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6.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9.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10.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1.xml" ContentType="application/vnd.openxmlformats-officedocument.drawing+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13.xml" ContentType="application/vnd.openxmlformats-officedocument.drawing+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166925"/>
  <mc:AlternateContent xmlns:mc="http://schemas.openxmlformats.org/markup-compatibility/2006">
    <mc:Choice Requires="x15">
      <x15ac:absPath xmlns:x15ac="http://schemas.microsoft.com/office/spreadsheetml/2010/11/ac" url="https://polimi365-my.sharepoint.com/personal/10707845_polimi_it/Documents/Prova Finale/"/>
    </mc:Choice>
  </mc:AlternateContent>
  <xr:revisionPtr revIDLastSave="266" documentId="13_ncr:1_{3696FFA9-63F3-4AC0-8D67-B79E694EE901}" xr6:coauthVersionLast="47" xr6:coauthVersionMax="47" xr10:uidLastSave="{7AF6D3DD-9C33-468C-8DE4-5981078E320C}"/>
  <bookViews>
    <workbookView xWindow="0" yWindow="500" windowWidth="23260" windowHeight="12580" firstSheet="4" activeTab="9" xr2:uid="{48B77BC6-676F-403D-877C-3392583014CC}"/>
  </bookViews>
  <sheets>
    <sheet name="Materiali" sheetId="3" r:id="rId1"/>
    <sheet name="Coppie e u" sheetId="1" r:id="rId2"/>
    <sheet name="Pre-dime 5-6" sheetId="2" r:id="rId3"/>
    <sheet name="Forze e verifica 5-6" sheetId="4" r:id="rId4"/>
    <sheet name="Pre-dime 3-4" sheetId="6" r:id="rId5"/>
    <sheet name="Forze e verifica 3-4" sheetId="7" r:id="rId6"/>
    <sheet name="Albero 1" sheetId="9" r:id="rId7"/>
    <sheet name="Albero 2" sheetId="8" state="hidden" r:id="rId8"/>
    <sheet name="Cuscinetti 1" sheetId="10" r:id="rId9"/>
    <sheet name="Linguetta" sheetId="14" r:id="rId10"/>
    <sheet name="Dati FEM" sheetId="17" r:id="rId11"/>
    <sheet name="Albero_2" sheetId="11" r:id="rId12"/>
    <sheet name="Cuscinetti 2" sheetId="12" r:id="rId13"/>
    <sheet name="Albero_2 (2)" sheetId="13" state="hidden" r:id="rId14"/>
  </sheets>
  <externalReferences>
    <externalReference r:id="rId15"/>
    <externalReference r:id="rId16"/>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0" i="9" l="1"/>
  <c r="I53" i="9"/>
  <c r="I54" i="9" s="1"/>
  <c r="M27" i="6"/>
  <c r="D19" i="2"/>
  <c r="D14" i="2"/>
  <c r="G16" i="1"/>
  <c r="D12" i="1"/>
  <c r="D6" i="1"/>
  <c r="D64" i="9"/>
  <c r="D54" i="9"/>
  <c r="D62" i="9"/>
  <c r="K17" i="10"/>
  <c r="K18" i="10"/>
  <c r="D15" i="9"/>
  <c r="AL4" i="9"/>
  <c r="T18" i="9"/>
  <c r="C63" i="14"/>
  <c r="C64" i="14"/>
  <c r="C62" i="14"/>
  <c r="C80" i="14"/>
  <c r="C81" i="14"/>
  <c r="F14" i="14"/>
  <c r="C14" i="14"/>
  <c r="C58" i="14"/>
  <c r="P17" i="14"/>
  <c r="M7" i="14"/>
  <c r="M8" i="14"/>
  <c r="M20" i="14"/>
  <c r="P7" i="14"/>
  <c r="P3" i="14"/>
  <c r="P6" i="14"/>
  <c r="P5" i="14"/>
  <c r="P11" i="14"/>
  <c r="C76" i="14"/>
  <c r="X10" i="9"/>
  <c r="X4" i="9"/>
  <c r="Y10" i="9"/>
  <c r="Z10" i="9"/>
  <c r="AA10" i="9"/>
  <c r="AB10" i="9"/>
  <c r="AC10" i="9"/>
  <c r="AD10" i="9"/>
  <c r="D63" i="9"/>
  <c r="N47" i="9"/>
  <c r="I7" i="14"/>
  <c r="C15" i="14"/>
  <c r="C6" i="10"/>
  <c r="N9" i="9"/>
  <c r="C65" i="14"/>
  <c r="C67" i="14"/>
  <c r="F58" i="14"/>
  <c r="I58" i="14"/>
  <c r="I64" i="14"/>
  <c r="I62" i="14"/>
  <c r="P18" i="14"/>
  <c r="P8" i="14"/>
  <c r="I8" i="14"/>
  <c r="I10" i="14"/>
  <c r="I11" i="14"/>
  <c r="R7" i="7" a="1"/>
  <c r="R7" i="7"/>
  <c r="Q10" i="7"/>
  <c r="R10" i="7"/>
  <c r="K26" i="10"/>
  <c r="G24" i="10"/>
  <c r="C28" i="10"/>
  <c r="C33" i="10"/>
  <c r="L24" i="10"/>
  <c r="L26" i="10"/>
  <c r="L27" i="10"/>
  <c r="K27" i="10"/>
  <c r="K12" i="10"/>
  <c r="K8" i="10"/>
  <c r="L7" i="10"/>
  <c r="K7" i="10"/>
  <c r="D22" i="9"/>
  <c r="G22" i="9"/>
  <c r="D57" i="9"/>
  <c r="G54" i="9"/>
  <c r="G57" i="9"/>
  <c r="P27" i="6"/>
  <c r="J17" i="6"/>
  <c r="M17" i="6"/>
  <c r="C28" i="4"/>
  <c r="H28" i="2"/>
  <c r="G9" i="6"/>
  <c r="T8" i="14"/>
  <c r="W3" i="14"/>
  <c r="T19" i="9"/>
  <c r="Q14" i="9"/>
  <c r="Q16" i="9"/>
  <c r="Q18" i="9"/>
  <c r="Q19" i="9"/>
  <c r="C17" i="17"/>
  <c r="C39" i="17"/>
  <c r="K32" i="17"/>
  <c r="L18" i="17"/>
  <c r="Q44" i="9"/>
  <c r="Q33" i="9"/>
  <c r="Q32" i="9"/>
  <c r="Q7" i="9"/>
  <c r="D31" i="9"/>
  <c r="D32" i="9"/>
  <c r="H32" i="17"/>
  <c r="C8" i="10"/>
  <c r="C7" i="10"/>
  <c r="H34" i="17"/>
  <c r="K36" i="9"/>
  <c r="D15" i="2"/>
  <c r="D16" i="2" s="1"/>
  <c r="G15" i="9"/>
  <c r="D33" i="2"/>
  <c r="G17" i="1"/>
  <c r="L25" i="10"/>
  <c r="L19" i="17"/>
  <c r="C10" i="17"/>
  <c r="H15" i="17"/>
  <c r="C15" i="17"/>
  <c r="D6" i="9"/>
  <c r="J17" i="9"/>
  <c r="J19" i="9"/>
  <c r="K9" i="10"/>
  <c r="M11" i="10"/>
  <c r="N11" i="10"/>
  <c r="F15" i="14"/>
  <c r="F8" i="7"/>
  <c r="W18" i="14"/>
  <c r="W17" i="14"/>
  <c r="M13" i="14"/>
  <c r="H10" i="17"/>
  <c r="T44" i="9"/>
  <c r="F20" i="14"/>
  <c r="F19" i="14"/>
  <c r="F18" i="14"/>
  <c r="F75" i="14"/>
  <c r="J34" i="2"/>
  <c r="J35" i="2"/>
  <c r="L34" i="2"/>
  <c r="K30" i="2"/>
  <c r="C20" i="14"/>
  <c r="C18" i="14"/>
  <c r="C9" i="10"/>
  <c r="D71" i="9"/>
  <c r="Q13" i="9"/>
  <c r="H37" i="17"/>
  <c r="L40" i="17"/>
  <c r="F7" i="4"/>
  <c r="F6" i="4"/>
  <c r="F57" i="14"/>
  <c r="I57" i="14"/>
  <c r="J30" i="2"/>
  <c r="G6" i="1"/>
  <c r="J4" i="1"/>
  <c r="G4" i="1"/>
  <c r="G3" i="1"/>
  <c r="K33" i="9"/>
  <c r="K34" i="9"/>
  <c r="X19" i="9"/>
  <c r="M30" i="17"/>
  <c r="L30" i="17"/>
  <c r="H35" i="17"/>
  <c r="O30" i="17"/>
  <c r="H33" i="17"/>
  <c r="N30" i="17"/>
  <c r="H11" i="17"/>
  <c r="M40" i="17"/>
  <c r="N33" i="9"/>
  <c r="C37" i="17"/>
  <c r="L41" i="17"/>
  <c r="J14" i="7"/>
  <c r="G33" i="1"/>
  <c r="G32" i="1"/>
  <c r="G31" i="1"/>
  <c r="G30" i="1"/>
  <c r="J30" i="1"/>
  <c r="G29" i="1"/>
  <c r="G28" i="1"/>
  <c r="J28" i="1"/>
  <c r="J27" i="1"/>
  <c r="J26" i="1"/>
  <c r="G27" i="1"/>
  <c r="G26" i="1"/>
  <c r="D29" i="1"/>
  <c r="D28" i="1"/>
  <c r="J33" i="1"/>
  <c r="J32" i="1"/>
  <c r="J31" i="1"/>
  <c r="C27" i="4"/>
  <c r="J12" i="4"/>
  <c r="J12" i="7"/>
  <c r="D12" i="2"/>
  <c r="C33" i="17"/>
  <c r="N26" i="17"/>
  <c r="N28" i="17"/>
  <c r="C35" i="17"/>
  <c r="O26" i="17"/>
  <c r="C32" i="17"/>
  <c r="L26" i="17"/>
  <c r="C34" i="17"/>
  <c r="M26" i="17"/>
  <c r="N34" i="9"/>
  <c r="C19" i="4"/>
  <c r="G20" i="1"/>
  <c r="J20" i="1"/>
  <c r="T20" i="14"/>
  <c r="T19" i="14"/>
  <c r="H12" i="17"/>
  <c r="H11" i="10"/>
  <c r="H12" i="10"/>
  <c r="H13" i="10"/>
  <c r="H14" i="10"/>
  <c r="H15" i="10"/>
  <c r="H16" i="10"/>
  <c r="H17" i="10"/>
  <c r="H10" i="10"/>
  <c r="C7" i="14"/>
  <c r="J14" i="4"/>
  <c r="K14" i="4"/>
  <c r="D4" i="9"/>
  <c r="J19" i="1"/>
  <c r="J16" i="1"/>
  <c r="G23" i="1"/>
  <c r="J23" i="1"/>
  <c r="G21" i="1"/>
  <c r="J21" i="1"/>
  <c r="G18" i="1"/>
  <c r="J18" i="1"/>
  <c r="D3" i="9"/>
  <c r="D31" i="2"/>
  <c r="Q41" i="9"/>
  <c r="T45" i="9"/>
  <c r="V3" i="7"/>
  <c r="C27" i="7"/>
  <c r="Q39" i="9"/>
  <c r="T41" i="9"/>
  <c r="Q31" i="9"/>
  <c r="G61" i="9"/>
  <c r="D61" i="9"/>
  <c r="H19" i="10"/>
  <c r="G19" i="10"/>
  <c r="G13" i="9"/>
  <c r="J4" i="9"/>
  <c r="G63" i="11"/>
  <c r="K6" i="7"/>
  <c r="K5" i="7"/>
  <c r="K3" i="7"/>
  <c r="K15" i="4"/>
  <c r="J7" i="4"/>
  <c r="K7" i="4"/>
  <c r="K14" i="7"/>
  <c r="S49" i="11"/>
  <c r="S45" i="11"/>
  <c r="S46" i="11"/>
  <c r="D16" i="11"/>
  <c r="D19" i="11"/>
  <c r="D22" i="11"/>
  <c r="M2" i="1"/>
  <c r="M19" i="14"/>
  <c r="I5" i="14"/>
  <c r="C19" i="14"/>
  <c r="F8" i="14"/>
  <c r="D76" i="11"/>
  <c r="S47" i="11"/>
  <c r="S42" i="11"/>
  <c r="G47" i="11"/>
  <c r="G42" i="11"/>
  <c r="M42" i="11"/>
  <c r="M47" i="11"/>
  <c r="M49" i="11"/>
  <c r="M29" i="11"/>
  <c r="M27" i="17"/>
  <c r="M28" i="17"/>
  <c r="L28" i="17"/>
  <c r="L29" i="17"/>
  <c r="L27" i="17"/>
  <c r="N29" i="17"/>
  <c r="O29" i="17"/>
  <c r="O28" i="17"/>
  <c r="O27" i="17"/>
  <c r="M29" i="17"/>
  <c r="N27" i="17"/>
  <c r="M14" i="14"/>
  <c r="P13" i="14"/>
  <c r="H24" i="10"/>
  <c r="H13" i="17"/>
  <c r="L8" i="17"/>
  <c r="N8" i="17"/>
  <c r="G4" i="9"/>
  <c r="Q40" i="9"/>
  <c r="Q42" i="9"/>
  <c r="T40" i="9"/>
  <c r="K12" i="4"/>
  <c r="S48" i="11"/>
  <c r="D22" i="13"/>
  <c r="K24" i="13"/>
  <c r="O56" i="13"/>
  <c r="O49" i="13"/>
  <c r="O45" i="13"/>
  <c r="O47" i="13"/>
  <c r="G47" i="13"/>
  <c r="G45" i="13"/>
  <c r="O42" i="13"/>
  <c r="G42" i="13"/>
  <c r="G46" i="13"/>
  <c r="P40" i="13"/>
  <c r="R39" i="13"/>
  <c r="N29" i="13"/>
  <c r="M29" i="13"/>
  <c r="K20" i="13"/>
  <c r="D17" i="13"/>
  <c r="D16" i="13"/>
  <c r="D19" i="13"/>
  <c r="J13" i="13"/>
  <c r="D8" i="13"/>
  <c r="D5" i="13"/>
  <c r="T39" i="13"/>
  <c r="D17" i="11"/>
  <c r="L10" i="10"/>
  <c r="L9" i="10"/>
  <c r="K9" i="12"/>
  <c r="G25" i="12"/>
  <c r="L10" i="12"/>
  <c r="L9" i="12"/>
  <c r="H8" i="12"/>
  <c r="H9" i="12"/>
  <c r="H10" i="12"/>
  <c r="H11" i="12"/>
  <c r="H12" i="12"/>
  <c r="H13" i="12"/>
  <c r="H14" i="12"/>
  <c r="H15" i="12"/>
  <c r="H16" i="12"/>
  <c r="C10" i="12"/>
  <c r="H17" i="12"/>
  <c r="H7" i="12"/>
  <c r="G29" i="6"/>
  <c r="G28" i="6"/>
  <c r="C9" i="12"/>
  <c r="H9" i="2"/>
  <c r="N29" i="11"/>
  <c r="D5" i="11"/>
  <c r="N56" i="11"/>
  <c r="M45" i="11"/>
  <c r="G45" i="11"/>
  <c r="P37" i="11"/>
  <c r="R36" i="11"/>
  <c r="J13" i="11"/>
  <c r="G21" i="8"/>
  <c r="D12" i="9"/>
  <c r="G48" i="13"/>
  <c r="O46" i="13"/>
  <c r="O48" i="13"/>
  <c r="C11" i="17"/>
  <c r="N4" i="17"/>
  <c r="L4" i="17"/>
  <c r="L5" i="17"/>
  <c r="C12" i="17"/>
  <c r="M4" i="17"/>
  <c r="C13" i="17"/>
  <c r="O4" i="17"/>
  <c r="O8" i="17"/>
  <c r="M8" i="17"/>
  <c r="D21" i="11"/>
  <c r="D20" i="11"/>
  <c r="D21" i="13"/>
  <c r="D24" i="13"/>
  <c r="H25" i="12"/>
  <c r="G46" i="11"/>
  <c r="G48" i="11"/>
  <c r="G21" i="13"/>
  <c r="G63" i="13"/>
  <c r="K19" i="13"/>
  <c r="D20" i="13"/>
  <c r="M46" i="11"/>
  <c r="M48" i="11"/>
  <c r="T36" i="11"/>
  <c r="D79" i="11"/>
  <c r="G64" i="9"/>
  <c r="G71" i="9"/>
  <c r="N5" i="17"/>
  <c r="L6" i="17"/>
  <c r="N6" i="17"/>
  <c r="O6" i="17"/>
  <c r="O5" i="17"/>
  <c r="O7" i="17"/>
  <c r="M6" i="17"/>
  <c r="M5" i="17"/>
  <c r="M7" i="17"/>
  <c r="L7" i="17"/>
  <c r="N7" i="17"/>
  <c r="K22" i="13"/>
  <c r="D25" i="13"/>
  <c r="K24" i="11"/>
  <c r="K20" i="11"/>
  <c r="K19" i="11"/>
  <c r="K23" i="13"/>
  <c r="K21" i="13"/>
  <c r="G24" i="11"/>
  <c r="K22" i="11"/>
  <c r="K23" i="11"/>
  <c r="D24" i="11"/>
  <c r="D25" i="11"/>
  <c r="K21" i="11"/>
  <c r="D11" i="9"/>
  <c r="D5" i="9"/>
  <c r="C10" i="10"/>
  <c r="M49" i="8"/>
  <c r="M45" i="8"/>
  <c r="M46" i="8"/>
  <c r="M47" i="8"/>
  <c r="M42" i="8"/>
  <c r="D5" i="8"/>
  <c r="D21" i="8"/>
  <c r="O56" i="8"/>
  <c r="G49" i="8"/>
  <c r="G45" i="8"/>
  <c r="G47" i="8"/>
  <c r="G42" i="8"/>
  <c r="N40" i="8"/>
  <c r="P39" i="8"/>
  <c r="L36" i="8"/>
  <c r="L35" i="8"/>
  <c r="D17" i="8"/>
  <c r="D16" i="8"/>
  <c r="D19" i="8"/>
  <c r="J13" i="8"/>
  <c r="D29" i="9"/>
  <c r="J18" i="9"/>
  <c r="D13" i="9"/>
  <c r="R39" i="8"/>
  <c r="G46" i="8"/>
  <c r="G48" i="8"/>
  <c r="D20" i="8"/>
  <c r="M48" i="8"/>
  <c r="Y119" i="8"/>
  <c r="D24" i="8"/>
  <c r="D25" i="8"/>
  <c r="D22" i="8"/>
  <c r="J24" i="8"/>
  <c r="D33" i="9"/>
  <c r="J21" i="9"/>
  <c r="J22" i="8"/>
  <c r="Y59" i="8"/>
  <c r="J20" i="8"/>
  <c r="J21" i="8"/>
  <c r="J23" i="8"/>
  <c r="AD12" i="9"/>
  <c r="AD9" i="9"/>
  <c r="T11" i="9"/>
  <c r="Q15" i="9"/>
  <c r="F35" i="9"/>
  <c r="G35" i="9"/>
  <c r="F28" i="9"/>
  <c r="G28" i="9"/>
  <c r="D28" i="9"/>
  <c r="D14" i="9"/>
  <c r="D11" i="6"/>
  <c r="F16" i="7"/>
  <c r="J10" i="7"/>
  <c r="K10" i="7"/>
  <c r="C9" i="7"/>
  <c r="M29" i="6"/>
  <c r="D31" i="6"/>
  <c r="C6" i="7"/>
  <c r="C17" i="7"/>
  <c r="C26" i="7"/>
  <c r="Q20" i="7"/>
  <c r="F18" i="7"/>
  <c r="R17" i="7"/>
  <c r="J16" i="7"/>
  <c r="R13" i="7"/>
  <c r="R12" i="7"/>
  <c r="K12" i="7"/>
  <c r="R11" i="7"/>
  <c r="Q21" i="7"/>
  <c r="Q7" i="7" a="1"/>
  <c r="Q7" i="7"/>
  <c r="J7" i="7"/>
  <c r="K7" i="7"/>
  <c r="R6" i="7"/>
  <c r="C17" i="4"/>
  <c r="C26" i="4"/>
  <c r="C9" i="4"/>
  <c r="E28" i="2"/>
  <c r="R13" i="4"/>
  <c r="R12" i="4"/>
  <c r="R11" i="4"/>
  <c r="R17" i="4"/>
  <c r="Q21" i="4"/>
  <c r="R6" i="4"/>
  <c r="R7" i="4" a="1"/>
  <c r="R7" i="4"/>
  <c r="G19" i="1"/>
  <c r="Q20" i="4"/>
  <c r="V3" i="4"/>
  <c r="Q7" i="4" a="1"/>
  <c r="Q7" i="4"/>
  <c r="J16" i="4"/>
  <c r="F18" i="4"/>
  <c r="S9" i="2"/>
  <c r="S10" i="2"/>
  <c r="S11" i="2"/>
  <c r="D3" i="1"/>
  <c r="D4" i="1"/>
  <c r="J3" i="1"/>
  <c r="D4" i="13"/>
  <c r="G26" i="7"/>
  <c r="G14" i="9"/>
  <c r="D8" i="11"/>
  <c r="D8" i="8"/>
  <c r="K16" i="4"/>
  <c r="D4" i="11"/>
  <c r="D4" i="8"/>
  <c r="F17" i="7"/>
  <c r="T15" i="9"/>
  <c r="T14" i="9"/>
  <c r="D35" i="9"/>
  <c r="D34" i="9"/>
  <c r="D30" i="9"/>
  <c r="C20" i="7"/>
  <c r="C22" i="7"/>
  <c r="C16" i="7"/>
  <c r="F19" i="7"/>
  <c r="U10" i="7"/>
  <c r="F16" i="4"/>
  <c r="C20" i="4"/>
  <c r="C22" i="4"/>
  <c r="F13" i="4"/>
  <c r="G22" i="1"/>
  <c r="J22" i="1"/>
  <c r="C16" i="4"/>
  <c r="D78" i="11"/>
  <c r="D70" i="11"/>
  <c r="F17" i="4"/>
  <c r="C23" i="4"/>
  <c r="J10" i="4"/>
  <c r="K10" i="4"/>
  <c r="F19" i="4"/>
  <c r="D3" i="11"/>
  <c r="G5" i="11"/>
  <c r="D3" i="13"/>
  <c r="G5" i="13"/>
  <c r="D7" i="13"/>
  <c r="G3" i="9"/>
  <c r="C23" i="7"/>
  <c r="U3" i="7"/>
  <c r="D3" i="8"/>
  <c r="G5" i="8"/>
  <c r="D7" i="8"/>
  <c r="C21" i="7"/>
  <c r="C25" i="7"/>
  <c r="C6" i="4"/>
  <c r="V10" i="7"/>
  <c r="U10" i="4"/>
  <c r="V10" i="4"/>
  <c r="G55" i="9"/>
  <c r="J17" i="1"/>
  <c r="G25" i="4"/>
  <c r="G5" i="9"/>
  <c r="D10" i="9"/>
  <c r="G63" i="9"/>
  <c r="M4" i="4"/>
  <c r="C21" i="4"/>
  <c r="C25" i="4"/>
  <c r="J8" i="4"/>
  <c r="U3" i="4"/>
  <c r="D7" i="11"/>
  <c r="D77" i="11"/>
  <c r="D81" i="11"/>
  <c r="D82" i="11"/>
  <c r="C18" i="7"/>
  <c r="Q10" i="4"/>
  <c r="R10" i="4"/>
  <c r="K8" i="4"/>
  <c r="D69" i="11"/>
  <c r="D72" i="11"/>
  <c r="D73" i="11"/>
  <c r="C18" i="4"/>
  <c r="AK19" i="9"/>
  <c r="AK4" i="9"/>
  <c r="AH24" i="9"/>
  <c r="G62" i="9"/>
  <c r="G66" i="9"/>
  <c r="G67" i="9"/>
  <c r="H72" i="9"/>
  <c r="J5" i="1"/>
  <c r="D10" i="2"/>
  <c r="D11" i="2"/>
  <c r="G58" i="9"/>
  <c r="C12" i="7"/>
  <c r="J6" i="1"/>
  <c r="C10" i="4"/>
  <c r="C24" i="4"/>
  <c r="Q5" i="4"/>
  <c r="E29" i="2"/>
  <c r="D32" i="2"/>
  <c r="K17" i="6"/>
  <c r="D30" i="2"/>
  <c r="C8" i="4"/>
  <c r="C11" i="4"/>
  <c r="G5" i="1"/>
  <c r="G7" i="1"/>
  <c r="E19" i="2"/>
  <c r="G33" i="10"/>
  <c r="C4" i="14"/>
  <c r="M30" i="2"/>
  <c r="P30" i="2"/>
  <c r="Q30" i="2"/>
  <c r="C7" i="4"/>
  <c r="C11" i="7"/>
  <c r="M13" i="7"/>
  <c r="J7" i="1"/>
  <c r="J8" i="1"/>
  <c r="D10" i="6"/>
  <c r="D14" i="6" s="1"/>
  <c r="D19" i="6"/>
  <c r="G8" i="1"/>
  <c r="M13" i="4"/>
  <c r="J13" i="4"/>
  <c r="U4" i="4"/>
  <c r="F12" i="4"/>
  <c r="D23" i="2"/>
  <c r="D20" i="2"/>
  <c r="D22" i="2"/>
  <c r="K13" i="4"/>
  <c r="J21" i="4"/>
  <c r="J20" i="4"/>
  <c r="N4" i="4"/>
  <c r="G33" i="12"/>
  <c r="M4" i="7"/>
  <c r="J13" i="7"/>
  <c r="J20" i="7"/>
  <c r="J9" i="4"/>
  <c r="D20" i="6"/>
  <c r="F13" i="7"/>
  <c r="C3" i="14"/>
  <c r="I20" i="4"/>
  <c r="K20" i="4"/>
  <c r="D24" i="2"/>
  <c r="D25" i="2" s="1"/>
  <c r="E20" i="2"/>
  <c r="C23" i="14"/>
  <c r="F23" i="14"/>
  <c r="K13" i="7"/>
  <c r="J21" i="7"/>
  <c r="K9" i="4"/>
  <c r="I21" i="4"/>
  <c r="K21" i="4"/>
  <c r="G6" i="9"/>
  <c r="AH45" i="9"/>
  <c r="C10" i="7"/>
  <c r="U4" i="7"/>
  <c r="D32" i="6"/>
  <c r="J3" i="9"/>
  <c r="D30" i="6"/>
  <c r="D15" i="6"/>
  <c r="D16" i="6"/>
  <c r="R5" i="4"/>
  <c r="P21" i="4"/>
  <c r="R21" i="4"/>
  <c r="P20" i="4"/>
  <c r="R20" i="4"/>
  <c r="E19" i="6"/>
  <c r="D23" i="6"/>
  <c r="BL4" i="9"/>
  <c r="BF4" i="9"/>
  <c r="CA4" i="9"/>
  <c r="BH4" i="9"/>
  <c r="CB4" i="9"/>
  <c r="BP4" i="9"/>
  <c r="AV4" i="9"/>
  <c r="CJ4" i="9"/>
  <c r="BU4" i="9"/>
  <c r="BI4" i="9"/>
  <c r="AZ4" i="9"/>
  <c r="BQ4" i="9"/>
  <c r="BM4" i="9"/>
  <c r="CK4" i="9"/>
  <c r="BY4" i="9"/>
  <c r="BB4" i="9"/>
  <c r="BJ4" i="9"/>
  <c r="CD4" i="9"/>
  <c r="BR4" i="9"/>
  <c r="BG4" i="9"/>
  <c r="AT4" i="9"/>
  <c r="CE4" i="9"/>
  <c r="AX4" i="9"/>
  <c r="BD4" i="9"/>
  <c r="CG4" i="9"/>
  <c r="CC4" i="9"/>
  <c r="AU4" i="9"/>
  <c r="CL4" i="9"/>
  <c r="BV4" i="9"/>
  <c r="AY4" i="9"/>
  <c r="BT4" i="9"/>
  <c r="CI4" i="9"/>
  <c r="BX4" i="9"/>
  <c r="CF4" i="9"/>
  <c r="BA4" i="9"/>
  <c r="BE4" i="9"/>
  <c r="BW4" i="9"/>
  <c r="CM4" i="9"/>
  <c r="BN4" i="9"/>
  <c r="CH4" i="9"/>
  <c r="BO4" i="9"/>
  <c r="BK4" i="9"/>
  <c r="BZ4" i="9"/>
  <c r="AW4" i="9"/>
  <c r="BS4" i="9"/>
  <c r="BC4" i="9"/>
  <c r="F22" i="14"/>
  <c r="I61" i="9"/>
  <c r="D55" i="9"/>
  <c r="AH16" i="9"/>
  <c r="I3" i="14"/>
  <c r="C22" i="14"/>
  <c r="F8" i="4"/>
  <c r="G8" i="9"/>
  <c r="G7" i="9"/>
  <c r="AJ11" i="9"/>
  <c r="AH17" i="9"/>
  <c r="AH34" i="9"/>
  <c r="X16" i="9"/>
  <c r="AH48" i="9"/>
  <c r="AH4" i="9"/>
  <c r="AH9" i="9"/>
  <c r="AH5" i="9"/>
  <c r="AH8" i="9"/>
  <c r="G9" i="9"/>
  <c r="AH23" i="9"/>
  <c r="AH27" i="9"/>
  <c r="AH31" i="9"/>
  <c r="AH36" i="9"/>
  <c r="AH40" i="9"/>
  <c r="AH44" i="9"/>
  <c r="AH49" i="9"/>
  <c r="AH13" i="9"/>
  <c r="AH3" i="9"/>
  <c r="AH20" i="9"/>
  <c r="AH28" i="9"/>
  <c r="AH32" i="9"/>
  <c r="AH37" i="9"/>
  <c r="AH41" i="9"/>
  <c r="AH50" i="9"/>
  <c r="AH6" i="9"/>
  <c r="AH10" i="9"/>
  <c r="AH14" i="9"/>
  <c r="AH30" i="9"/>
  <c r="AH39" i="9"/>
  <c r="AH12" i="9"/>
  <c r="AH18" i="9"/>
  <c r="AH21" i="9"/>
  <c r="AH25" i="9"/>
  <c r="AH29" i="9"/>
  <c r="AH33" i="9"/>
  <c r="AH38" i="9"/>
  <c r="AH42" i="9"/>
  <c r="AH46" i="9"/>
  <c r="AH19" i="9"/>
  <c r="AH7" i="9"/>
  <c r="AH11" i="9"/>
  <c r="AH15" i="9"/>
  <c r="AH22" i="9"/>
  <c r="AH26" i="9"/>
  <c r="AH35" i="9"/>
  <c r="AH43" i="9"/>
  <c r="AH47" i="9"/>
  <c r="AH53" i="9"/>
  <c r="X11" i="9"/>
  <c r="AH51" i="9"/>
  <c r="AH52" i="9"/>
  <c r="X17" i="9"/>
  <c r="G10" i="9"/>
  <c r="Q9" i="9"/>
  <c r="C8" i="7"/>
  <c r="C37" i="6"/>
  <c r="D37" i="6"/>
  <c r="C7" i="7"/>
  <c r="D33" i="6"/>
  <c r="C24" i="7"/>
  <c r="F10" i="4"/>
  <c r="E20" i="6"/>
  <c r="D22" i="6"/>
  <c r="AJ16" i="9"/>
  <c r="AT6" i="9"/>
  <c r="CA6" i="9"/>
  <c r="CH6" i="9"/>
  <c r="BK6" i="9"/>
  <c r="AX6" i="9"/>
  <c r="BC6" i="9"/>
  <c r="BN6" i="9"/>
  <c r="BH6" i="9"/>
  <c r="CM6" i="9"/>
  <c r="CF6" i="9"/>
  <c r="CC6" i="9"/>
  <c r="BW6" i="9"/>
  <c r="BP6" i="9"/>
  <c r="BA6" i="9"/>
  <c r="CE6" i="9"/>
  <c r="AV6" i="9"/>
  <c r="BL6" i="9"/>
  <c r="CI6" i="9"/>
  <c r="AY6" i="9"/>
  <c r="AU6" i="9"/>
  <c r="BO6" i="9"/>
  <c r="BM6" i="9"/>
  <c r="AZ6" i="9"/>
  <c r="BQ6" i="9"/>
  <c r="BS6" i="9"/>
  <c r="CK6" i="9"/>
  <c r="BY6" i="9"/>
  <c r="BG6" i="9"/>
  <c r="BI6" i="9"/>
  <c r="BD6" i="9"/>
  <c r="CG6" i="9"/>
  <c r="BZ6" i="9"/>
  <c r="CJ6" i="9"/>
  <c r="BB6" i="9"/>
  <c r="CD6" i="9"/>
  <c r="CB6" i="9"/>
  <c r="CL6" i="9"/>
  <c r="BF6" i="9"/>
  <c r="BR6" i="9"/>
  <c r="AW6" i="9"/>
  <c r="BJ6" i="9"/>
  <c r="BV6" i="9"/>
  <c r="BT6" i="9"/>
  <c r="BE6" i="9"/>
  <c r="BU6" i="9"/>
  <c r="BX6" i="9"/>
  <c r="AJ9" i="9"/>
  <c r="BK7" i="9"/>
  <c r="CG7" i="9"/>
  <c r="CL7" i="9"/>
  <c r="BO7" i="9"/>
  <c r="CA7" i="9"/>
  <c r="BH7" i="9"/>
  <c r="BR7" i="9"/>
  <c r="BY7" i="9"/>
  <c r="CE7" i="9"/>
  <c r="BL7" i="9"/>
  <c r="BZ7" i="9"/>
  <c r="BF7" i="9"/>
  <c r="BQ7" i="9"/>
  <c r="BV7" i="9"/>
  <c r="AW7" i="9"/>
  <c r="AV7" i="9"/>
  <c r="CK7" i="9"/>
  <c r="BW7" i="9"/>
  <c r="AX7" i="9"/>
  <c r="BN7" i="9"/>
  <c r="BP7" i="9"/>
  <c r="BX7" i="9"/>
  <c r="BM7" i="9"/>
  <c r="AY7" i="9"/>
  <c r="CB7" i="9"/>
  <c r="BU7" i="9"/>
  <c r="BE7" i="9"/>
  <c r="BG7" i="9"/>
  <c r="AU7" i="9"/>
  <c r="BT7" i="9"/>
  <c r="BS7" i="9"/>
  <c r="AT7" i="9"/>
  <c r="BB7" i="9"/>
  <c r="BA7" i="9"/>
  <c r="CD7" i="9"/>
  <c r="BI7" i="9"/>
  <c r="BD7" i="9"/>
  <c r="CI7" i="9"/>
  <c r="CH7" i="9"/>
  <c r="CF7" i="9"/>
  <c r="BJ7" i="9"/>
  <c r="CJ7" i="9"/>
  <c r="CC7" i="9"/>
  <c r="AZ7" i="9"/>
  <c r="BC7" i="9"/>
  <c r="CM7" i="9"/>
  <c r="AJ51" i="9"/>
  <c r="AJ32" i="9"/>
  <c r="AJ5" i="9"/>
  <c r="F16" i="14"/>
  <c r="F24" i="14"/>
  <c r="AJ22" i="9"/>
  <c r="AJ10" i="9"/>
  <c r="AJ44" i="9"/>
  <c r="AJ48" i="9"/>
  <c r="Z11" i="9"/>
  <c r="AJ7" i="9"/>
  <c r="AJ3" i="9"/>
  <c r="AJ26" i="9"/>
  <c r="AJ30" i="9"/>
  <c r="AJ33" i="9"/>
  <c r="AJ35" i="9"/>
  <c r="AJ31" i="9"/>
  <c r="AJ23" i="9"/>
  <c r="AJ52" i="9"/>
  <c r="AJ43" i="9"/>
  <c r="AJ39" i="9"/>
  <c r="AJ53" i="9"/>
  <c r="AJ8" i="9"/>
  <c r="AJ4" i="9"/>
  <c r="AJ19" i="9"/>
  <c r="AJ46" i="9"/>
  <c r="AJ18" i="9"/>
  <c r="AJ21" i="9"/>
  <c r="AJ49" i="9"/>
  <c r="AJ28" i="9"/>
  <c r="AJ15" i="9"/>
  <c r="AJ13" i="9"/>
  <c r="AJ6" i="9"/>
  <c r="AJ24" i="9"/>
  <c r="AJ37" i="9"/>
  <c r="AJ38" i="9"/>
  <c r="AJ36" i="9"/>
  <c r="Z17" i="9"/>
  <c r="AJ20" i="9"/>
  <c r="AJ12" i="9"/>
  <c r="AJ41" i="9"/>
  <c r="AJ27" i="9"/>
  <c r="AJ50" i="9"/>
  <c r="AJ40" i="9"/>
  <c r="AJ47" i="9"/>
  <c r="AJ29" i="9"/>
  <c r="AJ42" i="9"/>
  <c r="AJ25" i="9"/>
  <c r="AJ45" i="9"/>
  <c r="AJ14" i="9"/>
  <c r="Z16" i="9"/>
  <c r="C16" i="14"/>
  <c r="C24" i="14"/>
  <c r="AJ34" i="9"/>
  <c r="AJ17" i="9"/>
  <c r="AK34" i="9"/>
  <c r="AK16" i="9"/>
  <c r="N4" i="7"/>
  <c r="F12" i="7"/>
  <c r="M3" i="11"/>
  <c r="AD122" i="11"/>
  <c r="AK31" i="9"/>
  <c r="AK17" i="9"/>
  <c r="D58" i="9"/>
  <c r="AK36" i="9"/>
  <c r="AK39" i="9"/>
  <c r="AK37" i="9"/>
  <c r="AK32" i="9"/>
  <c r="AK27" i="9"/>
  <c r="AK42" i="9"/>
  <c r="AK35" i="9"/>
  <c r="AK7" i="9"/>
  <c r="AK15" i="9"/>
  <c r="AK24" i="9"/>
  <c r="AK10" i="9"/>
  <c r="AK14" i="9"/>
  <c r="AK8" i="9"/>
  <c r="AK25" i="9"/>
  <c r="AK9" i="9"/>
  <c r="AK18" i="9"/>
  <c r="AK3" i="9"/>
  <c r="AK23" i="9"/>
  <c r="AK11" i="9"/>
  <c r="AK20" i="9"/>
  <c r="AK6" i="9"/>
  <c r="AK12" i="9"/>
  <c r="AK21" i="9"/>
  <c r="AK5" i="9"/>
  <c r="AK13" i="9"/>
  <c r="AK22" i="9"/>
  <c r="AK48" i="9"/>
  <c r="AA11" i="9"/>
  <c r="AA16" i="9"/>
  <c r="AK38" i="9"/>
  <c r="AK52" i="9"/>
  <c r="AK50" i="9"/>
  <c r="AA17" i="9"/>
  <c r="AK49" i="9"/>
  <c r="AK47" i="9"/>
  <c r="AK30" i="9"/>
  <c r="AK33" i="9"/>
  <c r="AK45" i="9"/>
  <c r="AK28" i="9"/>
  <c r="AK53" i="9"/>
  <c r="AK51" i="9"/>
  <c r="AK44" i="9"/>
  <c r="AK43" i="9"/>
  <c r="AK26" i="9"/>
  <c r="AK40" i="9"/>
  <c r="AK46" i="9"/>
  <c r="AK29" i="9"/>
  <c r="AK41" i="9"/>
  <c r="D66" i="9"/>
  <c r="D67" i="9"/>
  <c r="H71" i="9"/>
  <c r="I62" i="9"/>
  <c r="M3" i="13"/>
  <c r="AD132" i="13"/>
  <c r="C6" i="14"/>
  <c r="J9" i="7"/>
  <c r="K9" i="7"/>
  <c r="Q5" i="7"/>
  <c r="F6" i="7"/>
  <c r="M3" i="8"/>
  <c r="D24" i="6"/>
  <c r="D25" i="6"/>
  <c r="M19" i="6"/>
  <c r="AD79" i="13"/>
  <c r="AD78" i="13"/>
  <c r="AD105" i="13"/>
  <c r="AD104" i="13"/>
  <c r="AD89" i="13"/>
  <c r="AD110" i="13"/>
  <c r="AD84" i="13"/>
  <c r="M8" i="13"/>
  <c r="G30" i="13"/>
  <c r="AD106" i="13"/>
  <c r="AD122" i="13"/>
  <c r="AD120" i="13"/>
  <c r="F58" i="13"/>
  <c r="AD61" i="13"/>
  <c r="AD125" i="13"/>
  <c r="AD92" i="13"/>
  <c r="AD77" i="13"/>
  <c r="AD108" i="13"/>
  <c r="AD80" i="13"/>
  <c r="AD121" i="13"/>
  <c r="AD96" i="13"/>
  <c r="AD74" i="13"/>
  <c r="F59" i="13"/>
  <c r="AD113" i="13"/>
  <c r="AD126" i="13"/>
  <c r="AD86" i="13"/>
  <c r="AD117" i="13"/>
  <c r="AD114" i="13"/>
  <c r="L19" i="13"/>
  <c r="AD99" i="13"/>
  <c r="AD94" i="13"/>
  <c r="AD82" i="13"/>
  <c r="AD123" i="13"/>
  <c r="AD124" i="13"/>
  <c r="AD130" i="13"/>
  <c r="AD127" i="13"/>
  <c r="AD115" i="13"/>
  <c r="AD103" i="13"/>
  <c r="AD109" i="13"/>
  <c r="AD75" i="13"/>
  <c r="AD118" i="13"/>
  <c r="AD83" i="13"/>
  <c r="AD131" i="13"/>
  <c r="AD87" i="13"/>
  <c r="AD119" i="13"/>
  <c r="AD98" i="13"/>
  <c r="AD88" i="13"/>
  <c r="AD128" i="13"/>
  <c r="AD111" i="13"/>
  <c r="AD90" i="13"/>
  <c r="AD101" i="13"/>
  <c r="AD93" i="13"/>
  <c r="AD91" i="13"/>
  <c r="AD100" i="13"/>
  <c r="AD107" i="13"/>
  <c r="AD129" i="13"/>
  <c r="AD97" i="13"/>
  <c r="AD85" i="13"/>
  <c r="AD95" i="13"/>
  <c r="AD112" i="13"/>
  <c r="AD73" i="13"/>
  <c r="AD81" i="13"/>
  <c r="AD102" i="13"/>
  <c r="AD134" i="13"/>
  <c r="AD116" i="13"/>
  <c r="AD76" i="13"/>
  <c r="M4" i="13"/>
  <c r="Y133" i="13"/>
  <c r="AD133" i="13"/>
  <c r="M8" i="11"/>
  <c r="M4" i="11"/>
  <c r="Y122" i="11"/>
  <c r="L19" i="11"/>
  <c r="F58" i="11"/>
  <c r="AD112" i="11"/>
  <c r="AD87" i="11"/>
  <c r="AD129" i="11"/>
  <c r="AD111" i="11"/>
  <c r="AD95" i="11"/>
  <c r="AD108" i="11"/>
  <c r="AD109" i="11"/>
  <c r="AD77" i="11"/>
  <c r="AD134" i="11"/>
  <c r="AD135" i="11"/>
  <c r="AD133" i="11"/>
  <c r="AD78" i="11"/>
  <c r="AD90" i="11"/>
  <c r="AD117" i="11"/>
  <c r="AD80" i="11"/>
  <c r="AD96" i="11"/>
  <c r="AD97" i="11"/>
  <c r="AD85" i="11"/>
  <c r="AD92" i="11"/>
  <c r="AD82" i="11"/>
  <c r="AD86" i="11"/>
  <c r="AD119" i="11"/>
  <c r="AD105" i="11"/>
  <c r="AD93" i="11"/>
  <c r="AD113" i="11"/>
  <c r="AD74" i="11"/>
  <c r="AD114" i="11"/>
  <c r="AD75" i="11"/>
  <c r="AD120" i="11"/>
  <c r="AD88" i="11"/>
  <c r="AD76" i="11"/>
  <c r="AD115" i="11"/>
  <c r="AD121" i="11"/>
  <c r="AD106" i="11"/>
  <c r="AD103" i="11"/>
  <c r="AD83" i="11"/>
  <c r="AD99" i="11"/>
  <c r="AD128" i="11"/>
  <c r="AD81" i="11"/>
  <c r="AD89" i="11"/>
  <c r="AD79" i="11"/>
  <c r="AD98" i="11"/>
  <c r="AD118" i="11"/>
  <c r="AD107" i="11"/>
  <c r="AD84" i="11"/>
  <c r="AD110" i="11"/>
  <c r="AD73" i="11"/>
  <c r="AD116" i="11"/>
  <c r="AD102" i="11"/>
  <c r="F59" i="11"/>
  <c r="AD127" i="11"/>
  <c r="AD130" i="11"/>
  <c r="AD94" i="11"/>
  <c r="AD101" i="11"/>
  <c r="AD100" i="11"/>
  <c r="AD131" i="11"/>
  <c r="AD91" i="11"/>
  <c r="AD132" i="11"/>
  <c r="AD104" i="11"/>
  <c r="F7" i="7"/>
  <c r="J7" i="9"/>
  <c r="J6" i="9"/>
  <c r="M8" i="8"/>
  <c r="G30" i="8"/>
  <c r="M4" i="8"/>
  <c r="F59" i="8"/>
  <c r="F58" i="8"/>
  <c r="K20" i="8"/>
  <c r="R27" i="6"/>
  <c r="O17" i="6"/>
  <c r="N19" i="6"/>
  <c r="M20" i="6"/>
  <c r="P20" i="7"/>
  <c r="R20" i="7"/>
  <c r="R5" i="7"/>
  <c r="P21" i="7"/>
  <c r="R21" i="7"/>
  <c r="CB5" i="9"/>
  <c r="CJ5" i="9"/>
  <c r="AW5" i="9"/>
  <c r="BN5" i="9"/>
  <c r="BD5" i="9"/>
  <c r="BH5" i="9"/>
  <c r="CL5" i="9"/>
  <c r="BI5" i="9"/>
  <c r="CE5" i="9"/>
  <c r="BA5" i="9"/>
  <c r="BX5" i="9"/>
  <c r="BF5" i="9"/>
  <c r="BJ5" i="9"/>
  <c r="BW5" i="9"/>
  <c r="CF5" i="9"/>
  <c r="CC5" i="9"/>
  <c r="BY5" i="9"/>
  <c r="BS5" i="9"/>
  <c r="CG5" i="9"/>
  <c r="BC5" i="9"/>
  <c r="BP5" i="9"/>
  <c r="BB5" i="9"/>
  <c r="BR5" i="9"/>
  <c r="BL5" i="9"/>
  <c r="BU5" i="9"/>
  <c r="CD5" i="9"/>
  <c r="AV5" i="9"/>
  <c r="BO5" i="9"/>
  <c r="BG5" i="9"/>
  <c r="CI5" i="9"/>
  <c r="CK5" i="9"/>
  <c r="AU5" i="9"/>
  <c r="BK5" i="9"/>
  <c r="BZ5" i="9"/>
  <c r="CH5" i="9"/>
  <c r="CM5" i="9"/>
  <c r="CA5" i="9"/>
  <c r="BT5" i="9"/>
  <c r="AT5" i="9"/>
  <c r="BM5" i="9"/>
  <c r="BE5" i="9"/>
  <c r="AZ5" i="9"/>
  <c r="BV5" i="9"/>
  <c r="AX5" i="9"/>
  <c r="AY5" i="9"/>
  <c r="BQ5" i="9"/>
  <c r="G21" i="9"/>
  <c r="D21" i="9"/>
  <c r="E29" i="9"/>
  <c r="BL8" i="9"/>
  <c r="CK8" i="9"/>
  <c r="AV8" i="9"/>
  <c r="CE8" i="9"/>
  <c r="CL8" i="9"/>
  <c r="CH8" i="9"/>
  <c r="AT8" i="9"/>
  <c r="BQ8" i="9"/>
  <c r="BO8" i="9"/>
  <c r="BA8" i="9"/>
  <c r="BJ8" i="9"/>
  <c r="BI8" i="9"/>
  <c r="CF8" i="9"/>
  <c r="AW8" i="9"/>
  <c r="BW8" i="9"/>
  <c r="BH8" i="9"/>
  <c r="BT8" i="9"/>
  <c r="CJ8" i="9"/>
  <c r="BG8" i="9"/>
  <c r="BS8" i="9"/>
  <c r="CB8" i="9"/>
  <c r="CM8" i="9"/>
  <c r="AY8" i="9"/>
  <c r="BV8" i="9"/>
  <c r="BK8" i="9"/>
  <c r="CG8" i="9"/>
  <c r="AZ8" i="9"/>
  <c r="AX8" i="9"/>
  <c r="BX8" i="9"/>
  <c r="BM8" i="9"/>
  <c r="BR8" i="9"/>
  <c r="BD8" i="9"/>
  <c r="BE8" i="9"/>
  <c r="BZ8" i="9"/>
  <c r="BF8" i="9"/>
  <c r="BU8" i="9"/>
  <c r="BY8" i="9"/>
  <c r="CA8" i="9"/>
  <c r="AU8" i="9"/>
  <c r="CD8" i="9"/>
  <c r="BB8" i="9"/>
  <c r="CI8" i="9"/>
  <c r="BP8" i="9"/>
  <c r="CC8" i="9"/>
  <c r="BC8" i="9"/>
  <c r="BN8" i="9"/>
  <c r="AD67" i="13"/>
  <c r="AD69" i="13"/>
  <c r="AD71" i="13"/>
  <c r="AD68" i="13"/>
  <c r="AD60" i="13"/>
  <c r="K30" i="13"/>
  <c r="K33" i="13"/>
  <c r="AD65" i="13"/>
  <c r="AD70" i="13"/>
  <c r="AD66" i="13"/>
  <c r="AD64" i="13"/>
  <c r="AD63" i="13"/>
  <c r="AD62" i="13"/>
  <c r="AD59" i="13"/>
  <c r="Y122" i="13"/>
  <c r="AI34" i="9"/>
  <c r="AI16" i="9"/>
  <c r="Y105" i="13"/>
  <c r="Y127" i="13"/>
  <c r="AL34" i="9"/>
  <c r="AL16" i="9"/>
  <c r="Y132" i="13"/>
  <c r="AI35" i="9"/>
  <c r="AI37" i="9"/>
  <c r="AI36" i="9"/>
  <c r="AL36" i="9"/>
  <c r="AL37" i="9"/>
  <c r="AL35" i="9"/>
  <c r="Y97" i="13"/>
  <c r="Y113" i="13"/>
  <c r="Y80" i="13"/>
  <c r="Y93" i="13"/>
  <c r="Y73" i="13"/>
  <c r="Y104" i="13"/>
  <c r="Y103" i="13"/>
  <c r="M19" i="13"/>
  <c r="Y92" i="13"/>
  <c r="Y108" i="13"/>
  <c r="Y110" i="13"/>
  <c r="Y117" i="13"/>
  <c r="Y79" i="13"/>
  <c r="Y74" i="13"/>
  <c r="Y106" i="13"/>
  <c r="Y91" i="13"/>
  <c r="Y94" i="13"/>
  <c r="Y120" i="13"/>
  <c r="Y87" i="13"/>
  <c r="Y112" i="13"/>
  <c r="Y101" i="13"/>
  <c r="Y98" i="13"/>
  <c r="Y115" i="13"/>
  <c r="Y72" i="13"/>
  <c r="Y125" i="13"/>
  <c r="F55" i="13"/>
  <c r="Y82" i="13"/>
  <c r="Y111" i="13"/>
  <c r="Y81" i="13"/>
  <c r="Y75" i="13"/>
  <c r="Y99" i="13"/>
  <c r="F54" i="13"/>
  <c r="Y67" i="13"/>
  <c r="Y109" i="13"/>
  <c r="Y83" i="13"/>
  <c r="Y124" i="13"/>
  <c r="Y123" i="13"/>
  <c r="Y89" i="13"/>
  <c r="Y77" i="13"/>
  <c r="AD72" i="13"/>
  <c r="Y116" i="13"/>
  <c r="Y119" i="13"/>
  <c r="Y85" i="13"/>
  <c r="Y84" i="13"/>
  <c r="Y107" i="13"/>
  <c r="Y96" i="13"/>
  <c r="Y102" i="13"/>
  <c r="Y95" i="13"/>
  <c r="Y100" i="13"/>
  <c r="Y134" i="13"/>
  <c r="J8" i="9"/>
  <c r="Y129" i="13"/>
  <c r="Y88" i="13"/>
  <c r="Y121" i="13"/>
  <c r="Y128" i="13"/>
  <c r="Y78" i="13"/>
  <c r="Y130" i="13"/>
  <c r="Y90" i="13"/>
  <c r="Y118" i="13"/>
  <c r="Y76" i="13"/>
  <c r="Y126" i="13"/>
  <c r="Y114" i="13"/>
  <c r="Y86" i="13"/>
  <c r="Y131" i="13"/>
  <c r="AI8" i="9"/>
  <c r="Y16" i="9"/>
  <c r="AI48" i="9"/>
  <c r="AI4" i="9"/>
  <c r="AB17" i="9"/>
  <c r="AL45" i="9"/>
  <c r="AL28" i="9"/>
  <c r="AL48" i="9"/>
  <c r="AL19" i="9"/>
  <c r="AL6" i="9"/>
  <c r="AL17" i="9"/>
  <c r="AL47" i="9"/>
  <c r="AL26" i="9"/>
  <c r="AL12" i="9"/>
  <c r="AL43" i="9"/>
  <c r="AL39" i="9"/>
  <c r="AL31" i="9"/>
  <c r="AL33" i="9"/>
  <c r="AL40" i="9"/>
  <c r="AL22" i="9"/>
  <c r="AL18" i="9"/>
  <c r="AL15" i="9"/>
  <c r="AL27" i="9"/>
  <c r="AL13" i="9"/>
  <c r="AL3" i="9"/>
  <c r="AL38" i="9"/>
  <c r="AL7" i="9"/>
  <c r="AL44" i="9"/>
  <c r="AL42" i="9"/>
  <c r="AL21" i="9"/>
  <c r="AL23" i="9"/>
  <c r="AL25" i="9"/>
  <c r="AL11" i="9"/>
  <c r="AL32" i="9"/>
  <c r="AL10" i="9"/>
  <c r="AL5" i="9"/>
  <c r="AL30" i="9"/>
  <c r="AB11" i="9"/>
  <c r="AL9" i="9"/>
  <c r="AL14" i="9"/>
  <c r="AL24" i="9"/>
  <c r="AL41" i="9"/>
  <c r="AL46" i="9"/>
  <c r="AL29" i="9"/>
  <c r="AL20" i="9"/>
  <c r="AL8" i="9"/>
  <c r="I3" i="11" a="1"/>
  <c r="X102" i="11"/>
  <c r="F10" i="7"/>
  <c r="I3" i="8" a="1"/>
  <c r="M15" i="8"/>
  <c r="J15" i="8"/>
  <c r="K22" i="8"/>
  <c r="I3" i="13" a="1"/>
  <c r="L43" i="13"/>
  <c r="G33" i="13"/>
  <c r="AI51" i="9"/>
  <c r="AI52" i="9"/>
  <c r="AI53" i="9"/>
  <c r="AI39" i="9"/>
  <c r="AI40" i="9"/>
  <c r="AI41" i="9"/>
  <c r="AI42" i="9"/>
  <c r="AI43" i="9"/>
  <c r="AI44" i="9"/>
  <c r="AI45" i="9"/>
  <c r="AI46" i="9"/>
  <c r="AI47" i="9"/>
  <c r="AI49" i="9"/>
  <c r="AI50" i="9"/>
  <c r="AI38" i="9"/>
  <c r="AI5" i="9"/>
  <c r="AI6" i="9"/>
  <c r="AI7" i="9"/>
  <c r="AI9" i="9"/>
  <c r="AI10" i="9"/>
  <c r="AI11" i="9"/>
  <c r="AI12" i="9"/>
  <c r="AI13" i="9"/>
  <c r="AI14" i="9"/>
  <c r="AI15" i="9"/>
  <c r="AI17" i="9"/>
  <c r="AI18" i="9"/>
  <c r="AI19" i="9"/>
  <c r="AI20" i="9"/>
  <c r="AI21" i="9"/>
  <c r="AI22" i="9"/>
  <c r="AI23" i="9"/>
  <c r="AI24" i="9"/>
  <c r="AI25" i="9"/>
  <c r="AI26" i="9"/>
  <c r="AI27" i="9"/>
  <c r="AI28" i="9"/>
  <c r="AI29" i="9"/>
  <c r="AI30" i="9"/>
  <c r="AI31" i="9"/>
  <c r="AI32" i="9"/>
  <c r="AI33" i="9"/>
  <c r="AI3" i="9"/>
  <c r="AL51" i="9"/>
  <c r="AL52" i="9"/>
  <c r="AL53" i="9"/>
  <c r="AL49" i="9"/>
  <c r="AL50" i="9"/>
  <c r="AB16" i="9"/>
  <c r="AA96" i="8"/>
  <c r="AA93" i="8"/>
  <c r="AA101" i="8"/>
  <c r="AA91" i="8"/>
  <c r="AA114" i="8"/>
  <c r="AA111" i="8"/>
  <c r="AA102" i="8"/>
  <c r="AA125" i="8"/>
  <c r="AA92" i="8"/>
  <c r="AA89" i="8"/>
  <c r="AA123" i="8"/>
  <c r="AA86" i="8"/>
  <c r="AA106" i="8"/>
  <c r="AA103" i="8"/>
  <c r="AA94" i="8"/>
  <c r="AA100" i="8"/>
  <c r="AA121" i="8"/>
  <c r="AA88" i="8"/>
  <c r="AA126" i="8"/>
  <c r="AA119" i="8"/>
  <c r="AA79" i="8"/>
  <c r="AA98" i="8"/>
  <c r="AA95" i="8"/>
  <c r="AA87" i="8"/>
  <c r="AA99" i="8"/>
  <c r="AA116" i="8"/>
  <c r="AA84" i="8"/>
  <c r="AA122" i="8"/>
  <c r="AA118" i="8"/>
  <c r="AA77" i="8"/>
  <c r="AA90" i="8"/>
  <c r="AA85" i="8"/>
  <c r="AA83" i="8"/>
  <c r="AA124" i="8"/>
  <c r="AA112" i="8"/>
  <c r="AA80" i="8"/>
  <c r="AA117" i="8"/>
  <c r="AA120" i="8"/>
  <c r="AA70" i="8"/>
  <c r="AA82" i="8"/>
  <c r="AA78" i="8"/>
  <c r="AA81" i="8"/>
  <c r="AA110" i="8"/>
  <c r="AA108" i="8"/>
  <c r="AA76" i="8"/>
  <c r="AA113" i="8"/>
  <c r="AA115" i="8"/>
  <c r="F54" i="8"/>
  <c r="AA75" i="8"/>
  <c r="AA71" i="8"/>
  <c r="AA74" i="8"/>
  <c r="AA97" i="8"/>
  <c r="F55" i="8"/>
  <c r="AA104" i="8"/>
  <c r="AA72" i="8"/>
  <c r="AA109" i="8"/>
  <c r="AA107" i="8"/>
  <c r="AA73" i="8"/>
  <c r="AA69" i="8"/>
  <c r="AA105" i="8"/>
  <c r="L20" i="8"/>
  <c r="G33" i="8"/>
  <c r="J43" i="8"/>
  <c r="M19" i="11"/>
  <c r="Y78" i="11"/>
  <c r="Y85" i="11"/>
  <c r="Y107" i="11"/>
  <c r="Y102" i="11"/>
  <c r="Y111" i="11"/>
  <c r="Y106" i="11"/>
  <c r="Y114" i="11"/>
  <c r="Y119" i="11"/>
  <c r="Y110" i="11"/>
  <c r="Y101" i="11"/>
  <c r="Y128" i="11"/>
  <c r="Y73" i="11"/>
  <c r="Y74" i="11"/>
  <c r="Y132" i="11"/>
  <c r="Y77" i="11"/>
  <c r="Y113" i="11"/>
  <c r="F55" i="11"/>
  <c r="Y129" i="11"/>
  <c r="Y72" i="11"/>
  <c r="Y117" i="11"/>
  <c r="Y82" i="11"/>
  <c r="Y89" i="11"/>
  <c r="Y84" i="11"/>
  <c r="Y90" i="11"/>
  <c r="Y93" i="11"/>
  <c r="AD72" i="11"/>
  <c r="Y133" i="11"/>
  <c r="Y100" i="11"/>
  <c r="Y88" i="11"/>
  <c r="Y135" i="11"/>
  <c r="Y118" i="11"/>
  <c r="Y105" i="11"/>
  <c r="Y86" i="11"/>
  <c r="Y127" i="11"/>
  <c r="Y109" i="11"/>
  <c r="Y83" i="11"/>
  <c r="Y104" i="11"/>
  <c r="Y116" i="11"/>
  <c r="Y76" i="11"/>
  <c r="Y121" i="11"/>
  <c r="Y97" i="11"/>
  <c r="Y80" i="11"/>
  <c r="Y130" i="11"/>
  <c r="Y99" i="11"/>
  <c r="Y91" i="11"/>
  <c r="Y87" i="11"/>
  <c r="Y120" i="11"/>
  <c r="Y81" i="11"/>
  <c r="Y92" i="11"/>
  <c r="Y134" i="11"/>
  <c r="Y96" i="11"/>
  <c r="Y115" i="11"/>
  <c r="F54" i="11"/>
  <c r="Y131" i="11"/>
  <c r="Y103" i="11"/>
  <c r="Y94" i="11"/>
  <c r="Y75" i="11"/>
  <c r="Y108" i="11"/>
  <c r="Y79" i="11"/>
  <c r="Y112" i="11"/>
  <c r="Y98" i="11"/>
  <c r="Y95" i="11"/>
  <c r="G30" i="11"/>
  <c r="K30" i="11"/>
  <c r="M28" i="6"/>
  <c r="M31" i="6"/>
  <c r="K31" i="6"/>
  <c r="F21" i="7"/>
  <c r="F22" i="7"/>
  <c r="J8" i="7"/>
  <c r="I20" i="7"/>
  <c r="J10" i="9"/>
  <c r="Y11" i="9"/>
  <c r="Y17" i="9"/>
  <c r="AD61" i="11"/>
  <c r="AD64" i="11"/>
  <c r="AD69" i="11"/>
  <c r="AD59" i="11"/>
  <c r="AD66" i="11"/>
  <c r="AD65" i="11"/>
  <c r="AD71" i="11"/>
  <c r="AD67" i="11"/>
  <c r="AD60" i="11"/>
  <c r="AD62" i="11"/>
  <c r="AD68" i="11"/>
  <c r="AD70" i="11"/>
  <c r="AD63" i="11"/>
  <c r="M21" i="6"/>
  <c r="M22" i="6"/>
  <c r="C28" i="7"/>
  <c r="V4" i="7"/>
  <c r="J29" i="1"/>
  <c r="N10" i="9"/>
  <c r="AD84" i="9"/>
  <c r="K30" i="10"/>
  <c r="N36" i="9"/>
  <c r="E33" i="9"/>
  <c r="Y61" i="13"/>
  <c r="Y59" i="13"/>
  <c r="Y62" i="13"/>
  <c r="Y69" i="13"/>
  <c r="Y70" i="13"/>
  <c r="Y66" i="13"/>
  <c r="Y71" i="13"/>
  <c r="Y63" i="13"/>
  <c r="Y60" i="13"/>
  <c r="Y65" i="13"/>
  <c r="Y68" i="13"/>
  <c r="Y64" i="13"/>
  <c r="J9" i="9"/>
  <c r="N22" i="9"/>
  <c r="Q35" i="9"/>
  <c r="G31" i="6"/>
  <c r="N48" i="9"/>
  <c r="K8" i="7"/>
  <c r="I21" i="7" s="1"/>
  <c r="X96" i="11"/>
  <c r="AC119" i="11"/>
  <c r="AE119" i="11"/>
  <c r="X117" i="11"/>
  <c r="E59" i="11"/>
  <c r="I59" i="11"/>
  <c r="X87" i="11"/>
  <c r="X92" i="11"/>
  <c r="X100" i="11"/>
  <c r="AC83" i="11"/>
  <c r="AE83" i="11"/>
  <c r="X85" i="11"/>
  <c r="X106" i="11"/>
  <c r="AC129" i="11"/>
  <c r="AE129" i="11"/>
  <c r="X99" i="11"/>
  <c r="AC121" i="11"/>
  <c r="AE121" i="11"/>
  <c r="X111" i="11"/>
  <c r="AC78" i="11"/>
  <c r="AE78" i="11"/>
  <c r="AC108" i="11"/>
  <c r="AE108" i="11"/>
  <c r="AC74" i="11"/>
  <c r="AE74" i="11"/>
  <c r="AC127" i="11"/>
  <c r="AE127" i="11"/>
  <c r="AC95" i="11"/>
  <c r="AE95" i="11"/>
  <c r="X79" i="11"/>
  <c r="AC77" i="11"/>
  <c r="AE77" i="11"/>
  <c r="AC106" i="11"/>
  <c r="AE106" i="11"/>
  <c r="AC96" i="11"/>
  <c r="AE96" i="11"/>
  <c r="AC134" i="11"/>
  <c r="AE134" i="11"/>
  <c r="AC120" i="11"/>
  <c r="AE120" i="11"/>
  <c r="E58" i="11"/>
  <c r="I58" i="11"/>
  <c r="AC117" i="11"/>
  <c r="AE117" i="11"/>
  <c r="X110" i="11"/>
  <c r="AC110" i="11"/>
  <c r="AE110" i="11"/>
  <c r="X89" i="11"/>
  <c r="AC113" i="11"/>
  <c r="AE113" i="11"/>
  <c r="X77" i="11"/>
  <c r="AC91" i="11"/>
  <c r="AE91" i="11"/>
  <c r="X98" i="11"/>
  <c r="AC81" i="11"/>
  <c r="AE81" i="11"/>
  <c r="AC114" i="11"/>
  <c r="AE114" i="11"/>
  <c r="X120" i="11"/>
  <c r="AC105" i="11"/>
  <c r="AE105" i="11"/>
  <c r="X119" i="11"/>
  <c r="AC112" i="11"/>
  <c r="AE112" i="11"/>
  <c r="AC88" i="11"/>
  <c r="AE88" i="11"/>
  <c r="E54" i="11"/>
  <c r="X71" i="11"/>
  <c r="X122" i="11"/>
  <c r="AC122" i="11"/>
  <c r="AE122" i="11"/>
  <c r="AC104" i="11"/>
  <c r="AE104" i="11"/>
  <c r="X91" i="11"/>
  <c r="AC100" i="11"/>
  <c r="AE100" i="11"/>
  <c r="X131" i="11"/>
  <c r="X112" i="11"/>
  <c r="AC130" i="11"/>
  <c r="AE130" i="11"/>
  <c r="X109" i="11"/>
  <c r="X134" i="11"/>
  <c r="X72" i="11"/>
  <c r="M15" i="11"/>
  <c r="J15" i="11"/>
  <c r="L21" i="11"/>
  <c r="E55" i="11"/>
  <c r="X135" i="11"/>
  <c r="AC102" i="11"/>
  <c r="AE102" i="11"/>
  <c r="X113" i="11"/>
  <c r="AC128" i="11"/>
  <c r="AE128" i="11"/>
  <c r="X118" i="11"/>
  <c r="X108" i="11"/>
  <c r="AC75" i="11"/>
  <c r="AE75" i="11"/>
  <c r="AC79" i="11"/>
  <c r="AE79" i="11"/>
  <c r="X107" i="11"/>
  <c r="AC135" i="11"/>
  <c r="AE135" i="11"/>
  <c r="AC87" i="11"/>
  <c r="AE87" i="11"/>
  <c r="X93" i="11"/>
  <c r="AC115" i="11"/>
  <c r="AE115" i="11"/>
  <c r="X88" i="11"/>
  <c r="AC98" i="11"/>
  <c r="AE98" i="11"/>
  <c r="X84" i="11"/>
  <c r="X86" i="11"/>
  <c r="AC85" i="11"/>
  <c r="AE85" i="11"/>
  <c r="AC101" i="11"/>
  <c r="AE101" i="11"/>
  <c r="X95" i="11"/>
  <c r="X103" i="11"/>
  <c r="AC72" i="11"/>
  <c r="AE72" i="11"/>
  <c r="X75" i="11"/>
  <c r="AC76" i="11"/>
  <c r="AE76" i="11"/>
  <c r="AC89" i="11"/>
  <c r="AE89" i="11"/>
  <c r="X78" i="11"/>
  <c r="AC132" i="11"/>
  <c r="AE132" i="11"/>
  <c r="AC93" i="11"/>
  <c r="AE93" i="11"/>
  <c r="X105" i="11"/>
  <c r="X97" i="11"/>
  <c r="AC97" i="11"/>
  <c r="AE97" i="11"/>
  <c r="X81" i="11"/>
  <c r="X94" i="11"/>
  <c r="AC84" i="11"/>
  <c r="AE84" i="11"/>
  <c r="X128" i="11"/>
  <c r="AC73" i="11"/>
  <c r="AE73" i="11"/>
  <c r="AC82" i="11"/>
  <c r="AE82" i="11"/>
  <c r="X114" i="11"/>
  <c r="X130" i="11"/>
  <c r="M13" i="11"/>
  <c r="C6" i="12"/>
  <c r="K33" i="11"/>
  <c r="P43" i="11"/>
  <c r="J7" i="11"/>
  <c r="Z112" i="11"/>
  <c r="I3" i="11"/>
  <c r="X76" i="11"/>
  <c r="X104" i="11"/>
  <c r="AC86" i="11"/>
  <c r="AE86" i="11"/>
  <c r="AC103" i="11"/>
  <c r="AE103" i="11"/>
  <c r="X74" i="11"/>
  <c r="AC116" i="11"/>
  <c r="AE116" i="11"/>
  <c r="AC90" i="11"/>
  <c r="AE90" i="11"/>
  <c r="X73" i="11"/>
  <c r="X90" i="11"/>
  <c r="AC133" i="11"/>
  <c r="AE133" i="11"/>
  <c r="AC94" i="11"/>
  <c r="AE94" i="11"/>
  <c r="X80" i="11"/>
  <c r="X127" i="11"/>
  <c r="AC118" i="11"/>
  <c r="AE118" i="11"/>
  <c r="AC80" i="11"/>
  <c r="AE80" i="11"/>
  <c r="X133" i="11"/>
  <c r="AC92" i="11"/>
  <c r="AE92" i="11"/>
  <c r="X115" i="11"/>
  <c r="AC111" i="11"/>
  <c r="AE111" i="11"/>
  <c r="AC109" i="11"/>
  <c r="AE109" i="11"/>
  <c r="X116" i="11"/>
  <c r="X101" i="11"/>
  <c r="AC99" i="11"/>
  <c r="AE99" i="11"/>
  <c r="X132" i="11"/>
  <c r="X129" i="11"/>
  <c r="AC107" i="11"/>
  <c r="AE107" i="11"/>
  <c r="AC131" i="11"/>
  <c r="AE131" i="11"/>
  <c r="X83" i="11"/>
  <c r="X121" i="11"/>
  <c r="X82" i="11"/>
  <c r="J8" i="11"/>
  <c r="D30" i="11"/>
  <c r="D33" i="11"/>
  <c r="Z106" i="8"/>
  <c r="AB106" i="8"/>
  <c r="Z122" i="8"/>
  <c r="AB122" i="8"/>
  <c r="Z78" i="8"/>
  <c r="AB78" i="8"/>
  <c r="Z109" i="8"/>
  <c r="AB109" i="8"/>
  <c r="Z83" i="8"/>
  <c r="AB83" i="8"/>
  <c r="Z102" i="8"/>
  <c r="AB102" i="8"/>
  <c r="Z104" i="8"/>
  <c r="AB104" i="8"/>
  <c r="Z86" i="8"/>
  <c r="AB86" i="8"/>
  <c r="Z72" i="8"/>
  <c r="AB72" i="8"/>
  <c r="Z118" i="8"/>
  <c r="AB118" i="8"/>
  <c r="Z73" i="8"/>
  <c r="AB73" i="8"/>
  <c r="Z107" i="8"/>
  <c r="AB107" i="8"/>
  <c r="E59" i="8"/>
  <c r="I59" i="8"/>
  <c r="Z87" i="8"/>
  <c r="AB87" i="8"/>
  <c r="Z79" i="8"/>
  <c r="AB79" i="8"/>
  <c r="Z108" i="8"/>
  <c r="AB108" i="8"/>
  <c r="J8" i="8"/>
  <c r="D30" i="8"/>
  <c r="D43" i="8"/>
  <c r="E58" i="8"/>
  <c r="I58" i="8"/>
  <c r="Z101" i="8"/>
  <c r="AB101" i="8"/>
  <c r="Z114" i="8"/>
  <c r="AB114" i="8"/>
  <c r="Z82" i="8"/>
  <c r="AB82" i="8"/>
  <c r="Z71" i="8"/>
  <c r="AB71" i="8"/>
  <c r="Z94" i="8"/>
  <c r="AB94" i="8"/>
  <c r="I3" i="8"/>
  <c r="Z93" i="8"/>
  <c r="AB93" i="8"/>
  <c r="Z120" i="8"/>
  <c r="AB120" i="8"/>
  <c r="Z126" i="8"/>
  <c r="AB126" i="8"/>
  <c r="Z90" i="8"/>
  <c r="AB90" i="8"/>
  <c r="E55" i="8"/>
  <c r="Z110" i="8"/>
  <c r="AB110" i="8"/>
  <c r="Z116" i="8"/>
  <c r="AB116" i="8"/>
  <c r="Z117" i="8"/>
  <c r="AB117" i="8"/>
  <c r="Z88" i="8"/>
  <c r="AB88" i="8"/>
  <c r="Z91" i="8"/>
  <c r="AB91" i="8"/>
  <c r="Z80" i="8"/>
  <c r="AB80" i="8"/>
  <c r="Z96" i="8"/>
  <c r="AB96" i="8"/>
  <c r="Z123" i="8"/>
  <c r="AB123" i="8"/>
  <c r="Z77" i="8"/>
  <c r="AB77" i="8"/>
  <c r="Z99" i="8"/>
  <c r="AB99" i="8"/>
  <c r="Z84" i="8"/>
  <c r="AB84" i="8"/>
  <c r="Z103" i="8"/>
  <c r="AB103" i="8"/>
  <c r="Z89" i="8"/>
  <c r="AB89" i="8"/>
  <c r="Z112" i="8"/>
  <c r="AB112" i="8"/>
  <c r="M13" i="8"/>
  <c r="J44" i="8"/>
  <c r="K24" i="8"/>
  <c r="Z115" i="8"/>
  <c r="AB115" i="8"/>
  <c r="Z92" i="8"/>
  <c r="AB92" i="8"/>
  <c r="Z105" i="8"/>
  <c r="AB105" i="8"/>
  <c r="Z100" i="8"/>
  <c r="AB100" i="8"/>
  <c r="Z85" i="8"/>
  <c r="AB85" i="8"/>
  <c r="Z119" i="8"/>
  <c r="AB119" i="8"/>
  <c r="E54" i="8"/>
  <c r="Z63" i="8"/>
  <c r="Z121" i="8"/>
  <c r="AB121" i="8"/>
  <c r="Z113" i="8"/>
  <c r="AB113" i="8"/>
  <c r="Z125" i="8"/>
  <c r="AB125" i="8"/>
  <c r="Z69" i="8"/>
  <c r="AB69" i="8"/>
  <c r="Z124" i="8"/>
  <c r="AB124" i="8"/>
  <c r="Z70" i="8"/>
  <c r="AB70" i="8"/>
  <c r="Z95" i="8"/>
  <c r="AB95" i="8"/>
  <c r="Z76" i="8"/>
  <c r="AB76" i="8"/>
  <c r="Z74" i="8"/>
  <c r="AB74" i="8"/>
  <c r="Z97" i="8"/>
  <c r="AB97" i="8"/>
  <c r="Z81" i="8"/>
  <c r="AB81" i="8"/>
  <c r="Z111" i="8"/>
  <c r="AB111" i="8"/>
  <c r="Z98" i="8"/>
  <c r="AB98" i="8"/>
  <c r="Z75" i="8"/>
  <c r="AB75" i="8"/>
  <c r="J7" i="8"/>
  <c r="G54" i="8"/>
  <c r="J7" i="13"/>
  <c r="M14" i="13"/>
  <c r="J14" i="13"/>
  <c r="AC132" i="13"/>
  <c r="AE132" i="13"/>
  <c r="X132" i="13"/>
  <c r="AC133" i="13"/>
  <c r="AE133" i="13"/>
  <c r="X133" i="13"/>
  <c r="AC134" i="13"/>
  <c r="AE134" i="13"/>
  <c r="X134" i="13"/>
  <c r="AC131" i="13"/>
  <c r="AE131" i="13"/>
  <c r="X131" i="13"/>
  <c r="J8" i="13"/>
  <c r="D30" i="13"/>
  <c r="M13" i="13"/>
  <c r="I3" i="13"/>
  <c r="X124" i="13"/>
  <c r="X122" i="13"/>
  <c r="X120" i="13"/>
  <c r="X118" i="13"/>
  <c r="X129" i="13"/>
  <c r="X130" i="13"/>
  <c r="X127" i="13"/>
  <c r="E54" i="13"/>
  <c r="E55" i="13"/>
  <c r="AC122" i="13"/>
  <c r="AE122" i="13"/>
  <c r="AC100" i="13"/>
  <c r="AE100" i="13"/>
  <c r="AC128" i="13"/>
  <c r="AE128" i="13"/>
  <c r="AC123" i="13"/>
  <c r="AE123" i="13"/>
  <c r="AC121" i="13"/>
  <c r="AE121" i="13"/>
  <c r="AC119" i="13"/>
  <c r="AE119" i="13"/>
  <c r="AC116" i="13"/>
  <c r="AE116" i="13"/>
  <c r="AC125" i="13"/>
  <c r="AE125" i="13"/>
  <c r="AC126" i="13"/>
  <c r="AE126" i="13"/>
  <c r="AC124" i="13"/>
  <c r="AE124" i="13"/>
  <c r="AC120" i="13"/>
  <c r="AE120" i="13"/>
  <c r="AC118" i="13"/>
  <c r="AE118" i="13"/>
  <c r="AC129" i="13"/>
  <c r="AE129" i="13"/>
  <c r="AC130" i="13"/>
  <c r="AE130" i="13"/>
  <c r="AC79" i="13"/>
  <c r="AE79" i="13"/>
  <c r="E58" i="13"/>
  <c r="X128" i="13"/>
  <c r="X123" i="13"/>
  <c r="X121" i="13"/>
  <c r="X119" i="13"/>
  <c r="AC110" i="13"/>
  <c r="AE110" i="13"/>
  <c r="X125" i="13"/>
  <c r="X126" i="13"/>
  <c r="AC127" i="13"/>
  <c r="AE127" i="13"/>
  <c r="E59" i="13"/>
  <c r="I59" i="13"/>
  <c r="X94" i="13"/>
  <c r="AC86" i="13"/>
  <c r="AE86" i="13"/>
  <c r="X101" i="13"/>
  <c r="X113" i="13"/>
  <c r="X102" i="13"/>
  <c r="AC115" i="13"/>
  <c r="AE115" i="13"/>
  <c r="AC74" i="13"/>
  <c r="AE74" i="13"/>
  <c r="X112" i="13"/>
  <c r="X86" i="13"/>
  <c r="AC83" i="13"/>
  <c r="AE83" i="13"/>
  <c r="X77" i="13"/>
  <c r="AC97" i="13"/>
  <c r="AE97" i="13"/>
  <c r="X96" i="13"/>
  <c r="X106" i="13"/>
  <c r="X78" i="13"/>
  <c r="AC81" i="13"/>
  <c r="AE81" i="13"/>
  <c r="AC109" i="13"/>
  <c r="AE109" i="13"/>
  <c r="AC76" i="13"/>
  <c r="AE76" i="13"/>
  <c r="AC90" i="13"/>
  <c r="AE90" i="13"/>
  <c r="X76" i="13"/>
  <c r="X97" i="13"/>
  <c r="AC102" i="13"/>
  <c r="AE102" i="13"/>
  <c r="AC106" i="13"/>
  <c r="AE106" i="13"/>
  <c r="AC91" i="13"/>
  <c r="AE91" i="13"/>
  <c r="X95" i="13"/>
  <c r="X80" i="13"/>
  <c r="AC104" i="13"/>
  <c r="AE104" i="13"/>
  <c r="X87" i="13"/>
  <c r="X93" i="13"/>
  <c r="AC89" i="13"/>
  <c r="AE89" i="13"/>
  <c r="AC107" i="13"/>
  <c r="AE107" i="13"/>
  <c r="AC78" i="13"/>
  <c r="AE78" i="13"/>
  <c r="AC94" i="13"/>
  <c r="AE94" i="13"/>
  <c r="AC98" i="13"/>
  <c r="AE98" i="13"/>
  <c r="AC114" i="13"/>
  <c r="AE114" i="13"/>
  <c r="AC87" i="13"/>
  <c r="AE87" i="13"/>
  <c r="X90" i="13"/>
  <c r="X115" i="13"/>
  <c r="AC92" i="13"/>
  <c r="AE92" i="13"/>
  <c r="X109" i="13"/>
  <c r="AC117" i="13"/>
  <c r="AE117" i="13"/>
  <c r="AC95" i="13"/>
  <c r="AE95" i="13"/>
  <c r="X98" i="13"/>
  <c r="X114" i="13"/>
  <c r="AC73" i="13"/>
  <c r="AE73" i="13"/>
  <c r="AC105" i="13"/>
  <c r="AE105" i="13"/>
  <c r="X91" i="13"/>
  <c r="X81" i="13"/>
  <c r="X100" i="13"/>
  <c r="X108" i="13"/>
  <c r="AC82" i="13"/>
  <c r="AE82" i="13"/>
  <c r="X82" i="13"/>
  <c r="AC88" i="13"/>
  <c r="AE88" i="13"/>
  <c r="AC77" i="13"/>
  <c r="AE77" i="13"/>
  <c r="AC108" i="13"/>
  <c r="AE108" i="13"/>
  <c r="X73" i="13"/>
  <c r="AC99" i="13"/>
  <c r="AE99" i="13"/>
  <c r="X72" i="13"/>
  <c r="X75" i="13"/>
  <c r="AC103" i="13"/>
  <c r="AE103" i="13"/>
  <c r="X107" i="13"/>
  <c r="X117" i="13"/>
  <c r="X83" i="13"/>
  <c r="AC111" i="13"/>
  <c r="AE111" i="13"/>
  <c r="X79" i="13"/>
  <c r="X116" i="13"/>
  <c r="AC96" i="13"/>
  <c r="AE96" i="13"/>
  <c r="X99" i="13"/>
  <c r="X85" i="13"/>
  <c r="X88" i="13"/>
  <c r="X104" i="13"/>
  <c r="AC84" i="13"/>
  <c r="AE84" i="13"/>
  <c r="AC93" i="13"/>
  <c r="AE93" i="13"/>
  <c r="X105" i="13"/>
  <c r="AC72" i="13"/>
  <c r="AE72" i="13"/>
  <c r="AC80" i="13"/>
  <c r="AE80" i="13"/>
  <c r="X84" i="13"/>
  <c r="AC85" i="13"/>
  <c r="AE85" i="13"/>
  <c r="AC112" i="13"/>
  <c r="AE112" i="13"/>
  <c r="X111" i="13"/>
  <c r="AC113" i="13"/>
  <c r="AE113" i="13"/>
  <c r="X110" i="13"/>
  <c r="X74" i="13"/>
  <c r="AC75" i="13"/>
  <c r="AE75" i="13"/>
  <c r="X92" i="13"/>
  <c r="AC101" i="13"/>
  <c r="AE101" i="13"/>
  <c r="X103" i="13"/>
  <c r="X89" i="13"/>
  <c r="M15" i="13"/>
  <c r="J15" i="13"/>
  <c r="G30" i="6"/>
  <c r="K20" i="7"/>
  <c r="AA61" i="8"/>
  <c r="AA66" i="8"/>
  <c r="AA62" i="8"/>
  <c r="AA60" i="8"/>
  <c r="AA63" i="8"/>
  <c r="AA67" i="8"/>
  <c r="AA65" i="8"/>
  <c r="AA59" i="8"/>
  <c r="AA68" i="8"/>
  <c r="AA64" i="8"/>
  <c r="G33" i="11"/>
  <c r="J43" i="11"/>
  <c r="Y71" i="11"/>
  <c r="Y65" i="11"/>
  <c r="Y61" i="11"/>
  <c r="Y62" i="11"/>
  <c r="Y69" i="11"/>
  <c r="Y60" i="11"/>
  <c r="Y64" i="11"/>
  <c r="Y67" i="11"/>
  <c r="Y68" i="11"/>
  <c r="Y59" i="11"/>
  <c r="Y66" i="11"/>
  <c r="Y63" i="11"/>
  <c r="Y70" i="11"/>
  <c r="X64" i="11"/>
  <c r="X65" i="11"/>
  <c r="X69" i="11"/>
  <c r="AC66" i="11"/>
  <c r="AE66" i="11"/>
  <c r="AC71" i="11"/>
  <c r="AE71" i="11"/>
  <c r="AC59" i="11"/>
  <c r="AE59" i="11"/>
  <c r="AC63" i="11"/>
  <c r="AE63" i="11"/>
  <c r="Z135" i="11"/>
  <c r="Z103" i="11"/>
  <c r="Z93" i="11"/>
  <c r="Z110" i="11"/>
  <c r="Z102" i="11"/>
  <c r="AA102" i="11"/>
  <c r="AG102" i="11"/>
  <c r="G55" i="11"/>
  <c r="Z86" i="11"/>
  <c r="Z106" i="11"/>
  <c r="AA106" i="11"/>
  <c r="Z76" i="11"/>
  <c r="Z88" i="11"/>
  <c r="K23" i="8"/>
  <c r="K21" i="8"/>
  <c r="AA112" i="11"/>
  <c r="AY9" i="9"/>
  <c r="AY10" i="9"/>
  <c r="BG9" i="9"/>
  <c r="BG10" i="9"/>
  <c r="BO9" i="9"/>
  <c r="BO10" i="9"/>
  <c r="BW9" i="9"/>
  <c r="BW10" i="9"/>
  <c r="CE9" i="9"/>
  <c r="CE10" i="9"/>
  <c r="CM9" i="9"/>
  <c r="CM10" i="9"/>
  <c r="BA9" i="9"/>
  <c r="BA10" i="9"/>
  <c r="BI9" i="9"/>
  <c r="BI10" i="9"/>
  <c r="BQ9" i="9"/>
  <c r="BQ10" i="9"/>
  <c r="CG9" i="9"/>
  <c r="CG10" i="9"/>
  <c r="BB9" i="9"/>
  <c r="BB10" i="9"/>
  <c r="BR9" i="9"/>
  <c r="BR10" i="9"/>
  <c r="BZ9" i="9"/>
  <c r="BZ10" i="9"/>
  <c r="AU9" i="9"/>
  <c r="AU10" i="9"/>
  <c r="BC9" i="9"/>
  <c r="BC10" i="9"/>
  <c r="BK9" i="9"/>
  <c r="BK10" i="9"/>
  <c r="BS9" i="9"/>
  <c r="BS10" i="9"/>
  <c r="CA9" i="9"/>
  <c r="CA10" i="9"/>
  <c r="CI9" i="9"/>
  <c r="CI10" i="9"/>
  <c r="AV9" i="9"/>
  <c r="AV10" i="9"/>
  <c r="BD9" i="9"/>
  <c r="BD10" i="9"/>
  <c r="BL9" i="9"/>
  <c r="BL10" i="9"/>
  <c r="BT9" i="9"/>
  <c r="BT10" i="9"/>
  <c r="CB9" i="9"/>
  <c r="CB10" i="9"/>
  <c r="AW9" i="9"/>
  <c r="AW10" i="9"/>
  <c r="BE9" i="9"/>
  <c r="BE10" i="9"/>
  <c r="BM9" i="9"/>
  <c r="BM10" i="9"/>
  <c r="BU9" i="9"/>
  <c r="BU10" i="9"/>
  <c r="CC9" i="9"/>
  <c r="CC10" i="9"/>
  <c r="CK9" i="9"/>
  <c r="CK10" i="9"/>
  <c r="AX9" i="9"/>
  <c r="AX10" i="9"/>
  <c r="BF9" i="9"/>
  <c r="BF10" i="9"/>
  <c r="BN9" i="9"/>
  <c r="BN10" i="9"/>
  <c r="BV9" i="9"/>
  <c r="BV10" i="9"/>
  <c r="CL9" i="9"/>
  <c r="CL10" i="9"/>
  <c r="AZ9" i="9"/>
  <c r="AZ10" i="9"/>
  <c r="BH9" i="9"/>
  <c r="BH10" i="9"/>
  <c r="BP9" i="9"/>
  <c r="BP10" i="9"/>
  <c r="BX9" i="9"/>
  <c r="BX10" i="9"/>
  <c r="CF9" i="9"/>
  <c r="CF10" i="9"/>
  <c r="BY9" i="9"/>
  <c r="BY10" i="9"/>
  <c r="AT9" i="9"/>
  <c r="AT10" i="9"/>
  <c r="BJ9" i="9"/>
  <c r="BJ10" i="9"/>
  <c r="CH9" i="9"/>
  <c r="CH10" i="9"/>
  <c r="CJ9" i="9"/>
  <c r="CJ10" i="9"/>
  <c r="CD9" i="9"/>
  <c r="CD10" i="9"/>
  <c r="E34" i="9"/>
  <c r="Z128" i="11"/>
  <c r="AA128" i="11"/>
  <c r="Z119" i="11"/>
  <c r="Z113" i="11"/>
  <c r="AA113" i="11"/>
  <c r="AG113" i="11"/>
  <c r="Z79" i="11"/>
  <c r="AA79" i="11"/>
  <c r="AG79" i="11"/>
  <c r="X67" i="11"/>
  <c r="Z99" i="11"/>
  <c r="AA99" i="11"/>
  <c r="AG99" i="11"/>
  <c r="Z118" i="11"/>
  <c r="AA118" i="11"/>
  <c r="AG118" i="11"/>
  <c r="AC61" i="11"/>
  <c r="AE61" i="11"/>
  <c r="AM34" i="9"/>
  <c r="AM16" i="9"/>
  <c r="Z127" i="11"/>
  <c r="AA127" i="11"/>
  <c r="AG127" i="11"/>
  <c r="Z84" i="11"/>
  <c r="AA84" i="11"/>
  <c r="AG84" i="11"/>
  <c r="Z121" i="11"/>
  <c r="AA121" i="11"/>
  <c r="AG121" i="11"/>
  <c r="Z117" i="11"/>
  <c r="AA117" i="11"/>
  <c r="AG117" i="11"/>
  <c r="Z74" i="11"/>
  <c r="AA74" i="11"/>
  <c r="AG74" i="11"/>
  <c r="Z78" i="11"/>
  <c r="AA78" i="11"/>
  <c r="AG78" i="11"/>
  <c r="Z85" i="11"/>
  <c r="AA85" i="11"/>
  <c r="AG85" i="11"/>
  <c r="Z133" i="11"/>
  <c r="AA133" i="11"/>
  <c r="AC65" i="11"/>
  <c r="AE65" i="11"/>
  <c r="AC70" i="11"/>
  <c r="AE70" i="11"/>
  <c r="X61" i="11"/>
  <c r="Z100" i="11"/>
  <c r="AA100" i="11"/>
  <c r="AG100" i="11"/>
  <c r="X59" i="11"/>
  <c r="Z134" i="11"/>
  <c r="AA134" i="11"/>
  <c r="Z96" i="11"/>
  <c r="AA96" i="11"/>
  <c r="AG96" i="11"/>
  <c r="Z130" i="11"/>
  <c r="AA130" i="11"/>
  <c r="AC68" i="11"/>
  <c r="AE68" i="11"/>
  <c r="X70" i="11"/>
  <c r="Z94" i="11"/>
  <c r="AA94" i="11"/>
  <c r="AG94" i="11"/>
  <c r="Z101" i="11"/>
  <c r="AA101" i="11"/>
  <c r="AG101" i="11"/>
  <c r="Z82" i="11"/>
  <c r="AA82" i="11"/>
  <c r="AG82" i="11"/>
  <c r="Z75" i="11"/>
  <c r="AA75" i="11"/>
  <c r="AG75" i="11"/>
  <c r="G54" i="11"/>
  <c r="I54" i="11"/>
  <c r="L56" i="11"/>
  <c r="M56" i="11"/>
  <c r="O56" i="11"/>
  <c r="Z129" i="11"/>
  <c r="AA129" i="11"/>
  <c r="Z83" i="11"/>
  <c r="Z73" i="11"/>
  <c r="AA73" i="11"/>
  <c r="AG73" i="11"/>
  <c r="Z108" i="11"/>
  <c r="AA108" i="11"/>
  <c r="AG108" i="11"/>
  <c r="Z91" i="11"/>
  <c r="AA91" i="11"/>
  <c r="AG91" i="11"/>
  <c r="Z80" i="11"/>
  <c r="AA80" i="11"/>
  <c r="AG80" i="11"/>
  <c r="Z87" i="11"/>
  <c r="AA87" i="11"/>
  <c r="AG87" i="11"/>
  <c r="Z98" i="11"/>
  <c r="AA98" i="11"/>
  <c r="AG98" i="11"/>
  <c r="AC62" i="11"/>
  <c r="AE62" i="11"/>
  <c r="X60" i="11"/>
  <c r="X68" i="11"/>
  <c r="Z72" i="11"/>
  <c r="AA72" i="11"/>
  <c r="AG72" i="11"/>
  <c r="Z95" i="11"/>
  <c r="AA95" i="11"/>
  <c r="AG95" i="11"/>
  <c r="Z92" i="11"/>
  <c r="AA92" i="11"/>
  <c r="AG92" i="11"/>
  <c r="Z109" i="11"/>
  <c r="AA109" i="11"/>
  <c r="AG109" i="11"/>
  <c r="Z90" i="11"/>
  <c r="AA90" i="11"/>
  <c r="AG90" i="11"/>
  <c r="Z97" i="11"/>
  <c r="AA97" i="11"/>
  <c r="AG97" i="11"/>
  <c r="Z89" i="11"/>
  <c r="AA89" i="11"/>
  <c r="AG89" i="11"/>
  <c r="AC69" i="11"/>
  <c r="AE69" i="11"/>
  <c r="AC64" i="11"/>
  <c r="AE64" i="11"/>
  <c r="X63" i="11"/>
  <c r="Z111" i="11"/>
  <c r="AA111" i="11"/>
  <c r="AG111" i="11"/>
  <c r="Z115" i="11"/>
  <c r="AA115" i="11"/>
  <c r="AG115" i="11"/>
  <c r="Z131" i="11"/>
  <c r="AA131" i="11"/>
  <c r="Z104" i="11"/>
  <c r="AA104" i="11"/>
  <c r="AG104" i="11"/>
  <c r="Z114" i="11"/>
  <c r="AC60" i="11"/>
  <c r="AE60" i="11"/>
  <c r="AC67" i="11"/>
  <c r="AE67" i="11"/>
  <c r="X66" i="11"/>
  <c r="Z77" i="11"/>
  <c r="AA77" i="11"/>
  <c r="AG77" i="11"/>
  <c r="Z107" i="11"/>
  <c r="AA107" i="11"/>
  <c r="AG107" i="11"/>
  <c r="Z132" i="11"/>
  <c r="AA132" i="11"/>
  <c r="Z105" i="11"/>
  <c r="AA105" i="11"/>
  <c r="AG105" i="11"/>
  <c r="Z116" i="11"/>
  <c r="Z120" i="11"/>
  <c r="AA120" i="11"/>
  <c r="AG120" i="11"/>
  <c r="Z81" i="11"/>
  <c r="AA81" i="11"/>
  <c r="AG81" i="11"/>
  <c r="X62" i="11"/>
  <c r="AM35" i="9"/>
  <c r="AM37" i="9"/>
  <c r="AM36" i="9"/>
  <c r="AA88" i="11"/>
  <c r="AG88" i="11"/>
  <c r="AA114" i="11"/>
  <c r="AG114" i="11"/>
  <c r="K21" i="7"/>
  <c r="L22" i="11"/>
  <c r="L23" i="11"/>
  <c r="AG106" i="11"/>
  <c r="L20" i="11"/>
  <c r="L24" i="11"/>
  <c r="AM12" i="9"/>
  <c r="AM18" i="9"/>
  <c r="AC11" i="9"/>
  <c r="AD11" i="9"/>
  <c r="AM31" i="9"/>
  <c r="AM28" i="9"/>
  <c r="AM8" i="9"/>
  <c r="AM14" i="9"/>
  <c r="AM26" i="9"/>
  <c r="AM42" i="9"/>
  <c r="AM38" i="9"/>
  <c r="AM43" i="9"/>
  <c r="AM25" i="9"/>
  <c r="AM21" i="9"/>
  <c r="AM4" i="9"/>
  <c r="AM13" i="9"/>
  <c r="AM9" i="9"/>
  <c r="AM33" i="9"/>
  <c r="AM15" i="9"/>
  <c r="AM51" i="9"/>
  <c r="AN51" i="9"/>
  <c r="AM44" i="9"/>
  <c r="AM10" i="9"/>
  <c r="AM41" i="9"/>
  <c r="AM22" i="9"/>
  <c r="AM5" i="9"/>
  <c r="AM29" i="9"/>
  <c r="AM52" i="9"/>
  <c r="AN52" i="9"/>
  <c r="AM45" i="9"/>
  <c r="AC17" i="9"/>
  <c r="AD17" i="9"/>
  <c r="AM24" i="9"/>
  <c r="AM6" i="9"/>
  <c r="AM48" i="9"/>
  <c r="AM20" i="9"/>
  <c r="AM23" i="9"/>
  <c r="AM53" i="9"/>
  <c r="AN53" i="9"/>
  <c r="AM46" i="9"/>
  <c r="AC16" i="9"/>
  <c r="AD16" i="9"/>
  <c r="AA19" i="9"/>
  <c r="AM32" i="9"/>
  <c r="AM19" i="9"/>
  <c r="G23" i="9"/>
  <c r="AM40" i="9"/>
  <c r="AM49" i="9"/>
  <c r="AN49" i="9"/>
  <c r="AM3" i="9"/>
  <c r="AM30" i="9"/>
  <c r="AM17" i="9"/>
  <c r="AM11" i="9"/>
  <c r="AM7" i="9"/>
  <c r="AM39" i="9"/>
  <c r="AM47" i="9"/>
  <c r="AM50" i="9"/>
  <c r="AN50" i="9"/>
  <c r="AM27" i="9"/>
  <c r="AG112" i="11"/>
  <c r="AA86" i="11"/>
  <c r="AG86" i="11"/>
  <c r="AA110" i="11"/>
  <c r="AG110" i="11"/>
  <c r="AA93" i="11"/>
  <c r="AG93" i="11"/>
  <c r="AA135" i="11"/>
  <c r="J44" i="11"/>
  <c r="AG128" i="11"/>
  <c r="AA119" i="11"/>
  <c r="AG119" i="11"/>
  <c r="M14" i="11"/>
  <c r="Z122" i="11"/>
  <c r="AA122" i="11"/>
  <c r="AG122" i="11"/>
  <c r="AA116" i="11"/>
  <c r="AG116" i="11"/>
  <c r="AA76" i="11"/>
  <c r="AG76" i="11"/>
  <c r="AA103" i="11"/>
  <c r="AG103" i="11"/>
  <c r="D44" i="11"/>
  <c r="AA83" i="11"/>
  <c r="AG83" i="11"/>
  <c r="D43" i="11"/>
  <c r="Z68" i="8"/>
  <c r="AB68" i="8"/>
  <c r="Z59" i="8"/>
  <c r="AB59" i="8"/>
  <c r="Z67" i="8"/>
  <c r="AB67" i="8"/>
  <c r="I54" i="8"/>
  <c r="L56" i="8"/>
  <c r="M56" i="8"/>
  <c r="Z66" i="8"/>
  <c r="AB66" i="8"/>
  <c r="Z60" i="8"/>
  <c r="AB60" i="8"/>
  <c r="D44" i="8"/>
  <c r="M14" i="8"/>
  <c r="J14" i="8"/>
  <c r="L21" i="8"/>
  <c r="L22" i="8"/>
  <c r="L23" i="8"/>
  <c r="G29" i="8"/>
  <c r="G55" i="8"/>
  <c r="I55" i="8"/>
  <c r="L57" i="8"/>
  <c r="M57" i="8"/>
  <c r="D33" i="8"/>
  <c r="Z62" i="8"/>
  <c r="AB62" i="8"/>
  <c r="Z65" i="8"/>
  <c r="AB65" i="8"/>
  <c r="Z61" i="8"/>
  <c r="AB61" i="8"/>
  <c r="Z64" i="8"/>
  <c r="AB64" i="8"/>
  <c r="D33" i="13"/>
  <c r="D43" i="13"/>
  <c r="M21" i="13"/>
  <c r="M22" i="13"/>
  <c r="M20" i="13"/>
  <c r="AC59" i="13"/>
  <c r="AE59" i="13"/>
  <c r="AC67" i="13"/>
  <c r="AE67" i="13"/>
  <c r="AC66" i="13"/>
  <c r="AE66" i="13"/>
  <c r="AC69" i="13"/>
  <c r="AE69" i="13"/>
  <c r="AC62" i="13"/>
  <c r="AE62" i="13"/>
  <c r="I58" i="13"/>
  <c r="AC65" i="13"/>
  <c r="AE65" i="13"/>
  <c r="AC68" i="13"/>
  <c r="AE68" i="13"/>
  <c r="AC61" i="13"/>
  <c r="AE61" i="13"/>
  <c r="AC71" i="13"/>
  <c r="AE71" i="13"/>
  <c r="AC64" i="13"/>
  <c r="AE64" i="13"/>
  <c r="AC70" i="13"/>
  <c r="AE70" i="13"/>
  <c r="AC60" i="13"/>
  <c r="AE60" i="13"/>
  <c r="AC63" i="13"/>
  <c r="AE63" i="13"/>
  <c r="Z132" i="13"/>
  <c r="AA132" i="13"/>
  <c r="AG132" i="13"/>
  <c r="Z133" i="13"/>
  <c r="AA133" i="13"/>
  <c r="AG133" i="13"/>
  <c r="Z134" i="13"/>
  <c r="AA134" i="13"/>
  <c r="AG134" i="13"/>
  <c r="Z131" i="13"/>
  <c r="AA131" i="13"/>
  <c r="AG131" i="13"/>
  <c r="Z110" i="13"/>
  <c r="AA110" i="13"/>
  <c r="AG110" i="13"/>
  <c r="Z106" i="13"/>
  <c r="AA106" i="13"/>
  <c r="AG106" i="13"/>
  <c r="Z99" i="13"/>
  <c r="AA99" i="13"/>
  <c r="AG99" i="13"/>
  <c r="Z91" i="13"/>
  <c r="AA91" i="13"/>
  <c r="AG91" i="13"/>
  <c r="Z90" i="13"/>
  <c r="AA90" i="13"/>
  <c r="AG90" i="13"/>
  <c r="Z80" i="13"/>
  <c r="AA80" i="13"/>
  <c r="AG80" i="13"/>
  <c r="Z72" i="13"/>
  <c r="AA72" i="13"/>
  <c r="AG72" i="13"/>
  <c r="Z94" i="13"/>
  <c r="AA94" i="13"/>
  <c r="AG94" i="13"/>
  <c r="Z81" i="13"/>
  <c r="AA81" i="13"/>
  <c r="AG81" i="13"/>
  <c r="Z73" i="13"/>
  <c r="AA73" i="13"/>
  <c r="AG73" i="13"/>
  <c r="Z107" i="13"/>
  <c r="AA107" i="13"/>
  <c r="AG107" i="13"/>
  <c r="Z98" i="13"/>
  <c r="AA98" i="13"/>
  <c r="AG98" i="13"/>
  <c r="Z74" i="13"/>
  <c r="AA74" i="13"/>
  <c r="AG74" i="13"/>
  <c r="Z109" i="13"/>
  <c r="AA109" i="13"/>
  <c r="AG109" i="13"/>
  <c r="Z105" i="13"/>
  <c r="AA105" i="13"/>
  <c r="AG105" i="13"/>
  <c r="Z97" i="13"/>
  <c r="AA97" i="13"/>
  <c r="AG97" i="13"/>
  <c r="Z89" i="13"/>
  <c r="AA89" i="13"/>
  <c r="AG89" i="13"/>
  <c r="Z86" i="13"/>
  <c r="AA86" i="13"/>
  <c r="AG86" i="13"/>
  <c r="Z78" i="13"/>
  <c r="AA78" i="13"/>
  <c r="AG78" i="13"/>
  <c r="Z96" i="13"/>
  <c r="AA96" i="13"/>
  <c r="AG96" i="13"/>
  <c r="Z104" i="13"/>
  <c r="AA104" i="13"/>
  <c r="AG104" i="13"/>
  <c r="Z87" i="13"/>
  <c r="AA87" i="13"/>
  <c r="AG87" i="13"/>
  <c r="Z79" i="13"/>
  <c r="AA79" i="13"/>
  <c r="AG79" i="13"/>
  <c r="Z92" i="13"/>
  <c r="AA92" i="13"/>
  <c r="AG92" i="13"/>
  <c r="Z101" i="13"/>
  <c r="AA101" i="13"/>
  <c r="AG101" i="13"/>
  <c r="Z75" i="13"/>
  <c r="AA75" i="13"/>
  <c r="AG75" i="13"/>
  <c r="Z108" i="13"/>
  <c r="AA108" i="13"/>
  <c r="AG108" i="13"/>
  <c r="Z103" i="13"/>
  <c r="AA103" i="13"/>
  <c r="AG103" i="13"/>
  <c r="Z95" i="13"/>
  <c r="AA95" i="13"/>
  <c r="AG95" i="13"/>
  <c r="Z84" i="13"/>
  <c r="AA84" i="13"/>
  <c r="AG84" i="13"/>
  <c r="Z76" i="13"/>
  <c r="AA76" i="13"/>
  <c r="AG76" i="13"/>
  <c r="Z88" i="13"/>
  <c r="AA88" i="13"/>
  <c r="AG88" i="13"/>
  <c r="Z102" i="13"/>
  <c r="AA102" i="13"/>
  <c r="AG102" i="13"/>
  <c r="Z85" i="13"/>
  <c r="AA85" i="13"/>
  <c r="AG85" i="13"/>
  <c r="Z77" i="13"/>
  <c r="AA77" i="13"/>
  <c r="AG77" i="13"/>
  <c r="Z100" i="13"/>
  <c r="AA100" i="13"/>
  <c r="AG100" i="13"/>
  <c r="G55" i="13"/>
  <c r="Z114" i="13"/>
  <c r="AA114" i="13"/>
  <c r="AG114" i="13"/>
  <c r="Z93" i="13"/>
  <c r="AA93" i="13"/>
  <c r="AG93" i="13"/>
  <c r="Z82" i="13"/>
  <c r="AA82" i="13"/>
  <c r="AG82" i="13"/>
  <c r="Z83" i="13"/>
  <c r="AA83" i="13"/>
  <c r="AG83" i="13"/>
  <c r="G54" i="13"/>
  <c r="I54" i="13"/>
  <c r="Z128" i="13"/>
  <c r="AA128" i="13"/>
  <c r="AG128" i="13"/>
  <c r="Z116" i="13"/>
  <c r="AA116" i="13"/>
  <c r="AG116" i="13"/>
  <c r="Z119" i="13"/>
  <c r="AA119" i="13"/>
  <c r="AG119" i="13"/>
  <c r="Z121" i="13"/>
  <c r="AA121" i="13"/>
  <c r="AG121" i="13"/>
  <c r="Z115" i="13"/>
  <c r="AA115" i="13"/>
  <c r="AG115" i="13"/>
  <c r="Z112" i="13"/>
  <c r="AA112" i="13"/>
  <c r="AG112" i="13"/>
  <c r="Z111" i="13"/>
  <c r="AA111" i="13"/>
  <c r="AG111" i="13"/>
  <c r="Z129" i="13"/>
  <c r="AA129" i="13"/>
  <c r="AG129" i="13"/>
  <c r="Z120" i="13"/>
  <c r="AA120" i="13"/>
  <c r="AG120" i="13"/>
  <c r="Z123" i="13"/>
  <c r="AA123" i="13"/>
  <c r="AG123" i="13"/>
  <c r="Z126" i="13"/>
  <c r="AA126" i="13"/>
  <c r="AG126" i="13"/>
  <c r="Z122" i="13"/>
  <c r="AA122" i="13"/>
  <c r="AG122" i="13"/>
  <c r="Z118" i="13"/>
  <c r="AA118" i="13"/>
  <c r="AG118" i="13"/>
  <c r="Z124" i="13"/>
  <c r="AA124" i="13"/>
  <c r="AG124" i="13"/>
  <c r="Z113" i="13"/>
  <c r="AA113" i="13"/>
  <c r="AG113" i="13"/>
  <c r="Z130" i="13"/>
  <c r="AA130" i="13"/>
  <c r="AG130" i="13"/>
  <c r="Z125" i="13"/>
  <c r="AA125" i="13"/>
  <c r="AG125" i="13"/>
  <c r="Z127" i="13"/>
  <c r="AA127" i="13"/>
  <c r="AG127" i="13"/>
  <c r="Z117" i="13"/>
  <c r="AA117" i="13"/>
  <c r="AG117" i="13"/>
  <c r="X62" i="13"/>
  <c r="X70" i="13"/>
  <c r="X61" i="13"/>
  <c r="X65" i="13"/>
  <c r="X59" i="13"/>
  <c r="X71" i="13"/>
  <c r="X68" i="13"/>
  <c r="X67" i="13"/>
  <c r="X69" i="13"/>
  <c r="X60" i="13"/>
  <c r="X64" i="13"/>
  <c r="X66" i="13"/>
  <c r="X63" i="13"/>
  <c r="L20" i="13"/>
  <c r="L24" i="13"/>
  <c r="L21" i="13"/>
  <c r="L22" i="13"/>
  <c r="L23" i="13"/>
  <c r="L44" i="13"/>
  <c r="D44" i="13"/>
  <c r="Z69" i="11"/>
  <c r="AA69" i="11"/>
  <c r="Z71" i="11"/>
  <c r="AA71" i="11"/>
  <c r="AG71" i="11"/>
  <c r="Z64" i="11"/>
  <c r="AA64" i="11"/>
  <c r="Z65" i="11"/>
  <c r="AA65" i="11"/>
  <c r="Z66" i="11"/>
  <c r="AA66" i="11"/>
  <c r="AG66" i="11"/>
  <c r="Z70" i="11"/>
  <c r="Z61" i="11"/>
  <c r="Z68" i="11"/>
  <c r="Z59" i="11"/>
  <c r="Z67" i="11"/>
  <c r="Z60" i="11"/>
  <c r="AA60" i="11"/>
  <c r="Z63" i="11"/>
  <c r="Z62" i="11"/>
  <c r="AA62" i="11"/>
  <c r="AG62" i="11"/>
  <c r="AB63" i="8"/>
  <c r="I55" i="11"/>
  <c r="L57" i="11"/>
  <c r="M57" i="11"/>
  <c r="O57" i="11"/>
  <c r="H21" i="10"/>
  <c r="AA67" i="11"/>
  <c r="AG67" i="11"/>
  <c r="AN39" i="9"/>
  <c r="AN48" i="9"/>
  <c r="AN9" i="9"/>
  <c r="AN26" i="9"/>
  <c r="AN37" i="9"/>
  <c r="AN7" i="9"/>
  <c r="AN19" i="9"/>
  <c r="AN6" i="9"/>
  <c r="AN22" i="9"/>
  <c r="AN13" i="9"/>
  <c r="AN14" i="9"/>
  <c r="AN35" i="9"/>
  <c r="AN11" i="9"/>
  <c r="AN32" i="9"/>
  <c r="AN24" i="9"/>
  <c r="AN41" i="9"/>
  <c r="AN4" i="9"/>
  <c r="AN8" i="9"/>
  <c r="AN17" i="9"/>
  <c r="AN10" i="9"/>
  <c r="AN21" i="9"/>
  <c r="AN28" i="9"/>
  <c r="AN30" i="9"/>
  <c r="AN46" i="9"/>
  <c r="AN45" i="9"/>
  <c r="AN44" i="9"/>
  <c r="AN25" i="9"/>
  <c r="AN31" i="9"/>
  <c r="AN3" i="9"/>
  <c r="AN43" i="9"/>
  <c r="AN23" i="9"/>
  <c r="AN29" i="9"/>
  <c r="AN15" i="9"/>
  <c r="AN38" i="9"/>
  <c r="AN18" i="9"/>
  <c r="AN16" i="9"/>
  <c r="AN27" i="9"/>
  <c r="AN47" i="9"/>
  <c r="AN40" i="9"/>
  <c r="AN20" i="9"/>
  <c r="AN5" i="9"/>
  <c r="AN33" i="9"/>
  <c r="AN42" i="9"/>
  <c r="AN12" i="9"/>
  <c r="AN36" i="9"/>
  <c r="AN34" i="9"/>
  <c r="AA59" i="11"/>
  <c r="AG59" i="11"/>
  <c r="AG69" i="11"/>
  <c r="AA68" i="11"/>
  <c r="AG68" i="11"/>
  <c r="AG65" i="11"/>
  <c r="AG60" i="11"/>
  <c r="AA70" i="11"/>
  <c r="AG70" i="11"/>
  <c r="AA61" i="11"/>
  <c r="AG61" i="11"/>
  <c r="AG64" i="11"/>
  <c r="D63" i="11" a="1"/>
  <c r="D63" i="11"/>
  <c r="AA63" i="11"/>
  <c r="AG63" i="11"/>
  <c r="D23" i="9"/>
  <c r="J14" i="11"/>
  <c r="C8" i="12"/>
  <c r="D29" i="8"/>
  <c r="D42" i="8"/>
  <c r="D46" i="8"/>
  <c r="D47" i="8"/>
  <c r="L24" i="8"/>
  <c r="L56" i="13"/>
  <c r="M56" i="13"/>
  <c r="D29" i="13"/>
  <c r="D42" i="13"/>
  <c r="D46" i="13"/>
  <c r="D47" i="13"/>
  <c r="K29" i="13"/>
  <c r="K32" i="13"/>
  <c r="K35" i="13"/>
  <c r="K36" i="13"/>
  <c r="D63" i="13" a="1"/>
  <c r="D63" i="13"/>
  <c r="Z66" i="13"/>
  <c r="AA66" i="13"/>
  <c r="AG66" i="13"/>
  <c r="Z62" i="13"/>
  <c r="AA62" i="13"/>
  <c r="AG62" i="13"/>
  <c r="Z65" i="13"/>
  <c r="AA65" i="13"/>
  <c r="AG65" i="13"/>
  <c r="Z59" i="13"/>
  <c r="AA59" i="13"/>
  <c r="Z71" i="13"/>
  <c r="AA71" i="13"/>
  <c r="AG71" i="13"/>
  <c r="Z61" i="13"/>
  <c r="AA61" i="13"/>
  <c r="AG61" i="13"/>
  <c r="Z64" i="13"/>
  <c r="AA64" i="13"/>
  <c r="AG64" i="13"/>
  <c r="Z70" i="13"/>
  <c r="AA70" i="13"/>
  <c r="AG70" i="13"/>
  <c r="Z69" i="13"/>
  <c r="AA69" i="13"/>
  <c r="AG69" i="13"/>
  <c r="Z60" i="13"/>
  <c r="AA60" i="13"/>
  <c r="AG60" i="13"/>
  <c r="Z63" i="13"/>
  <c r="AA63" i="13"/>
  <c r="AG63" i="13"/>
  <c r="Z68" i="13"/>
  <c r="AA68" i="13"/>
  <c r="AG68" i="13"/>
  <c r="Z67" i="13"/>
  <c r="AA67" i="13"/>
  <c r="AG67" i="13"/>
  <c r="M23" i="13"/>
  <c r="G29" i="13"/>
  <c r="M24" i="13"/>
  <c r="I55" i="13"/>
  <c r="L57" i="13"/>
  <c r="M57" i="13"/>
  <c r="E30" i="9"/>
  <c r="J42" i="8"/>
  <c r="J46" i="8"/>
  <c r="J47" i="8"/>
  <c r="G32" i="8"/>
  <c r="G35" i="8"/>
  <c r="G36" i="8"/>
  <c r="F29" i="9"/>
  <c r="E31" i="9"/>
  <c r="F30" i="9"/>
  <c r="G30" i="9"/>
  <c r="Q6" i="9"/>
  <c r="X5" i="9"/>
  <c r="Z5" i="9"/>
  <c r="G29" i="9"/>
  <c r="G62" i="11" a="1"/>
  <c r="G62" i="11"/>
  <c r="D62" i="11" a="1"/>
  <c r="D62" i="11"/>
  <c r="C12" i="10"/>
  <c r="F33" i="9"/>
  <c r="F34" i="9"/>
  <c r="C33" i="12"/>
  <c r="C32" i="12"/>
  <c r="G22" i="12"/>
  <c r="H21" i="12"/>
  <c r="C12" i="12"/>
  <c r="M20" i="11"/>
  <c r="K29" i="11"/>
  <c r="C7" i="12"/>
  <c r="M21" i="11"/>
  <c r="D32" i="8"/>
  <c r="D35" i="8"/>
  <c r="D36" i="8"/>
  <c r="D32" i="13"/>
  <c r="D35" i="13"/>
  <c r="D36" i="13"/>
  <c r="D62" i="13" a="1"/>
  <c r="D62" i="13"/>
  <c r="AG59" i="13"/>
  <c r="G62" i="13" a="1"/>
  <c r="G62" i="13"/>
  <c r="L42" i="13"/>
  <c r="L46" i="13"/>
  <c r="L47" i="13"/>
  <c r="G32" i="13"/>
  <c r="G35" i="13"/>
  <c r="G36" i="13"/>
  <c r="E32" i="9"/>
  <c r="C32" i="10"/>
  <c r="K25" i="10"/>
  <c r="N6" i="9"/>
  <c r="G21" i="10"/>
  <c r="G34" i="9"/>
  <c r="K14" i="9"/>
  <c r="F31" i="9"/>
  <c r="G31" i="9"/>
  <c r="G33" i="9"/>
  <c r="N46" i="9"/>
  <c r="AD80" i="9"/>
  <c r="C11" i="10"/>
  <c r="N20" i="9"/>
  <c r="N21" i="9"/>
  <c r="N23" i="9"/>
  <c r="N25" i="9"/>
  <c r="K7" i="12"/>
  <c r="K13" i="12"/>
  <c r="M22" i="11"/>
  <c r="D29" i="11"/>
  <c r="C11" i="12"/>
  <c r="G21" i="12"/>
  <c r="K8" i="12"/>
  <c r="K32" i="11"/>
  <c r="K35" i="11"/>
  <c r="K36" i="11"/>
  <c r="P42" i="11"/>
  <c r="P46" i="11"/>
  <c r="P47" i="11"/>
  <c r="K18" i="12"/>
  <c r="H22" i="12"/>
  <c r="L7" i="12"/>
  <c r="L8" i="12"/>
  <c r="K10" i="17"/>
  <c r="K32" i="9"/>
  <c r="K24" i="10"/>
  <c r="L8" i="10"/>
  <c r="L12" i="10"/>
  <c r="G22" i="10"/>
  <c r="N11" i="9"/>
  <c r="N13" i="9"/>
  <c r="I4" i="14"/>
  <c r="F32" i="9"/>
  <c r="G32" i="9"/>
  <c r="N49" i="9"/>
  <c r="N51" i="9"/>
  <c r="C21" i="10"/>
  <c r="C24" i="10"/>
  <c r="C16" i="10"/>
  <c r="C20" i="10"/>
  <c r="C29" i="10"/>
  <c r="C25" i="10"/>
  <c r="C17" i="10"/>
  <c r="C28" i="12"/>
  <c r="C29" i="12"/>
  <c r="C16" i="12"/>
  <c r="C21" i="12"/>
  <c r="C24" i="12"/>
  <c r="C17" i="12"/>
  <c r="C20" i="12"/>
  <c r="C25" i="12"/>
  <c r="D32" i="11"/>
  <c r="D35" i="11"/>
  <c r="D36" i="11"/>
  <c r="D42" i="11"/>
  <c r="D46" i="11"/>
  <c r="D47" i="11"/>
  <c r="M24" i="11"/>
  <c r="M23" i="11"/>
  <c r="G29" i="11"/>
  <c r="L18" i="12"/>
  <c r="L13" i="12"/>
  <c r="N32" i="9"/>
  <c r="K35" i="9"/>
  <c r="I22" i="9"/>
  <c r="I23" i="9"/>
  <c r="AD79" i="9"/>
  <c r="AD82" i="9"/>
  <c r="AD86" i="9"/>
  <c r="AD88" i="9"/>
  <c r="H22" i="10"/>
  <c r="W5" i="14"/>
  <c r="W11" i="14"/>
  <c r="Q45" i="9"/>
  <c r="T3" i="14"/>
  <c r="M3" i="14"/>
  <c r="C59" i="14"/>
  <c r="C77" i="14"/>
  <c r="F77" i="14"/>
  <c r="J42" i="11"/>
  <c r="J46" i="11"/>
  <c r="J47" i="11"/>
  <c r="G32" i="11"/>
  <c r="G35" i="11"/>
  <c r="G36" i="11"/>
  <c r="K37" i="9"/>
  <c r="N35" i="9"/>
  <c r="N37" i="9"/>
  <c r="L17" i="10"/>
  <c r="L18" i="10"/>
  <c r="N39" i="9"/>
  <c r="L10" i="17"/>
  <c r="N10" i="17"/>
  <c r="M10" i="17"/>
  <c r="O10" i="17"/>
  <c r="P9" i="14"/>
  <c r="F59" i="14"/>
  <c r="P12" i="14"/>
  <c r="P14" i="14"/>
  <c r="P15" i="14"/>
  <c r="F62" i="14"/>
  <c r="O32" i="17"/>
  <c r="F61" i="14"/>
  <c r="T12" i="14"/>
  <c r="W12" i="14"/>
  <c r="N32" i="17"/>
  <c r="F60" i="14"/>
  <c r="T11" i="14"/>
  <c r="T13" i="14"/>
  <c r="T14" i="14"/>
  <c r="W13" i="14"/>
  <c r="M32" i="17"/>
  <c r="C61" i="14"/>
  <c r="K39" i="9"/>
  <c r="I59" i="14"/>
  <c r="F76" i="14"/>
  <c r="F80" i="14"/>
  <c r="F81" i="14"/>
  <c r="T6" i="14"/>
  <c r="W6" i="14"/>
  <c r="W14" i="14"/>
  <c r="W15" i="14"/>
  <c r="F64" i="14"/>
  <c r="F63" i="14"/>
  <c r="C82" i="14"/>
  <c r="F82" i="14"/>
  <c r="F83" i="14"/>
  <c r="F85" i="14"/>
  <c r="C83" i="14"/>
  <c r="C85" i="14"/>
  <c r="I63" i="14"/>
  <c r="I65" i="14"/>
  <c r="I67" i="14"/>
  <c r="F65" i="14"/>
  <c r="F67" i="14"/>
  <c r="L32" i="17"/>
  <c r="C60" i="14"/>
  <c r="T5" i="14"/>
  <c r="T7" i="14"/>
  <c r="W7" i="14"/>
  <c r="W8" i="14"/>
  <c r="W9"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tc={F154E5F5-28CB-4119-A3A5-92AECA100271}</author>
  </authors>
  <commentList>
    <comment ref="J8" authorId="0" shapeId="0" xr:uid="{F154E5F5-28CB-4119-A3A5-92AECA100271}">
      <text>
        <t>[Threaded comment]
Your version of Excel allows you to read this threaded comment; however, any edits to it will get removed if the file is opened in a newer version of Excel. Learn more: https://go.microsoft.com/fwlink/?linkid=870924
Comment:
    Corretto con formula algebrica (alpha'_t, non alpha')</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tc={AED280EA-045E-40C9-9F44-E156AFD344CB}</author>
    <author>tc={CA77A5D8-8CF2-41F9-A52A-55A3B3C96DA7}</author>
    <author>tc={5B723E80-8DDF-4251-BBD0-9EBA37D10B86}</author>
    <author>tc={9DF7C671-0A74-443D-9B6C-0B43EFE25E78}</author>
    <author>tc={9A2D16E2-8C71-4DC6-8975-99C47BA844A3}</author>
    <author>tc={2BB66ACD-6389-4F8E-8AF8-F8DDDB423005}</author>
  </authors>
  <commentList>
    <comment ref="AJ2" authorId="0" shapeId="0" xr:uid="{AED280EA-045E-40C9-9F44-E156AFD344CB}">
      <text>
        <t>[Threaded comment]
Your version of Excel allows you to read this threaded comment; however, any edits to it will get removed if the file is opened in a newer version of Excel. Learn more: https://go.microsoft.com/fwlink/?linkid=870924
Comment:
    Invertito segno per coerenza con sdr nel disegno</t>
      </text>
    </comment>
    <comment ref="M7" authorId="1" shapeId="0" xr:uid="{CA77A5D8-8CF2-41F9-A52A-55A3B3C96DA7}">
      <text>
        <t>[Threaded comment]
Your version of Excel allows you to read this threaded comment; however, any edits to it will get removed if the file is opened in a newer version of Excel. Learn more: https://go.microsoft.com/fwlink/?linkid=870924
Comment:
    Question: questi coefficienti da che grafici li abbiamo tirati fuori visto che sono sulla ruota dentata di pezzo?
Reply:
    Tutte le verifiche segnate con B+ sono verifiche effettuate sulla sezione con intaglio (lo spallamento) ma applicando i valori di sigma e tau corrispondenti alla sezione più sollecitata (che è la sezione sulla mezzeria della ruota di pezzo
ps i coeff li ho presi dalle slide di carboni, facevano riferimento alle tabelle del manuale di Matthews and Hooke, 1971. Non mi ero accorto che avessi già messo sotto le foto di altre tabelle!
Reply:
    Ok, allora siamo tutti coerenti :)
Reply:
    Wait, B+ è lo spallamento o il punto dove si scaricano le forze della ruota 5?</t>
      </text>
    </comment>
    <comment ref="D10" authorId="2" shapeId="0" xr:uid="{5B723E80-8DDF-4251-BBD0-9EBA37D10B86}">
      <text>
        <t>[Threaded comment]
Your version of Excel allows you to read this threaded comment; however, any edits to it will get removed if the file is opened in a newer version of Excel. Learn more: https://go.microsoft.com/fwlink/?linkid=870924
Comment:
    Mi sono accorto di un piccolo errore qua perché d_medio era minore di 30mm. Mancavano i 2 mm di spallamento della ruota di pezzo</t>
      </text>
    </comment>
    <comment ref="T13" authorId="3" shapeId="0" xr:uid="{9DF7C671-0A74-443D-9B6C-0B43EFE25E78}">
      <text>
        <t>[Threaded comment]
Your version of Excel allows you to read this threaded comment; however, any edits to it will get removed if the file is opened in a newer version of Excel. Learn more: https://go.microsoft.com/fwlink/?linkid=870924
Comment:
    Non credo che sia possibile utilizzarlo dato che r max per i cuscinetti che abbiamo su questo albero è 1mm
Reply:
    Hai ragione, non l'ho modificato dopo la scelta dei cuscinetti. Ho provato ora con r=1 e 0.5, dovremmo stare comunque con un eta intorno al 2 a fatica e 1.6 in statica. Prova pure a modificare tu i parametri di r e dei Kt
Reply:
    Perfetto allora</t>
      </text>
    </comment>
    <comment ref="T17" authorId="4" shapeId="0" xr:uid="{9A2D16E2-8C71-4DC6-8975-99C47BA844A3}">
      <text>
        <t>[Threaded comment]
Your version of Excel allows you to read this threaded comment; however, any edits to it will get removed if the file is opened in a newer version of Excel. Learn more: https://go.microsoft.com/fwlink/?linkid=870924
Comment:
    Dalla tabella di b3, Rm=1030, Rt=6*0.8=4.8; quindi circa 0.9
Reply:
    Ok, è 0.87</t>
      </text>
    </comment>
    <comment ref="T18" authorId="5" shapeId="0" xr:uid="{2BB66ACD-6389-4F8E-8AF8-F8DDDB423005}">
      <text>
        <t>[Threaded comment]
Your version of Excel allows you to read this threaded comment; however, any edits to it will get removed if the file is opened in a newer version of Excel. Learn more: https://go.microsoft.com/fwlink/?linkid=870924
Comment:
    Aggiornata con formula di Neuber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tc={E804A111-CF7E-40AB-B3B2-A496135DD08C}</author>
  </authors>
  <commentList>
    <comment ref="AA58" authorId="0" shapeId="0" xr:uid="{E804A111-CF7E-40AB-B3B2-A496135DD08C}">
      <text>
        <t>[Threaded comment]
Your version of Excel allows you to read this threaded comment; however, any edits to it will get removed if the file is opened in a newer version of Excel. Learn more: https://go.microsoft.com/fwlink/?linkid=870924
Comment:
    Aggiungere al moto rigido (phi*L) lo spostamento verticale trave incastrata</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tc={F979D2ED-B1EB-4F70-9BFC-D31FFB33B8A0}</author>
    <author>tc={A1567C90-04FD-4B3A-B8E6-EA9CCAA234E2}</author>
    <author>tc={02C0D87A-6CC2-4E84-96DB-B2425FA648DD}</author>
    <author>tc={A4BD46C7-D572-407D-AC13-08AE773A4A2E}</author>
  </authors>
  <commentList>
    <comment ref="C15" authorId="0" shapeId="0" xr:uid="{F979D2ED-B1EB-4F70-9BFC-D31FFB33B8A0}">
      <text>
        <t>[Threaded comment]
Your version of Excel allows you to read this threaded comment; however, any edits to it will get removed if the file is opened in a newer version of Excel. Learn more: https://go.microsoft.com/fwlink/?linkid=870924
Comment:
    Nelle casistiche 1b, 1c Ka è positivo verso dx nelle formule, quindi al nostro Ka (definito positivo verso sx) ho aggiunto un meno
Reply:
    Foglio fantastico</t>
      </text>
    </comment>
    <comment ref="J15" authorId="1" shapeId="0" xr:uid="{A1567C90-04FD-4B3A-B8E6-EA9CCAA234E2}">
      <text>
        <t>[Threaded comment]
Your version of Excel allows you to read this threaded comment; however, any edits to it will get removed if the file is opened in a newer version of Excel. Learn more: https://go.microsoft.com/fwlink/?linkid=870924
Comment:
    Valori da inserire manualmente guardando il grafico per rulli conici</t>
      </text>
    </comment>
    <comment ref="L15" authorId="2" shapeId="0" xr:uid="{02C0D87A-6CC2-4E84-96DB-B2425FA648DD}">
      <text>
        <t>[Threaded comment]
Your version of Excel allows you to read this threaded comment; however, any edits to it will get removed if the file is opened in a newer version of Excel. Learn more: https://go.microsoft.com/fwlink/?linkid=870924
Comment:
    Ho sistemato le formule da utilizzare per il caso 2c. Cambia il P dei due cuscinetti, quindi bisogna ridefinire i coeff a23. Controllate anche voi se hanno senso questo 4 e 3,5</t>
      </text>
    </comment>
    <comment ref="C32" authorId="3" shapeId="0" xr:uid="{A4BD46C7-D572-407D-AC13-08AE773A4A2E}">
      <text>
        <t>[Threaded comment]
Your version of Excel allows you to read this threaded comment; however, any edits to it will get removed if the file is opened in a newer version of Excel. Learn more: https://go.microsoft.com/fwlink/?linkid=870924
Comment:
    Formule in B32 e B33 da inserire manualmente dopo aver verificato in quale caso ci si trova
Tab pag 682 riportata qui sotto</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tc={5E2B3D72-4337-4902-8158-D8A73A6D258D}</author>
  </authors>
  <commentList>
    <comment ref="F5" authorId="0" shapeId="0" xr:uid="{5E2B3D72-4337-4902-8158-D8A73A6D258D}">
      <text>
        <t>[Threaded comment]
Your version of Excel allows you to read this threaded comment; however, any edits to it will get removed if the file is opened in a newer version of Excel. Learn more: https://go.microsoft.com/fwlink/?linkid=870924
Comment:
    Forse bisogna utilizzare una linguetta leggermente più corta per via del raccordo alla base dei denti presente nelle tavole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tc={ED20133C-9956-4F7E-80D2-4A64EFB5998A}</author>
    <author>tc={34361895-0CDD-4B56-BD99-111586DB7807}</author>
  </authors>
  <commentList>
    <comment ref="C15" authorId="0" shapeId="0" xr:uid="{ED20133C-9956-4F7E-80D2-4A64EFB5998A}">
      <text>
        <t>[Threaded comment]
Your version of Excel allows you to read this threaded comment; however, any edits to it will get removed if the file is opened in a newer version of Excel. Learn more: https://go.microsoft.com/fwlink/?linkid=870924
Comment:
    Nelle casistiche 1b, 1c Ka è positivo verso dx nelle formule, quindi al nostro Ka (definito positivo verso sx) ho aggiunto un meno
Reply:
    Foglio fantastico</t>
      </text>
    </comment>
    <comment ref="C32" authorId="1" shapeId="0" xr:uid="{34361895-0CDD-4B56-BD99-111586DB7807}">
      <text>
        <t>[Threaded comment]
Your version of Excel allows you to read this threaded comment; however, any edits to it will get removed if the file is opened in a newer version of Excel. Learn more: https://go.microsoft.com/fwlink/?linkid=870924
Comment:
    Formule in B32 e B33 da inserire manualmente dopo aver verificato in quale caso ci si trova
Tab pag 682 riportata qui sotto</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<sst xmlns="http://schemas.openxmlformats.org/spreadsheetml/2006/main" count="1482" uniqueCount="600">
  <si>
    <t>Componente</t>
  </si>
  <si>
    <t>Rm</t>
  </si>
  <si>
    <t>Rs</t>
  </si>
  <si>
    <t>A%</t>
  </si>
  <si>
    <t>HB</t>
  </si>
  <si>
    <t>HRC</t>
  </si>
  <si>
    <t>σ_H_lim</t>
  </si>
  <si>
    <t>σ_F_lim</t>
  </si>
  <si>
    <t>Albero centrale</t>
  </si>
  <si>
    <t>16MnCr5</t>
  </si>
  <si>
    <t>Cementato e temprato</t>
  </si>
  <si>
    <t>Condotta calettata</t>
  </si>
  <si>
    <t>16NiCr4</t>
  </si>
  <si>
    <t>Da conversione online</t>
  </si>
  <si>
    <t>MR 3I 80 UP2A</t>
  </si>
  <si>
    <t>x_tot [mm]</t>
  </si>
  <si>
    <t>W2</t>
  </si>
  <si>
    <t>Potenza [kW]</t>
  </si>
  <si>
    <t>C_6[Nm]</t>
  </si>
  <si>
    <t>n_6 [rpm]</t>
  </si>
  <si>
    <t>y_tot [mm]</t>
  </si>
  <si>
    <t>U</t>
  </si>
  <si>
    <t>n_uscita [rpm]</t>
  </si>
  <si>
    <t>C_5[Nm]</t>
  </si>
  <si>
    <t>n_5 [rpm]</t>
  </si>
  <si>
    <t>z_tot [mm]</t>
  </si>
  <si>
    <t>2*H</t>
  </si>
  <si>
    <t>u_56</t>
  </si>
  <si>
    <t>C_4[Nm]</t>
  </si>
  <si>
    <t>n_4 [rpm]</t>
  </si>
  <si>
    <t>u_34</t>
  </si>
  <si>
    <t>C_3[Nm]</t>
  </si>
  <si>
    <t>n_3 [rpm]</t>
  </si>
  <si>
    <t>L_max [mm]</t>
  </si>
  <si>
    <t>u_12</t>
  </si>
  <si>
    <t>C_2[Nm]</t>
  </si>
  <si>
    <t>n_2 [rpm]</t>
  </si>
  <si>
    <t>u_tot</t>
  </si>
  <si>
    <t>C_1[Nm]</t>
  </si>
  <si>
    <t>n_1 [rpm]</t>
  </si>
  <si>
    <t>u_36</t>
  </si>
  <si>
    <t>Ruota dentata 6</t>
  </si>
  <si>
    <t>Ruota dentata 5</t>
  </si>
  <si>
    <t>z</t>
  </si>
  <si>
    <t>Ingranaggio 5-6</t>
  </si>
  <si>
    <t>dp</t>
  </si>
  <si>
    <t>K*_L  [MPa]</t>
  </si>
  <si>
    <t>mn</t>
  </si>
  <si>
    <t>U*_L [MPa]</t>
  </si>
  <si>
    <t>x</t>
  </si>
  <si>
    <t>b</t>
  </si>
  <si>
    <t>alpha_n</t>
  </si>
  <si>
    <t>beta</t>
  </si>
  <si>
    <t>u</t>
  </si>
  <si>
    <t>Ruota dentata 3</t>
  </si>
  <si>
    <t>Ruota dentata 4</t>
  </si>
  <si>
    <t>Ingranaggio 3-4</t>
  </si>
  <si>
    <t>K*_L [MPa]</t>
  </si>
  <si>
    <t>Pignone motore (1)</t>
  </si>
  <si>
    <t>Profilo scanalato (5)</t>
  </si>
  <si>
    <t>a1 [mm]</t>
  </si>
  <si>
    <t>Da catalogo</t>
  </si>
  <si>
    <t>b [mm]</t>
  </si>
  <si>
    <t>z_min</t>
  </si>
  <si>
    <t>u12</t>
  </si>
  <si>
    <t>C5 [Nm]</t>
  </si>
  <si>
    <t>dp1 [mm]</t>
  </si>
  <si>
    <t>Alpha_n</t>
  </si>
  <si>
    <t>dp2 [mm]</t>
  </si>
  <si>
    <t>Beta [°]</t>
  </si>
  <si>
    <t>Dati puri</t>
  </si>
  <si>
    <t>dp [mm]</t>
  </si>
  <si>
    <t>mn [mm]</t>
  </si>
  <si>
    <t>mt [mm]</t>
  </si>
  <si>
    <t>Dati arrotond.</t>
  </si>
  <si>
    <t>z5</t>
  </si>
  <si>
    <t>Verifica sottotaglio</t>
  </si>
  <si>
    <t>z6</t>
  </si>
  <si>
    <t>Verifica primi</t>
  </si>
  <si>
    <t>Dati finali pre-dim</t>
  </si>
  <si>
    <t>dp5 [mm]</t>
  </si>
  <si>
    <t>dp6 [mm]</t>
  </si>
  <si>
    <t>a [mm]</t>
  </si>
  <si>
    <t>Dati scelti</t>
  </si>
  <si>
    <t>Dim.tot.disp.</t>
  </si>
  <si>
    <t>Dim.usata</t>
  </si>
  <si>
    <t>Interasse restante</t>
  </si>
  <si>
    <t>d3 atteso</t>
  </si>
  <si>
    <t>d4 atteso</t>
  </si>
  <si>
    <t>dp5</t>
  </si>
  <si>
    <t>a+H-5-5</t>
  </si>
  <si>
    <t>dp6</t>
  </si>
  <si>
    <t>a</t>
  </si>
  <si>
    <t>Dim.tot</t>
  </si>
  <si>
    <t>Dim. Disp</t>
  </si>
  <si>
    <t>Attenzione a correzione con coppie effettive (cambia u effettivo)</t>
  </si>
  <si>
    <t>Verifica pitting 5</t>
  </si>
  <si>
    <t>Verifica flessione 5</t>
  </si>
  <si>
    <t>zv</t>
  </si>
  <si>
    <t>Sovraccarchi leggeri ambo</t>
  </si>
  <si>
    <t>K_A</t>
  </si>
  <si>
    <t>Y_Fa</t>
  </si>
  <si>
    <t>K_V</t>
  </si>
  <si>
    <t>Y_Sa</t>
  </si>
  <si>
    <t>Dati 5-6</t>
  </si>
  <si>
    <t>Forze 5-6</t>
  </si>
  <si>
    <t>K_Ha</t>
  </si>
  <si>
    <t>Y_eps</t>
  </si>
  <si>
    <t>Ft [N]</t>
  </si>
  <si>
    <t>K_Hb</t>
  </si>
  <si>
    <t>Y_beta</t>
  </si>
  <si>
    <t>Fr [N]</t>
  </si>
  <si>
    <t>Z_E</t>
  </si>
  <si>
    <t>Fa [N]</t>
  </si>
  <si>
    <t>Z_H</t>
  </si>
  <si>
    <t>Z_eps</t>
  </si>
  <si>
    <t>K_F_a</t>
  </si>
  <si>
    <t>b/h</t>
  </si>
  <si>
    <t>F[N]</t>
  </si>
  <si>
    <t>Z_beta</t>
  </si>
  <si>
    <t>K_F_b</t>
  </si>
  <si>
    <t>n5 [rpm]</t>
  </si>
  <si>
    <t>Z_N</t>
  </si>
  <si>
    <t>Y_ST</t>
  </si>
  <si>
    <t>n6 [rpm]</t>
  </si>
  <si>
    <t>Z_R</t>
  </si>
  <si>
    <t>Y_NT</t>
  </si>
  <si>
    <t>C6 [Nm]</t>
  </si>
  <si>
    <t>Z_V</t>
  </si>
  <si>
    <t>Y_delta_rel</t>
  </si>
  <si>
    <t>Z_L</t>
  </si>
  <si>
    <t>Y_R_rel</t>
  </si>
  <si>
    <t>Dati profilo 5</t>
  </si>
  <si>
    <t>Angoli 5-6</t>
  </si>
  <si>
    <t>Z_W</t>
  </si>
  <si>
    <t>Y_X</t>
  </si>
  <si>
    <t>Beta</t>
  </si>
  <si>
    <t>Z_X</t>
  </si>
  <si>
    <t>Beta_b</t>
  </si>
  <si>
    <t>S_Hmin</t>
  </si>
  <si>
    <t>S_Fmin</t>
  </si>
  <si>
    <t>db[mm]</t>
  </si>
  <si>
    <t>Alpha_t</t>
  </si>
  <si>
    <t>σ_H</t>
  </si>
  <si>
    <t>σ_HP</t>
  </si>
  <si>
    <t>eta</t>
  </si>
  <si>
    <t>σ_F</t>
  </si>
  <si>
    <t>σ_FP</t>
  </si>
  <si>
    <t>pn [mm]</t>
  </si>
  <si>
    <t>pt [mm]</t>
  </si>
  <si>
    <t>p_bn</t>
  </si>
  <si>
    <t>p_bt</t>
  </si>
  <si>
    <t>Ma lo spessore di 1mm lo consideriamo facente parte della larghezza di fascia della ruota 5 o no?</t>
  </si>
  <si>
    <t>eps_a</t>
  </si>
  <si>
    <t>Allora ti direi di no nel calcolo delle verifiche perché non si toccano esattamente dove c'è lo spallamento</t>
  </si>
  <si>
    <t>eps_beta</t>
  </si>
  <si>
    <t>d_piede</t>
  </si>
  <si>
    <t>Però vedendo la foto sembra che lo spallamento sia una continuazione del dente</t>
  </si>
  <si>
    <t>h [mm]</t>
  </si>
  <si>
    <t>Quindi la nostra ruota è larga 38 + 2 mm?</t>
  </si>
  <si>
    <t>Direi 40 + 2 perché nel cad viene bene la continuità dello spallamento se metti b + 2</t>
  </si>
  <si>
    <t>x5</t>
  </si>
  <si>
    <t>E noi abbiamo supposto che il dente tocchi lungo b</t>
  </si>
  <si>
    <t>x6</t>
  </si>
  <si>
    <t>OKay</t>
  </si>
  <si>
    <t>Dovremmo vedere se nel cad ingranano bene se impostiamo b = 40 sulla ruota 6</t>
  </si>
  <si>
    <t>Altrimenti si possono fare due tagli da un 1 mm su ambo i lati dovrebbero andae</t>
  </si>
  <si>
    <t>Che diametro aveva quello spessore? 37?</t>
  </si>
  <si>
    <t>Sì</t>
  </si>
  <si>
    <t>Okay thanks</t>
  </si>
  <si>
    <t>Nulla</t>
  </si>
  <si>
    <t>C3 [Nm]</t>
  </si>
  <si>
    <t>x3</t>
  </si>
  <si>
    <t>Dim.tot. Disp.</t>
  </si>
  <si>
    <t>Dim. Occupata</t>
  </si>
  <si>
    <t>Interasse disponibile</t>
  </si>
  <si>
    <t>mt per 12 denti</t>
  </si>
  <si>
    <t>cos betha</t>
  </si>
  <si>
    <t>Dati finali</t>
  </si>
  <si>
    <t>betha</t>
  </si>
  <si>
    <t>dp3 [mm]</t>
  </si>
  <si>
    <t>dp4 [mm]</t>
  </si>
  <si>
    <t>cos alpha'</t>
  </si>
  <si>
    <t>alpha'</t>
  </si>
  <si>
    <t>z3</t>
  </si>
  <si>
    <t>add3</t>
  </si>
  <si>
    <t>inv alpha'</t>
  </si>
  <si>
    <t>z4</t>
  </si>
  <si>
    <t>ded3</t>
  </si>
  <si>
    <t>inv alpha_n</t>
  </si>
  <si>
    <t>add4</t>
  </si>
  <si>
    <t>dp3</t>
  </si>
  <si>
    <t>ded4</t>
  </si>
  <si>
    <t>x4</t>
  </si>
  <si>
    <t>dp4</t>
  </si>
  <si>
    <t>u_glob_eff</t>
  </si>
  <si>
    <t>Verifica pitting 3</t>
  </si>
  <si>
    <t>Verifica flessione 3</t>
  </si>
  <si>
    <t>Sovraccarchi leggeri ambo i lati</t>
  </si>
  <si>
    <t>Dati 3-4</t>
  </si>
  <si>
    <t>Forze 3-4</t>
  </si>
  <si>
    <t>n3 [rpm]</t>
  </si>
  <si>
    <t>n4 [rpm]</t>
  </si>
  <si>
    <t>C4 [Nm]</t>
  </si>
  <si>
    <t>Dati profilo 3</t>
  </si>
  <si>
    <t>Angoli 3-4</t>
  </si>
  <si>
    <t>Alpha'</t>
  </si>
  <si>
    <t>Alpha'_t</t>
  </si>
  <si>
    <t>Spostamenti trasversali lungo l'albero</t>
  </si>
  <si>
    <t>Dati cuscinetto</t>
  </si>
  <si>
    <t>Forze ruota 5</t>
  </si>
  <si>
    <t>Forze ruota 4</t>
  </si>
  <si>
    <t>VERIFICA STATICA</t>
  </si>
  <si>
    <t xml:space="preserve"> spalla con max</t>
  </si>
  <si>
    <t>VERIFICA A FATICA</t>
  </si>
  <si>
    <t>VERIFICA SPOSTAMENTI</t>
  </si>
  <si>
    <t>Ft5</t>
  </si>
  <si>
    <t>Ft4</t>
  </si>
  <si>
    <t>Fr5</t>
  </si>
  <si>
    <t>Ma5</t>
  </si>
  <si>
    <t>Fr4</t>
  </si>
  <si>
    <t>Ma4</t>
  </si>
  <si>
    <t>Freccia [mm]</t>
  </si>
  <si>
    <t>T</t>
  </si>
  <si>
    <t>d_int</t>
  </si>
  <si>
    <t>b5</t>
  </si>
  <si>
    <t>b4</t>
  </si>
  <si>
    <t>E --&gt; B+ --&gt;Ks = Kt</t>
  </si>
  <si>
    <t>E (spallamento dx, con azione massime B+)</t>
  </si>
  <si>
    <t>freccia_ammissibile [mm]</t>
  </si>
  <si>
    <t>d_est</t>
  </si>
  <si>
    <t>d5_piede</t>
  </si>
  <si>
    <t>d_sezione</t>
  </si>
  <si>
    <t>Freccia max globale [mm]</t>
  </si>
  <si>
    <t>Ft5 [N]</t>
  </si>
  <si>
    <t>Mfmax [Nmm]</t>
  </si>
  <si>
    <t>Sigma_alt</t>
  </si>
  <si>
    <t>Kt_fless</t>
  </si>
  <si>
    <t>Sigma_media_max</t>
  </si>
  <si>
    <t>Spostamenti trasversali</t>
  </si>
  <si>
    <t>xy</t>
  </si>
  <si>
    <t>zy</t>
  </si>
  <si>
    <t>Fa5</t>
  </si>
  <si>
    <t>Fa4</t>
  </si>
  <si>
    <t>Kt_tors</t>
  </si>
  <si>
    <t>Tau_alt</t>
  </si>
  <si>
    <t>Dati albero</t>
  </si>
  <si>
    <t>Ma5  [Nmm]</t>
  </si>
  <si>
    <t>Ma4 [Nmm]</t>
  </si>
  <si>
    <t>Sigma</t>
  </si>
  <si>
    <t>Tau_media_max</t>
  </si>
  <si>
    <t>Parametri intaglio in B</t>
  </si>
  <si>
    <t>A</t>
  </si>
  <si>
    <t>d_medio</t>
  </si>
  <si>
    <t>Mt5 [Nmm]</t>
  </si>
  <si>
    <t>Mt4 [Nmm]</t>
  </si>
  <si>
    <t>Tau</t>
  </si>
  <si>
    <t>Kt_flett</t>
  </si>
  <si>
    <t>B</t>
  </si>
  <si>
    <t>Tot</t>
  </si>
  <si>
    <t>AB</t>
  </si>
  <si>
    <t>sigma VM</t>
  </si>
  <si>
    <t>d</t>
  </si>
  <si>
    <t>Inserire manualmente</t>
  </si>
  <si>
    <t>C</t>
  </si>
  <si>
    <t>BC</t>
  </si>
  <si>
    <t>s_mozzo_dx</t>
  </si>
  <si>
    <t>D</t>
  </si>
  <si>
    <t>CD</t>
  </si>
  <si>
    <t>s_profilo_de</t>
  </si>
  <si>
    <t>Eta</t>
  </si>
  <si>
    <t>Sigma_FA</t>
  </si>
  <si>
    <t>r</t>
  </si>
  <si>
    <t>L_supporti</t>
  </si>
  <si>
    <t>L_tot_glob</t>
  </si>
  <si>
    <t>Sigma_FA'</t>
  </si>
  <si>
    <t>r/d</t>
  </si>
  <si>
    <t>Rotazioni</t>
  </si>
  <si>
    <t>xy (positive z)</t>
  </si>
  <si>
    <t>zy (positive x)</t>
  </si>
  <si>
    <t>J [mm^4]</t>
  </si>
  <si>
    <t>L_tot_cart</t>
  </si>
  <si>
    <t>Tau_snerv</t>
  </si>
  <si>
    <t>D/d</t>
  </si>
  <si>
    <t>E [MPa]</t>
  </si>
  <si>
    <t>H</t>
  </si>
  <si>
    <t>b2</t>
  </si>
  <si>
    <t>B-</t>
  </si>
  <si>
    <t>b3</t>
  </si>
  <si>
    <t>B+</t>
  </si>
  <si>
    <t>B+ --&gt; Ks = 1</t>
  </si>
  <si>
    <t>Sigma_GP</t>
  </si>
  <si>
    <t>q</t>
  </si>
  <si>
    <t>R vincolari</t>
  </si>
  <si>
    <t>Kff</t>
  </si>
  <si>
    <t>max_rot_ammissibile [rad]</t>
  </si>
  <si>
    <t>carrello a sx</t>
  </si>
  <si>
    <t>cerniera dx</t>
  </si>
  <si>
    <t>Note</t>
  </si>
  <si>
    <t>R_xa</t>
  </si>
  <si>
    <t>R_xd</t>
  </si>
  <si>
    <t>Formule valide per il caso specifico in esame</t>
  </si>
  <si>
    <t>R_ya</t>
  </si>
  <si>
    <t>R_yd</t>
  </si>
  <si>
    <t>--&gt; Flettente rotante in sezione (sigma_alt) e</t>
  </si>
  <si>
    <t>R_za</t>
  </si>
  <si>
    <t>R_zd</t>
  </si>
  <si>
    <t>torcente costante in sezione e nel tempo (tau_media)</t>
  </si>
  <si>
    <t>M flettente</t>
  </si>
  <si>
    <t>pos</t>
  </si>
  <si>
    <t>Mxy</t>
  </si>
  <si>
    <t>Mzy</t>
  </si>
  <si>
    <t>Mf_tot</t>
  </si>
  <si>
    <t>Ks = Kt</t>
  </si>
  <si>
    <t>senza linguetta</t>
  </si>
  <si>
    <t>E (spallamento dx, azioni reali)</t>
  </si>
  <si>
    <t>E (spallamento dx, azioni reali, FEM)</t>
  </si>
  <si>
    <t>E</t>
  </si>
  <si>
    <t>"Linguetta B"</t>
  </si>
  <si>
    <t>C-</t>
  </si>
  <si>
    <t>C+</t>
  </si>
  <si>
    <t>Parametri intaglio in E</t>
  </si>
  <si>
    <t>C- --&gt; Ks = 1</t>
  </si>
  <si>
    <t>Verifiche flessionali 4</t>
  </si>
  <si>
    <t>Verifica flessionale 5</t>
  </si>
  <si>
    <t>K [N/mm]</t>
  </si>
  <si>
    <t>m [kg]</t>
  </si>
  <si>
    <t>w [rad/s]</t>
  </si>
  <si>
    <t>n [rpm]</t>
  </si>
  <si>
    <t>Verifica torsionale 4</t>
  </si>
  <si>
    <t>Verifica torsionale 5</t>
  </si>
  <si>
    <t>G [N/mm^2]</t>
  </si>
  <si>
    <t>Jp [mm^4]</t>
  </si>
  <si>
    <t>I [kg*mm^2]</t>
  </si>
  <si>
    <t>L [mm]</t>
  </si>
  <si>
    <t>Ruota 4</t>
  </si>
  <si>
    <t>Ruota 5</t>
  </si>
  <si>
    <t>no ling</t>
  </si>
  <si>
    <t>Piano xy</t>
  </si>
  <si>
    <t>Piano zx</t>
  </si>
  <si>
    <t>Fr4 [N]</t>
  </si>
  <si>
    <t>Sn</t>
  </si>
  <si>
    <t>Ft4 [N]</t>
  </si>
  <si>
    <t>Fr5 [N]</t>
  </si>
  <si>
    <t>SMf</t>
  </si>
  <si>
    <t>Ma5 [Nmm]</t>
  </si>
  <si>
    <t>Stot</t>
  </si>
  <si>
    <t>Svm</t>
  </si>
  <si>
    <t>Forze ruota 3</t>
  </si>
  <si>
    <t>Forze ruota 2</t>
  </si>
  <si>
    <t>Ft</t>
  </si>
  <si>
    <t>d_cono</t>
  </si>
  <si>
    <t>Fr</t>
  </si>
  <si>
    <t>d_med</t>
  </si>
  <si>
    <t>Fa</t>
  </si>
  <si>
    <t>d_albero</t>
  </si>
  <si>
    <t>J_albero</t>
  </si>
  <si>
    <t>M_Fa</t>
  </si>
  <si>
    <t>dp2</t>
  </si>
  <si>
    <t>M_t</t>
  </si>
  <si>
    <t>Dati cuscinetti</t>
  </si>
  <si>
    <t>HP denti dritti</t>
  </si>
  <si>
    <t>B_cusc</t>
  </si>
  <si>
    <t>a_cusc</t>
  </si>
  <si>
    <t>Reazioni vincolari A</t>
  </si>
  <si>
    <t>Reazioni vincolari B</t>
  </si>
  <si>
    <t>Rx_A</t>
  </si>
  <si>
    <t>Rx_B</t>
  </si>
  <si>
    <t>D_est</t>
  </si>
  <si>
    <t>Ry_A</t>
  </si>
  <si>
    <t>Ry_B</t>
  </si>
  <si>
    <t>Rz_A</t>
  </si>
  <si>
    <t>Rz_B</t>
  </si>
  <si>
    <t>L_tot</t>
  </si>
  <si>
    <t>L_P</t>
  </si>
  <si>
    <t>Lx</t>
  </si>
  <si>
    <t>M_ft</t>
  </si>
  <si>
    <t>M_fr</t>
  </si>
  <si>
    <t>L_cono</t>
  </si>
  <si>
    <t>L_3</t>
  </si>
  <si>
    <t>L_ut</t>
  </si>
  <si>
    <t>L_2</t>
  </si>
  <si>
    <t>Verifica statica</t>
  </si>
  <si>
    <t>Verifica statica intaglio</t>
  </si>
  <si>
    <t>M_f_tot</t>
  </si>
  <si>
    <t>intaglio</t>
  </si>
  <si>
    <t>sigma</t>
  </si>
  <si>
    <t>tau</t>
  </si>
  <si>
    <t>VM sovra</t>
  </si>
  <si>
    <t>Verifica fatica (su diametro piede)</t>
  </si>
  <si>
    <t>Verifica fatica (su intaglio)</t>
  </si>
  <si>
    <t>sigma_a</t>
  </si>
  <si>
    <t>sigma_F_A</t>
  </si>
  <si>
    <t>tau_max</t>
  </si>
  <si>
    <t>sigma_m</t>
  </si>
  <si>
    <t>K_ff</t>
  </si>
  <si>
    <t>sigma_GP</t>
  </si>
  <si>
    <t>sigma_lim</t>
  </si>
  <si>
    <t>tau_llim</t>
  </si>
  <si>
    <t>Rotazioni ai supporti</t>
  </si>
  <si>
    <t>Fr_3</t>
  </si>
  <si>
    <t>Fr_2</t>
  </si>
  <si>
    <t>Ma_3</t>
  </si>
  <si>
    <t>TOT (rad)</t>
  </si>
  <si>
    <t>phi_Z</t>
  </si>
  <si>
    <t>Tot (°)</t>
  </si>
  <si>
    <t>Max (°)</t>
  </si>
  <si>
    <t>Ft_3</t>
  </si>
  <si>
    <t>Ft_2</t>
  </si>
  <si>
    <t>phi_Y</t>
  </si>
  <si>
    <t>Sum y</t>
  </si>
  <si>
    <t>Freccia massima</t>
  </si>
  <si>
    <t>f_Y</t>
  </si>
  <si>
    <t>Cuscinetti a rulli conici</t>
  </si>
  <si>
    <t>Montaggio ad X, face to face</t>
  </si>
  <si>
    <t>Determinazione carichi assiali effettivi</t>
  </si>
  <si>
    <t>Verifica dinamica</t>
  </si>
  <si>
    <t>Ka [N]</t>
  </si>
  <si>
    <t>pos verso sx</t>
  </si>
  <si>
    <t> </t>
  </si>
  <si>
    <t>sx</t>
  </si>
  <si>
    <t>dx</t>
  </si>
  <si>
    <t>FrA [N]</t>
  </si>
  <si>
    <t>P [N]</t>
  </si>
  <si>
    <t>FrB [N]</t>
  </si>
  <si>
    <t>P0 [N]</t>
  </si>
  <si>
    <t>YA</t>
  </si>
  <si>
    <t>db_min</t>
  </si>
  <si>
    <t>k</t>
  </si>
  <si>
    <t>YB</t>
  </si>
  <si>
    <t>v</t>
  </si>
  <si>
    <t>FrA/YA</t>
  </si>
  <si>
    <t>C   [N]</t>
  </si>
  <si>
    <t>v1</t>
  </si>
  <si>
    <t>FrB/YB</t>
  </si>
  <si>
    <t>C0 [N]</t>
  </si>
  <si>
    <t>coeff</t>
  </si>
  <si>
    <t>Pu [N]</t>
  </si>
  <si>
    <t>Casistica</t>
  </si>
  <si>
    <t>a1</t>
  </si>
  <si>
    <t>case 1b</t>
  </si>
  <si>
    <t>e</t>
  </si>
  <si>
    <t>a23</t>
  </si>
  <si>
    <t>in base all'affidabilità richiesta</t>
  </si>
  <si>
    <t>FrA/YA&lt;FrB/YB</t>
  </si>
  <si>
    <t>Y</t>
  </si>
  <si>
    <t>Ka &gt;= 0,5*(FrB/YB - FrA/YA)</t>
  </si>
  <si>
    <t>Y0</t>
  </si>
  <si>
    <t>C_min</t>
  </si>
  <si>
    <t>p</t>
  </si>
  <si>
    <t>Lnmh</t>
  </si>
  <si>
    <t>case 1c</t>
  </si>
  <si>
    <t>dm [mm]</t>
  </si>
  <si>
    <t>Carichi effettivi sui cuscinetti</t>
  </si>
  <si>
    <t>Ka &lt; 0,5*(FrB/YB - FrA/YA)</t>
  </si>
  <si>
    <t>F_radiale [N]</t>
  </si>
  <si>
    <t>F_assiale [N]</t>
  </si>
  <si>
    <t>case 2b</t>
  </si>
  <si>
    <t>FrA/YA&gt;FrB/YB</t>
  </si>
  <si>
    <t>F_rad_min [N]</t>
  </si>
  <si>
    <t>Ka &gt;= 0,5*(FrA/YA - FrB/YB)</t>
  </si>
  <si>
    <t>case 2c</t>
  </si>
  <si>
    <t>Specifiche progettuali</t>
  </si>
  <si>
    <t>fs</t>
  </si>
  <si>
    <t>h funzionamento</t>
  </si>
  <si>
    <t>fs_min</t>
  </si>
  <si>
    <t>Ka &lt; 0,5*(FrA/YA - FrB/YB)</t>
  </si>
  <si>
    <t>T esercizio [°]</t>
  </si>
  <si>
    <t>eta_c contaminazione</t>
  </si>
  <si>
    <t>Ka</t>
  </si>
  <si>
    <t>Formule da inserire manualmente</t>
  </si>
  <si>
    <t>affidabilità</t>
  </si>
  <si>
    <t>FaA [N]</t>
  </si>
  <si>
    <t>lubrificante ISO</t>
  </si>
  <si>
    <t>FaB [N]</t>
  </si>
  <si>
    <t>rpm</t>
  </si>
  <si>
    <t>h</t>
  </si>
  <si>
    <t>etac</t>
  </si>
  <si>
    <t>Affidabilità</t>
  </si>
  <si>
    <t>Lubrificante</t>
  </si>
  <si>
    <t>ISO VG 1500</t>
  </si>
  <si>
    <t>Dati di base ruota 4</t>
  </si>
  <si>
    <t>Dati linguetta (scelta)</t>
  </si>
  <si>
    <t>Verifica intaglio statico</t>
  </si>
  <si>
    <t>Verifica a fatica cava linguetta</t>
  </si>
  <si>
    <t>Verifica a fatica cava linguetta (dati FEM)</t>
  </si>
  <si>
    <t>Mt [Nmm]</t>
  </si>
  <si>
    <t>Coeff</t>
  </si>
  <si>
    <t>M/T</t>
  </si>
  <si>
    <t>sigma_nom</t>
  </si>
  <si>
    <t>Mf [Nmm]</t>
  </si>
  <si>
    <t>d_alb [mm]</t>
  </si>
  <si>
    <t>Punto A</t>
  </si>
  <si>
    <t>Kt</t>
  </si>
  <si>
    <t>t1 [mm]</t>
  </si>
  <si>
    <t>Kts</t>
  </si>
  <si>
    <t>b_ruota [mm]</t>
  </si>
  <si>
    <t>t2 [mm]</t>
  </si>
  <si>
    <t>sigma [MPa]</t>
  </si>
  <si>
    <t>H [mm]</t>
  </si>
  <si>
    <t>tau [MPa]</t>
  </si>
  <si>
    <t>Verifica pressione regime</t>
  </si>
  <si>
    <t>Verifica pressione max</t>
  </si>
  <si>
    <t>Punto B</t>
  </si>
  <si>
    <t>k_phi_beta</t>
  </si>
  <si>
    <t>p_mozzo [MPa]</t>
  </si>
  <si>
    <t>p_albero [MPa]</t>
  </si>
  <si>
    <t>p_ling [MPa]</t>
  </si>
  <si>
    <t>Varie</t>
  </si>
  <si>
    <t>qA</t>
  </si>
  <si>
    <t>p_lim_m</t>
  </si>
  <si>
    <t>qB</t>
  </si>
  <si>
    <t>p_lim_a</t>
  </si>
  <si>
    <t>sigma_Fa</t>
  </si>
  <si>
    <t>p_lim_l</t>
  </si>
  <si>
    <t>tau_lim</t>
  </si>
  <si>
    <t>SF_mozzo</t>
  </si>
  <si>
    <t>SF_albero</t>
  </si>
  <si>
    <t>Pagina 490 del Peterson</t>
  </si>
  <si>
    <t>Per coeff.fatica Previati accetta 1.42</t>
  </si>
  <si>
    <t>SF_linguetta</t>
  </si>
  <si>
    <t>R_sn C45</t>
  </si>
  <si>
    <t>(Sulle slide era 565)</t>
  </si>
  <si>
    <t>Per d&lt;=16, ma uso d &gt;16</t>
  </si>
  <si>
    <t>Verifica Statica</t>
  </si>
  <si>
    <t>B (Ks = Kt)</t>
  </si>
  <si>
    <t>B (Ks = 1)</t>
  </si>
  <si>
    <t>Nulla era già moltiplicato nella pagina albero</t>
  </si>
  <si>
    <t>Comuqnue sì era già moltiplicato in A</t>
  </si>
  <si>
    <t>Mf</t>
  </si>
  <si>
    <t>Pechè era un tentativo che stavo facendo visto che il punto B</t>
  </si>
  <si>
    <t>Non è esattamente sull spallamento, ma più indietro</t>
  </si>
  <si>
    <t>kt</t>
  </si>
  <si>
    <t>Quindi in teoria vede un Mf minore</t>
  </si>
  <si>
    <t>Okay</t>
  </si>
  <si>
    <t>kts</t>
  </si>
  <si>
    <t>Alla fine nella relazione abbiamo messo caso B con (Ks=1)?</t>
  </si>
  <si>
    <t>In teoria le verifiche statiche non le avevamo messe credo</t>
  </si>
  <si>
    <t>Okok</t>
  </si>
  <si>
    <t>Adesso me la leggo per bene</t>
  </si>
  <si>
    <t>sigma_max</t>
  </si>
  <si>
    <t>vm</t>
  </si>
  <si>
    <t>d [mm]</t>
  </si>
  <si>
    <t>s_nom</t>
  </si>
  <si>
    <t>s_max [MPa]</t>
  </si>
  <si>
    <t>t_max [MPa]</t>
  </si>
  <si>
    <t>Con Peterson</t>
  </si>
  <si>
    <t>vm [MPa]</t>
  </si>
  <si>
    <t>Dati torcente</t>
  </si>
  <si>
    <t>Dati flessione</t>
  </si>
  <si>
    <t>VM_Spalla</t>
  </si>
  <si>
    <t>Caso</t>
  </si>
  <si>
    <t>KtA</t>
  </si>
  <si>
    <t>KtsA</t>
  </si>
  <si>
    <t>KtB</t>
  </si>
  <si>
    <t>KtsB</t>
  </si>
  <si>
    <t>solo tors</t>
  </si>
  <si>
    <t>C12_A</t>
  </si>
  <si>
    <t>S22_A</t>
  </si>
  <si>
    <t>C12_B</t>
  </si>
  <si>
    <t>S22_B</t>
  </si>
  <si>
    <t>TP_A</t>
  </si>
  <si>
    <t>TP_B</t>
  </si>
  <si>
    <t>solo fless</t>
  </si>
  <si>
    <t>Kt_A</t>
  </si>
  <si>
    <t>cond.real</t>
  </si>
  <si>
    <t>Kt_B</t>
  </si>
  <si>
    <t>Kts_A</t>
  </si>
  <si>
    <t>Kts_B</t>
  </si>
  <si>
    <t>tau_nom</t>
  </si>
  <si>
    <t>Ktf_spalla</t>
  </si>
  <si>
    <t>r [mm]</t>
  </si>
  <si>
    <t>Ktt_spalla</t>
  </si>
  <si>
    <t>VM_Sp_noling</t>
  </si>
  <si>
    <t>Vm_Sp_ling</t>
  </si>
  <si>
    <t>Sigma_1_A</t>
  </si>
  <si>
    <t>Mesh Quadratica</t>
  </si>
  <si>
    <t>Sigma_1_B</t>
  </si>
  <si>
    <t xml:space="preserve"> </t>
  </si>
  <si>
    <t>T_cusc</t>
  </si>
  <si>
    <t>s_carter_sx</t>
  </si>
  <si>
    <t>Int.Cono</t>
  </si>
  <si>
    <t>Ruota 3 -</t>
  </si>
  <si>
    <t>S_rasa_Dx</t>
  </si>
  <si>
    <t>Ruota 3 +</t>
  </si>
  <si>
    <t>Verifica statica (cono)</t>
  </si>
  <si>
    <t>Verifica fatica (su cono)</t>
  </si>
  <si>
    <t>Rotazioni supporti</t>
  </si>
  <si>
    <t>Sum z</t>
  </si>
  <si>
    <t>Sum tot</t>
  </si>
  <si>
    <t>f_max</t>
  </si>
  <si>
    <t>f_Z</t>
  </si>
  <si>
    <t>f_amm</t>
  </si>
  <si>
    <t>Verifiche flessionali 2</t>
  </si>
  <si>
    <t>Verifica torsionale 2</t>
  </si>
  <si>
    <t>Verifica a fatica</t>
  </si>
  <si>
    <t>dm</t>
  </si>
  <si>
    <t>Dati progettuali</t>
  </si>
  <si>
    <t>range 40-50 mila</t>
  </si>
  <si>
    <t>lubrificante 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</si>
</sst>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
    <numFmt numFmtId="165" formatCode="0.000000"/>
    <numFmt numFmtId="166" formatCode="0.000"/>
    <numFmt numFmtId="167" formatCode="0.0000"/>
    <numFmt numFmtId="168" formatCode="0.00000"/>
    <numFmt numFmtId="169" formatCode="0.000E+00"/>
    <numFmt numFmtId="170" formatCode="0.0"/>
  </numFmts>
  <fonts count="19" x14ac:knownFonts="1">
    <font>
      <sz val="11"/>
      <color theme="1"/>
      <name val="Calibri"/>
      <family val="2"/>
      <scheme val="minor"/>
    </font>
    <font>
      <sz val="11"/>
      <color theme="1"/>
      <name val="Calibri"/>
      <family val="2"/>
    </font>
    <font>
      <u/>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rgb="FF444444"/>
      <name val="Calibri"/>
      <family val="2"/>
      <charset val="1"/>
    </font>
    <font>
      <strike/>
      <sz val="11"/>
      <color theme="1"/>
      <name val="Calibri"/>
      <family val="2"/>
      <scheme val="minor"/>
    </font>
    <font>
      <sz val="11"/>
      <color rgb="FF000000"/>
      <name val="Calibri"/>
      <family val="2"/>
    </font>
    <font>
      <sz val="11"/>
      <name val="Calibri"/>
      <family val="2"/>
    </font>
    <font>
      <b/>
      <sz val="11"/>
      <color rgb="FF000000"/>
      <name val="Calibri"/>
      <family val="2"/>
    </font>
    <font>
      <sz val="20"/>
      <color theme="1"/>
      <name val="Calibri"/>
      <family val="2"/>
      <scheme val="minor"/>
    </font>
    <font>
      <sz val="11"/>
      <name val="Calibri"/>
      <family val="2"/>
      <scheme val="minor"/>
    </font>
    <font>
      <b/>
      <sz val="11"/>
      <color rgb="FFFF0000"/>
      <name val="Calibri"/>
      <family val="2"/>
      <scheme val="minor"/>
    </font>
    <font>
      <sz val="11"/>
      <color theme="0"/>
      <name val="Calibri"/>
      <family val="2"/>
      <scheme val="minor"/>
    </font>
    <font>
      <sz val="11"/>
      <color rgb="FF7030A0"/>
      <name val="Calibri"/>
      <family val="2"/>
      <scheme val="minor"/>
    </font>
    <font>
      <sz val="11"/>
      <color theme="2"/>
      <name val="Calibri"/>
      <family val="2"/>
      <scheme val="minor"/>
    </font>
    <font>
      <sz val="12"/>
      <color theme="1"/>
      <name val="Times New Roman"/>
      <family val="1"/>
    </font>
    <font>
      <sz val="12"/>
      <color rgb="FF000000"/>
      <name val="Times New Roman"/>
      <family val="1"/>
    </font>
  </fonts>
  <fills count="4">
    <fill>
      <patternFill patternType="none"/>
    </fill>
    <fill>
      <patternFill patternType="gray125"/>
    </fill>
    <fill>
      <patternFill patternType="solid">
        <fgColor rgb="FF00EA6A"/>
        <bgColor indexed="64"/>
      </patternFill>
    </fill>
    <fill>
      <patternFill patternType="solid">
        <fgColor rgb="FFFFFFFF"/>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right/>
      <top style="medium">
        <color indexed="64"/>
      </top>
      <bottom style="medium">
        <color indexed="64"/>
      </bottom>
      <diagonal/>
    </border>
    <border>
      <left/>
      <right style="medium">
        <color indexed="64"/>
      </right>
      <top/>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medium">
        <color rgb="FF000000"/>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top style="thin">
        <color indexed="64"/>
      </top>
      <bottom/>
      <diagonal/>
    </border>
    <border>
      <left/>
      <right style="medium">
        <color indexed="64"/>
      </right>
      <top style="thin">
        <color indexed="64"/>
      </top>
      <bottom/>
      <diagonal/>
    </border>
    <border>
      <left style="thin">
        <color indexed="64"/>
      </left>
      <right/>
      <top/>
      <bottom style="medium">
        <color indexed="64"/>
      </bottom>
      <diagonal/>
    </border>
    <border>
      <left style="medium">
        <color indexed="64"/>
      </left>
      <right style="thin">
        <color rgb="FF000000"/>
      </right>
      <top style="thin">
        <color rgb="FF000000"/>
      </top>
      <bottom style="thin">
        <color rgb="FF000000"/>
      </bottom>
      <diagonal/>
    </border>
    <border>
      <left/>
      <right style="medium">
        <color indexed="64"/>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indexed="64"/>
      </left>
      <right style="medium">
        <color indexed="64"/>
      </right>
      <top style="thin">
        <color indexed="64"/>
      </top>
      <bottom/>
      <diagonal/>
    </border>
  </borders>
  <cellStyleXfs count="2">
    <xf numFmtId="0" fontId="0" fillId="0" borderId="0"/>
    <xf numFmtId="9" fontId="3" fillId="0" borderId="0" applyFont="0" applyFill="0" applyBorder="0" applyAlignment="0" applyProtection="0"/>
  </cellStyleXfs>
  <cellXfs count="349">
    <xf numFmtId="0" fontId="0" fillId="0" borderId="0" xfId="0"/>
    <xf numFmtId="0" fontId="1" fillId="0" borderId="0" xfId="0" applyFont="1"/>
    <xf numFmtId="0" fontId="0" fillId="0" borderId="0" xfId="0" applyAlignment="1">
      <alignment horizontal="center" wrapText="1"/>
    </xf>
    <xf numFmtId="0" fontId="0" fillId="0" borderId="1" xfId="0" applyBorder="1"/>
    <xf numFmtId="0" fontId="0" fillId="0" borderId="1" xfId="0" applyBorder="1" applyAlignment="1">
      <alignment vertical="center"/>
    </xf>
    <xf numFmtId="0" fontId="0" fillId="0" borderId="0" xfId="0" applyAlignment="1">
      <alignment horizontal="center"/>
    </xf>
    <xf numFmtId="0" fontId="0" fillId="0" borderId="3" xfId="0" applyBorder="1"/>
    <xf numFmtId="0" fontId="0" fillId="0" borderId="7" xfId="0" applyBorder="1"/>
    <xf numFmtId="2" fontId="0" fillId="0" borderId="7" xfId="0" applyNumberFormat="1" applyBorder="1"/>
    <xf numFmtId="0" fontId="0" fillId="0" borderId="14" xfId="0" applyBorder="1"/>
    <xf numFmtId="0" fontId="0" fillId="0" borderId="15" xfId="0" applyBorder="1"/>
    <xf numFmtId="2" fontId="0" fillId="0" borderId="5" xfId="0" applyNumberFormat="1" applyBorder="1"/>
    <xf numFmtId="0" fontId="0" fillId="0" borderId="12" xfId="0" applyBorder="1"/>
    <xf numFmtId="0" fontId="0" fillId="0" borderId="13" xfId="0" applyBorder="1"/>
    <xf numFmtId="2" fontId="0" fillId="0" borderId="15" xfId="0" applyNumberFormat="1" applyBorder="1"/>
    <xf numFmtId="0" fontId="0" fillId="0" borderId="5" xfId="0" applyBorder="1"/>
    <xf numFmtId="0" fontId="2" fillId="0" borderId="0" xfId="0" applyFont="1"/>
    <xf numFmtId="166" fontId="0" fillId="0" borderId="0" xfId="0" applyNumberFormat="1"/>
    <xf numFmtId="1" fontId="0" fillId="0" borderId="12" xfId="0" applyNumberFormat="1" applyBorder="1"/>
    <xf numFmtId="0" fontId="0" fillId="0" borderId="9" xfId="0" applyBorder="1"/>
    <xf numFmtId="0" fontId="0" fillId="0" borderId="16" xfId="0" applyBorder="1"/>
    <xf numFmtId="0" fontId="0" fillId="0" borderId="17" xfId="0" applyBorder="1"/>
    <xf numFmtId="0" fontId="1" fillId="0" borderId="3" xfId="0" applyFont="1" applyBorder="1" applyAlignment="1">
      <alignment horizontal="center"/>
    </xf>
    <xf numFmtId="0" fontId="1" fillId="0" borderId="5" xfId="0" applyFont="1" applyBorder="1" applyAlignment="1">
      <alignment horizontal="center"/>
    </xf>
    <xf numFmtId="166" fontId="0" fillId="0" borderId="7" xfId="0" applyNumberFormat="1" applyBorder="1"/>
    <xf numFmtId="166" fontId="0" fillId="0" borderId="15" xfId="0" applyNumberFormat="1" applyBorder="1"/>
    <xf numFmtId="0" fontId="0" fillId="0" borderId="1" xfId="0" applyBorder="1" applyAlignment="1">
      <alignment horizontal="center"/>
    </xf>
    <xf numFmtId="0" fontId="4" fillId="0" borderId="0" xfId="0" applyFont="1"/>
    <xf numFmtId="166" fontId="5" fillId="0" borderId="5" xfId="0" applyNumberFormat="1" applyFont="1" applyBorder="1"/>
    <xf numFmtId="0" fontId="0" fillId="0" borderId="27" xfId="0" applyBorder="1"/>
    <xf numFmtId="0" fontId="0" fillId="0" borderId="30" xfId="0" applyBorder="1"/>
    <xf numFmtId="0" fontId="0" fillId="0" borderId="23" xfId="0" applyBorder="1"/>
    <xf numFmtId="167" fontId="0" fillId="0" borderId="23" xfId="0" applyNumberFormat="1" applyBorder="1"/>
    <xf numFmtId="0" fontId="0" fillId="0" borderId="31" xfId="0" applyBorder="1"/>
    <xf numFmtId="166" fontId="0" fillId="0" borderId="31" xfId="0" applyNumberFormat="1" applyBorder="1"/>
    <xf numFmtId="0" fontId="0" fillId="0" borderId="32"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3" xfId="0" applyBorder="1"/>
    <xf numFmtId="167" fontId="0" fillId="0" borderId="35" xfId="0" applyNumberFormat="1" applyBorder="1"/>
    <xf numFmtId="166" fontId="0" fillId="0" borderId="36" xfId="0" applyNumberFormat="1" applyBorder="1"/>
    <xf numFmtId="0" fontId="0" fillId="0" borderId="20" xfId="0" applyBorder="1"/>
    <xf numFmtId="0" fontId="0" fillId="2" borderId="12" xfId="0" applyFill="1" applyBorder="1"/>
    <xf numFmtId="165" fontId="0" fillId="2" borderId="12" xfId="0" applyNumberFormat="1" applyFill="1" applyBorder="1"/>
    <xf numFmtId="0" fontId="0" fillId="2" borderId="13" xfId="0" applyFill="1" applyBorder="1"/>
    <xf numFmtId="0" fontId="0" fillId="0" borderId="0" xfId="0" applyAlignment="1">
      <alignment horizontal="center" vertical="center"/>
    </xf>
    <xf numFmtId="2" fontId="0" fillId="0" borderId="38" xfId="0" applyNumberFormat="1" applyBorder="1" applyAlignment="1">
      <alignment horizontal="center"/>
    </xf>
    <xf numFmtId="0" fontId="1" fillId="0" borderId="39" xfId="0" applyFont="1" applyBorder="1" applyAlignment="1">
      <alignment horizontal="center"/>
    </xf>
    <xf numFmtId="0" fontId="1" fillId="0" borderId="25" xfId="0" applyFont="1" applyBorder="1" applyAlignment="1">
      <alignment horizontal="center"/>
    </xf>
    <xf numFmtId="2" fontId="0" fillId="0" borderId="19" xfId="0" applyNumberFormat="1" applyBorder="1" applyAlignment="1">
      <alignment horizontal="center"/>
    </xf>
    <xf numFmtId="0" fontId="0" fillId="0" borderId="42" xfId="0" applyBorder="1"/>
    <xf numFmtId="0" fontId="0" fillId="0" borderId="28" xfId="0" applyBorder="1"/>
    <xf numFmtId="0" fontId="1" fillId="0" borderId="0" xfId="0" applyFont="1" applyAlignment="1">
      <alignment horizontal="center" vertical="center"/>
    </xf>
    <xf numFmtId="166" fontId="0" fillId="0" borderId="0" xfId="0" applyNumberFormat="1" applyAlignment="1">
      <alignment horizontal="center" vertical="center"/>
    </xf>
    <xf numFmtId="164" fontId="0" fillId="0" borderId="0" xfId="1" applyNumberFormat="1" applyFont="1" applyBorder="1" applyAlignment="1">
      <alignment horizontal="center" vertical="center"/>
    </xf>
    <xf numFmtId="0" fontId="0" fillId="0" borderId="44" xfId="0" applyBorder="1"/>
    <xf numFmtId="0" fontId="0" fillId="0" borderId="45" xfId="0" applyBorder="1"/>
    <xf numFmtId="0" fontId="0" fillId="0" borderId="48" xfId="0" applyBorder="1"/>
    <xf numFmtId="0" fontId="0" fillId="0" borderId="49" xfId="0" applyBorder="1"/>
    <xf numFmtId="0" fontId="5" fillId="0" borderId="7" xfId="0" applyFont="1" applyBorder="1"/>
    <xf numFmtId="0" fontId="5" fillId="0" borderId="15" xfId="0" applyFont="1" applyBorder="1"/>
    <xf numFmtId="0" fontId="5" fillId="0" borderId="5" xfId="0" applyFont="1" applyBorder="1"/>
    <xf numFmtId="0" fontId="0" fillId="0" borderId="10" xfId="0" applyBorder="1" applyAlignment="1">
      <alignment horizontal="center"/>
    </xf>
    <xf numFmtId="0" fontId="0" fillId="0" borderId="11" xfId="0" applyBorder="1" applyAlignment="1">
      <alignment horizontal="center"/>
    </xf>
    <xf numFmtId="164" fontId="0" fillId="0" borderId="0" xfId="1" applyNumberFormat="1" applyFont="1"/>
    <xf numFmtId="167" fontId="0" fillId="0" borderId="0" xfId="0" applyNumberFormat="1"/>
    <xf numFmtId="2" fontId="0" fillId="0" borderId="0" xfId="0" applyNumberFormat="1"/>
    <xf numFmtId="0" fontId="0" fillId="0" borderId="52" xfId="0" applyBorder="1"/>
    <xf numFmtId="0" fontId="0" fillId="0" borderId="53" xfId="0" applyBorder="1"/>
    <xf numFmtId="0" fontId="0" fillId="0" borderId="54" xfId="0" applyBorder="1"/>
    <xf numFmtId="0" fontId="0" fillId="0" borderId="55" xfId="0" applyBorder="1"/>
    <xf numFmtId="0" fontId="0" fillId="0" borderId="50" xfId="0" applyBorder="1" applyAlignment="1">
      <alignment horizontal="center"/>
    </xf>
    <xf numFmtId="0" fontId="0" fillId="0" borderId="51" xfId="0" applyBorder="1" applyAlignment="1">
      <alignment horizontal="center"/>
    </xf>
    <xf numFmtId="0" fontId="0" fillId="0" borderId="18" xfId="0" applyBorder="1"/>
    <xf numFmtId="0" fontId="0" fillId="0" borderId="1" xfId="0" applyBorder="1" applyAlignment="1">
      <alignment horizontal="right"/>
    </xf>
    <xf numFmtId="2" fontId="0" fillId="0" borderId="53" xfId="0" applyNumberFormat="1" applyBorder="1"/>
    <xf numFmtId="0" fontId="0" fillId="0" borderId="57" xfId="0" applyBorder="1"/>
    <xf numFmtId="0" fontId="0" fillId="0" borderId="58" xfId="0" applyBorder="1"/>
    <xf numFmtId="0" fontId="0" fillId="0" borderId="0" xfId="0" applyAlignment="1">
      <alignment vertical="top"/>
    </xf>
    <xf numFmtId="0" fontId="0" fillId="0" borderId="58" xfId="0" applyBorder="1" applyAlignment="1">
      <alignment horizontal="center"/>
    </xf>
    <xf numFmtId="0" fontId="0" fillId="0" borderId="59" xfId="0" applyBorder="1"/>
    <xf numFmtId="167" fontId="0" fillId="0" borderId="53" xfId="0" applyNumberFormat="1" applyBorder="1"/>
    <xf numFmtId="0" fontId="0" fillId="0" borderId="60" xfId="0" applyBorder="1"/>
    <xf numFmtId="0" fontId="0" fillId="0" borderId="63" xfId="0" applyBorder="1" applyAlignment="1">
      <alignment vertical="top"/>
    </xf>
    <xf numFmtId="0" fontId="0" fillId="0" borderId="63" xfId="0" applyBorder="1"/>
    <xf numFmtId="0" fontId="0" fillId="0" borderId="60" xfId="0" applyBorder="1" applyAlignment="1">
      <alignment vertical="top"/>
    </xf>
    <xf numFmtId="0" fontId="0" fillId="0" borderId="59" xfId="0" applyBorder="1" applyAlignment="1">
      <alignment vertical="top"/>
    </xf>
    <xf numFmtId="0" fontId="6" fillId="0" borderId="60" xfId="0" quotePrefix="1" applyFont="1" applyBorder="1"/>
    <xf numFmtId="0" fontId="6" fillId="0" borderId="61" xfId="0" applyFont="1" applyBorder="1"/>
    <xf numFmtId="0" fontId="0" fillId="0" borderId="62" xfId="0" applyBorder="1" applyAlignment="1">
      <alignment vertical="top"/>
    </xf>
    <xf numFmtId="0" fontId="0" fillId="0" borderId="64" xfId="0" applyBorder="1"/>
    <xf numFmtId="0" fontId="0" fillId="0" borderId="65" xfId="0" applyBorder="1"/>
    <xf numFmtId="0" fontId="0" fillId="0" borderId="66" xfId="0" applyBorder="1"/>
    <xf numFmtId="0" fontId="0" fillId="0" borderId="68" xfId="0" applyBorder="1"/>
    <xf numFmtId="0" fontId="0" fillId="0" borderId="6" xfId="0" applyBorder="1"/>
    <xf numFmtId="0" fontId="0" fillId="0" borderId="70" xfId="0" applyBorder="1"/>
    <xf numFmtId="0" fontId="7" fillId="0" borderId="0" xfId="0" applyFont="1"/>
    <xf numFmtId="0" fontId="8" fillId="0" borderId="0" xfId="0" applyFont="1"/>
    <xf numFmtId="0" fontId="8" fillId="0" borderId="53" xfId="0" applyFont="1" applyBorder="1"/>
    <xf numFmtId="0" fontId="0" fillId="0" borderId="75" xfId="0" applyBorder="1"/>
    <xf numFmtId="0" fontId="0" fillId="0" borderId="76" xfId="0" applyBorder="1"/>
    <xf numFmtId="0" fontId="8" fillId="0" borderId="65" xfId="0" applyFont="1" applyBorder="1"/>
    <xf numFmtId="0" fontId="9" fillId="3" borderId="65" xfId="0" applyFont="1" applyFill="1" applyBorder="1"/>
    <xf numFmtId="0" fontId="8" fillId="0" borderId="52" xfId="0" applyFont="1" applyBorder="1"/>
    <xf numFmtId="0" fontId="10" fillId="0" borderId="52" xfId="0" applyFont="1" applyBorder="1"/>
    <xf numFmtId="0" fontId="10" fillId="0" borderId="54" xfId="0" applyFont="1" applyBorder="1"/>
    <xf numFmtId="0" fontId="8" fillId="0" borderId="54" xfId="0" applyFont="1" applyBorder="1"/>
    <xf numFmtId="0" fontId="8" fillId="0" borderId="57" xfId="0" applyFont="1" applyBorder="1"/>
    <xf numFmtId="0" fontId="8" fillId="0" borderId="55" xfId="0" applyFont="1" applyBorder="1"/>
    <xf numFmtId="0" fontId="8" fillId="0" borderId="0" xfId="0" applyFont="1" applyAlignment="1">
      <alignment horizontal="center"/>
    </xf>
    <xf numFmtId="0" fontId="8" fillId="0" borderId="53" xfId="0" applyFont="1" applyBorder="1" applyAlignment="1">
      <alignment horizontal="center"/>
    </xf>
    <xf numFmtId="0" fontId="0" fillId="0" borderId="7" xfId="0" applyBorder="1" applyAlignment="1">
      <alignment horizontal="center"/>
    </xf>
    <xf numFmtId="0" fontId="11" fillId="0" borderId="0" xfId="0" applyFont="1" applyAlignment="1">
      <alignment vertical="center" readingOrder="1"/>
    </xf>
    <xf numFmtId="0" fontId="0" fillId="0" borderId="0" xfId="0" applyAlignment="1">
      <alignment vertical="center" readingOrder="1"/>
    </xf>
    <xf numFmtId="0" fontId="0" fillId="0" borderId="0" xfId="0" applyAlignment="1">
      <alignment horizontal="right"/>
    </xf>
    <xf numFmtId="0" fontId="0" fillId="0" borderId="14" xfId="0" applyBorder="1" applyAlignment="1">
      <alignment horizontal="center"/>
    </xf>
    <xf numFmtId="168" fontId="0" fillId="0" borderId="0" xfId="0" applyNumberFormat="1"/>
    <xf numFmtId="0" fontId="8" fillId="0" borderId="46" xfId="0" applyFont="1" applyBorder="1"/>
    <xf numFmtId="0" fontId="8" fillId="0" borderId="27" xfId="0" applyFont="1" applyBorder="1" applyAlignment="1">
      <alignment horizontal="center"/>
    </xf>
    <xf numFmtId="0" fontId="8" fillId="0" borderId="27" xfId="0" applyFont="1" applyBorder="1"/>
    <xf numFmtId="0" fontId="0" fillId="0" borderId="46" xfId="0" applyBorder="1"/>
    <xf numFmtId="0" fontId="8" fillId="0" borderId="47" xfId="0" applyFont="1" applyBorder="1"/>
    <xf numFmtId="0" fontId="9" fillId="0" borderId="48" xfId="0" applyFont="1" applyBorder="1"/>
    <xf numFmtId="0" fontId="9" fillId="0" borderId="49" xfId="0" applyFont="1" applyBorder="1"/>
    <xf numFmtId="0" fontId="9" fillId="0" borderId="65" xfId="0" applyFont="1" applyBorder="1"/>
    <xf numFmtId="0" fontId="8" fillId="0" borderId="58" xfId="0" applyFont="1" applyBorder="1"/>
    <xf numFmtId="0" fontId="8" fillId="0" borderId="79" xfId="0" applyFont="1" applyBorder="1"/>
    <xf numFmtId="0" fontId="0" fillId="0" borderId="79" xfId="0" applyBorder="1"/>
    <xf numFmtId="0" fontId="8" fillId="0" borderId="80" xfId="0" applyFont="1" applyBorder="1"/>
    <xf numFmtId="0" fontId="0" fillId="0" borderId="12" xfId="0" applyBorder="1" applyAlignment="1">
      <alignment horizontal="center" vertical="center"/>
    </xf>
    <xf numFmtId="1" fontId="0" fillId="0" borderId="7" xfId="0" applyNumberFormat="1" applyBorder="1"/>
    <xf numFmtId="0" fontId="0" fillId="0" borderId="0" xfId="0" applyAlignment="1">
      <alignment vertical="center"/>
    </xf>
    <xf numFmtId="2" fontId="0" fillId="0" borderId="40" xfId="0" applyNumberFormat="1" applyBorder="1" applyAlignment="1">
      <alignment vertical="center"/>
    </xf>
    <xf numFmtId="2" fontId="0" fillId="0" borderId="41" xfId="0" applyNumberFormat="1" applyBorder="1" applyAlignment="1">
      <alignment vertical="center"/>
    </xf>
    <xf numFmtId="0" fontId="0" fillId="0" borderId="12" xfId="0" applyBorder="1" applyAlignment="1">
      <alignment horizontal="center"/>
    </xf>
    <xf numFmtId="0" fontId="0" fillId="0" borderId="17" xfId="0" applyBorder="1" applyAlignment="1">
      <alignment horizontal="center"/>
    </xf>
    <xf numFmtId="0" fontId="5" fillId="0" borderId="0" xfId="0" applyFont="1"/>
    <xf numFmtId="166" fontId="5" fillId="0" borderId="0" xfId="0" applyNumberFormat="1" applyFont="1"/>
    <xf numFmtId="2" fontId="0" fillId="0" borderId="13" xfId="0" applyNumberFormat="1" applyBorder="1" applyAlignment="1">
      <alignment horizontal="center"/>
    </xf>
    <xf numFmtId="2" fontId="0" fillId="0" borderId="14" xfId="0" applyNumberFormat="1" applyBorder="1" applyAlignment="1">
      <alignment vertical="center"/>
    </xf>
    <xf numFmtId="2" fontId="0" fillId="0" borderId="9" xfId="0" applyNumberFormat="1" applyBorder="1" applyAlignment="1">
      <alignment horizontal="center"/>
    </xf>
    <xf numFmtId="2" fontId="0" fillId="0" borderId="68" xfId="0" applyNumberFormat="1" applyBorder="1" applyAlignment="1">
      <alignment vertical="center"/>
    </xf>
    <xf numFmtId="166" fontId="0" fillId="0" borderId="18" xfId="0" applyNumberFormat="1" applyBorder="1"/>
    <xf numFmtId="0" fontId="1" fillId="0" borderId="16" xfId="0" applyFont="1" applyBorder="1" applyAlignment="1">
      <alignment horizontal="center"/>
    </xf>
    <xf numFmtId="0" fontId="1" fillId="0" borderId="67" xfId="0" applyFont="1" applyBorder="1" applyAlignment="1">
      <alignment horizontal="center"/>
    </xf>
    <xf numFmtId="0" fontId="4" fillId="0" borderId="0" xfId="0" applyFont="1" applyAlignment="1">
      <alignment horizontal="right"/>
    </xf>
    <xf numFmtId="169" fontId="0" fillId="0" borderId="58" xfId="0" applyNumberFormat="1" applyBorder="1"/>
    <xf numFmtId="169" fontId="0" fillId="0" borderId="0" xfId="0" applyNumberFormat="1"/>
    <xf numFmtId="0" fontId="5" fillId="0" borderId="84" xfId="0" applyFont="1" applyBorder="1"/>
    <xf numFmtId="0" fontId="0" fillId="0" borderId="84" xfId="0" applyBorder="1"/>
    <xf numFmtId="0" fontId="0" fillId="0" borderId="86" xfId="0" applyBorder="1"/>
    <xf numFmtId="0" fontId="13" fillId="0" borderId="84" xfId="0" applyFont="1" applyBorder="1"/>
    <xf numFmtId="0" fontId="0" fillId="0" borderId="47" xfId="0" applyBorder="1"/>
    <xf numFmtId="0" fontId="0" fillId="0" borderId="43" xfId="0" applyBorder="1" applyAlignment="1">
      <alignment horizontal="center"/>
    </xf>
    <xf numFmtId="0" fontId="0" fillId="0" borderId="45" xfId="0" applyBorder="1" applyAlignment="1">
      <alignment horizontal="center"/>
    </xf>
    <xf numFmtId="0" fontId="0" fillId="0" borderId="46" xfId="0" applyBorder="1" applyAlignment="1">
      <alignment horizontal="center"/>
    </xf>
    <xf numFmtId="0" fontId="0" fillId="0" borderId="27" xfId="0" applyBorder="1" applyAlignment="1">
      <alignment horizontal="center"/>
    </xf>
    <xf numFmtId="0" fontId="8" fillId="0" borderId="48" xfId="0" applyFont="1" applyBorder="1"/>
    <xf numFmtId="0" fontId="8" fillId="0" borderId="49" xfId="0" applyFont="1" applyBorder="1"/>
    <xf numFmtId="1" fontId="0" fillId="0" borderId="0" xfId="0" applyNumberFormat="1"/>
    <xf numFmtId="0" fontId="12" fillId="0" borderId="0" xfId="0" applyFont="1"/>
    <xf numFmtId="0" fontId="12" fillId="0" borderId="52" xfId="0" applyFont="1" applyBorder="1"/>
    <xf numFmtId="0" fontId="12" fillId="0" borderId="53" xfId="0" applyFont="1" applyBorder="1"/>
    <xf numFmtId="0" fontId="12" fillId="0" borderId="0" xfId="0" applyFont="1" applyAlignment="1">
      <alignment vertical="top"/>
    </xf>
    <xf numFmtId="0" fontId="9" fillId="0" borderId="0" xfId="0" quotePrefix="1" applyFont="1"/>
    <xf numFmtId="167" fontId="12" fillId="0" borderId="53" xfId="0" applyNumberFormat="1" applyFont="1" applyBorder="1"/>
    <xf numFmtId="0" fontId="12" fillId="0" borderId="54" xfId="0" applyFont="1" applyBorder="1"/>
    <xf numFmtId="0" fontId="12" fillId="0" borderId="57" xfId="0" applyFont="1" applyBorder="1"/>
    <xf numFmtId="0" fontId="12" fillId="0" borderId="60" xfId="0" applyFont="1" applyBorder="1"/>
    <xf numFmtId="0" fontId="12" fillId="0" borderId="59" xfId="0" applyFont="1" applyBorder="1"/>
    <xf numFmtId="0" fontId="12" fillId="0" borderId="60" xfId="0" applyFont="1" applyBorder="1" applyAlignment="1">
      <alignment vertical="top"/>
    </xf>
    <xf numFmtId="0" fontId="12" fillId="0" borderId="59" xfId="0" applyFont="1" applyBorder="1" applyAlignment="1">
      <alignment vertical="top"/>
    </xf>
    <xf numFmtId="0" fontId="9" fillId="0" borderId="60" xfId="0" quotePrefix="1" applyFont="1" applyBorder="1"/>
    <xf numFmtId="0" fontId="9" fillId="0" borderId="61" xfId="0" applyFont="1" applyBorder="1"/>
    <xf numFmtId="0" fontId="12" fillId="0" borderId="63" xfId="0" applyFont="1" applyBorder="1" applyAlignment="1">
      <alignment vertical="top"/>
    </xf>
    <xf numFmtId="0" fontId="12" fillId="0" borderId="63" xfId="0" applyFont="1" applyBorder="1"/>
    <xf numFmtId="0" fontId="12" fillId="0" borderId="62" xfId="0" applyFont="1" applyBorder="1" applyAlignment="1">
      <alignment vertical="top"/>
    </xf>
    <xf numFmtId="0" fontId="0" fillId="0" borderId="8" xfId="0" applyBorder="1"/>
    <xf numFmtId="0" fontId="14" fillId="0" borderId="0" xfId="0" applyFont="1"/>
    <xf numFmtId="166" fontId="0" fillId="0" borderId="27" xfId="0" applyNumberFormat="1" applyBorder="1"/>
    <xf numFmtId="166" fontId="0" fillId="0" borderId="87" xfId="0" applyNumberFormat="1" applyBorder="1"/>
    <xf numFmtId="0" fontId="0" fillId="2" borderId="9" xfId="0" applyFill="1" applyBorder="1"/>
    <xf numFmtId="0" fontId="5" fillId="0" borderId="18" xfId="0" applyFont="1" applyBorder="1"/>
    <xf numFmtId="0" fontId="15" fillId="0" borderId="0" xfId="0" applyFont="1"/>
    <xf numFmtId="166" fontId="15" fillId="0" borderId="0" xfId="0" applyNumberFormat="1" applyFont="1"/>
    <xf numFmtId="0" fontId="12" fillId="0" borderId="7" xfId="0" applyFont="1" applyBorder="1"/>
    <xf numFmtId="0" fontId="0" fillId="0" borderId="5" xfId="0" applyBorder="1" applyAlignment="1">
      <alignment horizontal="center"/>
    </xf>
    <xf numFmtId="2" fontId="0" fillId="0" borderId="1" xfId="0" applyNumberFormat="1" applyBorder="1"/>
    <xf numFmtId="166" fontId="0" fillId="0" borderId="35" xfId="0" applyNumberFormat="1" applyBorder="1"/>
    <xf numFmtId="2" fontId="5" fillId="0" borderId="18" xfId="0" applyNumberFormat="1" applyFont="1" applyBorder="1"/>
    <xf numFmtId="2" fontId="0" fillId="0" borderId="34" xfId="0" applyNumberFormat="1" applyBorder="1"/>
    <xf numFmtId="166" fontId="5" fillId="0" borderId="7" xfId="0" applyNumberFormat="1" applyFont="1" applyBorder="1"/>
    <xf numFmtId="2" fontId="0" fillId="0" borderId="13" xfId="0" applyNumberFormat="1" applyBorder="1"/>
    <xf numFmtId="2" fontId="0" fillId="0" borderId="16" xfId="0" applyNumberFormat="1" applyBorder="1"/>
    <xf numFmtId="1" fontId="0" fillId="0" borderId="53" xfId="0" applyNumberFormat="1" applyBorder="1"/>
    <xf numFmtId="2" fontId="0" fillId="0" borderId="57" xfId="0" applyNumberFormat="1" applyBorder="1"/>
    <xf numFmtId="1" fontId="0" fillId="0" borderId="55" xfId="0" applyNumberFormat="1" applyBorder="1"/>
    <xf numFmtId="166" fontId="12" fillId="0" borderId="55" xfId="0" applyNumberFormat="1" applyFont="1" applyBorder="1"/>
    <xf numFmtId="2" fontId="12" fillId="0" borderId="0" xfId="0" applyNumberFormat="1" applyFont="1"/>
    <xf numFmtId="166" fontId="12" fillId="0" borderId="57" xfId="0" applyNumberFormat="1" applyFont="1" applyBorder="1"/>
    <xf numFmtId="1" fontId="0" fillId="0" borderId="1" xfId="0" applyNumberFormat="1" applyBorder="1"/>
    <xf numFmtId="17" fontId="12" fillId="0" borderId="0" xfId="0" applyNumberFormat="1" applyFont="1"/>
    <xf numFmtId="1" fontId="0" fillId="0" borderId="1" xfId="0" applyNumberFormat="1" applyBorder="1" applyAlignment="1">
      <alignment horizontal="center" vertical="center"/>
    </xf>
    <xf numFmtId="0" fontId="0" fillId="0" borderId="1" xfId="0" applyBorder="1" applyAlignment="1">
      <alignment horizontal="center" vertical="center"/>
    </xf>
    <xf numFmtId="2" fontId="0" fillId="0" borderId="1" xfId="0" applyNumberFormat="1" applyBorder="1" applyAlignment="1">
      <alignment horizontal="center" vertical="center"/>
    </xf>
    <xf numFmtId="0" fontId="8" fillId="0" borderId="1" xfId="0" applyFont="1" applyBorder="1"/>
    <xf numFmtId="0" fontId="8" fillId="0" borderId="12" xfId="0" applyFont="1" applyBorder="1"/>
    <xf numFmtId="0" fontId="8" fillId="0" borderId="7" xfId="0" applyFont="1" applyBorder="1"/>
    <xf numFmtId="0" fontId="8" fillId="0" borderId="13" xfId="0" applyFont="1" applyBorder="1"/>
    <xf numFmtId="0" fontId="8" fillId="0" borderId="45" xfId="0" applyFont="1" applyBorder="1"/>
    <xf numFmtId="0" fontId="8" fillId="0" borderId="15" xfId="0" applyFont="1" applyBorder="1"/>
    <xf numFmtId="0" fontId="8" fillId="0" borderId="3" xfId="0" applyFont="1" applyBorder="1"/>
    <xf numFmtId="0" fontId="8" fillId="0" borderId="5" xfId="0" applyFont="1" applyBorder="1"/>
    <xf numFmtId="0" fontId="0" fillId="0" borderId="6" xfId="0" applyBorder="1" applyAlignment="1">
      <alignment horizontal="center"/>
    </xf>
    <xf numFmtId="0" fontId="0" fillId="0" borderId="3" xfId="0" applyBorder="1" applyAlignment="1">
      <alignment horizontal="center"/>
    </xf>
    <xf numFmtId="0" fontId="12" fillId="0" borderId="3" xfId="0" applyFont="1" applyBorder="1" applyAlignment="1">
      <alignment horizontal="center"/>
    </xf>
    <xf numFmtId="0" fontId="12" fillId="0" borderId="5" xfId="0" applyFont="1" applyBorder="1" applyAlignment="1">
      <alignment horizontal="center"/>
    </xf>
    <xf numFmtId="0" fontId="12" fillId="0" borderId="12" xfId="0" applyFont="1" applyBorder="1"/>
    <xf numFmtId="2" fontId="12" fillId="0" borderId="7" xfId="0" applyNumberFormat="1" applyFont="1" applyBorder="1"/>
    <xf numFmtId="0" fontId="12" fillId="0" borderId="13" xfId="0" applyFont="1" applyBorder="1"/>
    <xf numFmtId="0" fontId="12" fillId="0" borderId="15" xfId="0" applyFont="1" applyBorder="1"/>
    <xf numFmtId="0" fontId="0" fillId="0" borderId="87" xfId="0" applyBorder="1" applyAlignment="1">
      <alignment horizontal="center"/>
    </xf>
    <xf numFmtId="0" fontId="16" fillId="0" borderId="0" xfId="0" applyFont="1"/>
    <xf numFmtId="2" fontId="16" fillId="0" borderId="0" xfId="0" applyNumberFormat="1" applyFont="1"/>
    <xf numFmtId="166" fontId="0" fillId="0" borderId="1" xfId="0" applyNumberFormat="1" applyBorder="1"/>
    <xf numFmtId="167" fontId="0" fillId="0" borderId="7" xfId="0" applyNumberFormat="1" applyBorder="1"/>
    <xf numFmtId="2" fontId="0" fillId="0" borderId="14" xfId="0" applyNumberFormat="1" applyBorder="1"/>
    <xf numFmtId="0" fontId="8" fillId="0" borderId="4" xfId="0" applyFont="1" applyBorder="1" applyAlignment="1">
      <alignment horizontal="center"/>
    </xf>
    <xf numFmtId="0" fontId="8" fillId="0" borderId="5" xfId="0" applyFont="1" applyBorder="1" applyAlignment="1">
      <alignment horizontal="center"/>
    </xf>
    <xf numFmtId="0" fontId="15" fillId="0" borderId="0" xfId="0" applyFont="1" applyAlignment="1">
      <alignment vertical="center" wrapText="1"/>
    </xf>
    <xf numFmtId="1" fontId="0" fillId="0" borderId="66" xfId="0" applyNumberFormat="1" applyBorder="1"/>
    <xf numFmtId="170" fontId="0" fillId="0" borderId="55" xfId="0" applyNumberFormat="1" applyBorder="1"/>
    <xf numFmtId="0" fontId="17" fillId="0" borderId="1" xfId="0" applyFont="1" applyBorder="1" applyAlignment="1">
      <alignment horizontal="justify" vertical="center" wrapText="1"/>
    </xf>
    <xf numFmtId="0" fontId="18" fillId="0" borderId="1" xfId="0" applyFont="1" applyBorder="1" applyAlignment="1">
      <alignment horizontal="justify" vertical="center" wrapText="1"/>
    </xf>
    <xf numFmtId="2" fontId="8" fillId="0" borderId="1" xfId="0" applyNumberFormat="1" applyFont="1" applyBorder="1"/>
    <xf numFmtId="2" fontId="8" fillId="0" borderId="7" xfId="0" applyNumberFormat="1" applyFont="1" applyBorder="1"/>
    <xf numFmtId="1" fontId="8" fillId="0" borderId="1" xfId="0" applyNumberFormat="1" applyFont="1" applyBorder="1"/>
    <xf numFmtId="1" fontId="8" fillId="0" borderId="7" xfId="0" applyNumberFormat="1" applyFont="1" applyBorder="1"/>
    <xf numFmtId="1" fontId="9" fillId="0" borderId="1" xfId="0" applyNumberFormat="1" applyFont="1" applyBorder="1"/>
    <xf numFmtId="1" fontId="9" fillId="0" borderId="7" xfId="0" applyNumberFormat="1" applyFont="1" applyBorder="1"/>
    <xf numFmtId="1" fontId="0" fillId="0" borderId="14" xfId="0" applyNumberFormat="1" applyBorder="1"/>
    <xf numFmtId="1" fontId="0" fillId="0" borderId="15" xfId="0" applyNumberFormat="1" applyBorder="1"/>
    <xf numFmtId="0" fontId="15" fillId="0" borderId="0" xfId="0" applyFont="1" applyAlignment="1">
      <alignment vertical="center"/>
    </xf>
    <xf numFmtId="0" fontId="0" fillId="0" borderId="11" xfId="0" applyBorder="1"/>
    <xf numFmtId="170" fontId="0" fillId="0" borderId="53" xfId="0" applyNumberFormat="1" applyBorder="1"/>
    <xf numFmtId="170" fontId="0" fillId="0" borderId="0" xfId="0" applyNumberFormat="1"/>
    <xf numFmtId="0" fontId="0" fillId="0" borderId="0" xfId="0" applyAlignment="1">
      <alignment horizontal="center" vertical="center"/>
    </xf>
    <xf numFmtId="0" fontId="0" fillId="0" borderId="19" xfId="0" applyBorder="1" applyAlignment="1">
      <alignment horizontal="center"/>
    </xf>
    <xf numFmtId="0" fontId="0" fillId="0" borderId="20" xfId="0" applyBorder="1" applyAlignment="1">
      <alignment horizontal="center"/>
    </xf>
    <xf numFmtId="0" fontId="0" fillId="0" borderId="43"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0" fillId="0" borderId="0" xfId="0" applyAlignment="1">
      <alignment horizontal="center"/>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0" fontId="0" fillId="0" borderId="2" xfId="0" applyBorder="1" applyAlignment="1">
      <alignment horizontal="center"/>
    </xf>
    <xf numFmtId="0" fontId="0" fillId="0" borderId="11" xfId="0" applyBorder="1" applyAlignment="1">
      <alignment horizontal="center"/>
    </xf>
    <xf numFmtId="0" fontId="0" fillId="0" borderId="6"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6"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4" fillId="0" borderId="19" xfId="0" applyFont="1" applyBorder="1" applyAlignment="1">
      <alignment horizontal="center"/>
    </xf>
    <xf numFmtId="0" fontId="4" fillId="0" borderId="26" xfId="0" applyFont="1" applyBorder="1" applyAlignment="1">
      <alignment horizontal="center"/>
    </xf>
    <xf numFmtId="0" fontId="4" fillId="0" borderId="20" xfId="0" applyFont="1" applyBorder="1" applyAlignment="1">
      <alignment horizontal="center"/>
    </xf>
    <xf numFmtId="0" fontId="0" fillId="0" borderId="3" xfId="0" applyBorder="1" applyAlignment="1">
      <alignment horizontal="center"/>
    </xf>
    <xf numFmtId="0" fontId="0" fillId="0" borderId="25" xfId="0" applyBorder="1" applyAlignment="1">
      <alignment horizontal="center"/>
    </xf>
    <xf numFmtId="0" fontId="0" fillId="0" borderId="29"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12" xfId="0" applyBorder="1" applyAlignment="1">
      <alignment horizontal="center"/>
    </xf>
    <xf numFmtId="0" fontId="0" fillId="0" borderId="7" xfId="0" applyBorder="1" applyAlignment="1">
      <alignment horizontal="center"/>
    </xf>
    <xf numFmtId="0" fontId="0" fillId="0" borderId="1" xfId="0" applyBorder="1" applyAlignment="1">
      <alignment horizontal="center"/>
    </xf>
    <xf numFmtId="0" fontId="12" fillId="0" borderId="52" xfId="0" applyFont="1" applyBorder="1" applyAlignment="1">
      <alignment horizontal="center"/>
    </xf>
    <xf numFmtId="0" fontId="12" fillId="0" borderId="0" xfId="0" applyFont="1" applyAlignment="1">
      <alignment horizontal="center"/>
    </xf>
    <xf numFmtId="0" fontId="12" fillId="0" borderId="53" xfId="0" applyFont="1" applyBorder="1" applyAlignment="1">
      <alignment horizontal="center"/>
    </xf>
    <xf numFmtId="0" fontId="0" fillId="0" borderId="85" xfId="0" applyBorder="1" applyAlignment="1">
      <alignment horizontal="center" vertical="center"/>
    </xf>
    <xf numFmtId="0" fontId="0" fillId="0" borderId="52" xfId="0" applyBorder="1" applyAlignment="1">
      <alignment horizontal="center"/>
    </xf>
    <xf numFmtId="0" fontId="0" fillId="0" borderId="53" xfId="0" applyBorder="1" applyAlignment="1">
      <alignment horizontal="center"/>
    </xf>
    <xf numFmtId="1" fontId="0" fillId="0" borderId="1" xfId="0" applyNumberFormat="1" applyBorder="1" applyAlignment="1">
      <alignment horizontal="center" vertical="center"/>
    </xf>
    <xf numFmtId="0" fontId="0" fillId="0" borderId="70" xfId="0" applyBorder="1" applyAlignment="1">
      <alignment horizontal="center" vertical="center"/>
    </xf>
    <xf numFmtId="0" fontId="0" fillId="0" borderId="68" xfId="0" applyBorder="1" applyAlignment="1">
      <alignment horizontal="center" vertical="center"/>
    </xf>
    <xf numFmtId="0" fontId="12" fillId="0" borderId="50" xfId="0" applyFont="1" applyBorder="1" applyAlignment="1">
      <alignment horizontal="center"/>
    </xf>
    <xf numFmtId="0" fontId="12" fillId="0" borderId="56" xfId="0" applyFont="1" applyBorder="1" applyAlignment="1">
      <alignment horizontal="center"/>
    </xf>
    <xf numFmtId="0" fontId="12" fillId="0" borderId="51" xfId="0" applyFont="1" applyBorder="1" applyAlignment="1">
      <alignment horizontal="center"/>
    </xf>
    <xf numFmtId="0" fontId="8" fillId="0" borderId="0" xfId="0" applyFont="1" applyAlignment="1">
      <alignment horizontal="center"/>
    </xf>
    <xf numFmtId="0" fontId="0" fillId="0" borderId="50" xfId="0" applyBorder="1" applyAlignment="1">
      <alignment horizontal="center"/>
    </xf>
    <xf numFmtId="0" fontId="0" fillId="0" borderId="51" xfId="0" applyBorder="1" applyAlignment="1">
      <alignment horizontal="center"/>
    </xf>
    <xf numFmtId="0" fontId="0" fillId="0" borderId="56" xfId="0" applyBorder="1" applyAlignment="1">
      <alignment horizontal="center"/>
    </xf>
    <xf numFmtId="0" fontId="0" fillId="0" borderId="43" xfId="0" applyBorder="1" applyAlignment="1">
      <alignment horizontal="center"/>
    </xf>
    <xf numFmtId="0" fontId="0" fillId="0" borderId="44" xfId="0" applyBorder="1" applyAlignment="1">
      <alignment horizontal="center"/>
    </xf>
    <xf numFmtId="0" fontId="0" fillId="0" borderId="45" xfId="0" applyBorder="1" applyAlignment="1">
      <alignment horizontal="center"/>
    </xf>
    <xf numFmtId="0" fontId="0" fillId="0" borderId="58" xfId="0" applyBorder="1" applyAlignment="1">
      <alignment horizontal="center"/>
    </xf>
    <xf numFmtId="0" fontId="0" fillId="0" borderId="26" xfId="0" applyBorder="1" applyAlignment="1">
      <alignment horizontal="center"/>
    </xf>
    <xf numFmtId="0" fontId="0" fillId="0" borderId="67" xfId="0" applyBorder="1" applyAlignment="1">
      <alignment horizontal="center"/>
    </xf>
    <xf numFmtId="0" fontId="0" fillId="0" borderId="48" xfId="0" applyBorder="1" applyAlignment="1">
      <alignment horizontal="center"/>
    </xf>
    <xf numFmtId="0" fontId="0" fillId="0" borderId="69" xfId="0" applyBorder="1" applyAlignment="1">
      <alignment horizontal="center"/>
    </xf>
    <xf numFmtId="0" fontId="0" fillId="0" borderId="74" xfId="0" applyBorder="1" applyAlignment="1">
      <alignment horizontal="center"/>
    </xf>
    <xf numFmtId="0" fontId="0" fillId="0" borderId="71" xfId="0" applyBorder="1" applyAlignment="1">
      <alignment horizontal="center"/>
    </xf>
    <xf numFmtId="0" fontId="0" fillId="0" borderId="72" xfId="0" applyBorder="1" applyAlignment="1">
      <alignment horizontal="center"/>
    </xf>
    <xf numFmtId="0" fontId="0" fillId="0" borderId="47" xfId="0" applyBorder="1" applyAlignment="1">
      <alignment horizontal="center"/>
    </xf>
    <xf numFmtId="0" fontId="0" fillId="0" borderId="7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8" fillId="0" borderId="19" xfId="0" applyFont="1" applyBorder="1" applyAlignment="1">
      <alignment horizontal="center"/>
    </xf>
    <xf numFmtId="0" fontId="8" fillId="0" borderId="26" xfId="0" applyFont="1" applyBorder="1" applyAlignment="1">
      <alignment horizontal="center"/>
    </xf>
    <xf numFmtId="0" fontId="8" fillId="0" borderId="20" xfId="0" applyFont="1" applyBorder="1" applyAlignment="1">
      <alignment horizontal="center"/>
    </xf>
    <xf numFmtId="0" fontId="8" fillId="0" borderId="25" xfId="0" applyFont="1" applyBorder="1" applyAlignment="1">
      <alignment horizontal="center"/>
    </xf>
    <xf numFmtId="0" fontId="8" fillId="0" borderId="78" xfId="0" applyFont="1" applyBorder="1" applyAlignment="1">
      <alignment horizontal="center"/>
    </xf>
    <xf numFmtId="0" fontId="8" fillId="0" borderId="39" xfId="0" applyFont="1" applyBorder="1" applyAlignment="1">
      <alignment horizontal="center"/>
    </xf>
    <xf numFmtId="0" fontId="8" fillId="0" borderId="12" xfId="0" applyFont="1" applyBorder="1" applyAlignment="1">
      <alignment horizontal="center"/>
    </xf>
    <xf numFmtId="0" fontId="8" fillId="0" borderId="1" xfId="0" applyFont="1" applyBorder="1" applyAlignment="1">
      <alignment horizontal="center"/>
    </xf>
    <xf numFmtId="0" fontId="8" fillId="0" borderId="7" xfId="0" applyFont="1" applyBorder="1" applyAlignment="1">
      <alignment horizontal="center"/>
    </xf>
    <xf numFmtId="0" fontId="0" fillId="0" borderId="70" xfId="0" applyBorder="1" applyAlignment="1">
      <alignment horizontal="center"/>
    </xf>
    <xf numFmtId="0" fontId="0" fillId="0" borderId="68" xfId="0" applyBorder="1" applyAlignment="1">
      <alignment horizont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42" xfId="0" applyBorder="1" applyAlignment="1">
      <alignment horizontal="center" vertical="center"/>
    </xf>
    <xf numFmtId="0" fontId="0" fillId="0" borderId="81" xfId="0" applyBorder="1" applyAlignment="1">
      <alignment horizontal="center"/>
    </xf>
    <xf numFmtId="0" fontId="0" fillId="0" borderId="82" xfId="0" applyBorder="1" applyAlignment="1">
      <alignment horizontal="center"/>
    </xf>
    <xf numFmtId="0" fontId="0" fillId="0" borderId="83" xfId="0" applyBorder="1" applyAlignment="1">
      <alignment horizontal="center"/>
    </xf>
    <xf numFmtId="0" fontId="0" fillId="0" borderId="49" xfId="0" applyBorder="1" applyAlignment="1">
      <alignment horizontal="center"/>
    </xf>
    <xf numFmtId="0" fontId="0" fillId="0" borderId="12" xfId="0" applyBorder="1" applyAlignment="1">
      <alignment horizontal="center" vertical="center"/>
    </xf>
    <xf numFmtId="0" fontId="15" fillId="0" borderId="0" xfId="0" applyFont="1" applyAlignment="1">
      <alignment horizontal="center" vertical="center" wrapText="1"/>
    </xf>
    <xf numFmtId="0" fontId="0" fillId="0" borderId="13" xfId="0" applyBorder="1" applyAlignment="1">
      <alignment horizontal="center" vertical="center"/>
    </xf>
    <xf numFmtId="0" fontId="0" fillId="0" borderId="77" xfId="0" applyBorder="1" applyAlignment="1">
      <alignment horizontal="center"/>
    </xf>
    <xf numFmtId="0" fontId="0" fillId="0" borderId="78" xfId="0" applyBorder="1" applyAlignment="1">
      <alignment horizontal="center"/>
    </xf>
    <xf numFmtId="0" fontId="8" fillId="0" borderId="50" xfId="0" applyFont="1" applyBorder="1" applyAlignment="1">
      <alignment horizontal="center"/>
    </xf>
    <xf numFmtId="0" fontId="8" fillId="0" borderId="56" xfId="0" applyFont="1" applyBorder="1" applyAlignment="1">
      <alignment horizontal="center"/>
    </xf>
    <xf numFmtId="0" fontId="8" fillId="0" borderId="51" xfId="0" applyFont="1" applyBorder="1" applyAlignment="1">
      <alignment horizontal="center"/>
    </xf>
    <xf numFmtId="0" fontId="8" fillId="0" borderId="43" xfId="0" applyFont="1" applyBorder="1" applyAlignment="1">
      <alignment horizontal="center"/>
    </xf>
    <xf numFmtId="0" fontId="8" fillId="0" borderId="44" xfId="0" applyFont="1" applyBorder="1" applyAlignment="1">
      <alignment horizontal="center"/>
    </xf>
    <xf numFmtId="0" fontId="8" fillId="0" borderId="45" xfId="0" applyFont="1" applyBorder="1" applyAlignment="1">
      <alignment horizontal="center"/>
    </xf>
    <xf numFmtId="0" fontId="8" fillId="0" borderId="52" xfId="0" applyFont="1" applyBorder="1" applyAlignment="1">
      <alignment horizontal="center"/>
    </xf>
    <xf numFmtId="0" fontId="8" fillId="0" borderId="53" xfId="0" applyFont="1" applyBorder="1" applyAlignment="1">
      <alignment horizontal="center"/>
    </xf>
    <xf numFmtId="0" fontId="8" fillId="0" borderId="52" xfId="0" applyFont="1" applyBorder="1"/>
    <xf numFmtId="0" fontId="8" fillId="0" borderId="0" xfId="0" applyFont="1"/>
    <xf numFmtId="0" fontId="8" fillId="0" borderId="53" xfId="0" applyFont="1" applyBorder="1"/>
  </cellXfs>
  <cellStyles count="2">
    <cellStyle name="Normal" xfId="0" builtinId="0"/>
    <cellStyle name="Per cent" xfId="1" builtinId="5"/>
  </cellStyles>
  <dxfs count="91">
    <dxf>
      <font>
        <color auto="1"/>
      </font>
      <fill>
        <patternFill>
          <bgColor rgb="FFFF4B4B"/>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4B4B"/>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4B4B"/>
        </patternFill>
      </fill>
    </dxf>
    <dxf>
      <font>
        <color rgb="FF9C0006"/>
      </font>
      <fill>
        <patternFill>
          <bgColor rgb="FFFFC7CE"/>
        </patternFill>
      </fill>
    </dxf>
    <dxf>
      <font>
        <color rgb="FF9C5700"/>
      </font>
      <fill>
        <patternFill patternType="solid">
          <bgColor rgb="FFFFF2CC"/>
        </patternFill>
      </fill>
    </dxf>
    <dxf>
      <font>
        <color rgb="FF9C0006"/>
      </font>
      <fill>
        <patternFill patternType="solid">
          <bgColor rgb="FFE2EFDA"/>
        </patternFill>
      </fill>
    </dxf>
    <dxf>
      <font>
        <color rgb="FF9C0006"/>
      </font>
      <fill>
        <patternFill patternType="solid">
          <bgColor rgb="FFDDEBF7"/>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CC6600"/>
      <color rgb="FFCC3300"/>
      <color rgb="FFFF9900"/>
      <color rgb="FF00EA6A"/>
      <color rgb="FFFF4F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Deformate Ft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manualLayout>
          <c:layoutTarget val="inner"/>
          <c:xMode val="edge"/>
          <c:yMode val="edge"/>
          <c:x val="0.13813218179828107"/>
          <c:y val="0.16358704258848175"/>
          <c:w val="0.81736279615099983"/>
          <c:h val="0.71256421333970488"/>
        </c:manualLayout>
      </c:layout>
      <c:scatterChart>
        <c:scatterStyle val="lineMarker"/>
        <c:varyColors val="0"/>
        <c:ser>
          <c:idx val="0"/>
          <c:order val="0"/>
          <c:tx>
            <c:strRef>
              <c:f>'Albero 1'!$AH$2</c:f>
              <c:strCache>
                <c:ptCount val="1"/>
                <c:pt idx="0">
                  <c:v>Ft5</c:v>
                </c:pt>
              </c:strCache>
            </c:strRef>
          </c:tx>
          <c:spPr>
            <a:ln w="19050" cap="rnd">
              <a:solidFill>
                <a:schemeClr val="accent1"/>
              </a:solidFill>
              <a:round/>
            </a:ln>
            <a:effectLst/>
          </c:spPr>
          <c:marker>
            <c:symbol val="none"/>
          </c:marker>
          <c:xVal>
            <c:numRef>
              <c:f>'Albero 1'!$AG$3:$AG$48</c:f>
              <c:numCache>
                <c:formatCode>General</c:formatCode>
                <c:ptCount val="46"/>
                <c:pt idx="0">
                  <c:v>0</c:v>
                </c:pt>
                <c:pt idx="1">
                  <c:v>2</c:v>
                </c:pt>
                <c:pt idx="2">
                  <c:v>4</c:v>
                </c:pt>
                <c:pt idx="3">
                  <c:v>6</c:v>
                </c:pt>
                <c:pt idx="4">
                  <c:v>8</c:v>
                </c:pt>
                <c:pt idx="5">
                  <c:v>10</c:v>
                </c:pt>
                <c:pt idx="6">
                  <c:v>12</c:v>
                </c:pt>
                <c:pt idx="7">
                  <c:v>14</c:v>
                </c:pt>
                <c:pt idx="8">
                  <c:v>16</c:v>
                </c:pt>
                <c:pt idx="9">
                  <c:v>18</c:v>
                </c:pt>
                <c:pt idx="10">
                  <c:v>20</c:v>
                </c:pt>
                <c:pt idx="11">
                  <c:v>22</c:v>
                </c:pt>
                <c:pt idx="12">
                  <c:v>24</c:v>
                </c:pt>
                <c:pt idx="13">
                  <c:v>25</c:v>
                </c:pt>
                <c:pt idx="14">
                  <c:v>26</c:v>
                </c:pt>
                <c:pt idx="15">
                  <c:v>28</c:v>
                </c:pt>
                <c:pt idx="16">
                  <c:v>30</c:v>
                </c:pt>
                <c:pt idx="17">
                  <c:v>32</c:v>
                </c:pt>
                <c:pt idx="18">
                  <c:v>34</c:v>
                </c:pt>
                <c:pt idx="19">
                  <c:v>36</c:v>
                </c:pt>
                <c:pt idx="20">
                  <c:v>38</c:v>
                </c:pt>
                <c:pt idx="21">
                  <c:v>40</c:v>
                </c:pt>
                <c:pt idx="22">
                  <c:v>42</c:v>
                </c:pt>
                <c:pt idx="23">
                  <c:v>44</c:v>
                </c:pt>
                <c:pt idx="24">
                  <c:v>46</c:v>
                </c:pt>
                <c:pt idx="25">
                  <c:v>48</c:v>
                </c:pt>
                <c:pt idx="26">
                  <c:v>50</c:v>
                </c:pt>
                <c:pt idx="27">
                  <c:v>52</c:v>
                </c:pt>
                <c:pt idx="28">
                  <c:v>54</c:v>
                </c:pt>
                <c:pt idx="29">
                  <c:v>56</c:v>
                </c:pt>
                <c:pt idx="30">
                  <c:v>58</c:v>
                </c:pt>
                <c:pt idx="31">
                  <c:v>59</c:v>
                </c:pt>
                <c:pt idx="32">
                  <c:v>60</c:v>
                </c:pt>
                <c:pt idx="33">
                  <c:v>62</c:v>
                </c:pt>
                <c:pt idx="34">
                  <c:v>64</c:v>
                </c:pt>
                <c:pt idx="35">
                  <c:v>66</c:v>
                </c:pt>
                <c:pt idx="36">
                  <c:v>68</c:v>
                </c:pt>
                <c:pt idx="37">
                  <c:v>70</c:v>
                </c:pt>
                <c:pt idx="38">
                  <c:v>72</c:v>
                </c:pt>
                <c:pt idx="39">
                  <c:v>74</c:v>
                </c:pt>
                <c:pt idx="40">
                  <c:v>76</c:v>
                </c:pt>
                <c:pt idx="41">
                  <c:v>78</c:v>
                </c:pt>
                <c:pt idx="42">
                  <c:v>80</c:v>
                </c:pt>
                <c:pt idx="43">
                  <c:v>82</c:v>
                </c:pt>
                <c:pt idx="44">
                  <c:v>84</c:v>
                </c:pt>
                <c:pt idx="45">
                  <c:v>84.5</c:v>
                </c:pt>
              </c:numCache>
            </c:numRef>
          </c:xVal>
          <c:yVal>
            <c:numRef>
              <c:f>'Albero 1'!$AH$3:$AH$48</c:f>
              <c:numCache>
                <c:formatCode>General</c:formatCode>
                <c:ptCount val="46"/>
                <c:pt idx="0">
                  <c:v>0</c:v>
                </c:pt>
                <c:pt idx="1">
                  <c:v>-1.0110374760337801E-3</c:v>
                </c:pt>
                <c:pt idx="2">
                  <c:v>-2.0154896176464428E-3</c:v>
                </c:pt>
                <c:pt idx="3">
                  <c:v>-3.0067710904168711E-3</c:v>
                </c:pt>
                <c:pt idx="4">
                  <c:v>-3.9782965599239467E-3</c:v>
                </c:pt>
                <c:pt idx="5">
                  <c:v>-4.9234806917465533E-3</c:v>
                </c:pt>
                <c:pt idx="6">
                  <c:v>-5.8357381514635735E-3</c:v>
                </c:pt>
                <c:pt idx="7">
                  <c:v>-6.7084836046538898E-3</c:v>
                </c:pt>
                <c:pt idx="8">
                  <c:v>-7.5351317168963847E-3</c:v>
                </c:pt>
                <c:pt idx="9">
                  <c:v>-8.3090971537699426E-3</c:v>
                </c:pt>
                <c:pt idx="10">
                  <c:v>-9.0237945808534416E-3</c:v>
                </c:pt>
                <c:pt idx="11">
                  <c:v>-9.6726386637257696E-3</c:v>
                </c:pt>
                <c:pt idx="12">
                  <c:v>-1.0249044067965807E-2</c:v>
                </c:pt>
                <c:pt idx="13">
                  <c:v>-1.0508024348592116E-2</c:v>
                </c:pt>
                <c:pt idx="14">
                  <c:v>-1.074642854237916E-2</c:v>
                </c:pt>
                <c:pt idx="15">
                  <c:v>-1.1160445175144062E-2</c:v>
                </c:pt>
                <c:pt idx="16">
                  <c:v>-1.1492922757560687E-2</c:v>
                </c:pt>
                <c:pt idx="17">
                  <c:v>-1.1746747627694454E-2</c:v>
                </c:pt>
                <c:pt idx="18">
                  <c:v>-1.1924806123610793E-2</c:v>
                </c:pt>
                <c:pt idx="19">
                  <c:v>-1.2029984583375125E-2</c:v>
                </c:pt>
                <c:pt idx="20">
                  <c:v>-1.2065169345052884E-2</c:v>
                </c:pt>
                <c:pt idx="21">
                  <c:v>-1.2033246746709487E-2</c:v>
                </c:pt>
                <c:pt idx="22">
                  <c:v>-1.1937103126410368E-2</c:v>
                </c:pt>
                <c:pt idx="23">
                  <c:v>-1.1779624822220945E-2</c:v>
                </c:pt>
                <c:pt idx="24">
                  <c:v>-1.1563698172206649E-2</c:v>
                </c:pt>
                <c:pt idx="25">
                  <c:v>-1.1292209514432905E-2</c:v>
                </c:pt>
                <c:pt idx="26">
                  <c:v>-1.0968045186965139E-2</c:v>
                </c:pt>
                <c:pt idx="27">
                  <c:v>-1.0594091527868775E-2</c:v>
                </c:pt>
                <c:pt idx="28">
                  <c:v>-1.0173234875209243E-2</c:v>
                </c:pt>
                <c:pt idx="29">
                  <c:v>-9.7083615670519631E-3</c:v>
                </c:pt>
                <c:pt idx="30">
                  <c:v>-9.202357941462366E-3</c:v>
                </c:pt>
                <c:pt idx="31">
                  <c:v>-8.9348342402758938E-3</c:v>
                </c:pt>
                <c:pt idx="32">
                  <c:v>-8.6581103365058754E-3</c:v>
                </c:pt>
                <c:pt idx="33">
                  <c:v>-8.0785050902479182E-3</c:v>
                </c:pt>
                <c:pt idx="34">
                  <c:v>-7.4664285407539189E-3</c:v>
                </c:pt>
                <c:pt idx="35">
                  <c:v>-6.824767026089305E-3</c:v>
                </c:pt>
                <c:pt idx="36">
                  <c:v>-6.156406884319501E-3</c:v>
                </c:pt>
                <c:pt idx="37">
                  <c:v>-5.4642344535099337E-3</c:v>
                </c:pt>
                <c:pt idx="38">
                  <c:v>-4.7511360717260292E-3</c:v>
                </c:pt>
                <c:pt idx="39">
                  <c:v>-4.0199980770332117E-3</c:v>
                </c:pt>
                <c:pt idx="40">
                  <c:v>-3.27370680749691E-3</c:v>
                </c:pt>
                <c:pt idx="41">
                  <c:v>-2.5151486011825478E-3</c:v>
                </c:pt>
                <c:pt idx="42">
                  <c:v>-1.7472097961555506E-3</c:v>
                </c:pt>
                <c:pt idx="43">
                  <c:v>-9.7277673048134573E-4</c:v>
                </c:pt>
                <c:pt idx="44">
                  <c:v>-1.9473574222535824E-4</c:v>
                </c:pt>
                <c:pt idx="45">
                  <c:v>0</c:v>
                </c:pt>
              </c:numCache>
            </c:numRef>
          </c:yVal>
          <c:smooth val="0"/>
          <c:extLst>
            <c:ext xmlns:c16="http://schemas.microsoft.com/office/drawing/2014/chart" uri="{C3380CC4-5D6E-409C-BE32-E72D297353CC}">
              <c16:uniqueId val="{00000000-A282-4A33-A636-81F067C6DC68}"/>
            </c:ext>
          </c:extLst>
        </c:ser>
        <c:ser>
          <c:idx val="1"/>
          <c:order val="1"/>
          <c:tx>
            <c:strRef>
              <c:f>'Albero 1'!$AI$2</c:f>
              <c:strCache>
                <c:ptCount val="1"/>
                <c:pt idx="0">
                  <c:v>Ft4</c:v>
                </c:pt>
              </c:strCache>
            </c:strRef>
          </c:tx>
          <c:spPr>
            <a:ln w="19050" cap="rnd">
              <a:solidFill>
                <a:schemeClr val="accent2"/>
              </a:solidFill>
              <a:round/>
            </a:ln>
            <a:effectLst/>
          </c:spPr>
          <c:marker>
            <c:symbol val="none"/>
          </c:marker>
          <c:xVal>
            <c:numRef>
              <c:f>'Albero 1'!$AG$3:$AG$48</c:f>
              <c:numCache>
                <c:formatCode>General</c:formatCode>
                <c:ptCount val="46"/>
                <c:pt idx="0">
                  <c:v>0</c:v>
                </c:pt>
                <c:pt idx="1">
                  <c:v>2</c:v>
                </c:pt>
                <c:pt idx="2">
                  <c:v>4</c:v>
                </c:pt>
                <c:pt idx="3">
                  <c:v>6</c:v>
                </c:pt>
                <c:pt idx="4">
                  <c:v>8</c:v>
                </c:pt>
                <c:pt idx="5">
                  <c:v>10</c:v>
                </c:pt>
                <c:pt idx="6">
                  <c:v>12</c:v>
                </c:pt>
                <c:pt idx="7">
                  <c:v>14</c:v>
                </c:pt>
                <c:pt idx="8">
                  <c:v>16</c:v>
                </c:pt>
                <c:pt idx="9">
                  <c:v>18</c:v>
                </c:pt>
                <c:pt idx="10">
                  <c:v>20</c:v>
                </c:pt>
                <c:pt idx="11">
                  <c:v>22</c:v>
                </c:pt>
                <c:pt idx="12">
                  <c:v>24</c:v>
                </c:pt>
                <c:pt idx="13">
                  <c:v>25</c:v>
                </c:pt>
                <c:pt idx="14">
                  <c:v>26</c:v>
                </c:pt>
                <c:pt idx="15">
                  <c:v>28</c:v>
                </c:pt>
                <c:pt idx="16">
                  <c:v>30</c:v>
                </c:pt>
                <c:pt idx="17">
                  <c:v>32</c:v>
                </c:pt>
                <c:pt idx="18">
                  <c:v>34</c:v>
                </c:pt>
                <c:pt idx="19">
                  <c:v>36</c:v>
                </c:pt>
                <c:pt idx="20">
                  <c:v>38</c:v>
                </c:pt>
                <c:pt idx="21">
                  <c:v>40</c:v>
                </c:pt>
                <c:pt idx="22">
                  <c:v>42</c:v>
                </c:pt>
                <c:pt idx="23">
                  <c:v>44</c:v>
                </c:pt>
                <c:pt idx="24">
                  <c:v>46</c:v>
                </c:pt>
                <c:pt idx="25">
                  <c:v>48</c:v>
                </c:pt>
                <c:pt idx="26">
                  <c:v>50</c:v>
                </c:pt>
                <c:pt idx="27">
                  <c:v>52</c:v>
                </c:pt>
                <c:pt idx="28">
                  <c:v>54</c:v>
                </c:pt>
                <c:pt idx="29">
                  <c:v>56</c:v>
                </c:pt>
                <c:pt idx="30">
                  <c:v>58</c:v>
                </c:pt>
                <c:pt idx="31">
                  <c:v>59</c:v>
                </c:pt>
                <c:pt idx="32">
                  <c:v>60</c:v>
                </c:pt>
                <c:pt idx="33">
                  <c:v>62</c:v>
                </c:pt>
                <c:pt idx="34">
                  <c:v>64</c:v>
                </c:pt>
                <c:pt idx="35">
                  <c:v>66</c:v>
                </c:pt>
                <c:pt idx="36">
                  <c:v>68</c:v>
                </c:pt>
                <c:pt idx="37">
                  <c:v>70</c:v>
                </c:pt>
                <c:pt idx="38">
                  <c:v>72</c:v>
                </c:pt>
                <c:pt idx="39">
                  <c:v>74</c:v>
                </c:pt>
                <c:pt idx="40">
                  <c:v>76</c:v>
                </c:pt>
                <c:pt idx="41">
                  <c:v>78</c:v>
                </c:pt>
                <c:pt idx="42">
                  <c:v>80</c:v>
                </c:pt>
                <c:pt idx="43">
                  <c:v>82</c:v>
                </c:pt>
                <c:pt idx="44">
                  <c:v>84</c:v>
                </c:pt>
                <c:pt idx="45">
                  <c:v>84.5</c:v>
                </c:pt>
              </c:numCache>
            </c:numRef>
          </c:xVal>
          <c:yVal>
            <c:numRef>
              <c:f>'Albero 1'!$AI$3:$AI$48</c:f>
              <c:numCache>
                <c:formatCode>General</c:formatCode>
                <c:ptCount val="46"/>
                <c:pt idx="0">
                  <c:v>0</c:v>
                </c:pt>
                <c:pt idx="1">
                  <c:v>-2.6632376127571912E-4</c:v>
                </c:pt>
                <c:pt idx="2">
                  <c:v>-5.3166397467802268E-4</c:v>
                </c:pt>
                <c:pt idx="3">
                  <c:v>-7.9503709233349508E-4</c:v>
                </c:pt>
                <c:pt idx="4">
                  <c:v>-1.0554595663687209E-3</c:v>
                </c:pt>
                <c:pt idx="5">
                  <c:v>-1.3119478489102845E-3</c:v>
                </c:pt>
                <c:pt idx="6">
                  <c:v>-1.5635183920847703E-3</c:v>
                </c:pt>
                <c:pt idx="7">
                  <c:v>-1.8091876480187629E-3</c:v>
                </c:pt>
                <c:pt idx="8">
                  <c:v>-2.0479720688388464E-3</c:v>
                </c:pt>
                <c:pt idx="9">
                  <c:v>-2.2788881066716049E-3</c:v>
                </c:pt>
                <c:pt idx="10">
                  <c:v>-2.5009522136436244E-3</c:v>
                </c:pt>
                <c:pt idx="11">
                  <c:v>-2.7131808418814881E-3</c:v>
                </c:pt>
                <c:pt idx="12">
                  <c:v>-2.9145904435117801E-3</c:v>
                </c:pt>
                <c:pt idx="13">
                  <c:v>-3.0109307506386452E-3</c:v>
                </c:pt>
                <c:pt idx="14">
                  <c:v>-3.104197470661086E-3</c:v>
                </c:pt>
                <c:pt idx="15">
                  <c:v>-3.2810183754559898E-3</c:v>
                </c:pt>
                <c:pt idx="16">
                  <c:v>-3.4440696100230747E-3</c:v>
                </c:pt>
                <c:pt idx="17">
                  <c:v>-3.5923676264889275E-3</c:v>
                </c:pt>
                <c:pt idx="18">
                  <c:v>-3.7249288769801311E-3</c:v>
                </c:pt>
                <c:pt idx="19">
                  <c:v>-3.8407698136232698E-3</c:v>
                </c:pt>
                <c:pt idx="20">
                  <c:v>-3.9389068885449284E-3</c:v>
                </c:pt>
                <c:pt idx="21">
                  <c:v>-4.0183565538716923E-3</c:v>
                </c:pt>
                <c:pt idx="22">
                  <c:v>-4.0781352617301446E-3</c:v>
                </c:pt>
                <c:pt idx="23">
                  <c:v>-4.11725946424687E-3</c:v>
                </c:pt>
                <c:pt idx="24">
                  <c:v>-4.1347456135484529E-3</c:v>
                </c:pt>
                <c:pt idx="25">
                  <c:v>-4.1296101617614789E-3</c:v>
                </c:pt>
                <c:pt idx="26">
                  <c:v>-4.1008695610125325E-3</c:v>
                </c:pt>
                <c:pt idx="27">
                  <c:v>-4.0475402634281938E-3</c:v>
                </c:pt>
                <c:pt idx="28">
                  <c:v>-3.9686387211350536E-3</c:v>
                </c:pt>
                <c:pt idx="29">
                  <c:v>-3.8631813862596925E-3</c:v>
                </c:pt>
                <c:pt idx="30">
                  <c:v>-3.7301847109286949E-3</c:v>
                </c:pt>
                <c:pt idx="31">
                  <c:v>-3.6530517618818914E-3</c:v>
                </c:pt>
                <c:pt idx="32">
                  <c:v>-3.5686940762660845E-3</c:v>
                </c:pt>
                <c:pt idx="33">
                  <c:v>-3.3790652398353453E-3</c:v>
                </c:pt>
                <c:pt idx="34">
                  <c:v>-3.1634722002610977E-3</c:v>
                </c:pt>
                <c:pt idx="35">
                  <c:v>-2.9242228867116557E-3</c:v>
                </c:pt>
                <c:pt idx="36">
                  <c:v>-2.6636252283553296E-3</c:v>
                </c:pt>
                <c:pt idx="37">
                  <c:v>-2.3839871543604313E-3</c:v>
                </c:pt>
                <c:pt idx="38">
                  <c:v>-2.0876165938952728E-3</c:v>
                </c:pt>
                <c:pt idx="39">
                  <c:v>-1.7768214761281667E-3</c:v>
                </c:pt>
                <c:pt idx="40">
                  <c:v>-1.453909730227423E-3</c:v>
                </c:pt>
                <c:pt idx="41">
                  <c:v>-1.1211892853613549E-3</c:v>
                </c:pt>
                <c:pt idx="42">
                  <c:v>-7.8096807069827324E-4</c:v>
                </c:pt>
                <c:pt idx="43">
                  <c:v>-4.3555401540649021E-4</c:v>
                </c:pt>
                <c:pt idx="44">
                  <c:v>-8.7255048654317531E-5</c:v>
                </c:pt>
                <c:pt idx="45">
                  <c:v>0</c:v>
                </c:pt>
              </c:numCache>
            </c:numRef>
          </c:yVal>
          <c:smooth val="0"/>
          <c:extLst>
            <c:ext xmlns:c16="http://schemas.microsoft.com/office/drawing/2014/chart" uri="{C3380CC4-5D6E-409C-BE32-E72D297353CC}">
              <c16:uniqueId val="{00000001-A282-4A33-A636-81F067C6DC68}"/>
            </c:ext>
          </c:extLst>
        </c:ser>
        <c:dLbls>
          <c:showLegendKey val="0"/>
          <c:showVal val="0"/>
          <c:showCatName val="0"/>
          <c:showSerName val="0"/>
          <c:showPercent val="0"/>
          <c:showBubbleSize val="0"/>
        </c:dLbls>
        <c:axId val="1107568847"/>
        <c:axId val="1107569807"/>
      </c:scatterChart>
      <c:valAx>
        <c:axId val="1107568847"/>
        <c:scaling>
          <c:orientation val="minMax"/>
          <c:max val="84.5"/>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y</a:t>
                </a:r>
              </a:p>
            </c:rich>
          </c:tx>
          <c:layout>
            <c:manualLayout>
              <c:xMode val="edge"/>
              <c:yMode val="edge"/>
              <c:x val="0.92730773849347281"/>
              <c:y val="8.7591996288198082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107569807"/>
        <c:crosses val="autoZero"/>
        <c:crossBetween val="midCat"/>
      </c:valAx>
      <c:valAx>
        <c:axId val="11075698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x</a:t>
                </a:r>
              </a:p>
            </c:rich>
          </c:tx>
          <c:layout>
            <c:manualLayout>
              <c:xMode val="edge"/>
              <c:yMode val="edge"/>
              <c:x val="3.7771786501919896E-2"/>
              <c:y val="0.1115029269691207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10756884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Deformate Fr e Ma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manualLayout>
          <c:layoutTarget val="inner"/>
          <c:xMode val="edge"/>
          <c:yMode val="edge"/>
          <c:x val="0.11512912392578917"/>
          <c:y val="0.16307710523363941"/>
          <c:w val="0.83325302785242705"/>
          <c:h val="0.71785700932120422"/>
        </c:manualLayout>
      </c:layout>
      <c:scatterChart>
        <c:scatterStyle val="lineMarker"/>
        <c:varyColors val="0"/>
        <c:ser>
          <c:idx val="0"/>
          <c:order val="0"/>
          <c:tx>
            <c:strRef>
              <c:f>'Albero 1'!$AJ$2</c:f>
              <c:strCache>
                <c:ptCount val="1"/>
                <c:pt idx="0">
                  <c:v>Fr5</c:v>
                </c:pt>
              </c:strCache>
            </c:strRef>
          </c:tx>
          <c:spPr>
            <a:ln w="19050" cap="rnd">
              <a:solidFill>
                <a:schemeClr val="accent1"/>
              </a:solidFill>
              <a:round/>
            </a:ln>
            <a:effectLst/>
          </c:spPr>
          <c:marker>
            <c:symbol val="none"/>
          </c:marker>
          <c:xVal>
            <c:numRef>
              <c:f>'Albero 1'!$AG$3:$AG$48</c:f>
              <c:numCache>
                <c:formatCode>General</c:formatCode>
                <c:ptCount val="46"/>
                <c:pt idx="0">
                  <c:v>0</c:v>
                </c:pt>
                <c:pt idx="1">
                  <c:v>2</c:v>
                </c:pt>
                <c:pt idx="2">
                  <c:v>4</c:v>
                </c:pt>
                <c:pt idx="3">
                  <c:v>6</c:v>
                </c:pt>
                <c:pt idx="4">
                  <c:v>8</c:v>
                </c:pt>
                <c:pt idx="5">
                  <c:v>10</c:v>
                </c:pt>
                <c:pt idx="6">
                  <c:v>12</c:v>
                </c:pt>
                <c:pt idx="7">
                  <c:v>14</c:v>
                </c:pt>
                <c:pt idx="8">
                  <c:v>16</c:v>
                </c:pt>
                <c:pt idx="9">
                  <c:v>18</c:v>
                </c:pt>
                <c:pt idx="10">
                  <c:v>20</c:v>
                </c:pt>
                <c:pt idx="11">
                  <c:v>22</c:v>
                </c:pt>
                <c:pt idx="12">
                  <c:v>24</c:v>
                </c:pt>
                <c:pt idx="13">
                  <c:v>25</c:v>
                </c:pt>
                <c:pt idx="14">
                  <c:v>26</c:v>
                </c:pt>
                <c:pt idx="15">
                  <c:v>28</c:v>
                </c:pt>
                <c:pt idx="16">
                  <c:v>30</c:v>
                </c:pt>
                <c:pt idx="17">
                  <c:v>32</c:v>
                </c:pt>
                <c:pt idx="18">
                  <c:v>34</c:v>
                </c:pt>
                <c:pt idx="19">
                  <c:v>36</c:v>
                </c:pt>
                <c:pt idx="20">
                  <c:v>38</c:v>
                </c:pt>
                <c:pt idx="21">
                  <c:v>40</c:v>
                </c:pt>
                <c:pt idx="22">
                  <c:v>42</c:v>
                </c:pt>
                <c:pt idx="23">
                  <c:v>44</c:v>
                </c:pt>
                <c:pt idx="24">
                  <c:v>46</c:v>
                </c:pt>
                <c:pt idx="25">
                  <c:v>48</c:v>
                </c:pt>
                <c:pt idx="26">
                  <c:v>50</c:v>
                </c:pt>
                <c:pt idx="27">
                  <c:v>52</c:v>
                </c:pt>
                <c:pt idx="28">
                  <c:v>54</c:v>
                </c:pt>
                <c:pt idx="29">
                  <c:v>56</c:v>
                </c:pt>
                <c:pt idx="30">
                  <c:v>58</c:v>
                </c:pt>
                <c:pt idx="31">
                  <c:v>59</c:v>
                </c:pt>
                <c:pt idx="32">
                  <c:v>60</c:v>
                </c:pt>
                <c:pt idx="33">
                  <c:v>62</c:v>
                </c:pt>
                <c:pt idx="34">
                  <c:v>64</c:v>
                </c:pt>
                <c:pt idx="35">
                  <c:v>66</c:v>
                </c:pt>
                <c:pt idx="36">
                  <c:v>68</c:v>
                </c:pt>
                <c:pt idx="37">
                  <c:v>70</c:v>
                </c:pt>
                <c:pt idx="38">
                  <c:v>72</c:v>
                </c:pt>
                <c:pt idx="39">
                  <c:v>74</c:v>
                </c:pt>
                <c:pt idx="40">
                  <c:v>76</c:v>
                </c:pt>
                <c:pt idx="41">
                  <c:v>78</c:v>
                </c:pt>
                <c:pt idx="42">
                  <c:v>80</c:v>
                </c:pt>
                <c:pt idx="43">
                  <c:v>82</c:v>
                </c:pt>
                <c:pt idx="44">
                  <c:v>84</c:v>
                </c:pt>
                <c:pt idx="45">
                  <c:v>84.5</c:v>
                </c:pt>
              </c:numCache>
            </c:numRef>
          </c:xVal>
          <c:yVal>
            <c:numRef>
              <c:f>'Albero 1'!$AJ$3:$AJ$48</c:f>
              <c:numCache>
                <c:formatCode>General</c:formatCode>
                <c:ptCount val="46"/>
                <c:pt idx="0">
                  <c:v>0</c:v>
                </c:pt>
                <c:pt idx="1">
                  <c:v>-3.9286695092250428E-4</c:v>
                </c:pt>
                <c:pt idx="2">
                  <c:v>-7.8317498556726721E-4</c:v>
                </c:pt>
                <c:pt idx="3">
                  <c:v>-1.1683651876565476E-3</c:v>
                </c:pt>
                <c:pt idx="4">
                  <c:v>-1.5458786409126035E-3</c:v>
                </c:pt>
                <c:pt idx="5">
                  <c:v>-1.9131564290576946E-3</c:v>
                </c:pt>
                <c:pt idx="6">
                  <c:v>-2.2676396358140781E-3</c:v>
                </c:pt>
                <c:pt idx="7">
                  <c:v>-2.6067693449040143E-3</c:v>
                </c:pt>
                <c:pt idx="8">
                  <c:v>-2.9279866400497602E-3</c:v>
                </c:pt>
                <c:pt idx="9">
                  <c:v>-3.2287326049735758E-3</c:v>
                </c:pt>
                <c:pt idx="10">
                  <c:v>-3.5064483233977193E-3</c:v>
                </c:pt>
                <c:pt idx="11">
                  <c:v>-3.758574879044449E-3</c:v>
                </c:pt>
                <c:pt idx="12">
                  <c:v>-3.9825533556360239E-3</c:v>
                </c:pt>
                <c:pt idx="13">
                  <c:v>-4.0831874029493339E-3</c:v>
                </c:pt>
                <c:pt idx="14">
                  <c:v>-4.1758260349688669E-3</c:v>
                </c:pt>
                <c:pt idx="15">
                  <c:v>-4.336703802609713E-3</c:v>
                </c:pt>
                <c:pt idx="16">
                  <c:v>-4.4658972866796738E-3</c:v>
                </c:pt>
                <c:pt idx="17">
                  <c:v>-4.5645280547387821E-3</c:v>
                </c:pt>
                <c:pt idx="18">
                  <c:v>-4.6337176743470685E-3</c:v>
                </c:pt>
                <c:pt idx="19">
                  <c:v>-4.674587713064564E-3</c:v>
                </c:pt>
                <c:pt idx="20">
                  <c:v>-4.6882597384513003E-3</c:v>
                </c:pt>
                <c:pt idx="21">
                  <c:v>-4.6758553180673082E-3</c:v>
                </c:pt>
                <c:pt idx="22">
                  <c:v>-4.6384960194726195E-3</c:v>
                </c:pt>
                <c:pt idx="23">
                  <c:v>-4.5773034102272658E-3</c:v>
                </c:pt>
                <c:pt idx="24">
                  <c:v>-4.4933990578912763E-3</c:v>
                </c:pt>
                <c:pt idx="25">
                  <c:v>-4.3879045300246845E-3</c:v>
                </c:pt>
                <c:pt idx="26">
                  <c:v>-4.261941394187522E-3</c:v>
                </c:pt>
                <c:pt idx="27">
                  <c:v>-4.116631217939818E-3</c:v>
                </c:pt>
                <c:pt idx="28">
                  <c:v>-3.953095568841606E-3</c:v>
                </c:pt>
                <c:pt idx="29">
                  <c:v>-3.7724560144529167E-3</c:v>
                </c:pt>
                <c:pt idx="30">
                  <c:v>-3.5758341223337802E-3</c:v>
                </c:pt>
                <c:pt idx="31">
                  <c:v>-3.4718802894878045E-3</c:v>
                </c:pt>
                <c:pt idx="32">
                  <c:v>-3.3643514600442291E-3</c:v>
                </c:pt>
                <c:pt idx="33">
                  <c:v>-3.1391295951442946E-3</c:v>
                </c:pt>
                <c:pt idx="34">
                  <c:v>-2.9012900951940076E-3</c:v>
                </c:pt>
                <c:pt idx="35">
                  <c:v>-2.6519545277533993E-3</c:v>
                </c:pt>
                <c:pt idx="36">
                  <c:v>-2.3922444603825016E-3</c:v>
                </c:pt>
                <c:pt idx="37">
                  <c:v>-2.1232814606413452E-3</c:v>
                </c:pt>
                <c:pt idx="38">
                  <c:v>-1.8461870960899626E-3</c:v>
                </c:pt>
                <c:pt idx="39">
                  <c:v>-1.5620829342883834E-3</c:v>
                </c:pt>
                <c:pt idx="40">
                  <c:v>-1.2720905427966403E-3</c:v>
                </c:pt>
                <c:pt idx="41">
                  <c:v>-9.7733148917476397E-4</c:v>
                </c:pt>
                <c:pt idx="42">
                  <c:v>-6.789273409827858E-4</c:v>
                </c:pt>
                <c:pt idx="43">
                  <c:v>-3.7799966578073714E-4</c:v>
                </c:pt>
                <c:pt idx="44">
                  <c:v>-7.5670031128649394E-5</c:v>
                </c:pt>
                <c:pt idx="45">
                  <c:v>0</c:v>
                </c:pt>
              </c:numCache>
            </c:numRef>
          </c:yVal>
          <c:smooth val="0"/>
          <c:extLst>
            <c:ext xmlns:c16="http://schemas.microsoft.com/office/drawing/2014/chart" uri="{C3380CC4-5D6E-409C-BE32-E72D297353CC}">
              <c16:uniqueId val="{00000007-D1D4-4B77-BB47-9ADF604C3884}"/>
            </c:ext>
          </c:extLst>
        </c:ser>
        <c:ser>
          <c:idx val="1"/>
          <c:order val="1"/>
          <c:tx>
            <c:strRef>
              <c:f>'Albero 1'!$AK$2</c:f>
              <c:strCache>
                <c:ptCount val="1"/>
                <c:pt idx="0">
                  <c:v>Ma5</c:v>
                </c:pt>
              </c:strCache>
            </c:strRef>
          </c:tx>
          <c:spPr>
            <a:ln w="19050" cap="rnd">
              <a:solidFill>
                <a:schemeClr val="accent2"/>
              </a:solidFill>
              <a:round/>
            </a:ln>
            <a:effectLst/>
          </c:spPr>
          <c:marker>
            <c:symbol val="none"/>
          </c:marker>
          <c:xVal>
            <c:numRef>
              <c:f>'Albero 1'!$AG$3:$AG$48</c:f>
              <c:numCache>
                <c:formatCode>General</c:formatCode>
                <c:ptCount val="46"/>
                <c:pt idx="0">
                  <c:v>0</c:v>
                </c:pt>
                <c:pt idx="1">
                  <c:v>2</c:v>
                </c:pt>
                <c:pt idx="2">
                  <c:v>4</c:v>
                </c:pt>
                <c:pt idx="3">
                  <c:v>6</c:v>
                </c:pt>
                <c:pt idx="4">
                  <c:v>8</c:v>
                </c:pt>
                <c:pt idx="5">
                  <c:v>10</c:v>
                </c:pt>
                <c:pt idx="6">
                  <c:v>12</c:v>
                </c:pt>
                <c:pt idx="7">
                  <c:v>14</c:v>
                </c:pt>
                <c:pt idx="8">
                  <c:v>16</c:v>
                </c:pt>
                <c:pt idx="9">
                  <c:v>18</c:v>
                </c:pt>
                <c:pt idx="10">
                  <c:v>20</c:v>
                </c:pt>
                <c:pt idx="11">
                  <c:v>22</c:v>
                </c:pt>
                <c:pt idx="12">
                  <c:v>24</c:v>
                </c:pt>
                <c:pt idx="13">
                  <c:v>25</c:v>
                </c:pt>
                <c:pt idx="14">
                  <c:v>26</c:v>
                </c:pt>
                <c:pt idx="15">
                  <c:v>28</c:v>
                </c:pt>
                <c:pt idx="16">
                  <c:v>30</c:v>
                </c:pt>
                <c:pt idx="17">
                  <c:v>32</c:v>
                </c:pt>
                <c:pt idx="18">
                  <c:v>34</c:v>
                </c:pt>
                <c:pt idx="19">
                  <c:v>36</c:v>
                </c:pt>
                <c:pt idx="20">
                  <c:v>38</c:v>
                </c:pt>
                <c:pt idx="21">
                  <c:v>40</c:v>
                </c:pt>
                <c:pt idx="22">
                  <c:v>42</c:v>
                </c:pt>
                <c:pt idx="23">
                  <c:v>44</c:v>
                </c:pt>
                <c:pt idx="24">
                  <c:v>46</c:v>
                </c:pt>
                <c:pt idx="25">
                  <c:v>48</c:v>
                </c:pt>
                <c:pt idx="26">
                  <c:v>50</c:v>
                </c:pt>
                <c:pt idx="27">
                  <c:v>52</c:v>
                </c:pt>
                <c:pt idx="28">
                  <c:v>54</c:v>
                </c:pt>
                <c:pt idx="29">
                  <c:v>56</c:v>
                </c:pt>
                <c:pt idx="30">
                  <c:v>58</c:v>
                </c:pt>
                <c:pt idx="31">
                  <c:v>59</c:v>
                </c:pt>
                <c:pt idx="32">
                  <c:v>60</c:v>
                </c:pt>
                <c:pt idx="33">
                  <c:v>62</c:v>
                </c:pt>
                <c:pt idx="34">
                  <c:v>64</c:v>
                </c:pt>
                <c:pt idx="35">
                  <c:v>66</c:v>
                </c:pt>
                <c:pt idx="36">
                  <c:v>68</c:v>
                </c:pt>
                <c:pt idx="37">
                  <c:v>70</c:v>
                </c:pt>
                <c:pt idx="38">
                  <c:v>72</c:v>
                </c:pt>
                <c:pt idx="39">
                  <c:v>74</c:v>
                </c:pt>
                <c:pt idx="40">
                  <c:v>76</c:v>
                </c:pt>
                <c:pt idx="41">
                  <c:v>78</c:v>
                </c:pt>
                <c:pt idx="42">
                  <c:v>80</c:v>
                </c:pt>
                <c:pt idx="43">
                  <c:v>82</c:v>
                </c:pt>
                <c:pt idx="44">
                  <c:v>84</c:v>
                </c:pt>
                <c:pt idx="45">
                  <c:v>84.5</c:v>
                </c:pt>
              </c:numCache>
            </c:numRef>
          </c:xVal>
          <c:yVal>
            <c:numRef>
              <c:f>'Albero 1'!$AK$3:$AK$48</c:f>
              <c:numCache>
                <c:formatCode>General</c:formatCode>
                <c:ptCount val="46"/>
                <c:pt idx="0">
                  <c:v>0</c:v>
                </c:pt>
                <c:pt idx="1">
                  <c:v>1.0800064535800717E-4</c:v>
                </c:pt>
                <c:pt idx="2">
                  <c:v>2.1680665527213578E-4</c:v>
                </c:pt>
                <c:pt idx="3">
                  <c:v>3.2722339429850739E-4</c:v>
                </c:pt>
                <c:pt idx="4">
                  <c:v>4.400562269932433E-4</c:v>
                </c:pt>
                <c:pt idx="5">
                  <c:v>5.5611051791246504E-4</c:v>
                </c:pt>
                <c:pt idx="6">
                  <c:v>6.7619163161229418E-4</c:v>
                </c:pt>
                <c:pt idx="7">
                  <c:v>8.011049326488521E-4</c:v>
                </c:pt>
                <c:pt idx="8">
                  <c:v>9.316557855782602E-4</c:v>
                </c:pt>
                <c:pt idx="9">
                  <c:v>1.0686495549566402E-3</c:v>
                </c:pt>
                <c:pt idx="10">
                  <c:v>1.2128916053401131E-3</c:v>
                </c:pt>
                <c:pt idx="11">
                  <c:v>1.3651873012848008E-3</c:v>
                </c:pt>
                <c:pt idx="12">
                  <c:v>1.5263420073468245E-3</c:v>
                </c:pt>
                <c:pt idx="13">
                  <c:v>1.6104931655956255E-3</c:v>
                </c:pt>
                <c:pt idx="14">
                  <c:v>1.6968952548596797E-3</c:v>
                </c:pt>
                <c:pt idx="15">
                  <c:v>1.8569174170146574E-3</c:v>
                </c:pt>
                <c:pt idx="16">
                  <c:v>1.9941880304592038E-3</c:v>
                </c:pt>
                <c:pt idx="17">
                  <c:v>2.1095124597494408E-3</c:v>
                </c:pt>
                <c:pt idx="18">
                  <c:v>2.2036960694414892E-3</c:v>
                </c:pt>
                <c:pt idx="19">
                  <c:v>2.2775442240914705E-3</c:v>
                </c:pt>
                <c:pt idx="20">
                  <c:v>2.3318622882555064E-3</c:v>
                </c:pt>
                <c:pt idx="21">
                  <c:v>2.3674556264897183E-3</c:v>
                </c:pt>
                <c:pt idx="22">
                  <c:v>2.3851296033502276E-3</c:v>
                </c:pt>
                <c:pt idx="23">
                  <c:v>2.3856895833931557E-3</c:v>
                </c:pt>
                <c:pt idx="24">
                  <c:v>2.369940931174624E-3</c:v>
                </c:pt>
                <c:pt idx="25">
                  <c:v>2.3386890112507544E-3</c:v>
                </c:pt>
                <c:pt idx="26">
                  <c:v>2.2927391881776681E-3</c:v>
                </c:pt>
                <c:pt idx="27">
                  <c:v>2.2328968265114871E-3</c:v>
                </c:pt>
                <c:pt idx="28">
                  <c:v>2.1599672908083315E-3</c:v>
                </c:pt>
                <c:pt idx="29">
                  <c:v>2.0747559456243242E-3</c:v>
                </c:pt>
                <c:pt idx="30">
                  <c:v>1.9780681555155851E-3</c:v>
                </c:pt>
                <c:pt idx="31">
                  <c:v>1.9256722700382301E-3</c:v>
                </c:pt>
                <c:pt idx="32">
                  <c:v>1.8707092850382375E-3</c:v>
                </c:pt>
                <c:pt idx="33">
                  <c:v>1.7534846987484016E-3</c:v>
                </c:pt>
                <c:pt idx="34">
                  <c:v>1.6271997612021995E-3</c:v>
                </c:pt>
                <c:pt idx="35">
                  <c:v>1.492659836955752E-3</c:v>
                </c:pt>
                <c:pt idx="36">
                  <c:v>1.3506702905651815E-3</c:v>
                </c:pt>
                <c:pt idx="37">
                  <c:v>1.2020364865866085E-3</c:v>
                </c:pt>
                <c:pt idx="38">
                  <c:v>1.0475637895761554E-3</c:v>
                </c:pt>
                <c:pt idx="39">
                  <c:v>8.8805756408994266E-4</c:v>
                </c:pt>
                <c:pt idx="40">
                  <c:v>7.243231746840923E-4</c:v>
                </c:pt>
                <c:pt idx="41">
                  <c:v>5.5716598591472582E-4</c:v>
                </c:pt>
                <c:pt idx="42">
                  <c:v>3.873913623379646E-4</c:v>
                </c:pt>
                <c:pt idx="43">
                  <c:v>2.1580466850992997E-4</c:v>
                </c:pt>
                <c:pt idx="44">
                  <c:v>4.3211268986743581E-5</c:v>
                </c:pt>
                <c:pt idx="45">
                  <c:v>0</c:v>
                </c:pt>
              </c:numCache>
            </c:numRef>
          </c:yVal>
          <c:smooth val="0"/>
          <c:extLst>
            <c:ext xmlns:c16="http://schemas.microsoft.com/office/drawing/2014/chart" uri="{C3380CC4-5D6E-409C-BE32-E72D297353CC}">
              <c16:uniqueId val="{00000008-D1D4-4B77-BB47-9ADF604C3884}"/>
            </c:ext>
          </c:extLst>
        </c:ser>
        <c:ser>
          <c:idx val="2"/>
          <c:order val="2"/>
          <c:tx>
            <c:strRef>
              <c:f>'Albero 1'!$AL$2</c:f>
              <c:strCache>
                <c:ptCount val="1"/>
                <c:pt idx="0">
                  <c:v>Fr4</c:v>
                </c:pt>
              </c:strCache>
            </c:strRef>
          </c:tx>
          <c:spPr>
            <a:ln w="19050" cap="rnd">
              <a:solidFill>
                <a:schemeClr val="accent3"/>
              </a:solidFill>
              <a:round/>
            </a:ln>
            <a:effectLst/>
          </c:spPr>
          <c:marker>
            <c:symbol val="none"/>
          </c:marker>
          <c:xVal>
            <c:numRef>
              <c:f>'Albero 1'!$AG$3:$AG$48</c:f>
              <c:numCache>
                <c:formatCode>General</c:formatCode>
                <c:ptCount val="46"/>
                <c:pt idx="0">
                  <c:v>0</c:v>
                </c:pt>
                <c:pt idx="1">
                  <c:v>2</c:v>
                </c:pt>
                <c:pt idx="2">
                  <c:v>4</c:v>
                </c:pt>
                <c:pt idx="3">
                  <c:v>6</c:v>
                </c:pt>
                <c:pt idx="4">
                  <c:v>8</c:v>
                </c:pt>
                <c:pt idx="5">
                  <c:v>10</c:v>
                </c:pt>
                <c:pt idx="6">
                  <c:v>12</c:v>
                </c:pt>
                <c:pt idx="7">
                  <c:v>14</c:v>
                </c:pt>
                <c:pt idx="8">
                  <c:v>16</c:v>
                </c:pt>
                <c:pt idx="9">
                  <c:v>18</c:v>
                </c:pt>
                <c:pt idx="10">
                  <c:v>20</c:v>
                </c:pt>
                <c:pt idx="11">
                  <c:v>22</c:v>
                </c:pt>
                <c:pt idx="12">
                  <c:v>24</c:v>
                </c:pt>
                <c:pt idx="13">
                  <c:v>25</c:v>
                </c:pt>
                <c:pt idx="14">
                  <c:v>26</c:v>
                </c:pt>
                <c:pt idx="15">
                  <c:v>28</c:v>
                </c:pt>
                <c:pt idx="16">
                  <c:v>30</c:v>
                </c:pt>
                <c:pt idx="17">
                  <c:v>32</c:v>
                </c:pt>
                <c:pt idx="18">
                  <c:v>34</c:v>
                </c:pt>
                <c:pt idx="19">
                  <c:v>36</c:v>
                </c:pt>
                <c:pt idx="20">
                  <c:v>38</c:v>
                </c:pt>
                <c:pt idx="21">
                  <c:v>40</c:v>
                </c:pt>
                <c:pt idx="22">
                  <c:v>42</c:v>
                </c:pt>
                <c:pt idx="23">
                  <c:v>44</c:v>
                </c:pt>
                <c:pt idx="24">
                  <c:v>46</c:v>
                </c:pt>
                <c:pt idx="25">
                  <c:v>48</c:v>
                </c:pt>
                <c:pt idx="26">
                  <c:v>50</c:v>
                </c:pt>
                <c:pt idx="27">
                  <c:v>52</c:v>
                </c:pt>
                <c:pt idx="28">
                  <c:v>54</c:v>
                </c:pt>
                <c:pt idx="29">
                  <c:v>56</c:v>
                </c:pt>
                <c:pt idx="30">
                  <c:v>58</c:v>
                </c:pt>
                <c:pt idx="31">
                  <c:v>59</c:v>
                </c:pt>
                <c:pt idx="32">
                  <c:v>60</c:v>
                </c:pt>
                <c:pt idx="33">
                  <c:v>62</c:v>
                </c:pt>
                <c:pt idx="34">
                  <c:v>64</c:v>
                </c:pt>
                <c:pt idx="35">
                  <c:v>66</c:v>
                </c:pt>
                <c:pt idx="36">
                  <c:v>68</c:v>
                </c:pt>
                <c:pt idx="37">
                  <c:v>70</c:v>
                </c:pt>
                <c:pt idx="38">
                  <c:v>72</c:v>
                </c:pt>
                <c:pt idx="39">
                  <c:v>74</c:v>
                </c:pt>
                <c:pt idx="40">
                  <c:v>76</c:v>
                </c:pt>
                <c:pt idx="41">
                  <c:v>78</c:v>
                </c:pt>
                <c:pt idx="42">
                  <c:v>80</c:v>
                </c:pt>
                <c:pt idx="43">
                  <c:v>82</c:v>
                </c:pt>
                <c:pt idx="44">
                  <c:v>84</c:v>
                </c:pt>
                <c:pt idx="45">
                  <c:v>84.5</c:v>
                </c:pt>
              </c:numCache>
            </c:numRef>
          </c:xVal>
          <c:yVal>
            <c:numRef>
              <c:f>'Albero 1'!$AL$3:$AL$48</c:f>
              <c:numCache>
                <c:formatCode>General</c:formatCode>
                <c:ptCount val="46"/>
                <c:pt idx="0">
                  <c:v>0</c:v>
                </c:pt>
                <c:pt idx="1">
                  <c:v>1.1285034624847472E-4</c:v>
                </c:pt>
                <c:pt idx="2">
                  <c:v>2.2528393014147947E-4</c:v>
                </c:pt>
                <c:pt idx="3">
                  <c:v>3.3688398932354421E-4</c:v>
                </c:pt>
                <c:pt idx="4">
                  <c:v>4.4723376143919892E-4</c:v>
                </c:pt>
                <c:pt idx="5">
                  <c:v>5.5591648413297378E-4</c:v>
                </c:pt>
                <c:pt idx="6">
                  <c:v>6.6251539504939871E-4</c:v>
                </c:pt>
                <c:pt idx="7">
                  <c:v>7.6661373183300346E-4</c:v>
                </c:pt>
                <c:pt idx="8">
                  <c:v>8.6779473212831844E-4</c:v>
                </c:pt>
                <c:pt idx="9">
                  <c:v>9.656416335798734E-4</c:v>
                </c:pt>
                <c:pt idx="10">
                  <c:v>1.0597376738321984E-3</c:v>
                </c:pt>
                <c:pt idx="11">
                  <c:v>1.1496660905298236E-3</c:v>
                </c:pt>
                <c:pt idx="12">
                  <c:v>1.2350101213172791E-3</c:v>
                </c:pt>
                <c:pt idx="13">
                  <c:v>1.2758327537586084E-3</c:v>
                </c:pt>
                <c:pt idx="14">
                  <c:v>1.3153530038390944E-3</c:v>
                </c:pt>
                <c:pt idx="15">
                  <c:v>1.3902779757397996E-3</c:v>
                </c:pt>
                <c:pt idx="16">
                  <c:v>1.4593682746639255E-3</c:v>
                </c:pt>
                <c:pt idx="17">
                  <c:v>1.5222071382560011E-3</c:v>
                </c:pt>
                <c:pt idx="18">
                  <c:v>1.5783778041605569E-3</c:v>
                </c:pt>
                <c:pt idx="19">
                  <c:v>1.6274635100221226E-3</c:v>
                </c:pt>
                <c:pt idx="20">
                  <c:v>1.6690474934852287E-3</c:v>
                </c:pt>
                <c:pt idx="21">
                  <c:v>1.7027129921944051E-3</c:v>
                </c:pt>
                <c:pt idx="22">
                  <c:v>1.7280432437941813E-3</c:v>
                </c:pt>
                <c:pt idx="23">
                  <c:v>1.744621485929088E-3</c:v>
                </c:pt>
                <c:pt idx="24">
                  <c:v>1.7520309562436547E-3</c:v>
                </c:pt>
                <c:pt idx="25">
                  <c:v>1.7498548923824118E-3</c:v>
                </c:pt>
                <c:pt idx="26">
                  <c:v>1.7376765319898891E-3</c:v>
                </c:pt>
                <c:pt idx="27">
                  <c:v>1.7150791127106164E-3</c:v>
                </c:pt>
                <c:pt idx="28">
                  <c:v>1.6816458721891239E-3</c:v>
                </c:pt>
                <c:pt idx="29">
                  <c:v>1.6369600480699417E-3</c:v>
                </c:pt>
                <c:pt idx="30">
                  <c:v>1.5806048779975997E-3</c:v>
                </c:pt>
                <c:pt idx="31">
                  <c:v>1.5479210499929094E-3</c:v>
                </c:pt>
                <c:pt idx="32">
                  <c:v>1.512175857807041E-3</c:v>
                </c:pt>
                <c:pt idx="33">
                  <c:v>1.4318237339582432E-3</c:v>
                </c:pt>
                <c:pt idx="34">
                  <c:v>1.3404697028790301E-3</c:v>
                </c:pt>
                <c:pt idx="35">
                  <c:v>1.2390917118787733E-3</c:v>
                </c:pt>
                <c:pt idx="36">
                  <c:v>1.128667708266842E-3</c:v>
                </c:pt>
                <c:pt idx="37">
                  <c:v>1.0101756393526068E-3</c:v>
                </c:pt>
                <c:pt idx="38">
                  <c:v>8.8459345244543781E-4</c:v>
                </c:pt>
                <c:pt idx="39">
                  <c:v>7.5289909485470516E-4</c:v>
                </c:pt>
                <c:pt idx="40">
                  <c:v>6.1607051388977907E-4</c:v>
                </c:pt>
                <c:pt idx="41">
                  <c:v>4.7508565686002978E-4</c:v>
                </c:pt>
                <c:pt idx="42">
                  <c:v>3.3092247107482735E-4</c:v>
                </c:pt>
                <c:pt idx="43">
                  <c:v>1.8455890384354209E-4</c:v>
                </c:pt>
                <c:pt idx="44">
                  <c:v>3.6972902475544048E-5</c:v>
                </c:pt>
                <c:pt idx="45">
                  <c:v>0</c:v>
                </c:pt>
              </c:numCache>
            </c:numRef>
          </c:yVal>
          <c:smooth val="0"/>
          <c:extLst>
            <c:ext xmlns:c16="http://schemas.microsoft.com/office/drawing/2014/chart" uri="{C3380CC4-5D6E-409C-BE32-E72D297353CC}">
              <c16:uniqueId val="{00000009-D1D4-4B77-BB47-9ADF604C3884}"/>
            </c:ext>
          </c:extLst>
        </c:ser>
        <c:ser>
          <c:idx val="3"/>
          <c:order val="3"/>
          <c:tx>
            <c:strRef>
              <c:f>'Albero 1'!$AM$2</c:f>
              <c:strCache>
                <c:ptCount val="1"/>
                <c:pt idx="0">
                  <c:v>Ma4</c:v>
                </c:pt>
              </c:strCache>
            </c:strRef>
          </c:tx>
          <c:spPr>
            <a:ln w="19050" cap="rnd">
              <a:solidFill>
                <a:schemeClr val="accent4"/>
              </a:solidFill>
              <a:round/>
            </a:ln>
            <a:effectLst/>
          </c:spPr>
          <c:marker>
            <c:symbol val="none"/>
          </c:marker>
          <c:xVal>
            <c:numRef>
              <c:f>'Albero 1'!$AG$3:$AG$48</c:f>
              <c:numCache>
                <c:formatCode>General</c:formatCode>
                <c:ptCount val="46"/>
                <c:pt idx="0">
                  <c:v>0</c:v>
                </c:pt>
                <c:pt idx="1">
                  <c:v>2</c:v>
                </c:pt>
                <c:pt idx="2">
                  <c:v>4</c:v>
                </c:pt>
                <c:pt idx="3">
                  <c:v>6</c:v>
                </c:pt>
                <c:pt idx="4">
                  <c:v>8</c:v>
                </c:pt>
                <c:pt idx="5">
                  <c:v>10</c:v>
                </c:pt>
                <c:pt idx="6">
                  <c:v>12</c:v>
                </c:pt>
                <c:pt idx="7">
                  <c:v>14</c:v>
                </c:pt>
                <c:pt idx="8">
                  <c:v>16</c:v>
                </c:pt>
                <c:pt idx="9">
                  <c:v>18</c:v>
                </c:pt>
                <c:pt idx="10">
                  <c:v>20</c:v>
                </c:pt>
                <c:pt idx="11">
                  <c:v>22</c:v>
                </c:pt>
                <c:pt idx="12">
                  <c:v>24</c:v>
                </c:pt>
                <c:pt idx="13">
                  <c:v>25</c:v>
                </c:pt>
                <c:pt idx="14">
                  <c:v>26</c:v>
                </c:pt>
                <c:pt idx="15">
                  <c:v>28</c:v>
                </c:pt>
                <c:pt idx="16">
                  <c:v>30</c:v>
                </c:pt>
                <c:pt idx="17">
                  <c:v>32</c:v>
                </c:pt>
                <c:pt idx="18">
                  <c:v>34</c:v>
                </c:pt>
                <c:pt idx="19">
                  <c:v>36</c:v>
                </c:pt>
                <c:pt idx="20">
                  <c:v>38</c:v>
                </c:pt>
                <c:pt idx="21">
                  <c:v>40</c:v>
                </c:pt>
                <c:pt idx="22">
                  <c:v>42</c:v>
                </c:pt>
                <c:pt idx="23">
                  <c:v>44</c:v>
                </c:pt>
                <c:pt idx="24">
                  <c:v>46</c:v>
                </c:pt>
                <c:pt idx="25">
                  <c:v>48</c:v>
                </c:pt>
                <c:pt idx="26">
                  <c:v>50</c:v>
                </c:pt>
                <c:pt idx="27">
                  <c:v>52</c:v>
                </c:pt>
                <c:pt idx="28">
                  <c:v>54</c:v>
                </c:pt>
                <c:pt idx="29">
                  <c:v>56</c:v>
                </c:pt>
                <c:pt idx="30">
                  <c:v>58</c:v>
                </c:pt>
                <c:pt idx="31">
                  <c:v>59</c:v>
                </c:pt>
                <c:pt idx="32">
                  <c:v>60</c:v>
                </c:pt>
                <c:pt idx="33">
                  <c:v>62</c:v>
                </c:pt>
                <c:pt idx="34">
                  <c:v>64</c:v>
                </c:pt>
                <c:pt idx="35">
                  <c:v>66</c:v>
                </c:pt>
                <c:pt idx="36">
                  <c:v>68</c:v>
                </c:pt>
                <c:pt idx="37">
                  <c:v>70</c:v>
                </c:pt>
                <c:pt idx="38">
                  <c:v>72</c:v>
                </c:pt>
                <c:pt idx="39">
                  <c:v>74</c:v>
                </c:pt>
                <c:pt idx="40">
                  <c:v>76</c:v>
                </c:pt>
                <c:pt idx="41">
                  <c:v>78</c:v>
                </c:pt>
                <c:pt idx="42">
                  <c:v>80</c:v>
                </c:pt>
                <c:pt idx="43">
                  <c:v>82</c:v>
                </c:pt>
                <c:pt idx="44">
                  <c:v>84</c:v>
                </c:pt>
                <c:pt idx="45">
                  <c:v>84.5</c:v>
                </c:pt>
              </c:numCache>
            </c:numRef>
          </c:xVal>
          <c:yVal>
            <c:numRef>
              <c:f>'Albero 1'!$AM$3:$AM$48</c:f>
              <c:numCache>
                <c:formatCode>General</c:formatCode>
                <c:ptCount val="46"/>
                <c:pt idx="0">
                  <c:v>0</c:v>
                </c:pt>
                <c:pt idx="1">
                  <c:v>-2.7947555507198995E-4</c:v>
                </c:pt>
                <c:pt idx="2">
                  <c:v>-5.5766704140320625E-4</c:v>
                </c:pt>
                <c:pt idx="3">
                  <c:v>-8.3329039025287503E-4</c:v>
                </c:pt>
                <c:pt idx="4">
                  <c:v>-1.1050615328802227E-3</c:v>
                </c:pt>
                <c:pt idx="5">
                  <c:v>-1.3716964005444758E-3</c:v>
                </c:pt>
                <c:pt idx="6">
                  <c:v>-1.6319109245048601E-3</c:v>
                </c:pt>
                <c:pt idx="7">
                  <c:v>-1.8844210360206021E-3</c:v>
                </c:pt>
                <c:pt idx="8">
                  <c:v>-2.1279426663509287E-3</c:v>
                </c:pt>
                <c:pt idx="9">
                  <c:v>-2.3611917467550648E-3</c:v>
                </c:pt>
                <c:pt idx="10">
                  <c:v>-2.5828842084922384E-3</c:v>
                </c:pt>
                <c:pt idx="11">
                  <c:v>-2.7917359828216744E-3</c:v>
                </c:pt>
                <c:pt idx="12">
                  <c:v>-2.986463001002599E-3</c:v>
                </c:pt>
                <c:pt idx="13">
                  <c:v>-3.0781284550558782E-3</c:v>
                </c:pt>
                <c:pt idx="14">
                  <c:v>-3.1657811942942399E-3</c:v>
                </c:pt>
                <c:pt idx="15">
                  <c:v>-3.3284064939558228E-3</c:v>
                </c:pt>
                <c:pt idx="16">
                  <c:v>-3.4730548312465735E-3</c:v>
                </c:pt>
                <c:pt idx="17">
                  <c:v>-3.5984421374257187E-3</c:v>
                </c:pt>
                <c:pt idx="18">
                  <c:v>-3.7032843437524842E-3</c:v>
                </c:pt>
                <c:pt idx="19">
                  <c:v>-3.7862973814860972E-3</c:v>
                </c:pt>
                <c:pt idx="20">
                  <c:v>-3.8461971818857833E-3</c:v>
                </c:pt>
                <c:pt idx="21">
                  <c:v>-3.8816996762107685E-3</c:v>
                </c:pt>
                <c:pt idx="22">
                  <c:v>-3.8915207957202799E-3</c:v>
                </c:pt>
                <c:pt idx="23">
                  <c:v>-3.8743764716735437E-3</c:v>
                </c:pt>
                <c:pt idx="24">
                  <c:v>-3.828982635329786E-3</c:v>
                </c:pt>
                <c:pt idx="25">
                  <c:v>-3.754055217948232E-3</c:v>
                </c:pt>
                <c:pt idx="26">
                  <c:v>-3.64831015078811E-3</c:v>
                </c:pt>
                <c:pt idx="27">
                  <c:v>-3.5104633651086448E-3</c:v>
                </c:pt>
                <c:pt idx="28">
                  <c:v>-3.3392307921690633E-3</c:v>
                </c:pt>
                <c:pt idx="29">
                  <c:v>-3.1333283632285921E-3</c:v>
                </c:pt>
                <c:pt idx="30">
                  <c:v>-2.8914720095464565E-3</c:v>
                </c:pt>
                <c:pt idx="31">
                  <c:v>-2.7566598394457736E-3</c:v>
                </c:pt>
                <c:pt idx="32">
                  <c:v>-2.6161922494028151E-3</c:v>
                </c:pt>
                <c:pt idx="33">
                  <c:v>-2.3460462562755091E-3</c:v>
                </c:pt>
                <c:pt idx="34">
                  <c:v>-2.0903460364819072E-3</c:v>
                </c:pt>
                <c:pt idx="35">
                  <c:v>-1.847807521281236E-3</c:v>
                </c:pt>
                <c:pt idx="36">
                  <c:v>-1.6171466419327215E-3</c:v>
                </c:pt>
                <c:pt idx="37">
                  <c:v>-1.3970793296955901E-3</c:v>
                </c:pt>
                <c:pt idx="38">
                  <c:v>-1.1863215158290682E-3</c:v>
                </c:pt>
                <c:pt idx="39">
                  <c:v>-9.8358913159238173E-4</c:v>
                </c:pt>
                <c:pt idx="40">
                  <c:v>-7.8759810824475748E-4</c:v>
                </c:pt>
                <c:pt idx="41">
                  <c:v>-5.9706437704542138E-4</c:v>
                </c:pt>
                <c:pt idx="42">
                  <c:v>-4.1070386925359977E-4</c:v>
                </c:pt>
                <c:pt idx="43">
                  <c:v>-2.2723251612851906E-4</c:v>
                </c:pt>
                <c:pt idx="44">
                  <c:v>-4.5366248929405449E-5</c:v>
                </c:pt>
                <c:pt idx="45">
                  <c:v>0</c:v>
                </c:pt>
              </c:numCache>
            </c:numRef>
          </c:yVal>
          <c:smooth val="0"/>
          <c:extLst>
            <c:ext xmlns:c16="http://schemas.microsoft.com/office/drawing/2014/chart" uri="{C3380CC4-5D6E-409C-BE32-E72D297353CC}">
              <c16:uniqueId val="{0000000A-D1D4-4B77-BB47-9ADF604C3884}"/>
            </c:ext>
          </c:extLst>
        </c:ser>
        <c:dLbls>
          <c:showLegendKey val="0"/>
          <c:showVal val="0"/>
          <c:showCatName val="0"/>
          <c:showSerName val="0"/>
          <c:showPercent val="0"/>
          <c:showBubbleSize val="0"/>
        </c:dLbls>
        <c:axId val="1809846863"/>
        <c:axId val="1809848303"/>
      </c:scatterChart>
      <c:valAx>
        <c:axId val="1809846863"/>
        <c:scaling>
          <c:orientation val="minMax"/>
          <c:max val="84.5"/>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y</a:t>
                </a:r>
              </a:p>
            </c:rich>
          </c:tx>
          <c:layout>
            <c:manualLayout>
              <c:xMode val="edge"/>
              <c:yMode val="edge"/>
              <c:x val="0.92392377438046536"/>
              <c:y val="0.4676357847827983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809848303"/>
        <c:crosses val="autoZero"/>
        <c:crossBetween val="midCat"/>
      </c:valAx>
      <c:valAx>
        <c:axId val="1809848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z</a:t>
                </a:r>
              </a:p>
            </c:rich>
          </c:tx>
          <c:layout>
            <c:manualLayout>
              <c:xMode val="edge"/>
              <c:yMode val="edge"/>
              <c:x val="9.0871152999516897E-2"/>
              <c:y val="8.2436087226862104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80984686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Momento flettente</a:t>
            </a:r>
            <a:r>
              <a:rPr lang="it-IT" baseline="0"/>
              <a:t> 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'Albero 2'!$J$19:$J$23</c:f>
              <c:numCache>
                <c:formatCode>General</c:formatCode>
                <c:ptCount val="5"/>
                <c:pt idx="0">
                  <c:v>0</c:v>
                </c:pt>
                <c:pt idx="1">
                  <c:v>24</c:v>
                </c:pt>
                <c:pt idx="2">
                  <c:v>101.75</c:v>
                </c:pt>
                <c:pt idx="3">
                  <c:v>101.75</c:v>
                </c:pt>
                <c:pt idx="4">
                  <c:v>115.75</c:v>
                </c:pt>
              </c:numCache>
            </c:numRef>
          </c:xVal>
          <c:yVal>
            <c:numRef>
              <c:f>'Albero 2'!$K$19:$K$23</c:f>
              <c:numCache>
                <c:formatCode>General</c:formatCode>
                <c:ptCount val="5"/>
                <c:pt idx="0">
                  <c:v>0</c:v>
                </c:pt>
                <c:pt idx="1">
                  <c:v>-26015.849722151284</c:v>
                </c:pt>
                <c:pt idx="2">
                  <c:v>-59893.481509567267</c:v>
                </c:pt>
                <c:pt idx="3">
                  <c:v>-59893.481509567267</c:v>
                </c:pt>
                <c:pt idx="4">
                  <c:v>-16334.585866245619</c:v>
                </c:pt>
              </c:numCache>
            </c:numRef>
          </c:yVal>
          <c:smooth val="0"/>
          <c:extLst>
            <c:ext xmlns:c16="http://schemas.microsoft.com/office/drawing/2014/chart" uri="{C3380CC4-5D6E-409C-BE32-E72D297353CC}">
              <c16:uniqueId val="{00000000-7793-43D6-A71B-0A8C2EBBBE47}"/>
            </c:ext>
          </c:extLst>
        </c:ser>
        <c:dLbls>
          <c:showLegendKey val="0"/>
          <c:showVal val="0"/>
          <c:showCatName val="0"/>
          <c:showSerName val="0"/>
          <c:showPercent val="0"/>
          <c:showBubbleSize val="0"/>
        </c:dLbls>
        <c:axId val="1404140624"/>
        <c:axId val="1404149744"/>
      </c:scatterChart>
      <c:valAx>
        <c:axId val="1404140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404149744"/>
        <c:crosses val="autoZero"/>
        <c:crossBetween val="midCat"/>
      </c:valAx>
      <c:valAx>
        <c:axId val="1404149744"/>
        <c:scaling>
          <c:orientation val="minMax"/>
          <c:min val="-8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4041406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Momento</a:t>
            </a:r>
            <a:r>
              <a:rPr lang="it-IT" baseline="0"/>
              <a:t> Flettente z</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'Albero 2'!$J$19:$J$23</c:f>
              <c:numCache>
                <c:formatCode>General</c:formatCode>
                <c:ptCount val="5"/>
                <c:pt idx="0">
                  <c:v>0</c:v>
                </c:pt>
                <c:pt idx="1">
                  <c:v>24</c:v>
                </c:pt>
                <c:pt idx="2">
                  <c:v>101.75</c:v>
                </c:pt>
                <c:pt idx="3">
                  <c:v>101.75</c:v>
                </c:pt>
                <c:pt idx="4">
                  <c:v>115.75</c:v>
                </c:pt>
              </c:numCache>
            </c:numRef>
          </c:xVal>
          <c:yVal>
            <c:numRef>
              <c:f>'Albero 2'!$L$19:$L$23</c:f>
              <c:numCache>
                <c:formatCode>General</c:formatCode>
                <c:ptCount val="5"/>
                <c:pt idx="0">
                  <c:v>0</c:v>
                </c:pt>
                <c:pt idx="1">
                  <c:v>-9468.9949180057174</c:v>
                </c:pt>
                <c:pt idx="2">
                  <c:v>38577.058590004264</c:v>
                </c:pt>
                <c:pt idx="3">
                  <c:v>17037.393338761354</c:v>
                </c:pt>
                <c:pt idx="4">
                  <c:v>4646.5618196621872</c:v>
                </c:pt>
              </c:numCache>
            </c:numRef>
          </c:yVal>
          <c:smooth val="0"/>
          <c:extLst>
            <c:ext xmlns:c16="http://schemas.microsoft.com/office/drawing/2014/chart" uri="{C3380CC4-5D6E-409C-BE32-E72D297353CC}">
              <c16:uniqueId val="{00000000-1133-4AAA-B65E-F7E5A514EDFD}"/>
            </c:ext>
          </c:extLst>
        </c:ser>
        <c:dLbls>
          <c:showLegendKey val="0"/>
          <c:showVal val="0"/>
          <c:showCatName val="0"/>
          <c:showSerName val="0"/>
          <c:showPercent val="0"/>
          <c:showBubbleSize val="0"/>
        </c:dLbls>
        <c:axId val="1406186960"/>
        <c:axId val="1406176880"/>
      </c:scatterChart>
      <c:valAx>
        <c:axId val="1406186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406176880"/>
        <c:crosses val="autoZero"/>
        <c:crossBetween val="midCat"/>
      </c:valAx>
      <c:valAx>
        <c:axId val="1406176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4061869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scatterChart>
        <c:scatterStyle val="lineMarker"/>
        <c:varyColors val="0"/>
        <c:ser>
          <c:idx val="0"/>
          <c:order val="0"/>
          <c:tx>
            <c:strRef>
              <c:f>'Albero 2'!$Z$58</c:f>
              <c:strCache>
                <c:ptCount val="1"/>
                <c:pt idx="0">
                  <c:v>Fr_3</c:v>
                </c:pt>
              </c:strCache>
            </c:strRef>
          </c:tx>
          <c:spPr>
            <a:ln w="19050" cap="rnd">
              <a:solidFill>
                <a:schemeClr val="accent1"/>
              </a:solidFill>
              <a:round/>
            </a:ln>
            <a:effectLst/>
          </c:spPr>
          <c:marker>
            <c:symbol val="none"/>
          </c:marker>
          <c:xVal>
            <c:numRef>
              <c:f>'Albero 2'!$Y$59:$Y$119</c:f>
              <c:numCache>
                <c:formatCode>General</c:formatCode>
                <c:ptCount val="61"/>
                <c:pt idx="0">
                  <c:v>-24</c:v>
                </c:pt>
                <c:pt idx="1">
                  <c:v>-18</c:v>
                </c:pt>
                <c:pt idx="2">
                  <c:v>-16</c:v>
                </c:pt>
                <c:pt idx="3">
                  <c:v>-14</c:v>
                </c:pt>
                <c:pt idx="4">
                  <c:v>-12</c:v>
                </c:pt>
                <c:pt idx="5">
                  <c:v>-10</c:v>
                </c:pt>
                <c:pt idx="6">
                  <c:v>-8</c:v>
                </c:pt>
                <c:pt idx="7">
                  <c:v>-6</c:v>
                </c:pt>
                <c:pt idx="8">
                  <c:v>-4</c:v>
                </c:pt>
                <c:pt idx="9">
                  <c:v>-2</c:v>
                </c:pt>
                <c:pt idx="10">
                  <c:v>0</c:v>
                </c:pt>
                <c:pt idx="11">
                  <c:v>2</c:v>
                </c:pt>
                <c:pt idx="12">
                  <c:v>4</c:v>
                </c:pt>
                <c:pt idx="13">
                  <c:v>6</c:v>
                </c:pt>
                <c:pt idx="14">
                  <c:v>8</c:v>
                </c:pt>
                <c:pt idx="15">
                  <c:v>10</c:v>
                </c:pt>
                <c:pt idx="16">
                  <c:v>12</c:v>
                </c:pt>
                <c:pt idx="17">
                  <c:v>14</c:v>
                </c:pt>
                <c:pt idx="18">
                  <c:v>16</c:v>
                </c:pt>
                <c:pt idx="19">
                  <c:v>18</c:v>
                </c:pt>
                <c:pt idx="20">
                  <c:v>20</c:v>
                </c:pt>
                <c:pt idx="21">
                  <c:v>22</c:v>
                </c:pt>
                <c:pt idx="22">
                  <c:v>24</c:v>
                </c:pt>
                <c:pt idx="23">
                  <c:v>26</c:v>
                </c:pt>
                <c:pt idx="24">
                  <c:v>28</c:v>
                </c:pt>
                <c:pt idx="25">
                  <c:v>30</c:v>
                </c:pt>
                <c:pt idx="26">
                  <c:v>32</c:v>
                </c:pt>
                <c:pt idx="27">
                  <c:v>34</c:v>
                </c:pt>
                <c:pt idx="28">
                  <c:v>36</c:v>
                </c:pt>
                <c:pt idx="29">
                  <c:v>38</c:v>
                </c:pt>
                <c:pt idx="30">
                  <c:v>40</c:v>
                </c:pt>
                <c:pt idx="31">
                  <c:v>42</c:v>
                </c:pt>
                <c:pt idx="32">
                  <c:v>44</c:v>
                </c:pt>
                <c:pt idx="33">
                  <c:v>46</c:v>
                </c:pt>
                <c:pt idx="34">
                  <c:v>48</c:v>
                </c:pt>
                <c:pt idx="35">
                  <c:v>50</c:v>
                </c:pt>
                <c:pt idx="36">
                  <c:v>52</c:v>
                </c:pt>
                <c:pt idx="37">
                  <c:v>54</c:v>
                </c:pt>
                <c:pt idx="38">
                  <c:v>56</c:v>
                </c:pt>
                <c:pt idx="39">
                  <c:v>58</c:v>
                </c:pt>
                <c:pt idx="40">
                  <c:v>60</c:v>
                </c:pt>
                <c:pt idx="41">
                  <c:v>62</c:v>
                </c:pt>
                <c:pt idx="42">
                  <c:v>64</c:v>
                </c:pt>
                <c:pt idx="43">
                  <c:v>66</c:v>
                </c:pt>
                <c:pt idx="44">
                  <c:v>68</c:v>
                </c:pt>
                <c:pt idx="45">
                  <c:v>70</c:v>
                </c:pt>
                <c:pt idx="46">
                  <c:v>72</c:v>
                </c:pt>
                <c:pt idx="47">
                  <c:v>73</c:v>
                </c:pt>
                <c:pt idx="48">
                  <c:v>74</c:v>
                </c:pt>
                <c:pt idx="49">
                  <c:v>76</c:v>
                </c:pt>
                <c:pt idx="50">
                  <c:v>78</c:v>
                </c:pt>
                <c:pt idx="51">
                  <c:v>80</c:v>
                </c:pt>
                <c:pt idx="52">
                  <c:v>82</c:v>
                </c:pt>
                <c:pt idx="53">
                  <c:v>84</c:v>
                </c:pt>
                <c:pt idx="54">
                  <c:v>86</c:v>
                </c:pt>
                <c:pt idx="55">
                  <c:v>88</c:v>
                </c:pt>
                <c:pt idx="56">
                  <c:v>90</c:v>
                </c:pt>
                <c:pt idx="57">
                  <c:v>92</c:v>
                </c:pt>
                <c:pt idx="58">
                  <c:v>94</c:v>
                </c:pt>
                <c:pt idx="59">
                  <c:v>96</c:v>
                </c:pt>
                <c:pt idx="60">
                  <c:v>97</c:v>
                </c:pt>
              </c:numCache>
            </c:numRef>
          </c:xVal>
          <c:yVal>
            <c:numRef>
              <c:f>'Albero 2'!$Z$59:$Z$119</c:f>
              <c:numCache>
                <c:formatCode>General</c:formatCode>
                <c:ptCount val="61"/>
                <c:pt idx="0">
                  <c:v>1.0056198436425979E-2</c:v>
                </c:pt>
                <c:pt idx="1">
                  <c:v>7.5421488273194849E-3</c:v>
                </c:pt>
                <c:pt idx="2">
                  <c:v>6.7041322909506531E-3</c:v>
                </c:pt>
                <c:pt idx="3">
                  <c:v>5.8661157545818214E-3</c:v>
                </c:pt>
                <c:pt idx="4">
                  <c:v>5.0280992182129896E-3</c:v>
                </c:pt>
                <c:pt idx="5">
                  <c:v>4.1900826818441579E-3</c:v>
                </c:pt>
                <c:pt idx="6">
                  <c:v>3.3520661454753266E-3</c:v>
                </c:pt>
                <c:pt idx="7">
                  <c:v>2.5140496091064948E-3</c:v>
                </c:pt>
                <c:pt idx="8">
                  <c:v>1.6760330727376633E-3</c:v>
                </c:pt>
                <c:pt idx="9">
                  <c:v>8.3801653636883164E-4</c:v>
                </c:pt>
                <c:pt idx="10">
                  <c:v>0</c:v>
                </c:pt>
                <c:pt idx="11">
                  <c:v>-8.3764566848979003E-4</c:v>
                </c:pt>
                <c:pt idx="12">
                  <c:v>-1.6730661297053302E-3</c:v>
                </c:pt>
                <c:pt idx="13">
                  <c:v>-2.504036176372371E-3</c:v>
                </c:pt>
                <c:pt idx="14">
                  <c:v>-3.328330601216662E-3</c:v>
                </c:pt>
                <c:pt idx="15">
                  <c:v>-4.1437241969639544E-3</c:v>
                </c:pt>
                <c:pt idx="16">
                  <c:v>-4.9479917563399973E-3</c:v>
                </c:pt>
                <c:pt idx="17">
                  <c:v>-5.7389080720705423E-3</c:v>
                </c:pt>
                <c:pt idx="18">
                  <c:v>-6.5142479368813389E-3</c:v>
                </c:pt>
                <c:pt idx="19">
                  <c:v>-7.2717861434981376E-3</c:v>
                </c:pt>
                <c:pt idx="20">
                  <c:v>-8.0092974846466877E-3</c:v>
                </c:pt>
                <c:pt idx="21">
                  <c:v>-8.7245567530527396E-3</c:v>
                </c:pt>
                <c:pt idx="22">
                  <c:v>-9.4153387414420454E-3</c:v>
                </c:pt>
                <c:pt idx="23">
                  <c:v>-1.0079418242540352E-2</c:v>
                </c:pt>
                <c:pt idx="24">
                  <c:v>-1.0714570049073412E-2</c:v>
                </c:pt>
                <c:pt idx="25">
                  <c:v>-1.1318568953766976E-2</c:v>
                </c:pt>
                <c:pt idx="26">
                  <c:v>-1.1889189749346791E-2</c:v>
                </c:pt>
                <c:pt idx="27">
                  <c:v>-1.2424207228538613E-2</c:v>
                </c:pt>
                <c:pt idx="28">
                  <c:v>-1.2921396184068189E-2</c:v>
                </c:pt>
                <c:pt idx="29">
                  <c:v>-1.3378531408661265E-2</c:v>
                </c:pt>
                <c:pt idx="30">
                  <c:v>-1.3793387695043598E-2</c:v>
                </c:pt>
                <c:pt idx="31">
                  <c:v>-1.4163739835940933E-2</c:v>
                </c:pt>
                <c:pt idx="32">
                  <c:v>-1.4487362624079028E-2</c:v>
                </c:pt>
                <c:pt idx="33">
                  <c:v>-1.4762030852183621E-2</c:v>
                </c:pt>
                <c:pt idx="34">
                  <c:v>-1.4985519312980478E-2</c:v>
                </c:pt>
                <c:pt idx="35">
                  <c:v>-1.515560279919533E-2</c:v>
                </c:pt>
                <c:pt idx="36">
                  <c:v>-1.5270056103553946E-2</c:v>
                </c:pt>
                <c:pt idx="37">
                  <c:v>-1.5326654018782063E-2</c:v>
                </c:pt>
                <c:pt idx="38">
                  <c:v>-1.5323171337605438E-2</c:v>
                </c:pt>
                <c:pt idx="39">
                  <c:v>-1.5257382852749819E-2</c:v>
                </c:pt>
                <c:pt idx="40">
                  <c:v>-1.5127063356940959E-2</c:v>
                </c:pt>
                <c:pt idx="41">
                  <c:v>-1.49299876429046E-2</c:v>
                </c:pt>
                <c:pt idx="42">
                  <c:v>-1.46639305033665E-2</c:v>
                </c:pt>
                <c:pt idx="43">
                  <c:v>-1.4326666731052408E-2</c:v>
                </c:pt>
                <c:pt idx="44">
                  <c:v>-1.3915971118688074E-2</c:v>
                </c:pt>
                <c:pt idx="45">
                  <c:v>-1.3429618458999251E-2</c:v>
                </c:pt>
                <c:pt idx="46">
                  <c:v>-1.2865383544711685E-2</c:v>
                </c:pt>
                <c:pt idx="47">
                  <c:v>-1.2553364864820166E-2</c:v>
                </c:pt>
                <c:pt idx="48">
                  <c:v>-1.2221041168551116E-2</c:v>
                </c:pt>
                <c:pt idx="49">
                  <c:v>-1.1494366123243317E-2</c:v>
                </c:pt>
                <c:pt idx="50">
                  <c:v>-1.1088307149568452E-2</c:v>
                </c:pt>
                <c:pt idx="51">
                  <c:v>-1.0147351145979443E-2</c:v>
                </c:pt>
                <c:pt idx="52">
                  <c:v>-9.1309837348299838E-3</c:v>
                </c:pt>
                <c:pt idx="53">
                  <c:v>-8.0480768464213006E-3</c:v>
                </c:pt>
                <c:pt idx="54">
                  <c:v>-6.907502411054629E-3</c:v>
                </c:pt>
                <c:pt idx="55">
                  <c:v>-5.718132359031191E-3</c:v>
                </c:pt>
                <c:pt idx="56">
                  <c:v>-4.4888386206522191E-3</c:v>
                </c:pt>
                <c:pt idx="57">
                  <c:v>-3.2284931262189453E-3</c:v>
                </c:pt>
                <c:pt idx="58">
                  <c:v>-1.9459678060325964E-3</c:v>
                </c:pt>
                <c:pt idx="59">
                  <c:v>-6.5013459039440385E-4</c:v>
                </c:pt>
                <c:pt idx="60">
                  <c:v>0</c:v>
                </c:pt>
              </c:numCache>
            </c:numRef>
          </c:yVal>
          <c:smooth val="0"/>
          <c:extLst>
            <c:ext xmlns:c16="http://schemas.microsoft.com/office/drawing/2014/chart" uri="{C3380CC4-5D6E-409C-BE32-E72D297353CC}">
              <c16:uniqueId val="{00000000-3A09-4091-B3A7-E5EA653637A2}"/>
            </c:ext>
          </c:extLst>
        </c:ser>
        <c:ser>
          <c:idx val="1"/>
          <c:order val="1"/>
          <c:tx>
            <c:strRef>
              <c:f>'Albero 2'!$AA$58</c:f>
              <c:strCache>
                <c:ptCount val="1"/>
                <c:pt idx="0">
                  <c:v>Fr_2</c:v>
                </c:pt>
              </c:strCache>
            </c:strRef>
          </c:tx>
          <c:spPr>
            <a:ln w="19050" cap="rnd">
              <a:solidFill>
                <a:schemeClr val="accent2"/>
              </a:solidFill>
              <a:round/>
            </a:ln>
            <a:effectLst/>
          </c:spPr>
          <c:marker>
            <c:symbol val="none"/>
          </c:marker>
          <c:xVal>
            <c:numRef>
              <c:f>'Albero 2'!$Y$59:$Y$119</c:f>
              <c:numCache>
                <c:formatCode>General</c:formatCode>
                <c:ptCount val="61"/>
                <c:pt idx="0">
                  <c:v>-24</c:v>
                </c:pt>
                <c:pt idx="1">
                  <c:v>-18</c:v>
                </c:pt>
                <c:pt idx="2">
                  <c:v>-16</c:v>
                </c:pt>
                <c:pt idx="3">
                  <c:v>-14</c:v>
                </c:pt>
                <c:pt idx="4">
                  <c:v>-12</c:v>
                </c:pt>
                <c:pt idx="5">
                  <c:v>-10</c:v>
                </c:pt>
                <c:pt idx="6">
                  <c:v>-8</c:v>
                </c:pt>
                <c:pt idx="7">
                  <c:v>-6</c:v>
                </c:pt>
                <c:pt idx="8">
                  <c:v>-4</c:v>
                </c:pt>
                <c:pt idx="9">
                  <c:v>-2</c:v>
                </c:pt>
                <c:pt idx="10">
                  <c:v>0</c:v>
                </c:pt>
                <c:pt idx="11">
                  <c:v>2</c:v>
                </c:pt>
                <c:pt idx="12">
                  <c:v>4</c:v>
                </c:pt>
                <c:pt idx="13">
                  <c:v>6</c:v>
                </c:pt>
                <c:pt idx="14">
                  <c:v>8</c:v>
                </c:pt>
                <c:pt idx="15">
                  <c:v>10</c:v>
                </c:pt>
                <c:pt idx="16">
                  <c:v>12</c:v>
                </c:pt>
                <c:pt idx="17">
                  <c:v>14</c:v>
                </c:pt>
                <c:pt idx="18">
                  <c:v>16</c:v>
                </c:pt>
                <c:pt idx="19">
                  <c:v>18</c:v>
                </c:pt>
                <c:pt idx="20">
                  <c:v>20</c:v>
                </c:pt>
                <c:pt idx="21">
                  <c:v>22</c:v>
                </c:pt>
                <c:pt idx="22">
                  <c:v>24</c:v>
                </c:pt>
                <c:pt idx="23">
                  <c:v>26</c:v>
                </c:pt>
                <c:pt idx="24">
                  <c:v>28</c:v>
                </c:pt>
                <c:pt idx="25">
                  <c:v>30</c:v>
                </c:pt>
                <c:pt idx="26">
                  <c:v>32</c:v>
                </c:pt>
                <c:pt idx="27">
                  <c:v>34</c:v>
                </c:pt>
                <c:pt idx="28">
                  <c:v>36</c:v>
                </c:pt>
                <c:pt idx="29">
                  <c:v>38</c:v>
                </c:pt>
                <c:pt idx="30">
                  <c:v>40</c:v>
                </c:pt>
                <c:pt idx="31">
                  <c:v>42</c:v>
                </c:pt>
                <c:pt idx="32">
                  <c:v>44</c:v>
                </c:pt>
                <c:pt idx="33">
                  <c:v>46</c:v>
                </c:pt>
                <c:pt idx="34">
                  <c:v>48</c:v>
                </c:pt>
                <c:pt idx="35">
                  <c:v>50</c:v>
                </c:pt>
                <c:pt idx="36">
                  <c:v>52</c:v>
                </c:pt>
                <c:pt idx="37">
                  <c:v>54</c:v>
                </c:pt>
                <c:pt idx="38">
                  <c:v>56</c:v>
                </c:pt>
                <c:pt idx="39">
                  <c:v>58</c:v>
                </c:pt>
                <c:pt idx="40">
                  <c:v>60</c:v>
                </c:pt>
                <c:pt idx="41">
                  <c:v>62</c:v>
                </c:pt>
                <c:pt idx="42">
                  <c:v>64</c:v>
                </c:pt>
                <c:pt idx="43">
                  <c:v>66</c:v>
                </c:pt>
                <c:pt idx="44">
                  <c:v>68</c:v>
                </c:pt>
                <c:pt idx="45">
                  <c:v>70</c:v>
                </c:pt>
                <c:pt idx="46">
                  <c:v>72</c:v>
                </c:pt>
                <c:pt idx="47">
                  <c:v>73</c:v>
                </c:pt>
                <c:pt idx="48">
                  <c:v>74</c:v>
                </c:pt>
                <c:pt idx="49">
                  <c:v>76</c:v>
                </c:pt>
                <c:pt idx="50">
                  <c:v>78</c:v>
                </c:pt>
                <c:pt idx="51">
                  <c:v>80</c:v>
                </c:pt>
                <c:pt idx="52">
                  <c:v>82</c:v>
                </c:pt>
                <c:pt idx="53">
                  <c:v>84</c:v>
                </c:pt>
                <c:pt idx="54">
                  <c:v>86</c:v>
                </c:pt>
                <c:pt idx="55">
                  <c:v>88</c:v>
                </c:pt>
                <c:pt idx="56">
                  <c:v>90</c:v>
                </c:pt>
                <c:pt idx="57">
                  <c:v>92</c:v>
                </c:pt>
                <c:pt idx="58">
                  <c:v>94</c:v>
                </c:pt>
                <c:pt idx="59">
                  <c:v>96</c:v>
                </c:pt>
                <c:pt idx="60">
                  <c:v>97</c:v>
                </c:pt>
              </c:numCache>
            </c:numRef>
          </c:xVal>
          <c:yVal>
            <c:numRef>
              <c:f>'Albero 2'!$AA$59:$AA$119</c:f>
              <c:numCache>
                <c:formatCode>General</c:formatCode>
                <c:ptCount val="61"/>
                <c:pt idx="0">
                  <c:v>-6.8521009887543716E-3</c:v>
                </c:pt>
                <c:pt idx="1">
                  <c:v>-5.1390757415657792E-3</c:v>
                </c:pt>
                <c:pt idx="2">
                  <c:v>-4.568067325836248E-3</c:v>
                </c:pt>
                <c:pt idx="3">
                  <c:v>-3.9970589101067169E-3</c:v>
                </c:pt>
                <c:pt idx="4">
                  <c:v>-3.4260504943771858E-3</c:v>
                </c:pt>
                <c:pt idx="5">
                  <c:v>-2.8550420786476551E-3</c:v>
                </c:pt>
                <c:pt idx="6">
                  <c:v>-2.284033662918124E-3</c:v>
                </c:pt>
                <c:pt idx="7">
                  <c:v>-1.7130252471885929E-3</c:v>
                </c:pt>
                <c:pt idx="8">
                  <c:v>-1.142016831459062E-3</c:v>
                </c:pt>
                <c:pt idx="9">
                  <c:v>-5.7100841572953101E-4</c:v>
                </c:pt>
                <c:pt idx="10">
                  <c:v>0</c:v>
                </c:pt>
                <c:pt idx="11">
                  <c:v>8.3885256949956866E-4</c:v>
                </c:pt>
                <c:pt idx="12">
                  <c:v>1.6423850308096817E-3</c:v>
                </c:pt>
                <c:pt idx="13">
                  <c:v>2.4105973839303393E-3</c:v>
                </c:pt>
                <c:pt idx="14">
                  <c:v>3.1434896288615416E-3</c:v>
                </c:pt>
                <c:pt idx="15">
                  <c:v>3.8410617656032884E-3</c:v>
                </c:pt>
                <c:pt idx="16">
                  <c:v>4.5033137941555791E-3</c:v>
                </c:pt>
                <c:pt idx="17">
                  <c:v>5.1302457145184143E-3</c:v>
                </c:pt>
                <c:pt idx="18">
                  <c:v>5.7218575266917947E-3</c:v>
                </c:pt>
                <c:pt idx="19">
                  <c:v>6.2781492306757192E-3</c:v>
                </c:pt>
                <c:pt idx="20">
                  <c:v>6.7991208264701888E-3</c:v>
                </c:pt>
                <c:pt idx="21">
                  <c:v>7.2847723140752017E-3</c:v>
                </c:pt>
                <c:pt idx="22">
                  <c:v>7.7351036934907589E-3</c:v>
                </c:pt>
                <c:pt idx="23">
                  <c:v>8.1501149647168619E-3</c:v>
                </c:pt>
                <c:pt idx="24">
                  <c:v>8.5298061277535083E-3</c:v>
                </c:pt>
                <c:pt idx="25">
                  <c:v>8.8741771826007006E-3</c:v>
                </c:pt>
                <c:pt idx="26">
                  <c:v>9.1832281292584354E-3</c:v>
                </c:pt>
                <c:pt idx="27">
                  <c:v>9.4569589677267162E-3</c:v>
                </c:pt>
                <c:pt idx="28">
                  <c:v>9.6953696980055411E-3</c:v>
                </c:pt>
                <c:pt idx="29">
                  <c:v>9.8984603200949102E-3</c:v>
                </c:pt>
                <c:pt idx="30">
                  <c:v>1.0066230833994825E-2</c:v>
                </c:pt>
                <c:pt idx="31">
                  <c:v>1.0198681239705283E-2</c:v>
                </c:pt>
                <c:pt idx="32">
                  <c:v>1.0295811537226286E-2</c:v>
                </c:pt>
                <c:pt idx="33">
                  <c:v>1.0357621726557832E-2</c:v>
                </c:pt>
                <c:pt idx="34">
                  <c:v>1.0384111807699924E-2</c:v>
                </c:pt>
                <c:pt idx="35">
                  <c:v>1.037528178065256E-2</c:v>
                </c:pt>
                <c:pt idx="36">
                  <c:v>1.033113164541574E-2</c:v>
                </c:pt>
                <c:pt idx="37">
                  <c:v>1.0251661401989466E-2</c:v>
                </c:pt>
                <c:pt idx="38">
                  <c:v>1.0136871050373735E-2</c:v>
                </c:pt>
                <c:pt idx="39">
                  <c:v>9.9867605905685497E-3</c:v>
                </c:pt>
                <c:pt idx="40">
                  <c:v>9.8013300225739085E-3</c:v>
                </c:pt>
                <c:pt idx="41">
                  <c:v>9.5805793463898097E-3</c:v>
                </c:pt>
                <c:pt idx="42">
                  <c:v>9.3245085620162586E-3</c:v>
                </c:pt>
                <c:pt idx="43">
                  <c:v>9.03311766945325E-3</c:v>
                </c:pt>
                <c:pt idx="44">
                  <c:v>8.7064066687007856E-3</c:v>
                </c:pt>
                <c:pt idx="45">
                  <c:v>8.3443755597588671E-3</c:v>
                </c:pt>
                <c:pt idx="46">
                  <c:v>7.9470243426274928E-3</c:v>
                </c:pt>
                <c:pt idx="47">
                  <c:v>7.7351036934907597E-3</c:v>
                </c:pt>
                <c:pt idx="48">
                  <c:v>7.5143530173066627E-3</c:v>
                </c:pt>
                <c:pt idx="49">
                  <c:v>7.0463615837963768E-3</c:v>
                </c:pt>
                <c:pt idx="50">
                  <c:v>6.543050042096636E-3</c:v>
                </c:pt>
                <c:pt idx="51">
                  <c:v>6.0044183922074394E-3</c:v>
                </c:pt>
                <c:pt idx="52">
                  <c:v>5.4304666341287861E-3</c:v>
                </c:pt>
                <c:pt idx="53">
                  <c:v>4.8211947678606787E-3</c:v>
                </c:pt>
                <c:pt idx="54">
                  <c:v>4.1766027934031155E-3</c:v>
                </c:pt>
                <c:pt idx="55">
                  <c:v>3.496690710756097E-3</c:v>
                </c:pt>
                <c:pt idx="56">
                  <c:v>2.7814585199196222E-3</c:v>
                </c:pt>
                <c:pt idx="57">
                  <c:v>2.0309062208936925E-3</c:v>
                </c:pt>
                <c:pt idx="58">
                  <c:v>1.2450338136783072E-3</c:v>
                </c:pt>
                <c:pt idx="59">
                  <c:v>4.2384129827346625E-4</c:v>
                </c:pt>
                <c:pt idx="60">
                  <c:v>0</c:v>
                </c:pt>
              </c:numCache>
            </c:numRef>
          </c:yVal>
          <c:smooth val="0"/>
          <c:extLst>
            <c:ext xmlns:c16="http://schemas.microsoft.com/office/drawing/2014/chart" uri="{C3380CC4-5D6E-409C-BE32-E72D297353CC}">
              <c16:uniqueId val="{00000001-3A09-4091-B3A7-E5EA653637A2}"/>
            </c:ext>
          </c:extLst>
        </c:ser>
        <c:ser>
          <c:idx val="2"/>
          <c:order val="2"/>
          <c:tx>
            <c:strRef>
              <c:f>'Albero 2'!$AB$58</c:f>
              <c:strCache>
                <c:ptCount val="1"/>
                <c:pt idx="0">
                  <c:v>Sum y</c:v>
                </c:pt>
              </c:strCache>
            </c:strRef>
          </c:tx>
          <c:spPr>
            <a:ln w="19050" cap="rnd">
              <a:solidFill>
                <a:schemeClr val="accent3"/>
              </a:solidFill>
              <a:round/>
            </a:ln>
            <a:effectLst/>
          </c:spPr>
          <c:marker>
            <c:symbol val="none"/>
          </c:marker>
          <c:xVal>
            <c:numRef>
              <c:f>'Albero 2'!$Y$59:$Y$119</c:f>
              <c:numCache>
                <c:formatCode>General</c:formatCode>
                <c:ptCount val="61"/>
                <c:pt idx="0">
                  <c:v>-24</c:v>
                </c:pt>
                <c:pt idx="1">
                  <c:v>-18</c:v>
                </c:pt>
                <c:pt idx="2">
                  <c:v>-16</c:v>
                </c:pt>
                <c:pt idx="3">
                  <c:v>-14</c:v>
                </c:pt>
                <c:pt idx="4">
                  <c:v>-12</c:v>
                </c:pt>
                <c:pt idx="5">
                  <c:v>-10</c:v>
                </c:pt>
                <c:pt idx="6">
                  <c:v>-8</c:v>
                </c:pt>
                <c:pt idx="7">
                  <c:v>-6</c:v>
                </c:pt>
                <c:pt idx="8">
                  <c:v>-4</c:v>
                </c:pt>
                <c:pt idx="9">
                  <c:v>-2</c:v>
                </c:pt>
                <c:pt idx="10">
                  <c:v>0</c:v>
                </c:pt>
                <c:pt idx="11">
                  <c:v>2</c:v>
                </c:pt>
                <c:pt idx="12">
                  <c:v>4</c:v>
                </c:pt>
                <c:pt idx="13">
                  <c:v>6</c:v>
                </c:pt>
                <c:pt idx="14">
                  <c:v>8</c:v>
                </c:pt>
                <c:pt idx="15">
                  <c:v>10</c:v>
                </c:pt>
                <c:pt idx="16">
                  <c:v>12</c:v>
                </c:pt>
                <c:pt idx="17">
                  <c:v>14</c:v>
                </c:pt>
                <c:pt idx="18">
                  <c:v>16</c:v>
                </c:pt>
                <c:pt idx="19">
                  <c:v>18</c:v>
                </c:pt>
                <c:pt idx="20">
                  <c:v>20</c:v>
                </c:pt>
                <c:pt idx="21">
                  <c:v>22</c:v>
                </c:pt>
                <c:pt idx="22">
                  <c:v>24</c:v>
                </c:pt>
                <c:pt idx="23">
                  <c:v>26</c:v>
                </c:pt>
                <c:pt idx="24">
                  <c:v>28</c:v>
                </c:pt>
                <c:pt idx="25">
                  <c:v>30</c:v>
                </c:pt>
                <c:pt idx="26">
                  <c:v>32</c:v>
                </c:pt>
                <c:pt idx="27">
                  <c:v>34</c:v>
                </c:pt>
                <c:pt idx="28">
                  <c:v>36</c:v>
                </c:pt>
                <c:pt idx="29">
                  <c:v>38</c:v>
                </c:pt>
                <c:pt idx="30">
                  <c:v>40</c:v>
                </c:pt>
                <c:pt idx="31">
                  <c:v>42</c:v>
                </c:pt>
                <c:pt idx="32">
                  <c:v>44</c:v>
                </c:pt>
                <c:pt idx="33">
                  <c:v>46</c:v>
                </c:pt>
                <c:pt idx="34">
                  <c:v>48</c:v>
                </c:pt>
                <c:pt idx="35">
                  <c:v>50</c:v>
                </c:pt>
                <c:pt idx="36">
                  <c:v>52</c:v>
                </c:pt>
                <c:pt idx="37">
                  <c:v>54</c:v>
                </c:pt>
                <c:pt idx="38">
                  <c:v>56</c:v>
                </c:pt>
                <c:pt idx="39">
                  <c:v>58</c:v>
                </c:pt>
                <c:pt idx="40">
                  <c:v>60</c:v>
                </c:pt>
                <c:pt idx="41">
                  <c:v>62</c:v>
                </c:pt>
                <c:pt idx="42">
                  <c:v>64</c:v>
                </c:pt>
                <c:pt idx="43">
                  <c:v>66</c:v>
                </c:pt>
                <c:pt idx="44">
                  <c:v>68</c:v>
                </c:pt>
                <c:pt idx="45">
                  <c:v>70</c:v>
                </c:pt>
                <c:pt idx="46">
                  <c:v>72</c:v>
                </c:pt>
                <c:pt idx="47">
                  <c:v>73</c:v>
                </c:pt>
                <c:pt idx="48">
                  <c:v>74</c:v>
                </c:pt>
                <c:pt idx="49">
                  <c:v>76</c:v>
                </c:pt>
                <c:pt idx="50">
                  <c:v>78</c:v>
                </c:pt>
                <c:pt idx="51">
                  <c:v>80</c:v>
                </c:pt>
                <c:pt idx="52">
                  <c:v>82</c:v>
                </c:pt>
                <c:pt idx="53">
                  <c:v>84</c:v>
                </c:pt>
                <c:pt idx="54">
                  <c:v>86</c:v>
                </c:pt>
                <c:pt idx="55">
                  <c:v>88</c:v>
                </c:pt>
                <c:pt idx="56">
                  <c:v>90</c:v>
                </c:pt>
                <c:pt idx="57">
                  <c:v>92</c:v>
                </c:pt>
                <c:pt idx="58">
                  <c:v>94</c:v>
                </c:pt>
                <c:pt idx="59">
                  <c:v>96</c:v>
                </c:pt>
                <c:pt idx="60">
                  <c:v>97</c:v>
                </c:pt>
              </c:numCache>
            </c:numRef>
          </c:xVal>
          <c:yVal>
            <c:numRef>
              <c:f>'Albero 2'!$AB$59:$AB$119</c:f>
              <c:numCache>
                <c:formatCode>General</c:formatCode>
                <c:ptCount val="61"/>
                <c:pt idx="0">
                  <c:v>3.2040974476716076E-3</c:v>
                </c:pt>
                <c:pt idx="1">
                  <c:v>2.4030730857537057E-3</c:v>
                </c:pt>
                <c:pt idx="2">
                  <c:v>2.1360649651144051E-3</c:v>
                </c:pt>
                <c:pt idx="3">
                  <c:v>1.8690568444751044E-3</c:v>
                </c:pt>
                <c:pt idx="4">
                  <c:v>1.6020487238358038E-3</c:v>
                </c:pt>
                <c:pt idx="5">
                  <c:v>1.3350406031965027E-3</c:v>
                </c:pt>
                <c:pt idx="6">
                  <c:v>1.0680324825572025E-3</c:v>
                </c:pt>
                <c:pt idx="7">
                  <c:v>8.010243619179019E-4</c:v>
                </c:pt>
                <c:pt idx="8">
                  <c:v>5.3401624127860127E-4</c:v>
                </c:pt>
                <c:pt idx="9">
                  <c:v>2.6700812063930063E-4</c:v>
                </c:pt>
                <c:pt idx="10">
                  <c:v>0</c:v>
                </c:pt>
                <c:pt idx="11">
                  <c:v>1.2069010097786291E-6</c:v>
                </c:pt>
                <c:pt idx="12">
                  <c:v>-3.0681098895648466E-5</c:v>
                </c:pt>
                <c:pt idx="13">
                  <c:v>-9.343879244203164E-5</c:v>
                </c:pt>
                <c:pt idx="14">
                  <c:v>-1.8484097235512038E-4</c:v>
                </c:pt>
                <c:pt idx="15">
                  <c:v>-3.0266243136066592E-4</c:v>
                </c:pt>
                <c:pt idx="16">
                  <c:v>-4.4467796218441817E-4</c:v>
                </c:pt>
                <c:pt idx="17">
                  <c:v>-6.0866235755212793E-4</c:v>
                </c:pt>
                <c:pt idx="18">
                  <c:v>-7.9239041018954424E-4</c:v>
                </c:pt>
                <c:pt idx="19">
                  <c:v>-9.9363691282241835E-4</c:v>
                </c:pt>
                <c:pt idx="20">
                  <c:v>-1.2101766581764989E-3</c:v>
                </c:pt>
                <c:pt idx="21">
                  <c:v>-1.4397844389775379E-3</c:v>
                </c:pt>
                <c:pt idx="22">
                  <c:v>-1.6802350479512866E-3</c:v>
                </c:pt>
                <c:pt idx="23">
                  <c:v>-1.9293032778234902E-3</c:v>
                </c:pt>
                <c:pt idx="24">
                  <c:v>-2.1847639213199033E-3</c:v>
                </c:pt>
                <c:pt idx="25">
                  <c:v>-2.4443917711662756E-3</c:v>
                </c:pt>
                <c:pt idx="26">
                  <c:v>-2.7059616200883554E-3</c:v>
                </c:pt>
                <c:pt idx="27">
                  <c:v>-2.9672482608118968E-3</c:v>
                </c:pt>
                <c:pt idx="28">
                  <c:v>-3.2260264860626484E-3</c:v>
                </c:pt>
                <c:pt idx="29">
                  <c:v>-3.4800710885663552E-3</c:v>
                </c:pt>
                <c:pt idx="30">
                  <c:v>-3.7271568610487728E-3</c:v>
                </c:pt>
                <c:pt idx="31">
                  <c:v>-3.9650585962356499E-3</c:v>
                </c:pt>
                <c:pt idx="32">
                  <c:v>-4.191551086852742E-3</c:v>
                </c:pt>
                <c:pt idx="33">
                  <c:v>-4.404409125625789E-3</c:v>
                </c:pt>
                <c:pt idx="34">
                  <c:v>-4.6014075052805536E-3</c:v>
                </c:pt>
                <c:pt idx="35">
                  <c:v>-4.7803210185427703E-3</c:v>
                </c:pt>
                <c:pt idx="36">
                  <c:v>-4.9389244581382052E-3</c:v>
                </c:pt>
                <c:pt idx="37">
                  <c:v>-5.0749926167925966E-3</c:v>
                </c:pt>
                <c:pt idx="38">
                  <c:v>-5.1863002872317033E-3</c:v>
                </c:pt>
                <c:pt idx="39">
                  <c:v>-5.2706222621812689E-3</c:v>
                </c:pt>
                <c:pt idx="40">
                  <c:v>-5.3257333343670506E-3</c:v>
                </c:pt>
                <c:pt idx="41">
                  <c:v>-5.3494082965147901E-3</c:v>
                </c:pt>
                <c:pt idx="42">
                  <c:v>-5.3394219413502413E-3</c:v>
                </c:pt>
                <c:pt idx="43">
                  <c:v>-5.2935490615991579E-3</c:v>
                </c:pt>
                <c:pt idx="44">
                  <c:v>-5.2095644499872886E-3</c:v>
                </c:pt>
                <c:pt idx="45">
                  <c:v>-5.0852428992403838E-3</c:v>
                </c:pt>
                <c:pt idx="46">
                  <c:v>-4.918359202084192E-3</c:v>
                </c:pt>
                <c:pt idx="47">
                  <c:v>-4.8182611713294063E-3</c:v>
                </c:pt>
                <c:pt idx="48">
                  <c:v>-4.7066881512444533E-3</c:v>
                </c:pt>
                <c:pt idx="49">
                  <c:v>-4.4480045394469404E-3</c:v>
                </c:pt>
                <c:pt idx="50">
                  <c:v>-4.5452571074718158E-3</c:v>
                </c:pt>
                <c:pt idx="51">
                  <c:v>-4.1429327537720034E-3</c:v>
                </c:pt>
                <c:pt idx="52">
                  <c:v>-3.7005171007011978E-3</c:v>
                </c:pt>
                <c:pt idx="53">
                  <c:v>-3.2268820785606219E-3</c:v>
                </c:pt>
                <c:pt idx="54">
                  <c:v>-2.7308996176515134E-3</c:v>
                </c:pt>
                <c:pt idx="55">
                  <c:v>-2.221441648275094E-3</c:v>
                </c:pt>
                <c:pt idx="56">
                  <c:v>-1.7073801007325968E-3</c:v>
                </c:pt>
                <c:pt idx="57">
                  <c:v>-1.1975869053252527E-3</c:v>
                </c:pt>
                <c:pt idx="58">
                  <c:v>-7.0093399235428917E-4</c:v>
                </c:pt>
                <c:pt idx="59">
                  <c:v>-2.262932921209376E-4</c:v>
                </c:pt>
                <c:pt idx="60">
                  <c:v>0</c:v>
                </c:pt>
              </c:numCache>
            </c:numRef>
          </c:yVal>
          <c:smooth val="0"/>
          <c:extLst>
            <c:ext xmlns:c16="http://schemas.microsoft.com/office/drawing/2014/chart" uri="{C3380CC4-5D6E-409C-BE32-E72D297353CC}">
              <c16:uniqueId val="{00000002-3A09-4091-B3A7-E5EA653637A2}"/>
            </c:ext>
          </c:extLst>
        </c:ser>
        <c:dLbls>
          <c:showLegendKey val="0"/>
          <c:showVal val="0"/>
          <c:showCatName val="0"/>
          <c:showSerName val="0"/>
          <c:showPercent val="0"/>
          <c:showBubbleSize val="0"/>
        </c:dLbls>
        <c:axId val="924656416"/>
        <c:axId val="1998921760"/>
      </c:scatterChart>
      <c:valAx>
        <c:axId val="924656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998921760"/>
        <c:crosses val="autoZero"/>
        <c:crossBetween val="midCat"/>
      </c:valAx>
      <c:valAx>
        <c:axId val="199892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9246564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813499596899524E-2"/>
          <c:y val="9.2625769940781547E-2"/>
          <c:w val="0.85932107574062799"/>
          <c:h val="0.88115211874057242"/>
        </c:manualLayout>
      </c:layout>
      <c:scatterChart>
        <c:scatterStyle val="lineMarker"/>
        <c:varyColors val="0"/>
        <c:ser>
          <c:idx val="0"/>
          <c:order val="0"/>
          <c:tx>
            <c:v>KtA</c:v>
          </c:tx>
          <c:spPr>
            <a:ln w="19050" cap="rnd">
              <a:solidFill>
                <a:srgbClr val="0070C0"/>
              </a:solidFill>
              <a:round/>
            </a:ln>
            <a:effectLst/>
          </c:spPr>
          <c:marker>
            <c:symbol val="none"/>
          </c:marker>
          <c:xVal>
            <c:numRef>
              <c:f>'Dati FEM'!$K$26:$K$30</c:f>
              <c:numCache>
                <c:formatCode>General</c:formatCode>
                <c:ptCount val="5"/>
                <c:pt idx="0">
                  <c:v>0</c:v>
                </c:pt>
                <c:pt idx="1">
                  <c:v>0.5</c:v>
                </c:pt>
                <c:pt idx="2">
                  <c:v>1</c:v>
                </c:pt>
                <c:pt idx="3">
                  <c:v>1.5</c:v>
                </c:pt>
                <c:pt idx="4">
                  <c:v>2</c:v>
                </c:pt>
              </c:numCache>
            </c:numRef>
          </c:xVal>
          <c:yVal>
            <c:numRef>
              <c:f>'Dati FEM'!$L$26:$L$30</c:f>
              <c:numCache>
                <c:formatCode>General</c:formatCode>
                <c:ptCount val="5"/>
                <c:pt idx="0" formatCode="0.000">
                  <c:v>3.5784703819796237</c:v>
                </c:pt>
                <c:pt idx="1">
                  <c:v>3.1801998820592989</c:v>
                </c:pt>
                <c:pt idx="2">
                  <c:v>2.7819293821389741</c:v>
                </c:pt>
                <c:pt idx="3">
                  <c:v>2.3836588822186493</c:v>
                </c:pt>
                <c:pt idx="4" formatCode="0.000">
                  <c:v>1.9853883822983245</c:v>
                </c:pt>
              </c:numCache>
            </c:numRef>
          </c:yVal>
          <c:smooth val="0"/>
          <c:extLst>
            <c:ext xmlns:c16="http://schemas.microsoft.com/office/drawing/2014/chart" uri="{C3380CC4-5D6E-409C-BE32-E72D297353CC}">
              <c16:uniqueId val="{00000000-4E05-4649-A91A-208A2D3BA9C0}"/>
            </c:ext>
          </c:extLst>
        </c:ser>
        <c:ser>
          <c:idx val="1"/>
          <c:order val="1"/>
          <c:tx>
            <c:v>KtsA</c:v>
          </c:tx>
          <c:spPr>
            <a:ln w="19050" cap="rnd">
              <a:solidFill>
                <a:srgbClr val="FF0000"/>
              </a:solidFill>
              <a:round/>
            </a:ln>
            <a:effectLst/>
          </c:spPr>
          <c:marker>
            <c:symbol val="none"/>
          </c:marker>
          <c:xVal>
            <c:numRef>
              <c:f>'Dati FEM'!$K$26:$K$30</c:f>
              <c:numCache>
                <c:formatCode>General</c:formatCode>
                <c:ptCount val="5"/>
                <c:pt idx="0">
                  <c:v>0</c:v>
                </c:pt>
                <c:pt idx="1">
                  <c:v>0.5</c:v>
                </c:pt>
                <c:pt idx="2">
                  <c:v>1</c:v>
                </c:pt>
                <c:pt idx="3">
                  <c:v>1.5</c:v>
                </c:pt>
                <c:pt idx="4">
                  <c:v>2</c:v>
                </c:pt>
              </c:numCache>
            </c:numRef>
          </c:xVal>
          <c:yVal>
            <c:numRef>
              <c:f>'Dati FEM'!$M$26:$M$30</c:f>
              <c:numCache>
                <c:formatCode>General</c:formatCode>
                <c:ptCount val="5"/>
                <c:pt idx="0" formatCode="0.000">
                  <c:v>1.7600772841736816</c:v>
                </c:pt>
                <c:pt idx="1">
                  <c:v>1.5679001710673686</c:v>
                </c:pt>
                <c:pt idx="2">
                  <c:v>1.3757230579610553</c:v>
                </c:pt>
                <c:pt idx="3">
                  <c:v>1.1835459448547421</c:v>
                </c:pt>
                <c:pt idx="4">
                  <c:v>0.99136883174842905</c:v>
                </c:pt>
              </c:numCache>
            </c:numRef>
          </c:yVal>
          <c:smooth val="0"/>
          <c:extLst>
            <c:ext xmlns:c16="http://schemas.microsoft.com/office/drawing/2014/chart" uri="{C3380CC4-5D6E-409C-BE32-E72D297353CC}">
              <c16:uniqueId val="{00000001-4E05-4649-A91A-208A2D3BA9C0}"/>
            </c:ext>
          </c:extLst>
        </c:ser>
        <c:ser>
          <c:idx val="2"/>
          <c:order val="2"/>
          <c:tx>
            <c:v>KtB</c:v>
          </c:tx>
          <c:spPr>
            <a:ln w="19050" cap="rnd">
              <a:solidFill>
                <a:schemeClr val="bg1">
                  <a:lumMod val="50000"/>
                </a:schemeClr>
              </a:solidFill>
              <a:round/>
            </a:ln>
            <a:effectLst/>
          </c:spPr>
          <c:marker>
            <c:symbol val="none"/>
          </c:marker>
          <c:xVal>
            <c:numRef>
              <c:f>'Dati FEM'!$K$26:$K$30</c:f>
              <c:numCache>
                <c:formatCode>General</c:formatCode>
                <c:ptCount val="5"/>
                <c:pt idx="0">
                  <c:v>0</c:v>
                </c:pt>
                <c:pt idx="1">
                  <c:v>0.5</c:v>
                </c:pt>
                <c:pt idx="2">
                  <c:v>1</c:v>
                </c:pt>
                <c:pt idx="3">
                  <c:v>1.5</c:v>
                </c:pt>
                <c:pt idx="4">
                  <c:v>2</c:v>
                </c:pt>
              </c:numCache>
            </c:numRef>
          </c:xVal>
          <c:yVal>
            <c:numRef>
              <c:f>'Dati FEM'!$N$26:$N$30</c:f>
              <c:numCache>
                <c:formatCode>General</c:formatCode>
                <c:ptCount val="5"/>
                <c:pt idx="0" formatCode="0.000">
                  <c:v>2.767350428730909</c:v>
                </c:pt>
                <c:pt idx="1">
                  <c:v>2.7753025851353081</c:v>
                </c:pt>
                <c:pt idx="2">
                  <c:v>2.7832547415397073</c:v>
                </c:pt>
                <c:pt idx="3">
                  <c:v>2.7912068979441065</c:v>
                </c:pt>
                <c:pt idx="4">
                  <c:v>2.7991590543485056</c:v>
                </c:pt>
              </c:numCache>
            </c:numRef>
          </c:yVal>
          <c:smooth val="0"/>
          <c:extLst>
            <c:ext xmlns:c16="http://schemas.microsoft.com/office/drawing/2014/chart" uri="{C3380CC4-5D6E-409C-BE32-E72D297353CC}">
              <c16:uniqueId val="{00000002-4E05-4649-A91A-208A2D3BA9C0}"/>
            </c:ext>
          </c:extLst>
        </c:ser>
        <c:ser>
          <c:idx val="3"/>
          <c:order val="3"/>
          <c:tx>
            <c:v>KtsB</c:v>
          </c:tx>
          <c:spPr>
            <a:ln w="19050" cap="rnd">
              <a:solidFill>
                <a:srgbClr val="FFC000"/>
              </a:solidFill>
              <a:round/>
            </a:ln>
            <a:effectLst/>
          </c:spPr>
          <c:marker>
            <c:symbol val="none"/>
          </c:marker>
          <c:xVal>
            <c:numRef>
              <c:f>'Dati FEM'!$K$26:$K$30</c:f>
              <c:numCache>
                <c:formatCode>General</c:formatCode>
                <c:ptCount val="5"/>
                <c:pt idx="0">
                  <c:v>0</c:v>
                </c:pt>
                <c:pt idx="1">
                  <c:v>0.5</c:v>
                </c:pt>
                <c:pt idx="2">
                  <c:v>1</c:v>
                </c:pt>
                <c:pt idx="3">
                  <c:v>1.5</c:v>
                </c:pt>
                <c:pt idx="4">
                  <c:v>2</c:v>
                </c:pt>
              </c:numCache>
            </c:numRef>
          </c:xVal>
          <c:yVal>
            <c:numRef>
              <c:f>'Dati FEM'!$O$26:$O$30</c:f>
              <c:numCache>
                <c:formatCode>General</c:formatCode>
                <c:ptCount val="5"/>
                <c:pt idx="0">
                  <c:v>2.7726518663338418</c:v>
                </c:pt>
                <c:pt idx="1">
                  <c:v>2.4254077033417447</c:v>
                </c:pt>
                <c:pt idx="2">
                  <c:v>2.0781635403496481</c:v>
                </c:pt>
                <c:pt idx="3">
                  <c:v>1.7309193773575513</c:v>
                </c:pt>
                <c:pt idx="4" formatCode="0.000">
                  <c:v>1.3836752143654545</c:v>
                </c:pt>
              </c:numCache>
            </c:numRef>
          </c:yVal>
          <c:smooth val="0"/>
          <c:extLst>
            <c:ext xmlns:c16="http://schemas.microsoft.com/office/drawing/2014/chart" uri="{C3380CC4-5D6E-409C-BE32-E72D297353CC}">
              <c16:uniqueId val="{00000003-4E05-4649-A91A-208A2D3BA9C0}"/>
            </c:ext>
          </c:extLst>
        </c:ser>
        <c:ser>
          <c:idx val="4"/>
          <c:order val="4"/>
          <c:tx>
            <c:v>KtA_Peterson</c:v>
          </c:tx>
          <c:spPr>
            <a:ln w="19050" cap="rnd">
              <a:solidFill>
                <a:srgbClr val="0070C0"/>
              </a:solidFill>
              <a:prstDash val="sysDash"/>
              <a:round/>
            </a:ln>
            <a:effectLst/>
          </c:spPr>
          <c:marker>
            <c:symbol val="none"/>
          </c:marker>
          <c:xVal>
            <c:numLit>
              <c:formatCode>General</c:formatCode>
              <c:ptCount val="2"/>
              <c:pt idx="0">
                <c:v>0</c:v>
              </c:pt>
              <c:pt idx="1">
                <c:v>2</c:v>
              </c:pt>
            </c:numLit>
          </c:xVal>
          <c:yVal>
            <c:numLit>
              <c:formatCode>General</c:formatCode>
              <c:ptCount val="2"/>
              <c:pt idx="0">
                <c:v>3.4</c:v>
              </c:pt>
              <c:pt idx="1">
                <c:v>1.6</c:v>
              </c:pt>
            </c:numLit>
          </c:yVal>
          <c:smooth val="0"/>
          <c:extLst>
            <c:ext xmlns:c16="http://schemas.microsoft.com/office/drawing/2014/chart" uri="{C3380CC4-5D6E-409C-BE32-E72D297353CC}">
              <c16:uniqueId val="{00000000-FCD8-4770-8626-883E86756143}"/>
            </c:ext>
          </c:extLst>
        </c:ser>
        <c:ser>
          <c:idx val="5"/>
          <c:order val="5"/>
          <c:tx>
            <c:v>KtsA_Peterson</c:v>
          </c:tx>
          <c:spPr>
            <a:ln w="19050" cap="rnd">
              <a:solidFill>
                <a:srgbClr val="FF0000"/>
              </a:solidFill>
              <a:prstDash val="sysDash"/>
              <a:round/>
            </a:ln>
            <a:effectLst/>
          </c:spPr>
          <c:marker>
            <c:symbol val="none"/>
          </c:marker>
          <c:xVal>
            <c:numLit>
              <c:formatCode>General</c:formatCode>
              <c:ptCount val="2"/>
              <c:pt idx="0">
                <c:v>0</c:v>
              </c:pt>
              <c:pt idx="1">
                <c:v>2</c:v>
              </c:pt>
            </c:numLit>
          </c:xVal>
          <c:yVal>
            <c:numLit>
              <c:formatCode>General</c:formatCode>
              <c:ptCount val="2"/>
              <c:pt idx="0">
                <c:v>1.7</c:v>
              </c:pt>
              <c:pt idx="1">
                <c:v>0.8</c:v>
              </c:pt>
            </c:numLit>
          </c:yVal>
          <c:smooth val="0"/>
          <c:extLst>
            <c:ext xmlns:c16="http://schemas.microsoft.com/office/drawing/2014/chart" uri="{C3380CC4-5D6E-409C-BE32-E72D297353CC}">
              <c16:uniqueId val="{00000001-FCD8-4770-8626-883E86756143}"/>
            </c:ext>
          </c:extLst>
        </c:ser>
        <c:ser>
          <c:idx val="6"/>
          <c:order val="6"/>
          <c:tx>
            <c:v>KtB_Peterson</c:v>
          </c:tx>
          <c:spPr>
            <a:ln w="19050" cap="rnd">
              <a:solidFill>
                <a:schemeClr val="bg1">
                  <a:lumMod val="50000"/>
                </a:schemeClr>
              </a:solidFill>
              <a:prstDash val="sysDash"/>
              <a:round/>
            </a:ln>
            <a:effectLst/>
          </c:spPr>
          <c:marker>
            <c:symbol val="none"/>
          </c:marker>
          <c:xVal>
            <c:numLit>
              <c:formatCode>General</c:formatCode>
              <c:ptCount val="2"/>
              <c:pt idx="0">
                <c:v>0</c:v>
              </c:pt>
              <c:pt idx="1">
                <c:v>2</c:v>
              </c:pt>
            </c:numLit>
          </c:xVal>
          <c:yVal>
            <c:numLit>
              <c:formatCode>General</c:formatCode>
              <c:ptCount val="2"/>
              <c:pt idx="0">
                <c:v>2.6</c:v>
              </c:pt>
              <c:pt idx="1">
                <c:v>2.14</c:v>
              </c:pt>
            </c:numLit>
          </c:yVal>
          <c:smooth val="0"/>
          <c:extLst>
            <c:ext xmlns:c16="http://schemas.microsoft.com/office/drawing/2014/chart" uri="{C3380CC4-5D6E-409C-BE32-E72D297353CC}">
              <c16:uniqueId val="{00000002-FCD8-4770-8626-883E86756143}"/>
            </c:ext>
          </c:extLst>
        </c:ser>
        <c:ser>
          <c:idx val="7"/>
          <c:order val="7"/>
          <c:tx>
            <c:v>KtsB_Peterson</c:v>
          </c:tx>
          <c:spPr>
            <a:ln w="19050" cap="rnd">
              <a:solidFill>
                <a:srgbClr val="FFC000"/>
              </a:solidFill>
              <a:prstDash val="sysDash"/>
              <a:round/>
            </a:ln>
            <a:effectLst/>
          </c:spPr>
          <c:marker>
            <c:symbol val="none"/>
          </c:marker>
          <c:xVal>
            <c:numLit>
              <c:formatCode>General</c:formatCode>
              <c:ptCount val="2"/>
              <c:pt idx="0">
                <c:v>0</c:v>
              </c:pt>
              <c:pt idx="1">
                <c:v>2</c:v>
              </c:pt>
            </c:numLit>
          </c:xVal>
          <c:yVal>
            <c:numLit>
              <c:formatCode>General</c:formatCode>
              <c:ptCount val="2"/>
              <c:pt idx="0">
                <c:v>2.6</c:v>
              </c:pt>
              <c:pt idx="1">
                <c:v>1.06</c:v>
              </c:pt>
            </c:numLit>
          </c:yVal>
          <c:smooth val="0"/>
          <c:extLst>
            <c:ext xmlns:c16="http://schemas.microsoft.com/office/drawing/2014/chart" uri="{C3380CC4-5D6E-409C-BE32-E72D297353CC}">
              <c16:uniqueId val="{00000003-FCD8-4770-8626-883E86756143}"/>
            </c:ext>
          </c:extLst>
        </c:ser>
        <c:dLbls>
          <c:showLegendKey val="0"/>
          <c:showVal val="0"/>
          <c:showCatName val="0"/>
          <c:showSerName val="0"/>
          <c:showPercent val="0"/>
          <c:showBubbleSize val="0"/>
        </c:dLbls>
        <c:axId val="307093967"/>
        <c:axId val="307094447"/>
      </c:scatterChart>
      <c:valAx>
        <c:axId val="307093967"/>
        <c:scaling>
          <c:orientation val="minMax"/>
          <c:max val="2"/>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07094447"/>
        <c:crosses val="autoZero"/>
        <c:crossBetween val="midCat"/>
      </c:valAx>
      <c:valAx>
        <c:axId val="30709444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307093967"/>
        <c:crosses val="autoZero"/>
        <c:crossBetween val="midCat"/>
      </c:valAx>
      <c:spPr>
        <a:noFill/>
        <a:ln>
          <a:noFill/>
        </a:ln>
        <a:effectLst/>
      </c:spPr>
    </c:plotArea>
    <c:legend>
      <c:legendPos val="t"/>
      <c:layout>
        <c:manualLayout>
          <c:xMode val="edge"/>
          <c:yMode val="edge"/>
          <c:x val="8.7502093307917583E-2"/>
          <c:y val="2.0340627023051536E-2"/>
          <c:w val="0.86397478937917427"/>
          <c:h val="6.559900263659371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Momento flettente</a:t>
            </a:r>
            <a:r>
              <a:rPr lang="it-IT" baseline="0"/>
              <a:t> 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Albero_2!$K$18:$K$24</c:f>
              <c:numCache>
                <c:formatCode>General</c:formatCode>
                <c:ptCount val="7"/>
                <c:pt idx="0">
                  <c:v>0</c:v>
                </c:pt>
                <c:pt idx="1">
                  <c:v>33</c:v>
                </c:pt>
                <c:pt idx="2">
                  <c:v>38.25</c:v>
                </c:pt>
                <c:pt idx="3">
                  <c:v>103.75</c:v>
                </c:pt>
                <c:pt idx="4">
                  <c:v>103.75</c:v>
                </c:pt>
                <c:pt idx="5">
                  <c:v>118.75</c:v>
                </c:pt>
                <c:pt idx="6">
                  <c:v>125</c:v>
                </c:pt>
              </c:numCache>
            </c:numRef>
          </c:xVal>
          <c:yVal>
            <c:numRef>
              <c:f>Albero_2!$L$18:$L$24</c:f>
              <c:numCache>
                <c:formatCode>General</c:formatCode>
                <c:ptCount val="7"/>
                <c:pt idx="0">
                  <c:v>0</c:v>
                </c:pt>
                <c:pt idx="1">
                  <c:v>-35771.793367958016</c:v>
                </c:pt>
                <c:pt idx="2">
                  <c:v>-38031.77840595437</c:v>
                </c:pt>
                <c:pt idx="3">
                  <c:v>-66227.782213337428</c:v>
                </c:pt>
                <c:pt idx="4">
                  <c:v>-66227.782213337428</c:v>
                </c:pt>
                <c:pt idx="5">
                  <c:v>-19478.759474511007</c:v>
                </c:pt>
                <c:pt idx="6">
                  <c:v>0</c:v>
                </c:pt>
              </c:numCache>
            </c:numRef>
          </c:yVal>
          <c:smooth val="0"/>
          <c:extLst>
            <c:ext xmlns:c16="http://schemas.microsoft.com/office/drawing/2014/chart" uri="{C3380CC4-5D6E-409C-BE32-E72D297353CC}">
              <c16:uniqueId val="{00000000-4192-4A8C-B497-1D29B11CA317}"/>
            </c:ext>
          </c:extLst>
        </c:ser>
        <c:dLbls>
          <c:showLegendKey val="0"/>
          <c:showVal val="0"/>
          <c:showCatName val="0"/>
          <c:showSerName val="0"/>
          <c:showPercent val="0"/>
          <c:showBubbleSize val="0"/>
        </c:dLbls>
        <c:axId val="1404140624"/>
        <c:axId val="1404149744"/>
      </c:scatterChart>
      <c:valAx>
        <c:axId val="1404140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404149744"/>
        <c:crosses val="autoZero"/>
        <c:crossBetween val="midCat"/>
      </c:valAx>
      <c:valAx>
        <c:axId val="1404149744"/>
        <c:scaling>
          <c:orientation val="minMax"/>
          <c:min val="-8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4041406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Momento</a:t>
            </a:r>
            <a:r>
              <a:rPr lang="it-IT" baseline="0"/>
              <a:t> Flettente z</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Albero_2!$K$18:$K$24</c:f>
              <c:numCache>
                <c:formatCode>General</c:formatCode>
                <c:ptCount val="7"/>
                <c:pt idx="0">
                  <c:v>0</c:v>
                </c:pt>
                <c:pt idx="1">
                  <c:v>33</c:v>
                </c:pt>
                <c:pt idx="2">
                  <c:v>38.25</c:v>
                </c:pt>
                <c:pt idx="3">
                  <c:v>103.75</c:v>
                </c:pt>
                <c:pt idx="4">
                  <c:v>103.75</c:v>
                </c:pt>
                <c:pt idx="5">
                  <c:v>118.75</c:v>
                </c:pt>
                <c:pt idx="6">
                  <c:v>125</c:v>
                </c:pt>
              </c:numCache>
            </c:numRef>
          </c:xVal>
          <c:yVal>
            <c:numRef>
              <c:f>Albero_2!$M$18:$M$24</c:f>
              <c:numCache>
                <c:formatCode>General</c:formatCode>
                <c:ptCount val="7"/>
                <c:pt idx="0">
                  <c:v>0</c:v>
                </c:pt>
                <c:pt idx="1">
                  <c:v>-13019.868012257863</c:v>
                </c:pt>
                <c:pt idx="2">
                  <c:v>-9225.1107516810825</c:v>
                </c:pt>
                <c:pt idx="3">
                  <c:v>38119.003642181604</c:v>
                </c:pt>
                <c:pt idx="4">
                  <c:v>16579.338390938694</c:v>
                </c:pt>
                <c:pt idx="5">
                  <c:v>4876.2759973349102</c:v>
                </c:pt>
                <c:pt idx="6">
                  <c:v>0</c:v>
                </c:pt>
              </c:numCache>
            </c:numRef>
          </c:yVal>
          <c:smooth val="0"/>
          <c:extLst>
            <c:ext xmlns:c16="http://schemas.microsoft.com/office/drawing/2014/chart" uri="{C3380CC4-5D6E-409C-BE32-E72D297353CC}">
              <c16:uniqueId val="{00000000-07FC-4E4D-81A9-AE45A0E88AEF}"/>
            </c:ext>
          </c:extLst>
        </c:ser>
        <c:dLbls>
          <c:showLegendKey val="0"/>
          <c:showVal val="0"/>
          <c:showCatName val="0"/>
          <c:showSerName val="0"/>
          <c:showPercent val="0"/>
          <c:showBubbleSize val="0"/>
        </c:dLbls>
        <c:axId val="1406186960"/>
        <c:axId val="1406176880"/>
      </c:scatterChart>
      <c:valAx>
        <c:axId val="1406186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406176880"/>
        <c:crosses val="autoZero"/>
        <c:crossBetween val="midCat"/>
      </c:valAx>
      <c:valAx>
        <c:axId val="1406176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4061869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Deformate 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scatterChart>
        <c:scatterStyle val="lineMarker"/>
        <c:varyColors val="0"/>
        <c:ser>
          <c:idx val="0"/>
          <c:order val="0"/>
          <c:tx>
            <c:strRef>
              <c:f>Albero_2!$X$58</c:f>
              <c:strCache>
                <c:ptCount val="1"/>
                <c:pt idx="0">
                  <c:v>Fr_3</c:v>
                </c:pt>
              </c:strCache>
            </c:strRef>
          </c:tx>
          <c:spPr>
            <a:ln w="19050" cap="rnd">
              <a:solidFill>
                <a:schemeClr val="accent1"/>
              </a:solidFill>
              <a:round/>
            </a:ln>
            <a:effectLst/>
          </c:spPr>
          <c:marker>
            <c:symbol val="none"/>
          </c:marker>
          <c:xVal>
            <c:numRef>
              <c:f>Albero_2!$W$59:$W$122</c:f>
              <c:numCache>
                <c:formatCode>General</c:formatCode>
                <c:ptCount val="64"/>
                <c:pt idx="0">
                  <c:v>-25</c:v>
                </c:pt>
                <c:pt idx="1">
                  <c:v>-24</c:v>
                </c:pt>
                <c:pt idx="2">
                  <c:v>-22</c:v>
                </c:pt>
                <c:pt idx="3">
                  <c:v>-20</c:v>
                </c:pt>
                <c:pt idx="4">
                  <c:v>-18</c:v>
                </c:pt>
                <c:pt idx="5">
                  <c:v>-16</c:v>
                </c:pt>
                <c:pt idx="6">
                  <c:v>-14</c:v>
                </c:pt>
                <c:pt idx="7">
                  <c:v>-12</c:v>
                </c:pt>
                <c:pt idx="8">
                  <c:v>-10</c:v>
                </c:pt>
                <c:pt idx="9">
                  <c:v>-8</c:v>
                </c:pt>
                <c:pt idx="10">
                  <c:v>-6</c:v>
                </c:pt>
                <c:pt idx="11">
                  <c:v>-4</c:v>
                </c:pt>
                <c:pt idx="12">
                  <c:v>-2</c:v>
                </c:pt>
                <c:pt idx="13">
                  <c:v>0</c:v>
                </c:pt>
                <c:pt idx="14">
                  <c:v>2</c:v>
                </c:pt>
                <c:pt idx="15">
                  <c:v>4</c:v>
                </c:pt>
                <c:pt idx="16">
                  <c:v>6</c:v>
                </c:pt>
                <c:pt idx="17">
                  <c:v>8</c:v>
                </c:pt>
                <c:pt idx="18">
                  <c:v>10</c:v>
                </c:pt>
                <c:pt idx="19">
                  <c:v>12</c:v>
                </c:pt>
                <c:pt idx="20">
                  <c:v>14</c:v>
                </c:pt>
                <c:pt idx="21">
                  <c:v>16</c:v>
                </c:pt>
                <c:pt idx="22">
                  <c:v>18</c:v>
                </c:pt>
                <c:pt idx="23">
                  <c:v>20</c:v>
                </c:pt>
                <c:pt idx="24">
                  <c:v>22</c:v>
                </c:pt>
                <c:pt idx="25">
                  <c:v>24</c:v>
                </c:pt>
                <c:pt idx="26">
                  <c:v>26</c:v>
                </c:pt>
                <c:pt idx="27">
                  <c:v>28</c:v>
                </c:pt>
                <c:pt idx="28">
                  <c:v>30</c:v>
                </c:pt>
                <c:pt idx="29">
                  <c:v>32</c:v>
                </c:pt>
                <c:pt idx="30">
                  <c:v>34</c:v>
                </c:pt>
                <c:pt idx="31">
                  <c:v>36</c:v>
                </c:pt>
                <c:pt idx="32">
                  <c:v>38</c:v>
                </c:pt>
                <c:pt idx="33">
                  <c:v>40</c:v>
                </c:pt>
                <c:pt idx="34">
                  <c:v>42</c:v>
                </c:pt>
                <c:pt idx="35">
                  <c:v>44</c:v>
                </c:pt>
                <c:pt idx="36">
                  <c:v>46</c:v>
                </c:pt>
                <c:pt idx="37">
                  <c:v>48</c:v>
                </c:pt>
                <c:pt idx="38">
                  <c:v>50</c:v>
                </c:pt>
                <c:pt idx="39">
                  <c:v>52</c:v>
                </c:pt>
                <c:pt idx="40">
                  <c:v>54</c:v>
                </c:pt>
                <c:pt idx="41">
                  <c:v>56</c:v>
                </c:pt>
                <c:pt idx="42">
                  <c:v>58</c:v>
                </c:pt>
                <c:pt idx="43">
                  <c:v>60</c:v>
                </c:pt>
                <c:pt idx="44">
                  <c:v>62</c:v>
                </c:pt>
                <c:pt idx="45">
                  <c:v>64</c:v>
                </c:pt>
                <c:pt idx="46">
                  <c:v>66</c:v>
                </c:pt>
                <c:pt idx="47">
                  <c:v>68</c:v>
                </c:pt>
                <c:pt idx="48">
                  <c:v>70</c:v>
                </c:pt>
                <c:pt idx="49">
                  <c:v>72</c:v>
                </c:pt>
                <c:pt idx="50">
                  <c:v>73</c:v>
                </c:pt>
                <c:pt idx="51">
                  <c:v>74</c:v>
                </c:pt>
                <c:pt idx="52">
                  <c:v>76</c:v>
                </c:pt>
                <c:pt idx="53">
                  <c:v>78</c:v>
                </c:pt>
                <c:pt idx="54">
                  <c:v>80</c:v>
                </c:pt>
                <c:pt idx="55">
                  <c:v>82</c:v>
                </c:pt>
                <c:pt idx="56">
                  <c:v>84</c:v>
                </c:pt>
                <c:pt idx="57">
                  <c:v>86</c:v>
                </c:pt>
                <c:pt idx="58">
                  <c:v>88</c:v>
                </c:pt>
                <c:pt idx="59">
                  <c:v>90</c:v>
                </c:pt>
                <c:pt idx="60">
                  <c:v>91</c:v>
                </c:pt>
                <c:pt idx="61">
                  <c:v>92</c:v>
                </c:pt>
                <c:pt idx="62">
                  <c:v>94</c:v>
                </c:pt>
                <c:pt idx="63">
                  <c:v>95</c:v>
                </c:pt>
              </c:numCache>
            </c:numRef>
          </c:xVal>
          <c:yVal>
            <c:numRef>
              <c:f>Albero_2!$X$59:$X$122</c:f>
              <c:numCache>
                <c:formatCode>General</c:formatCode>
                <c:ptCount val="64"/>
                <c:pt idx="0">
                  <c:v>6.6027251749479522E-3</c:v>
                </c:pt>
                <c:pt idx="1">
                  <c:v>6.3386161679500341E-3</c:v>
                </c:pt>
                <c:pt idx="2">
                  <c:v>5.810398153954198E-3</c:v>
                </c:pt>
                <c:pt idx="3">
                  <c:v>5.2821801399583618E-3</c:v>
                </c:pt>
                <c:pt idx="4">
                  <c:v>4.7539621259625256E-3</c:v>
                </c:pt>
                <c:pt idx="5">
                  <c:v>4.2257441119666894E-3</c:v>
                </c:pt>
                <c:pt idx="6">
                  <c:v>3.6975260979708532E-3</c:v>
                </c:pt>
                <c:pt idx="7">
                  <c:v>3.1693080839750171E-3</c:v>
                </c:pt>
                <c:pt idx="8">
                  <c:v>2.6410900699791809E-3</c:v>
                </c:pt>
                <c:pt idx="9">
                  <c:v>2.1128720559833447E-3</c:v>
                </c:pt>
                <c:pt idx="10">
                  <c:v>1.5846540419875085E-3</c:v>
                </c:pt>
                <c:pt idx="11">
                  <c:v>1.0564360279916724E-3</c:v>
                </c:pt>
                <c:pt idx="12">
                  <c:v>5.2821801399583618E-4</c:v>
                </c:pt>
                <c:pt idx="13" formatCode="0.00000">
                  <c:v>0</c:v>
                </c:pt>
                <c:pt idx="14" formatCode="0.00000">
                  <c:v>-5.2795431495843549E-4</c:v>
                </c:pt>
                <c:pt idx="15" formatCode="0.00000">
                  <c:v>-1.0543264356924667E-3</c:v>
                </c:pt>
                <c:pt idx="16" formatCode="0.00000">
                  <c:v>-1.5775341679776895E-3</c:v>
                </c:pt>
                <c:pt idx="17" formatCode="0.00000">
                  <c:v>-2.0959953175896996E-3</c:v>
                </c:pt>
                <c:pt idx="18" formatCode="0.00000">
                  <c:v>-2.6081276903040925E-3</c:v>
                </c:pt>
                <c:pt idx="19" formatCode="0.00000">
                  <c:v>-3.1123490918964639E-3</c:v>
                </c:pt>
                <c:pt idx="20" formatCode="0.00000">
                  <c:v>-3.6070773281424101E-3</c:v>
                </c:pt>
                <c:pt idx="21" formatCode="0.00000">
                  <c:v>-4.0907302048175265E-3</c:v>
                </c:pt>
                <c:pt idx="22" formatCode="0.00000">
                  <c:v>-4.5617255276974092E-3</c:v>
                </c:pt>
                <c:pt idx="23" formatCode="0.00000">
                  <c:v>-5.0184811025576525E-3</c:v>
                </c:pt>
                <c:pt idx="24" formatCode="0.00000">
                  <c:v>-5.4594147351738542E-3</c:v>
                </c:pt>
                <c:pt idx="25" formatCode="0.00000">
                  <c:v>-5.8829442313216088E-3</c:v>
                </c:pt>
                <c:pt idx="26" formatCode="0.00000">
                  <c:v>-6.2874873967765123E-3</c:v>
                </c:pt>
                <c:pt idx="27" formatCode="0.00000">
                  <c:v>-6.6714620373141608E-3</c:v>
                </c:pt>
                <c:pt idx="28" formatCode="0.00000">
                  <c:v>-7.0332859587101497E-3</c:v>
                </c:pt>
                <c:pt idx="29" formatCode="0.00000">
                  <c:v>-7.3713769667400741E-3</c:v>
                </c:pt>
                <c:pt idx="30" formatCode="0.00000">
                  <c:v>-7.684152867179531E-3</c:v>
                </c:pt>
                <c:pt idx="31" formatCode="0.00000">
                  <c:v>-7.9700314658041164E-3</c:v>
                </c:pt>
                <c:pt idx="32" formatCode="0.00000">
                  <c:v>-8.2274305683894232E-3</c:v>
                </c:pt>
                <c:pt idx="33" formatCode="0.00000">
                  <c:v>-8.454767980711049E-3</c:v>
                </c:pt>
                <c:pt idx="34" formatCode="0.00000">
                  <c:v>-8.6504615085445918E-3</c:v>
                </c:pt>
                <c:pt idx="35" formatCode="0.00000">
                  <c:v>-8.8129289576656458E-3</c:v>
                </c:pt>
                <c:pt idx="36" formatCode="0.00000">
                  <c:v>-8.9405881338498038E-3</c:v>
                </c:pt>
                <c:pt idx="37" formatCode="0.00000">
                  <c:v>-9.0318568428726653E-3</c:v>
                </c:pt>
                <c:pt idx="38" formatCode="0.00000">
                  <c:v>-9.0851528905098247E-3</c:v>
                </c:pt>
                <c:pt idx="39" formatCode="0.00000">
                  <c:v>-9.0988940825368764E-3</c:v>
                </c:pt>
                <c:pt idx="40" formatCode="0.00000">
                  <c:v>-9.0714982247294181E-3</c:v>
                </c:pt>
                <c:pt idx="41" formatCode="0.00000">
                  <c:v>-9.0013831228630443E-3</c:v>
                </c:pt>
                <c:pt idx="42" formatCode="0.00000">
                  <c:v>-8.8869665827133529E-3</c:v>
                </c:pt>
                <c:pt idx="43" formatCode="0.00000">
                  <c:v>-8.7266664100559381E-3</c:v>
                </c:pt>
                <c:pt idx="44" formatCode="0.00000">
                  <c:v>-8.5189004106663944E-3</c:v>
                </c:pt>
                <c:pt idx="45" formatCode="0.00000">
                  <c:v>-8.2620863903203196E-3</c:v>
                </c:pt>
                <c:pt idx="46" formatCode="0.00000">
                  <c:v>-7.9546421547933097E-3</c:v>
                </c:pt>
                <c:pt idx="47" formatCode="0.00000">
                  <c:v>-7.5949855098609558E-3</c:v>
                </c:pt>
                <c:pt idx="48" formatCode="0.00000">
                  <c:v>-7.18153426129886E-3</c:v>
                </c:pt>
                <c:pt idx="49" formatCode="0.00000">
                  <c:v>-6.7129849408872214E-3</c:v>
                </c:pt>
                <c:pt idx="50" formatCode="0.00000">
                  <c:v>-6.45865698684292E-3</c:v>
                </c:pt>
                <c:pt idx="51" formatCode="0.00000">
                  <c:v>-6.1918180646447635E-3</c:v>
                </c:pt>
                <c:pt idx="52" formatCode="0.00000">
                  <c:v>-5.623241203819275E-3</c:v>
                </c:pt>
                <c:pt idx="53" formatCode="0.00000">
                  <c:v>-5.0125221344755376E-3</c:v>
                </c:pt>
                <c:pt idx="54" formatCode="0.00000">
                  <c:v>-4.3649286326783304E-3</c:v>
                </c:pt>
                <c:pt idx="55" formatCode="0.00000">
                  <c:v>-3.6857284744924372E-3</c:v>
                </c:pt>
                <c:pt idx="56" formatCode="0.00000">
                  <c:v>-2.9801894359826374E-3</c:v>
                </c:pt>
                <c:pt idx="57" formatCode="0.00000">
                  <c:v>-2.2535792932137119E-3</c:v>
                </c:pt>
                <c:pt idx="58" formatCode="0.00000">
                  <c:v>-1.5111658222504436E-3</c:v>
                </c:pt>
                <c:pt idx="59" formatCode="0.00000">
                  <c:v>-7.582167991576123E-4</c:v>
                </c:pt>
                <c:pt idx="60" formatCode="0.00000">
                  <c:v>-3.79437635582855E-4</c:v>
                </c:pt>
                <c:pt idx="61" formatCode="0.00000">
                  <c:v>0</c:v>
                </c:pt>
                <c:pt idx="62" formatCode="0.00000">
                  <c:v>7.582167991576123E-4</c:v>
                </c:pt>
                <c:pt idx="63" formatCode="0.00000">
                  <c:v>1.1356790187161741E-3</c:v>
                </c:pt>
              </c:numCache>
            </c:numRef>
          </c:yVal>
          <c:smooth val="0"/>
          <c:extLst>
            <c:ext xmlns:c16="http://schemas.microsoft.com/office/drawing/2014/chart" uri="{C3380CC4-5D6E-409C-BE32-E72D297353CC}">
              <c16:uniqueId val="{00000000-7D9C-4508-82CA-96092F3252D0}"/>
            </c:ext>
          </c:extLst>
        </c:ser>
        <c:ser>
          <c:idx val="1"/>
          <c:order val="1"/>
          <c:tx>
            <c:strRef>
              <c:f>Albero_2!$Y$58</c:f>
              <c:strCache>
                <c:ptCount val="1"/>
                <c:pt idx="0">
                  <c:v>Fr_2</c:v>
                </c:pt>
              </c:strCache>
            </c:strRef>
          </c:tx>
          <c:spPr>
            <a:ln w="19050" cap="rnd">
              <a:solidFill>
                <a:schemeClr val="accent2"/>
              </a:solidFill>
              <a:round/>
            </a:ln>
            <a:effectLst/>
          </c:spPr>
          <c:marker>
            <c:symbol val="none"/>
          </c:marker>
          <c:xVal>
            <c:numRef>
              <c:f>Albero_2!$W$59:$W$122</c:f>
              <c:numCache>
                <c:formatCode>General</c:formatCode>
                <c:ptCount val="64"/>
                <c:pt idx="0">
                  <c:v>-25</c:v>
                </c:pt>
                <c:pt idx="1">
                  <c:v>-24</c:v>
                </c:pt>
                <c:pt idx="2">
                  <c:v>-22</c:v>
                </c:pt>
                <c:pt idx="3">
                  <c:v>-20</c:v>
                </c:pt>
                <c:pt idx="4">
                  <c:v>-18</c:v>
                </c:pt>
                <c:pt idx="5">
                  <c:v>-16</c:v>
                </c:pt>
                <c:pt idx="6">
                  <c:v>-14</c:v>
                </c:pt>
                <c:pt idx="7">
                  <c:v>-12</c:v>
                </c:pt>
                <c:pt idx="8">
                  <c:v>-10</c:v>
                </c:pt>
                <c:pt idx="9">
                  <c:v>-8</c:v>
                </c:pt>
                <c:pt idx="10">
                  <c:v>-6</c:v>
                </c:pt>
                <c:pt idx="11">
                  <c:v>-4</c:v>
                </c:pt>
                <c:pt idx="12">
                  <c:v>-2</c:v>
                </c:pt>
                <c:pt idx="13">
                  <c:v>0</c:v>
                </c:pt>
                <c:pt idx="14">
                  <c:v>2</c:v>
                </c:pt>
                <c:pt idx="15">
                  <c:v>4</c:v>
                </c:pt>
                <c:pt idx="16">
                  <c:v>6</c:v>
                </c:pt>
                <c:pt idx="17">
                  <c:v>8</c:v>
                </c:pt>
                <c:pt idx="18">
                  <c:v>10</c:v>
                </c:pt>
                <c:pt idx="19">
                  <c:v>12</c:v>
                </c:pt>
                <c:pt idx="20">
                  <c:v>14</c:v>
                </c:pt>
                <c:pt idx="21">
                  <c:v>16</c:v>
                </c:pt>
                <c:pt idx="22">
                  <c:v>18</c:v>
                </c:pt>
                <c:pt idx="23">
                  <c:v>20</c:v>
                </c:pt>
                <c:pt idx="24">
                  <c:v>22</c:v>
                </c:pt>
                <c:pt idx="25">
                  <c:v>24</c:v>
                </c:pt>
                <c:pt idx="26">
                  <c:v>26</c:v>
                </c:pt>
                <c:pt idx="27">
                  <c:v>28</c:v>
                </c:pt>
                <c:pt idx="28">
                  <c:v>30</c:v>
                </c:pt>
                <c:pt idx="29">
                  <c:v>32</c:v>
                </c:pt>
                <c:pt idx="30">
                  <c:v>34</c:v>
                </c:pt>
                <c:pt idx="31">
                  <c:v>36</c:v>
                </c:pt>
                <c:pt idx="32">
                  <c:v>38</c:v>
                </c:pt>
                <c:pt idx="33">
                  <c:v>40</c:v>
                </c:pt>
                <c:pt idx="34">
                  <c:v>42</c:v>
                </c:pt>
                <c:pt idx="35">
                  <c:v>44</c:v>
                </c:pt>
                <c:pt idx="36">
                  <c:v>46</c:v>
                </c:pt>
                <c:pt idx="37">
                  <c:v>48</c:v>
                </c:pt>
                <c:pt idx="38">
                  <c:v>50</c:v>
                </c:pt>
                <c:pt idx="39">
                  <c:v>52</c:v>
                </c:pt>
                <c:pt idx="40">
                  <c:v>54</c:v>
                </c:pt>
                <c:pt idx="41">
                  <c:v>56</c:v>
                </c:pt>
                <c:pt idx="42">
                  <c:v>58</c:v>
                </c:pt>
                <c:pt idx="43">
                  <c:v>60</c:v>
                </c:pt>
                <c:pt idx="44">
                  <c:v>62</c:v>
                </c:pt>
                <c:pt idx="45">
                  <c:v>64</c:v>
                </c:pt>
                <c:pt idx="46">
                  <c:v>66</c:v>
                </c:pt>
                <c:pt idx="47">
                  <c:v>68</c:v>
                </c:pt>
                <c:pt idx="48">
                  <c:v>70</c:v>
                </c:pt>
                <c:pt idx="49">
                  <c:v>72</c:v>
                </c:pt>
                <c:pt idx="50">
                  <c:v>73</c:v>
                </c:pt>
                <c:pt idx="51">
                  <c:v>74</c:v>
                </c:pt>
                <c:pt idx="52">
                  <c:v>76</c:v>
                </c:pt>
                <c:pt idx="53">
                  <c:v>78</c:v>
                </c:pt>
                <c:pt idx="54">
                  <c:v>80</c:v>
                </c:pt>
                <c:pt idx="55">
                  <c:v>82</c:v>
                </c:pt>
                <c:pt idx="56">
                  <c:v>84</c:v>
                </c:pt>
                <c:pt idx="57">
                  <c:v>86</c:v>
                </c:pt>
                <c:pt idx="58">
                  <c:v>88</c:v>
                </c:pt>
                <c:pt idx="59">
                  <c:v>90</c:v>
                </c:pt>
                <c:pt idx="60">
                  <c:v>91</c:v>
                </c:pt>
                <c:pt idx="61">
                  <c:v>92</c:v>
                </c:pt>
                <c:pt idx="62">
                  <c:v>94</c:v>
                </c:pt>
                <c:pt idx="63">
                  <c:v>95</c:v>
                </c:pt>
              </c:numCache>
            </c:numRef>
          </c:xVal>
          <c:yVal>
            <c:numRef>
              <c:f>Albero_2!$Y$59:$Y$122</c:f>
              <c:numCache>
                <c:formatCode>General</c:formatCode>
                <c:ptCount val="64"/>
                <c:pt idx="0">
                  <c:v>-7.4191064925096016E-3</c:v>
                </c:pt>
                <c:pt idx="1">
                  <c:v>-7.0773893027864382E-3</c:v>
                </c:pt>
                <c:pt idx="2">
                  <c:v>-6.4002483335432996E-3</c:v>
                </c:pt>
                <c:pt idx="3">
                  <c:v>-5.7329970089051727E-3</c:v>
                </c:pt>
                <c:pt idx="4">
                  <c:v>-5.0774334460729677E-3</c:v>
                </c:pt>
                <c:pt idx="5">
                  <c:v>-4.4353557622475986E-3</c:v>
                </c:pt>
                <c:pt idx="6">
                  <c:v>-3.8085620746299729E-3</c:v>
                </c:pt>
                <c:pt idx="7">
                  <c:v>-3.1988505004210042E-3</c:v>
                </c:pt>
                <c:pt idx="8">
                  <c:v>-2.6080191568216031E-3</c:v>
                </c:pt>
                <c:pt idx="9">
                  <c:v>-2.0378661610326804E-3</c:v>
                </c:pt>
                <c:pt idx="10">
                  <c:v>-1.4901896302551474E-3</c:v>
                </c:pt>
                <c:pt idx="11">
                  <c:v>-9.6678768168991566E-4</c:v>
                </c:pt>
                <c:pt idx="12">
                  <c:v>-4.6945843253789609E-4</c:v>
                </c:pt>
                <c:pt idx="13">
                  <c:v>0</c:v>
                </c:pt>
                <c:pt idx="14">
                  <c:v>4.4019668106002447E-4</c:v>
                </c:pt>
                <c:pt idx="15">
                  <c:v>8.5136940512708025E-4</c:v>
                </c:pt>
                <c:pt idx="16">
                  <c:v>1.2341631490232334E-3</c:v>
                </c:pt>
                <c:pt idx="17">
                  <c:v>1.5892228895705498E-3</c:v>
                </c:pt>
                <c:pt idx="18">
                  <c:v>1.9171936035910957E-3</c:v>
                </c:pt>
                <c:pt idx="19">
                  <c:v>2.2187202679069362E-3</c:v>
                </c:pt>
                <c:pt idx="20">
                  <c:v>2.4944478593401384E-3</c:v>
                </c:pt>
                <c:pt idx="21">
                  <c:v>2.7450213547127677E-3</c:v>
                </c:pt>
                <c:pt idx="22">
                  <c:v>2.9710857308468904E-3</c:v>
                </c:pt>
                <c:pt idx="23">
                  <c:v>3.173285964564572E-3</c:v>
                </c:pt>
                <c:pt idx="24">
                  <c:v>3.3522670326878779E-3</c:v>
                </c:pt>
                <c:pt idx="25">
                  <c:v>3.5086739120388762E-3</c:v>
                </c:pt>
                <c:pt idx="26">
                  <c:v>3.6431515794396311E-3</c:v>
                </c:pt>
                <c:pt idx="27">
                  <c:v>3.7563450117122084E-3</c:v>
                </c:pt>
                <c:pt idx="28">
                  <c:v>3.8488991856786754E-3</c:v>
                </c:pt>
                <c:pt idx="29">
                  <c:v>3.9214590781610969E-3</c:v>
                </c:pt>
                <c:pt idx="30">
                  <c:v>3.97466966598154E-3</c:v>
                </c:pt>
                <c:pt idx="31">
                  <c:v>4.0091759259620685E-3</c:v>
                </c:pt>
                <c:pt idx="32">
                  <c:v>4.0256228349247504E-3</c:v>
                </c:pt>
                <c:pt idx="33">
                  <c:v>4.0246553696916525E-3</c:v>
                </c:pt>
                <c:pt idx="34">
                  <c:v>4.0069185070848376E-3</c:v>
                </c:pt>
                <c:pt idx="35">
                  <c:v>3.9730572239263734E-3</c:v>
                </c:pt>
                <c:pt idx="36">
                  <c:v>3.9237164970383287E-3</c:v>
                </c:pt>
                <c:pt idx="37">
                  <c:v>3.8595413032427636E-3</c:v>
                </c:pt>
                <c:pt idx="38">
                  <c:v>3.7811766193617479E-3</c:v>
                </c:pt>
                <c:pt idx="39">
                  <c:v>3.6892674222173487E-3</c:v>
                </c:pt>
                <c:pt idx="40">
                  <c:v>3.5844586886316283E-3</c:v>
                </c:pt>
                <c:pt idx="41">
                  <c:v>3.4673953954266544E-3</c:v>
                </c:pt>
                <c:pt idx="42">
                  <c:v>3.3387225194244936E-3</c:v>
                </c:pt>
                <c:pt idx="43">
                  <c:v>3.1990850374472111E-3</c:v>
                </c:pt>
                <c:pt idx="44">
                  <c:v>3.0491279263168717E-3</c:v>
                </c:pt>
                <c:pt idx="45">
                  <c:v>2.889496162855546E-3</c:v>
                </c:pt>
                <c:pt idx="46">
                  <c:v>2.7208347238852938E-3</c:v>
                </c:pt>
                <c:pt idx="47">
                  <c:v>2.5437885862281857E-3</c:v>
                </c:pt>
                <c:pt idx="48">
                  <c:v>2.3590027267062844E-3</c:v>
                </c:pt>
                <c:pt idx="49">
                  <c:v>2.1671221221416588E-3</c:v>
                </c:pt>
                <c:pt idx="50">
                  <c:v>2.068722845725218E-3</c:v>
                </c:pt>
                <c:pt idx="51">
                  <c:v>1.9687917493563752E-3</c:v>
                </c:pt>
                <c:pt idx="52">
                  <c:v>1.7646565851724911E-3</c:v>
                </c:pt>
                <c:pt idx="53">
                  <c:v>1.555361606412086E-3</c:v>
                </c:pt>
                <c:pt idx="54">
                  <c:v>1.3415517898972187E-3</c:v>
                </c:pt>
                <c:pt idx="55">
                  <c:v>1.1238721124499505E-3</c:v>
                </c:pt>
                <c:pt idx="56">
                  <c:v>9.0296755089235708E-4</c:v>
                </c:pt>
                <c:pt idx="57">
                  <c:v>6.7948308204649984E-4</c:v>
                </c:pt>
                <c:pt idx="58">
                  <c:v>4.5406368273444059E-4</c:v>
                </c:pt>
                <c:pt idx="59">
                  <c:v>2.2735432977825451E-4</c:v>
                </c:pt>
                <c:pt idx="60">
                  <c:v>1.1371747594050675E-4</c:v>
                </c:pt>
                <c:pt idx="61">
                  <c:v>3.3729672640032066E-18</c:v>
                </c:pt>
                <c:pt idx="62">
                  <c:v>-2.2735432977825451E-4</c:v>
                </c:pt>
                <c:pt idx="63">
                  <c:v>-3.4082993941048436E-4</c:v>
                </c:pt>
              </c:numCache>
            </c:numRef>
          </c:yVal>
          <c:smooth val="0"/>
          <c:extLst>
            <c:ext xmlns:c16="http://schemas.microsoft.com/office/drawing/2014/chart" uri="{C3380CC4-5D6E-409C-BE32-E72D297353CC}">
              <c16:uniqueId val="{00000001-7D9C-4508-82CA-96092F3252D0}"/>
            </c:ext>
          </c:extLst>
        </c:ser>
        <c:ser>
          <c:idx val="3"/>
          <c:order val="2"/>
          <c:tx>
            <c:strRef>
              <c:f>Albero_2!$Z$58</c:f>
              <c:strCache>
                <c:ptCount val="1"/>
                <c:pt idx="0">
                  <c:v>Ma_3</c:v>
                </c:pt>
              </c:strCache>
            </c:strRef>
          </c:tx>
          <c:spPr>
            <a:ln w="19050" cap="rnd">
              <a:solidFill>
                <a:schemeClr val="accent4"/>
              </a:solidFill>
              <a:round/>
            </a:ln>
            <a:effectLst/>
          </c:spPr>
          <c:marker>
            <c:symbol val="none"/>
          </c:marker>
          <c:xVal>
            <c:numRef>
              <c:f>Albero_2!$W$59:$W$122</c:f>
              <c:numCache>
                <c:formatCode>General</c:formatCode>
                <c:ptCount val="64"/>
                <c:pt idx="0">
                  <c:v>-25</c:v>
                </c:pt>
                <c:pt idx="1">
                  <c:v>-24</c:v>
                </c:pt>
                <c:pt idx="2">
                  <c:v>-22</c:v>
                </c:pt>
                <c:pt idx="3">
                  <c:v>-20</c:v>
                </c:pt>
                <c:pt idx="4">
                  <c:v>-18</c:v>
                </c:pt>
                <c:pt idx="5">
                  <c:v>-16</c:v>
                </c:pt>
                <c:pt idx="6">
                  <c:v>-14</c:v>
                </c:pt>
                <c:pt idx="7">
                  <c:v>-12</c:v>
                </c:pt>
                <c:pt idx="8">
                  <c:v>-10</c:v>
                </c:pt>
                <c:pt idx="9">
                  <c:v>-8</c:v>
                </c:pt>
                <c:pt idx="10">
                  <c:v>-6</c:v>
                </c:pt>
                <c:pt idx="11">
                  <c:v>-4</c:v>
                </c:pt>
                <c:pt idx="12">
                  <c:v>-2</c:v>
                </c:pt>
                <c:pt idx="13">
                  <c:v>0</c:v>
                </c:pt>
                <c:pt idx="14">
                  <c:v>2</c:v>
                </c:pt>
                <c:pt idx="15">
                  <c:v>4</c:v>
                </c:pt>
                <c:pt idx="16">
                  <c:v>6</c:v>
                </c:pt>
                <c:pt idx="17">
                  <c:v>8</c:v>
                </c:pt>
                <c:pt idx="18">
                  <c:v>10</c:v>
                </c:pt>
                <c:pt idx="19">
                  <c:v>12</c:v>
                </c:pt>
                <c:pt idx="20">
                  <c:v>14</c:v>
                </c:pt>
                <c:pt idx="21">
                  <c:v>16</c:v>
                </c:pt>
                <c:pt idx="22">
                  <c:v>18</c:v>
                </c:pt>
                <c:pt idx="23">
                  <c:v>20</c:v>
                </c:pt>
                <c:pt idx="24">
                  <c:v>22</c:v>
                </c:pt>
                <c:pt idx="25">
                  <c:v>24</c:v>
                </c:pt>
                <c:pt idx="26">
                  <c:v>26</c:v>
                </c:pt>
                <c:pt idx="27">
                  <c:v>28</c:v>
                </c:pt>
                <c:pt idx="28">
                  <c:v>30</c:v>
                </c:pt>
                <c:pt idx="29">
                  <c:v>32</c:v>
                </c:pt>
                <c:pt idx="30">
                  <c:v>34</c:v>
                </c:pt>
                <c:pt idx="31">
                  <c:v>36</c:v>
                </c:pt>
                <c:pt idx="32">
                  <c:v>38</c:v>
                </c:pt>
                <c:pt idx="33">
                  <c:v>40</c:v>
                </c:pt>
                <c:pt idx="34">
                  <c:v>42</c:v>
                </c:pt>
                <c:pt idx="35">
                  <c:v>44</c:v>
                </c:pt>
                <c:pt idx="36">
                  <c:v>46</c:v>
                </c:pt>
                <c:pt idx="37">
                  <c:v>48</c:v>
                </c:pt>
                <c:pt idx="38">
                  <c:v>50</c:v>
                </c:pt>
                <c:pt idx="39">
                  <c:v>52</c:v>
                </c:pt>
                <c:pt idx="40">
                  <c:v>54</c:v>
                </c:pt>
                <c:pt idx="41">
                  <c:v>56</c:v>
                </c:pt>
                <c:pt idx="42">
                  <c:v>58</c:v>
                </c:pt>
                <c:pt idx="43">
                  <c:v>60</c:v>
                </c:pt>
                <c:pt idx="44">
                  <c:v>62</c:v>
                </c:pt>
                <c:pt idx="45">
                  <c:v>64</c:v>
                </c:pt>
                <c:pt idx="46">
                  <c:v>66</c:v>
                </c:pt>
                <c:pt idx="47">
                  <c:v>68</c:v>
                </c:pt>
                <c:pt idx="48">
                  <c:v>70</c:v>
                </c:pt>
                <c:pt idx="49">
                  <c:v>72</c:v>
                </c:pt>
                <c:pt idx="50">
                  <c:v>73</c:v>
                </c:pt>
                <c:pt idx="51">
                  <c:v>74</c:v>
                </c:pt>
                <c:pt idx="52">
                  <c:v>76</c:v>
                </c:pt>
                <c:pt idx="53">
                  <c:v>78</c:v>
                </c:pt>
                <c:pt idx="54">
                  <c:v>80</c:v>
                </c:pt>
                <c:pt idx="55">
                  <c:v>82</c:v>
                </c:pt>
                <c:pt idx="56">
                  <c:v>84</c:v>
                </c:pt>
                <c:pt idx="57">
                  <c:v>86</c:v>
                </c:pt>
                <c:pt idx="58">
                  <c:v>88</c:v>
                </c:pt>
                <c:pt idx="59">
                  <c:v>90</c:v>
                </c:pt>
                <c:pt idx="60">
                  <c:v>91</c:v>
                </c:pt>
                <c:pt idx="61">
                  <c:v>92</c:v>
                </c:pt>
                <c:pt idx="62">
                  <c:v>94</c:v>
                </c:pt>
                <c:pt idx="63">
                  <c:v>95</c:v>
                </c:pt>
              </c:numCache>
            </c:numRef>
          </c:xVal>
          <c:yVal>
            <c:numRef>
              <c:f>Albero_2!$Z$59:$Z$122</c:f>
              <c:numCache>
                <c:formatCode>General</c:formatCode>
                <c:ptCount val="64"/>
                <c:pt idx="0">
                  <c:v>-3.6416206590912667E-3</c:v>
                </c:pt>
                <c:pt idx="1">
                  <c:v>-3.4959558327276163E-3</c:v>
                </c:pt>
                <c:pt idx="2">
                  <c:v>-3.2046261800003149E-3</c:v>
                </c:pt>
                <c:pt idx="3">
                  <c:v>-2.9132965272730136E-3</c:v>
                </c:pt>
                <c:pt idx="4">
                  <c:v>-2.6219668745457122E-3</c:v>
                </c:pt>
                <c:pt idx="5">
                  <c:v>-2.3306372218184108E-3</c:v>
                </c:pt>
                <c:pt idx="6">
                  <c:v>-2.0393075690911095E-3</c:v>
                </c:pt>
                <c:pt idx="7">
                  <c:v>-1.7479779163638081E-3</c:v>
                </c:pt>
                <c:pt idx="8">
                  <c:v>-1.4566482636365068E-3</c:v>
                </c:pt>
                <c:pt idx="9">
                  <c:v>-1.1653186109092054E-3</c:v>
                </c:pt>
                <c:pt idx="10">
                  <c:v>-8.7398895818190407E-4</c:v>
                </c:pt>
                <c:pt idx="11">
                  <c:v>-5.8265930545460271E-4</c:v>
                </c:pt>
                <c:pt idx="12">
                  <c:v>-2.9132965272730136E-4</c:v>
                </c:pt>
                <c:pt idx="13">
                  <c:v>0</c:v>
                </c:pt>
                <c:pt idx="14">
                  <c:v>3.1589912126039178E-4</c:v>
                </c:pt>
                <c:pt idx="15">
                  <c:v>6.3073121289889853E-4</c:v>
                </c:pt>
                <c:pt idx="16">
                  <c:v>9.4342924529363542E-4</c:v>
                </c:pt>
                <c:pt idx="17">
                  <c:v>1.2529261888227176E-3</c:v>
                </c:pt>
                <c:pt idx="18">
                  <c:v>1.5581550138642599E-3</c:v>
                </c:pt>
                <c:pt idx="19">
                  <c:v>1.8580486907963773E-3</c:v>
                </c:pt>
                <c:pt idx="20">
                  <c:v>2.151540189997185E-3</c:v>
                </c:pt>
                <c:pt idx="21">
                  <c:v>2.4375624818447983E-3</c:v>
                </c:pt>
                <c:pt idx="22">
                  <c:v>2.7150485367173319E-3</c:v>
                </c:pt>
                <c:pt idx="23">
                  <c:v>2.9829313249929009E-3</c:v>
                </c:pt>
                <c:pt idx="24">
                  <c:v>3.2401438170496203E-3</c:v>
                </c:pt>
                <c:pt idx="25">
                  <c:v>3.4856189832656054E-3</c:v>
                </c:pt>
                <c:pt idx="26">
                  <c:v>3.7182897940189717E-3</c:v>
                </c:pt>
                <c:pt idx="27">
                  <c:v>3.9370892196878325E-3</c:v>
                </c:pt>
                <c:pt idx="28">
                  <c:v>4.1409502306503053E-3</c:v>
                </c:pt>
                <c:pt idx="29">
                  <c:v>4.328805797284503E-3</c:v>
                </c:pt>
                <c:pt idx="30">
                  <c:v>4.4995888899685421E-3</c:v>
                </c:pt>
                <c:pt idx="31">
                  <c:v>4.6522324790805357E-3</c:v>
                </c:pt>
                <c:pt idx="32">
                  <c:v>4.7856695349986021E-3</c:v>
                </c:pt>
                <c:pt idx="33">
                  <c:v>4.8988330281008532E-3</c:v>
                </c:pt>
                <c:pt idx="34">
                  <c:v>4.990655928765405E-3</c:v>
                </c:pt>
                <c:pt idx="35">
                  <c:v>5.0600712073703737E-3</c:v>
                </c:pt>
                <c:pt idx="36">
                  <c:v>5.1060118342938733E-3</c:v>
                </c:pt>
                <c:pt idx="37">
                  <c:v>5.1274107799140186E-3</c:v>
                </c:pt>
                <c:pt idx="38">
                  <c:v>5.123201014608926E-3</c:v>
                </c:pt>
                <c:pt idx="39">
                  <c:v>5.0923155087567104E-3</c:v>
                </c:pt>
                <c:pt idx="40">
                  <c:v>5.0336872327354848E-3</c:v>
                </c:pt>
                <c:pt idx="41">
                  <c:v>4.9462491569233656E-3</c:v>
                </c:pt>
                <c:pt idx="42">
                  <c:v>4.8289342516984668E-3</c:v>
                </c:pt>
                <c:pt idx="43">
                  <c:v>4.6806754874389065E-3</c:v>
                </c:pt>
                <c:pt idx="44">
                  <c:v>4.5004058345227971E-3</c:v>
                </c:pt>
                <c:pt idx="45">
                  <c:v>4.287058263328254E-3</c:v>
                </c:pt>
                <c:pt idx="46">
                  <c:v>4.039565744233393E-3</c:v>
                </c:pt>
                <c:pt idx="47">
                  <c:v>3.7568612476163283E-3</c:v>
                </c:pt>
                <c:pt idx="48">
                  <c:v>3.4378777438551756E-3</c:v>
                </c:pt>
                <c:pt idx="49">
                  <c:v>3.0911347975871718E-3</c:v>
                </c:pt>
                <c:pt idx="50">
                  <c:v>2.9201057879199642E-3</c:v>
                </c:pt>
                <c:pt idx="51">
                  <c:v>2.7516109736047331E-3</c:v>
                </c:pt>
                <c:pt idx="52">
                  <c:v>2.4216904162192598E-3</c:v>
                </c:pt>
                <c:pt idx="53">
                  <c:v>2.1003060958088658E-3</c:v>
                </c:pt>
                <c:pt idx="54">
                  <c:v>1.7863909827516662E-3</c:v>
                </c:pt>
                <c:pt idx="55">
                  <c:v>1.4788780474257765E-3</c:v>
                </c:pt>
                <c:pt idx="56">
                  <c:v>1.1767002602093115E-3</c:v>
                </c:pt>
                <c:pt idx="57">
                  <c:v>8.7879059148038622E-4</c:v>
                </c:pt>
                <c:pt idx="58">
                  <c:v>5.8408201161711589E-4</c:v>
                </c:pt>
                <c:pt idx="59">
                  <c:v>2.9150749099761549E-4</c:v>
                </c:pt>
                <c:pt idx="60">
                  <c:v>1.4568705614743994E-4</c:v>
                </c:pt>
                <c:pt idx="61">
                  <c:v>0</c:v>
                </c:pt>
                <c:pt idx="62">
                  <c:v>-2.9150749099761549E-4</c:v>
                </c:pt>
                <c:pt idx="63">
                  <c:v>-4.3759468325326226E-4</c:v>
                </c:pt>
              </c:numCache>
            </c:numRef>
          </c:yVal>
          <c:smooth val="0"/>
          <c:extLst>
            <c:ext xmlns:c16="http://schemas.microsoft.com/office/drawing/2014/chart" uri="{C3380CC4-5D6E-409C-BE32-E72D297353CC}">
              <c16:uniqueId val="{00000003-7D9C-4508-82CA-96092F3252D0}"/>
            </c:ext>
          </c:extLst>
        </c:ser>
        <c:ser>
          <c:idx val="2"/>
          <c:order val="3"/>
          <c:tx>
            <c:strRef>
              <c:f>Albero_2!$AA$58</c:f>
              <c:strCache>
                <c:ptCount val="1"/>
                <c:pt idx="0">
                  <c:v>Sum y</c:v>
                </c:pt>
              </c:strCache>
            </c:strRef>
          </c:tx>
          <c:spPr>
            <a:ln w="19050" cap="rnd">
              <a:solidFill>
                <a:schemeClr val="accent3"/>
              </a:solidFill>
              <a:round/>
            </a:ln>
            <a:effectLst/>
          </c:spPr>
          <c:marker>
            <c:symbol val="none"/>
          </c:marker>
          <c:xVal>
            <c:numRef>
              <c:f>Albero_2!$W$59:$W$122</c:f>
              <c:numCache>
                <c:formatCode>General</c:formatCode>
                <c:ptCount val="64"/>
                <c:pt idx="0">
                  <c:v>-25</c:v>
                </c:pt>
                <c:pt idx="1">
                  <c:v>-24</c:v>
                </c:pt>
                <c:pt idx="2">
                  <c:v>-22</c:v>
                </c:pt>
                <c:pt idx="3">
                  <c:v>-20</c:v>
                </c:pt>
                <c:pt idx="4">
                  <c:v>-18</c:v>
                </c:pt>
                <c:pt idx="5">
                  <c:v>-16</c:v>
                </c:pt>
                <c:pt idx="6">
                  <c:v>-14</c:v>
                </c:pt>
                <c:pt idx="7">
                  <c:v>-12</c:v>
                </c:pt>
                <c:pt idx="8">
                  <c:v>-10</c:v>
                </c:pt>
                <c:pt idx="9">
                  <c:v>-8</c:v>
                </c:pt>
                <c:pt idx="10">
                  <c:v>-6</c:v>
                </c:pt>
                <c:pt idx="11">
                  <c:v>-4</c:v>
                </c:pt>
                <c:pt idx="12">
                  <c:v>-2</c:v>
                </c:pt>
                <c:pt idx="13">
                  <c:v>0</c:v>
                </c:pt>
                <c:pt idx="14">
                  <c:v>2</c:v>
                </c:pt>
                <c:pt idx="15">
                  <c:v>4</c:v>
                </c:pt>
                <c:pt idx="16">
                  <c:v>6</c:v>
                </c:pt>
                <c:pt idx="17">
                  <c:v>8</c:v>
                </c:pt>
                <c:pt idx="18">
                  <c:v>10</c:v>
                </c:pt>
                <c:pt idx="19">
                  <c:v>12</c:v>
                </c:pt>
                <c:pt idx="20">
                  <c:v>14</c:v>
                </c:pt>
                <c:pt idx="21">
                  <c:v>16</c:v>
                </c:pt>
                <c:pt idx="22">
                  <c:v>18</c:v>
                </c:pt>
                <c:pt idx="23">
                  <c:v>20</c:v>
                </c:pt>
                <c:pt idx="24">
                  <c:v>22</c:v>
                </c:pt>
                <c:pt idx="25">
                  <c:v>24</c:v>
                </c:pt>
                <c:pt idx="26">
                  <c:v>26</c:v>
                </c:pt>
                <c:pt idx="27">
                  <c:v>28</c:v>
                </c:pt>
                <c:pt idx="28">
                  <c:v>30</c:v>
                </c:pt>
                <c:pt idx="29">
                  <c:v>32</c:v>
                </c:pt>
                <c:pt idx="30">
                  <c:v>34</c:v>
                </c:pt>
                <c:pt idx="31">
                  <c:v>36</c:v>
                </c:pt>
                <c:pt idx="32">
                  <c:v>38</c:v>
                </c:pt>
                <c:pt idx="33">
                  <c:v>40</c:v>
                </c:pt>
                <c:pt idx="34">
                  <c:v>42</c:v>
                </c:pt>
                <c:pt idx="35">
                  <c:v>44</c:v>
                </c:pt>
                <c:pt idx="36">
                  <c:v>46</c:v>
                </c:pt>
                <c:pt idx="37">
                  <c:v>48</c:v>
                </c:pt>
                <c:pt idx="38">
                  <c:v>50</c:v>
                </c:pt>
                <c:pt idx="39">
                  <c:v>52</c:v>
                </c:pt>
                <c:pt idx="40">
                  <c:v>54</c:v>
                </c:pt>
                <c:pt idx="41">
                  <c:v>56</c:v>
                </c:pt>
                <c:pt idx="42">
                  <c:v>58</c:v>
                </c:pt>
                <c:pt idx="43">
                  <c:v>60</c:v>
                </c:pt>
                <c:pt idx="44">
                  <c:v>62</c:v>
                </c:pt>
                <c:pt idx="45">
                  <c:v>64</c:v>
                </c:pt>
                <c:pt idx="46">
                  <c:v>66</c:v>
                </c:pt>
                <c:pt idx="47">
                  <c:v>68</c:v>
                </c:pt>
                <c:pt idx="48">
                  <c:v>70</c:v>
                </c:pt>
                <c:pt idx="49">
                  <c:v>72</c:v>
                </c:pt>
                <c:pt idx="50">
                  <c:v>73</c:v>
                </c:pt>
                <c:pt idx="51">
                  <c:v>74</c:v>
                </c:pt>
                <c:pt idx="52">
                  <c:v>76</c:v>
                </c:pt>
                <c:pt idx="53">
                  <c:v>78</c:v>
                </c:pt>
                <c:pt idx="54">
                  <c:v>80</c:v>
                </c:pt>
                <c:pt idx="55">
                  <c:v>82</c:v>
                </c:pt>
                <c:pt idx="56">
                  <c:v>84</c:v>
                </c:pt>
                <c:pt idx="57">
                  <c:v>86</c:v>
                </c:pt>
                <c:pt idx="58">
                  <c:v>88</c:v>
                </c:pt>
                <c:pt idx="59">
                  <c:v>90</c:v>
                </c:pt>
                <c:pt idx="60">
                  <c:v>91</c:v>
                </c:pt>
                <c:pt idx="61">
                  <c:v>92</c:v>
                </c:pt>
                <c:pt idx="62">
                  <c:v>94</c:v>
                </c:pt>
                <c:pt idx="63">
                  <c:v>95</c:v>
                </c:pt>
              </c:numCache>
            </c:numRef>
          </c:xVal>
          <c:yVal>
            <c:numRef>
              <c:f>Albero_2!$AA$59:$AA$122</c:f>
              <c:numCache>
                <c:formatCode>General</c:formatCode>
                <c:ptCount val="64"/>
                <c:pt idx="0">
                  <c:v>-4.4580019766529162E-3</c:v>
                </c:pt>
                <c:pt idx="1">
                  <c:v>-4.2347289675640203E-3</c:v>
                </c:pt>
                <c:pt idx="2">
                  <c:v>-3.7944763595894166E-3</c:v>
                </c:pt>
                <c:pt idx="3">
                  <c:v>-3.3641133962198245E-3</c:v>
                </c:pt>
                <c:pt idx="4">
                  <c:v>-2.9454381946561544E-3</c:v>
                </c:pt>
                <c:pt idx="5">
                  <c:v>-2.54024887209932E-3</c:v>
                </c:pt>
                <c:pt idx="6">
                  <c:v>-2.1503435457502292E-3</c:v>
                </c:pt>
                <c:pt idx="7">
                  <c:v>-1.7775203328097952E-3</c:v>
                </c:pt>
                <c:pt idx="8">
                  <c:v>-1.423577350478929E-3</c:v>
                </c:pt>
                <c:pt idx="9">
                  <c:v>-1.0903127159585411E-3</c:v>
                </c:pt>
                <c:pt idx="10">
                  <c:v>-7.7952454644954292E-4</c:v>
                </c:pt>
                <c:pt idx="11">
                  <c:v>-4.9301095915284601E-4</c:v>
                </c:pt>
                <c:pt idx="12">
                  <c:v>-2.3257007126936127E-4</c:v>
                </c:pt>
                <c:pt idx="13">
                  <c:v>0</c:v>
                </c:pt>
                <c:pt idx="14">
                  <c:v>2.2814148736198075E-4</c:v>
                </c:pt>
                <c:pt idx="15">
                  <c:v>4.2777418233351213E-4</c:v>
                </c:pt>
                <c:pt idx="16">
                  <c:v>6.0005822633917927E-4</c:v>
                </c:pt>
                <c:pt idx="17">
                  <c:v>7.4615376080356777E-4</c:v>
                </c:pt>
                <c:pt idx="18">
                  <c:v>8.6722092715126303E-4</c:v>
                </c:pt>
                <c:pt idx="19">
                  <c:v>9.644198668068496E-4</c:v>
                </c:pt>
                <c:pt idx="20">
                  <c:v>1.0389107211949133E-3</c:v>
                </c:pt>
                <c:pt idx="21">
                  <c:v>1.0918536317400395E-3</c:v>
                </c:pt>
                <c:pt idx="22">
                  <c:v>1.1244087398668131E-3</c:v>
                </c:pt>
                <c:pt idx="23">
                  <c:v>1.1377361869998204E-3</c:v>
                </c:pt>
                <c:pt idx="24">
                  <c:v>1.132996114563644E-3</c:v>
                </c:pt>
                <c:pt idx="25">
                  <c:v>1.1113486639828729E-3</c:v>
                </c:pt>
                <c:pt idx="26">
                  <c:v>1.0739539766820906E-3</c:v>
                </c:pt>
                <c:pt idx="27">
                  <c:v>1.0219721940858801E-3</c:v>
                </c:pt>
                <c:pt idx="28">
                  <c:v>9.5656345761883097E-4</c:v>
                </c:pt>
                <c:pt idx="29">
                  <c:v>8.7888790870552583E-4</c:v>
                </c:pt>
                <c:pt idx="30">
                  <c:v>7.9010568877055116E-4</c:v>
                </c:pt>
                <c:pt idx="31">
                  <c:v>6.9137693923848782E-4</c:v>
                </c:pt>
                <c:pt idx="32">
                  <c:v>5.8386180153392926E-4</c:v>
                </c:pt>
                <c:pt idx="33">
                  <c:v>4.6872041708145677E-4</c:v>
                </c:pt>
                <c:pt idx="34">
                  <c:v>3.4711292730565078E-4</c:v>
                </c:pt>
                <c:pt idx="35">
                  <c:v>2.2019947363110127E-4</c:v>
                </c:pt>
                <c:pt idx="36">
                  <c:v>8.9140197482398195E-5</c:v>
                </c:pt>
                <c:pt idx="37">
                  <c:v>-4.4904759715883209E-5</c:v>
                </c:pt>
                <c:pt idx="38">
                  <c:v>-1.8077525653915037E-4</c:v>
                </c:pt>
                <c:pt idx="39">
                  <c:v>-3.1731115156281679E-4</c:v>
                </c:pt>
                <c:pt idx="40">
                  <c:v>-4.5335230336230551E-4</c:v>
                </c:pt>
                <c:pt idx="41">
                  <c:v>-5.8773857051302395E-4</c:v>
                </c:pt>
                <c:pt idx="42">
                  <c:v>-7.1930981159039255E-4</c:v>
                </c:pt>
                <c:pt idx="43">
                  <c:v>-8.4690588516982048E-4</c:v>
                </c:pt>
                <c:pt idx="44">
                  <c:v>-9.6936664982672557E-4</c:v>
                </c:pt>
                <c:pt idx="45">
                  <c:v>-1.0855319641365196E-3</c:v>
                </c:pt>
                <c:pt idx="46">
                  <c:v>-1.1942416866746229E-3</c:v>
                </c:pt>
                <c:pt idx="47">
                  <c:v>-1.2943356760164418E-3</c:v>
                </c:pt>
                <c:pt idx="48">
                  <c:v>-1.3846537907374E-3</c:v>
                </c:pt>
                <c:pt idx="49">
                  <c:v>-1.4547280211583903E-3</c:v>
                </c:pt>
                <c:pt idx="50">
                  <c:v>-1.4698283531977383E-3</c:v>
                </c:pt>
                <c:pt idx="51">
                  <c:v>-1.4714153416836556E-3</c:v>
                </c:pt>
                <c:pt idx="52">
                  <c:v>-1.4368942024275242E-3</c:v>
                </c:pt>
                <c:pt idx="53">
                  <c:v>-1.3568544322545856E-3</c:v>
                </c:pt>
                <c:pt idx="54">
                  <c:v>-1.2369858600294456E-3</c:v>
                </c:pt>
                <c:pt idx="55">
                  <c:v>-1.0829783146167101E-3</c:v>
                </c:pt>
                <c:pt idx="56">
                  <c:v>-9.0052162488096885E-4</c:v>
                </c:pt>
                <c:pt idx="57">
                  <c:v>-6.9530561968682585E-4</c:v>
                </c:pt>
                <c:pt idx="58">
                  <c:v>-4.7302012789888711E-4</c:v>
                </c:pt>
                <c:pt idx="59">
                  <c:v>-2.3935497838174227E-4</c:v>
                </c:pt>
                <c:pt idx="60">
                  <c:v>-1.2003310349490833E-4</c:v>
                </c:pt>
                <c:pt idx="61">
                  <c:v>3.3729672640032066E-18</c:v>
                </c:pt>
                <c:pt idx="62">
                  <c:v>2.3935497838174227E-4</c:v>
                </c:pt>
                <c:pt idx="63">
                  <c:v>3.572543960524275E-4</c:v>
                </c:pt>
              </c:numCache>
            </c:numRef>
          </c:yVal>
          <c:smooth val="0"/>
          <c:extLst>
            <c:ext xmlns:c16="http://schemas.microsoft.com/office/drawing/2014/chart" uri="{C3380CC4-5D6E-409C-BE32-E72D297353CC}">
              <c16:uniqueId val="{00000002-7D9C-4508-82CA-96092F3252D0}"/>
            </c:ext>
          </c:extLst>
        </c:ser>
        <c:dLbls>
          <c:showLegendKey val="0"/>
          <c:showVal val="0"/>
          <c:showCatName val="0"/>
          <c:showSerName val="0"/>
          <c:showPercent val="0"/>
          <c:showBubbleSize val="0"/>
        </c:dLbls>
        <c:axId val="480828687"/>
        <c:axId val="480832527"/>
      </c:scatterChart>
      <c:valAx>
        <c:axId val="480828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80832527"/>
        <c:crosses val="autoZero"/>
        <c:crossBetween val="midCat"/>
      </c:valAx>
      <c:valAx>
        <c:axId val="480832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8082868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Deformate</a:t>
            </a:r>
            <a:r>
              <a:rPr lang="it-IT" baseline="0"/>
              <a:t> z</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scatterChart>
        <c:scatterStyle val="lineMarker"/>
        <c:varyColors val="0"/>
        <c:ser>
          <c:idx val="0"/>
          <c:order val="0"/>
          <c:tx>
            <c:strRef>
              <c:f>Albero_2!$AC$58</c:f>
              <c:strCache>
                <c:ptCount val="1"/>
                <c:pt idx="0">
                  <c:v>Ft_3</c:v>
                </c:pt>
              </c:strCache>
            </c:strRef>
          </c:tx>
          <c:spPr>
            <a:ln w="19050" cap="rnd">
              <a:solidFill>
                <a:schemeClr val="accent1"/>
              </a:solidFill>
              <a:round/>
            </a:ln>
            <a:effectLst/>
          </c:spPr>
          <c:marker>
            <c:symbol val="none"/>
          </c:marker>
          <c:xVal>
            <c:numRef>
              <c:f>Albero_2!$W$59:$W$122</c:f>
              <c:numCache>
                <c:formatCode>General</c:formatCode>
                <c:ptCount val="64"/>
                <c:pt idx="0">
                  <c:v>-25</c:v>
                </c:pt>
                <c:pt idx="1">
                  <c:v>-24</c:v>
                </c:pt>
                <c:pt idx="2">
                  <c:v>-22</c:v>
                </c:pt>
                <c:pt idx="3">
                  <c:v>-20</c:v>
                </c:pt>
                <c:pt idx="4">
                  <c:v>-18</c:v>
                </c:pt>
                <c:pt idx="5">
                  <c:v>-16</c:v>
                </c:pt>
                <c:pt idx="6">
                  <c:v>-14</c:v>
                </c:pt>
                <c:pt idx="7">
                  <c:v>-12</c:v>
                </c:pt>
                <c:pt idx="8">
                  <c:v>-10</c:v>
                </c:pt>
                <c:pt idx="9">
                  <c:v>-8</c:v>
                </c:pt>
                <c:pt idx="10">
                  <c:v>-6</c:v>
                </c:pt>
                <c:pt idx="11">
                  <c:v>-4</c:v>
                </c:pt>
                <c:pt idx="12">
                  <c:v>-2</c:v>
                </c:pt>
                <c:pt idx="13">
                  <c:v>0</c:v>
                </c:pt>
                <c:pt idx="14">
                  <c:v>2</c:v>
                </c:pt>
                <c:pt idx="15">
                  <c:v>4</c:v>
                </c:pt>
                <c:pt idx="16">
                  <c:v>6</c:v>
                </c:pt>
                <c:pt idx="17">
                  <c:v>8</c:v>
                </c:pt>
                <c:pt idx="18">
                  <c:v>10</c:v>
                </c:pt>
                <c:pt idx="19">
                  <c:v>12</c:v>
                </c:pt>
                <c:pt idx="20">
                  <c:v>14</c:v>
                </c:pt>
                <c:pt idx="21">
                  <c:v>16</c:v>
                </c:pt>
                <c:pt idx="22">
                  <c:v>18</c:v>
                </c:pt>
                <c:pt idx="23">
                  <c:v>20</c:v>
                </c:pt>
                <c:pt idx="24">
                  <c:v>22</c:v>
                </c:pt>
                <c:pt idx="25">
                  <c:v>24</c:v>
                </c:pt>
                <c:pt idx="26">
                  <c:v>26</c:v>
                </c:pt>
                <c:pt idx="27">
                  <c:v>28</c:v>
                </c:pt>
                <c:pt idx="28">
                  <c:v>30</c:v>
                </c:pt>
                <c:pt idx="29">
                  <c:v>32</c:v>
                </c:pt>
                <c:pt idx="30">
                  <c:v>34</c:v>
                </c:pt>
                <c:pt idx="31">
                  <c:v>36</c:v>
                </c:pt>
                <c:pt idx="32">
                  <c:v>38</c:v>
                </c:pt>
                <c:pt idx="33">
                  <c:v>40</c:v>
                </c:pt>
                <c:pt idx="34">
                  <c:v>42</c:v>
                </c:pt>
                <c:pt idx="35">
                  <c:v>44</c:v>
                </c:pt>
                <c:pt idx="36">
                  <c:v>46</c:v>
                </c:pt>
                <c:pt idx="37">
                  <c:v>48</c:v>
                </c:pt>
                <c:pt idx="38">
                  <c:v>50</c:v>
                </c:pt>
                <c:pt idx="39">
                  <c:v>52</c:v>
                </c:pt>
                <c:pt idx="40">
                  <c:v>54</c:v>
                </c:pt>
                <c:pt idx="41">
                  <c:v>56</c:v>
                </c:pt>
                <c:pt idx="42">
                  <c:v>58</c:v>
                </c:pt>
                <c:pt idx="43">
                  <c:v>60</c:v>
                </c:pt>
                <c:pt idx="44">
                  <c:v>62</c:v>
                </c:pt>
                <c:pt idx="45">
                  <c:v>64</c:v>
                </c:pt>
                <c:pt idx="46">
                  <c:v>66</c:v>
                </c:pt>
                <c:pt idx="47">
                  <c:v>68</c:v>
                </c:pt>
                <c:pt idx="48">
                  <c:v>70</c:v>
                </c:pt>
                <c:pt idx="49">
                  <c:v>72</c:v>
                </c:pt>
                <c:pt idx="50">
                  <c:v>73</c:v>
                </c:pt>
                <c:pt idx="51">
                  <c:v>74</c:v>
                </c:pt>
                <c:pt idx="52">
                  <c:v>76</c:v>
                </c:pt>
                <c:pt idx="53">
                  <c:v>78</c:v>
                </c:pt>
                <c:pt idx="54">
                  <c:v>80</c:v>
                </c:pt>
                <c:pt idx="55">
                  <c:v>82</c:v>
                </c:pt>
                <c:pt idx="56">
                  <c:v>84</c:v>
                </c:pt>
                <c:pt idx="57">
                  <c:v>86</c:v>
                </c:pt>
                <c:pt idx="58">
                  <c:v>88</c:v>
                </c:pt>
                <c:pt idx="59">
                  <c:v>90</c:v>
                </c:pt>
                <c:pt idx="60">
                  <c:v>91</c:v>
                </c:pt>
                <c:pt idx="61">
                  <c:v>92</c:v>
                </c:pt>
                <c:pt idx="62">
                  <c:v>94</c:v>
                </c:pt>
                <c:pt idx="63">
                  <c:v>95</c:v>
                </c:pt>
              </c:numCache>
            </c:numRef>
          </c:xVal>
          <c:yVal>
            <c:numRef>
              <c:f>Albero_2!$AC$59:$AC$122</c:f>
              <c:numCache>
                <c:formatCode>General</c:formatCode>
                <c:ptCount val="64"/>
                <c:pt idx="0">
                  <c:v>1.5582252617907114E-2</c:v>
                </c:pt>
                <c:pt idx="1">
                  <c:v>1.4958962513190829E-2</c:v>
                </c:pt>
                <c:pt idx="2">
                  <c:v>1.371238230375826E-2</c:v>
                </c:pt>
                <c:pt idx="3">
                  <c:v>1.2465802094325691E-2</c:v>
                </c:pt>
                <c:pt idx="4">
                  <c:v>1.1219221884893122E-2</c:v>
                </c:pt>
                <c:pt idx="5">
                  <c:v>9.9726416754605529E-3</c:v>
                </c:pt>
                <c:pt idx="6">
                  <c:v>8.7260614660279838E-3</c:v>
                </c:pt>
                <c:pt idx="7">
                  <c:v>7.4794812565954147E-3</c:v>
                </c:pt>
                <c:pt idx="8">
                  <c:v>6.2329010471628456E-3</c:v>
                </c:pt>
                <c:pt idx="9">
                  <c:v>4.9863208377302765E-3</c:v>
                </c:pt>
                <c:pt idx="10">
                  <c:v>3.7397406282977073E-3</c:v>
                </c:pt>
                <c:pt idx="11">
                  <c:v>2.4931604188651382E-3</c:v>
                </c:pt>
                <c:pt idx="12">
                  <c:v>1.2465802094325691E-3</c:v>
                </c:pt>
                <c:pt idx="13">
                  <c:v>0</c:v>
                </c:pt>
                <c:pt idx="14">
                  <c:v>-1.2459578868450004E-3</c:v>
                </c:pt>
                <c:pt idx="15">
                  <c:v>-2.488181838164591E-3</c:v>
                </c:pt>
                <c:pt idx="16">
                  <c:v>-3.7229379184333597E-3</c:v>
                </c:pt>
                <c:pt idx="17">
                  <c:v>-4.946492192125897E-3</c:v>
                </c:pt>
                <c:pt idx="18">
                  <c:v>-6.1551107237167932E-3</c:v>
                </c:pt>
                <c:pt idx="19">
                  <c:v>-7.3450595776806335E-3</c:v>
                </c:pt>
                <c:pt idx="20">
                  <c:v>-8.5126048184920138E-3</c:v>
                </c:pt>
                <c:pt idx="21">
                  <c:v>-9.6540125106255193E-3</c:v>
                </c:pt>
                <c:pt idx="22">
                  <c:v>-1.0765548718555741E-2</c:v>
                </c:pt>
                <c:pt idx="23">
                  <c:v>-1.1843479506757267E-2</c:v>
                </c:pt>
                <c:pt idx="24">
                  <c:v>-1.2884070939704688E-2</c:v>
                </c:pt>
                <c:pt idx="25">
                  <c:v>-1.3883589081872592E-2</c:v>
                </c:pt>
                <c:pt idx="26">
                  <c:v>-1.4838299997735569E-2</c:v>
                </c:pt>
                <c:pt idx="27">
                  <c:v>-1.5744469751768211E-2</c:v>
                </c:pt>
                <c:pt idx="28">
                  <c:v>-1.6598364408445105E-2</c:v>
                </c:pt>
                <c:pt idx="29">
                  <c:v>-1.739625003224084E-2</c:v>
                </c:pt>
                <c:pt idx="30">
                  <c:v>-1.8134392687630004E-2</c:v>
                </c:pt>
                <c:pt idx="31">
                  <c:v>-1.8809058439087194E-2</c:v>
                </c:pt>
                <c:pt idx="32">
                  <c:v>-1.9416513351086989E-2</c:v>
                </c:pt>
                <c:pt idx="33">
                  <c:v>-1.9953023488103988E-2</c:v>
                </c:pt>
                <c:pt idx="34">
                  <c:v>-2.0414854914612778E-2</c:v>
                </c:pt>
                <c:pt idx="35">
                  <c:v>-2.0798273695087938E-2</c:v>
                </c:pt>
                <c:pt idx="36">
                  <c:v>-2.1099545894004073E-2</c:v>
                </c:pt>
                <c:pt idx="37">
                  <c:v>-2.1314937575835757E-2</c:v>
                </c:pt>
                <c:pt idx="38">
                  <c:v>-2.1440714805057597E-2</c:v>
                </c:pt>
                <c:pt idx="39">
                  <c:v>-2.147314364614417E-2</c:v>
                </c:pt>
                <c:pt idx="40">
                  <c:v>-2.1408490163570069E-2</c:v>
                </c:pt>
                <c:pt idx="41">
                  <c:v>-2.1243020421809884E-2</c:v>
                </c:pt>
                <c:pt idx="42">
                  <c:v>-2.0973000485338202E-2</c:v>
                </c:pt>
                <c:pt idx="43">
                  <c:v>-2.0594696418629613E-2</c:v>
                </c:pt>
                <c:pt idx="44">
                  <c:v>-2.0104374286158713E-2</c:v>
                </c:pt>
                <c:pt idx="45">
                  <c:v>-1.9498300152400085E-2</c:v>
                </c:pt>
                <c:pt idx="46">
                  <c:v>-1.8772740081828318E-2</c:v>
                </c:pt>
                <c:pt idx="47">
                  <c:v>-1.7923960138918001E-2</c:v>
                </c:pt>
                <c:pt idx="48">
                  <c:v>-1.6948226388143729E-2</c:v>
                </c:pt>
                <c:pt idx="49">
                  <c:v>-1.584246267980334E-2</c:v>
                </c:pt>
                <c:pt idx="50">
                  <c:v>-1.5242255595196796E-2</c:v>
                </c:pt>
                <c:pt idx="51">
                  <c:v>-1.4612522964531229E-2</c:v>
                </c:pt>
                <c:pt idx="52">
                  <c:v>-1.3270696969456519E-2</c:v>
                </c:pt>
                <c:pt idx="53">
                  <c:v>-1.1829416503446167E-2</c:v>
                </c:pt>
                <c:pt idx="54">
                  <c:v>-1.0301113375367134E-2</c:v>
                </c:pt>
                <c:pt idx="55">
                  <c:v>-8.6982193940863661E-3</c:v>
                </c:pt>
                <c:pt idx="56">
                  <c:v>-7.0331663684708228E-3</c:v>
                </c:pt>
                <c:pt idx="57">
                  <c:v>-5.3183861073874596E-3</c:v>
                </c:pt>
                <c:pt idx="58">
                  <c:v>-3.5663104197032319E-3</c:v>
                </c:pt>
                <c:pt idx="59">
                  <c:v>-1.7893711142850936E-3</c:v>
                </c:pt>
                <c:pt idx="60">
                  <c:v>-8.9546254519673148E-4</c:v>
                </c:pt>
                <c:pt idx="61">
                  <c:v>0</c:v>
                </c:pt>
                <c:pt idx="62">
                  <c:v>1.7893711142850936E-3</c:v>
                </c:pt>
                <c:pt idx="63">
                  <c:v>2.6801717311567171E-3</c:v>
                </c:pt>
              </c:numCache>
            </c:numRef>
          </c:yVal>
          <c:smooth val="0"/>
          <c:extLst>
            <c:ext xmlns:c16="http://schemas.microsoft.com/office/drawing/2014/chart" uri="{C3380CC4-5D6E-409C-BE32-E72D297353CC}">
              <c16:uniqueId val="{00000000-4038-4715-B861-46A818CFFFAE}"/>
            </c:ext>
          </c:extLst>
        </c:ser>
        <c:ser>
          <c:idx val="1"/>
          <c:order val="1"/>
          <c:tx>
            <c:strRef>
              <c:f>Albero_2!$AD$58</c:f>
              <c:strCache>
                <c:ptCount val="1"/>
                <c:pt idx="0">
                  <c:v>Ft_2</c:v>
                </c:pt>
              </c:strCache>
            </c:strRef>
          </c:tx>
          <c:spPr>
            <a:ln w="19050" cap="rnd">
              <a:solidFill>
                <a:schemeClr val="accent2"/>
              </a:solidFill>
              <a:round/>
            </a:ln>
            <a:effectLst/>
          </c:spPr>
          <c:marker>
            <c:symbol val="none"/>
          </c:marker>
          <c:xVal>
            <c:numRef>
              <c:f>Albero_2!$W$59:$W$122</c:f>
              <c:numCache>
                <c:formatCode>General</c:formatCode>
                <c:ptCount val="64"/>
                <c:pt idx="0">
                  <c:v>-25</c:v>
                </c:pt>
                <c:pt idx="1">
                  <c:v>-24</c:v>
                </c:pt>
                <c:pt idx="2">
                  <c:v>-22</c:v>
                </c:pt>
                <c:pt idx="3">
                  <c:v>-20</c:v>
                </c:pt>
                <c:pt idx="4">
                  <c:v>-18</c:v>
                </c:pt>
                <c:pt idx="5">
                  <c:v>-16</c:v>
                </c:pt>
                <c:pt idx="6">
                  <c:v>-14</c:v>
                </c:pt>
                <c:pt idx="7">
                  <c:v>-12</c:v>
                </c:pt>
                <c:pt idx="8">
                  <c:v>-10</c:v>
                </c:pt>
                <c:pt idx="9">
                  <c:v>-8</c:v>
                </c:pt>
                <c:pt idx="10">
                  <c:v>-6</c:v>
                </c:pt>
                <c:pt idx="11">
                  <c:v>-4</c:v>
                </c:pt>
                <c:pt idx="12">
                  <c:v>-2</c:v>
                </c:pt>
                <c:pt idx="13">
                  <c:v>0</c:v>
                </c:pt>
                <c:pt idx="14">
                  <c:v>2</c:v>
                </c:pt>
                <c:pt idx="15">
                  <c:v>4</c:v>
                </c:pt>
                <c:pt idx="16">
                  <c:v>6</c:v>
                </c:pt>
                <c:pt idx="17">
                  <c:v>8</c:v>
                </c:pt>
                <c:pt idx="18">
                  <c:v>10</c:v>
                </c:pt>
                <c:pt idx="19">
                  <c:v>12</c:v>
                </c:pt>
                <c:pt idx="20">
                  <c:v>14</c:v>
                </c:pt>
                <c:pt idx="21">
                  <c:v>16</c:v>
                </c:pt>
                <c:pt idx="22">
                  <c:v>18</c:v>
                </c:pt>
                <c:pt idx="23">
                  <c:v>20</c:v>
                </c:pt>
                <c:pt idx="24">
                  <c:v>22</c:v>
                </c:pt>
                <c:pt idx="25">
                  <c:v>24</c:v>
                </c:pt>
                <c:pt idx="26">
                  <c:v>26</c:v>
                </c:pt>
                <c:pt idx="27">
                  <c:v>28</c:v>
                </c:pt>
                <c:pt idx="28">
                  <c:v>30</c:v>
                </c:pt>
                <c:pt idx="29">
                  <c:v>32</c:v>
                </c:pt>
                <c:pt idx="30">
                  <c:v>34</c:v>
                </c:pt>
                <c:pt idx="31">
                  <c:v>36</c:v>
                </c:pt>
                <c:pt idx="32">
                  <c:v>38</c:v>
                </c:pt>
                <c:pt idx="33">
                  <c:v>40</c:v>
                </c:pt>
                <c:pt idx="34">
                  <c:v>42</c:v>
                </c:pt>
                <c:pt idx="35">
                  <c:v>44</c:v>
                </c:pt>
                <c:pt idx="36">
                  <c:v>46</c:v>
                </c:pt>
                <c:pt idx="37">
                  <c:v>48</c:v>
                </c:pt>
                <c:pt idx="38">
                  <c:v>50</c:v>
                </c:pt>
                <c:pt idx="39">
                  <c:v>52</c:v>
                </c:pt>
                <c:pt idx="40">
                  <c:v>54</c:v>
                </c:pt>
                <c:pt idx="41">
                  <c:v>56</c:v>
                </c:pt>
                <c:pt idx="42">
                  <c:v>58</c:v>
                </c:pt>
                <c:pt idx="43">
                  <c:v>60</c:v>
                </c:pt>
                <c:pt idx="44">
                  <c:v>62</c:v>
                </c:pt>
                <c:pt idx="45">
                  <c:v>64</c:v>
                </c:pt>
                <c:pt idx="46">
                  <c:v>66</c:v>
                </c:pt>
                <c:pt idx="47">
                  <c:v>68</c:v>
                </c:pt>
                <c:pt idx="48">
                  <c:v>70</c:v>
                </c:pt>
                <c:pt idx="49">
                  <c:v>72</c:v>
                </c:pt>
                <c:pt idx="50">
                  <c:v>73</c:v>
                </c:pt>
                <c:pt idx="51">
                  <c:v>74</c:v>
                </c:pt>
                <c:pt idx="52">
                  <c:v>76</c:v>
                </c:pt>
                <c:pt idx="53">
                  <c:v>78</c:v>
                </c:pt>
                <c:pt idx="54">
                  <c:v>80</c:v>
                </c:pt>
                <c:pt idx="55">
                  <c:v>82</c:v>
                </c:pt>
                <c:pt idx="56">
                  <c:v>84</c:v>
                </c:pt>
                <c:pt idx="57">
                  <c:v>86</c:v>
                </c:pt>
                <c:pt idx="58">
                  <c:v>88</c:v>
                </c:pt>
                <c:pt idx="59">
                  <c:v>90</c:v>
                </c:pt>
                <c:pt idx="60">
                  <c:v>91</c:v>
                </c:pt>
                <c:pt idx="61">
                  <c:v>92</c:v>
                </c:pt>
                <c:pt idx="62">
                  <c:v>94</c:v>
                </c:pt>
                <c:pt idx="63">
                  <c:v>95</c:v>
                </c:pt>
              </c:numCache>
            </c:numRef>
          </c:xVal>
          <c:yVal>
            <c:numRef>
              <c:f>Albero_2!$AD$59:$AD$122</c:f>
              <c:numCache>
                <c:formatCode>General</c:formatCode>
                <c:ptCount val="64"/>
                <c:pt idx="0">
                  <c:v>-2.0383827560699314E-2</c:v>
                </c:pt>
                <c:pt idx="1">
                  <c:v>-1.9444967298095431E-2</c:v>
                </c:pt>
                <c:pt idx="2">
                  <c:v>-1.7584537775312291E-2</c:v>
                </c:pt>
                <c:pt idx="3">
                  <c:v>-1.5751279827767854E-2</c:v>
                </c:pt>
                <c:pt idx="4">
                  <c:v>-1.3950133741869151E-2</c:v>
                </c:pt>
                <c:pt idx="5">
                  <c:v>-1.2186039804023222E-2</c:v>
                </c:pt>
                <c:pt idx="6">
                  <c:v>-1.0463938300637101E-2</c:v>
                </c:pt>
                <c:pt idx="7">
                  <c:v>-8.7887695181178282E-3</c:v>
                </c:pt>
                <c:pt idx="8">
                  <c:v>-7.1654737428724384E-3</c:v>
                </c:pt>
                <c:pt idx="9">
                  <c:v>-5.5989912613079659E-3</c:v>
                </c:pt>
                <c:pt idx="10">
                  <c:v>-4.0942623598314506E-3</c:v>
                </c:pt>
                <c:pt idx="11">
                  <c:v>-2.6562273248499262E-3</c:v>
                </c:pt>
                <c:pt idx="12">
                  <c:v>-1.2898264427704308E-3</c:v>
                </c:pt>
                <c:pt idx="13">
                  <c:v>0</c:v>
                </c:pt>
                <c:pt idx="14">
                  <c:v>1.8340813286122789E-3</c:v>
                </c:pt>
                <c:pt idx="15">
                  <c:v>3.5866479315084564E-3</c:v>
                </c:pt>
                <c:pt idx="16">
                  <c:v>5.257699808688533E-3</c:v>
                </c:pt>
                <c:pt idx="17">
                  <c:v>6.8472369601525083E-3</c:v>
                </c:pt>
                <c:pt idx="18">
                  <c:v>8.3552593859003814E-3</c:v>
                </c:pt>
                <c:pt idx="19">
                  <c:v>9.781767085932154E-3</c:v>
                </c:pt>
                <c:pt idx="20">
                  <c:v>1.1126760060247825E-2</c:v>
                </c:pt>
                <c:pt idx="21">
                  <c:v>1.2390238308847395E-2</c:v>
                </c:pt>
                <c:pt idx="22">
                  <c:v>1.3572201831730865E-2</c:v>
                </c:pt>
                <c:pt idx="23">
                  <c:v>1.4672650628898231E-2</c:v>
                </c:pt>
                <c:pt idx="24">
                  <c:v>1.5691584700349495E-2</c:v>
                </c:pt>
                <c:pt idx="25">
                  <c:v>1.6629004046084663E-2</c:v>
                </c:pt>
                <c:pt idx="26">
                  <c:v>1.7484908666103728E-2</c:v>
                </c:pt>
                <c:pt idx="27">
                  <c:v>1.8259298560406687E-2</c:v>
                </c:pt>
                <c:pt idx="28">
                  <c:v>1.8952173728993549E-2</c:v>
                </c:pt>
                <c:pt idx="29">
                  <c:v>1.9563534171864308E-2</c:v>
                </c:pt>
                <c:pt idx="30">
                  <c:v>2.0093379889018968E-2</c:v>
                </c:pt>
                <c:pt idx="31">
                  <c:v>2.0541710880457524E-2</c:v>
                </c:pt>
                <c:pt idx="32">
                  <c:v>2.0908527146179981E-2</c:v>
                </c:pt>
                <c:pt idx="33">
                  <c:v>2.1193828686186335E-2</c:v>
                </c:pt>
                <c:pt idx="34">
                  <c:v>2.1397615500476589E-2</c:v>
                </c:pt>
                <c:pt idx="35">
                  <c:v>2.151988758905074E-2</c:v>
                </c:pt>
                <c:pt idx="36">
                  <c:v>2.1560644951908788E-2</c:v>
                </c:pt>
                <c:pt idx="37">
                  <c:v>2.151988758905074E-2</c:v>
                </c:pt>
                <c:pt idx="38">
                  <c:v>2.1397615500476589E-2</c:v>
                </c:pt>
                <c:pt idx="39">
                  <c:v>2.1193828686186335E-2</c:v>
                </c:pt>
                <c:pt idx="40">
                  <c:v>2.0908527146179981E-2</c:v>
                </c:pt>
                <c:pt idx="41">
                  <c:v>2.0541710880457524E-2</c:v>
                </c:pt>
                <c:pt idx="42">
                  <c:v>2.0093379889018964E-2</c:v>
                </c:pt>
                <c:pt idx="43">
                  <c:v>1.9563534171864308E-2</c:v>
                </c:pt>
                <c:pt idx="44">
                  <c:v>1.8952173728993549E-2</c:v>
                </c:pt>
                <c:pt idx="45">
                  <c:v>1.8259298560406687E-2</c:v>
                </c:pt>
                <c:pt idx="46">
                  <c:v>1.7484908666103728E-2</c:v>
                </c:pt>
                <c:pt idx="47">
                  <c:v>1.6629004046084663E-2</c:v>
                </c:pt>
                <c:pt idx="48">
                  <c:v>1.5691584700349499E-2</c:v>
                </c:pt>
                <c:pt idx="49">
                  <c:v>1.4672650628898233E-2</c:v>
                </c:pt>
                <c:pt idx="50">
                  <c:v>1.413261557102906E-2</c:v>
                </c:pt>
                <c:pt idx="51">
                  <c:v>1.3572201831730864E-2</c:v>
                </c:pt>
                <c:pt idx="52">
                  <c:v>1.2390238308847395E-2</c:v>
                </c:pt>
                <c:pt idx="53">
                  <c:v>1.1126760060247825E-2</c:v>
                </c:pt>
                <c:pt idx="54">
                  <c:v>9.781767085932154E-3</c:v>
                </c:pt>
                <c:pt idx="55">
                  <c:v>8.3552593859003814E-3</c:v>
                </c:pt>
                <c:pt idx="56">
                  <c:v>6.8472369601525083E-3</c:v>
                </c:pt>
                <c:pt idx="57">
                  <c:v>5.257699808688533E-3</c:v>
                </c:pt>
                <c:pt idx="58">
                  <c:v>3.5866479315084564E-3</c:v>
                </c:pt>
                <c:pt idx="59">
                  <c:v>1.8340813286122789E-3</c:v>
                </c:pt>
                <c:pt idx="60">
                  <c:v>9.272300050206521E-4</c:v>
                </c:pt>
                <c:pt idx="61">
                  <c:v>0</c:v>
                </c:pt>
                <c:pt idx="62">
                  <c:v>-1.9155960543283802E-3</c:v>
                </c:pt>
                <c:pt idx="63">
                  <c:v>-2.9039621036361083E-3</c:v>
                </c:pt>
              </c:numCache>
            </c:numRef>
          </c:yVal>
          <c:smooth val="0"/>
          <c:extLst>
            <c:ext xmlns:c16="http://schemas.microsoft.com/office/drawing/2014/chart" uri="{C3380CC4-5D6E-409C-BE32-E72D297353CC}">
              <c16:uniqueId val="{00000001-4038-4715-B861-46A818CFFFAE}"/>
            </c:ext>
          </c:extLst>
        </c:ser>
        <c:ser>
          <c:idx val="2"/>
          <c:order val="2"/>
          <c:tx>
            <c:strRef>
              <c:f>Albero_2!$AE$58</c:f>
              <c:strCache>
                <c:ptCount val="1"/>
                <c:pt idx="0">
                  <c:v>Sum z</c:v>
                </c:pt>
              </c:strCache>
            </c:strRef>
          </c:tx>
          <c:spPr>
            <a:ln w="19050" cap="rnd">
              <a:solidFill>
                <a:schemeClr val="accent3"/>
              </a:solidFill>
              <a:round/>
            </a:ln>
            <a:effectLst/>
          </c:spPr>
          <c:marker>
            <c:symbol val="none"/>
          </c:marker>
          <c:xVal>
            <c:numRef>
              <c:f>Albero_2!$W$59:$W$122</c:f>
              <c:numCache>
                <c:formatCode>General</c:formatCode>
                <c:ptCount val="64"/>
                <c:pt idx="0">
                  <c:v>-25</c:v>
                </c:pt>
                <c:pt idx="1">
                  <c:v>-24</c:v>
                </c:pt>
                <c:pt idx="2">
                  <c:v>-22</c:v>
                </c:pt>
                <c:pt idx="3">
                  <c:v>-20</c:v>
                </c:pt>
                <c:pt idx="4">
                  <c:v>-18</c:v>
                </c:pt>
                <c:pt idx="5">
                  <c:v>-16</c:v>
                </c:pt>
                <c:pt idx="6">
                  <c:v>-14</c:v>
                </c:pt>
                <c:pt idx="7">
                  <c:v>-12</c:v>
                </c:pt>
                <c:pt idx="8">
                  <c:v>-10</c:v>
                </c:pt>
                <c:pt idx="9">
                  <c:v>-8</c:v>
                </c:pt>
                <c:pt idx="10">
                  <c:v>-6</c:v>
                </c:pt>
                <c:pt idx="11">
                  <c:v>-4</c:v>
                </c:pt>
                <c:pt idx="12">
                  <c:v>-2</c:v>
                </c:pt>
                <c:pt idx="13">
                  <c:v>0</c:v>
                </c:pt>
                <c:pt idx="14">
                  <c:v>2</c:v>
                </c:pt>
                <c:pt idx="15">
                  <c:v>4</c:v>
                </c:pt>
                <c:pt idx="16">
                  <c:v>6</c:v>
                </c:pt>
                <c:pt idx="17">
                  <c:v>8</c:v>
                </c:pt>
                <c:pt idx="18">
                  <c:v>10</c:v>
                </c:pt>
                <c:pt idx="19">
                  <c:v>12</c:v>
                </c:pt>
                <c:pt idx="20">
                  <c:v>14</c:v>
                </c:pt>
                <c:pt idx="21">
                  <c:v>16</c:v>
                </c:pt>
                <c:pt idx="22">
                  <c:v>18</c:v>
                </c:pt>
                <c:pt idx="23">
                  <c:v>20</c:v>
                </c:pt>
                <c:pt idx="24">
                  <c:v>22</c:v>
                </c:pt>
                <c:pt idx="25">
                  <c:v>24</c:v>
                </c:pt>
                <c:pt idx="26">
                  <c:v>26</c:v>
                </c:pt>
                <c:pt idx="27">
                  <c:v>28</c:v>
                </c:pt>
                <c:pt idx="28">
                  <c:v>30</c:v>
                </c:pt>
                <c:pt idx="29">
                  <c:v>32</c:v>
                </c:pt>
                <c:pt idx="30">
                  <c:v>34</c:v>
                </c:pt>
                <c:pt idx="31">
                  <c:v>36</c:v>
                </c:pt>
                <c:pt idx="32">
                  <c:v>38</c:v>
                </c:pt>
                <c:pt idx="33">
                  <c:v>40</c:v>
                </c:pt>
                <c:pt idx="34">
                  <c:v>42</c:v>
                </c:pt>
                <c:pt idx="35">
                  <c:v>44</c:v>
                </c:pt>
                <c:pt idx="36">
                  <c:v>46</c:v>
                </c:pt>
                <c:pt idx="37">
                  <c:v>48</c:v>
                </c:pt>
                <c:pt idx="38">
                  <c:v>50</c:v>
                </c:pt>
                <c:pt idx="39">
                  <c:v>52</c:v>
                </c:pt>
                <c:pt idx="40">
                  <c:v>54</c:v>
                </c:pt>
                <c:pt idx="41">
                  <c:v>56</c:v>
                </c:pt>
                <c:pt idx="42">
                  <c:v>58</c:v>
                </c:pt>
                <c:pt idx="43">
                  <c:v>60</c:v>
                </c:pt>
                <c:pt idx="44">
                  <c:v>62</c:v>
                </c:pt>
                <c:pt idx="45">
                  <c:v>64</c:v>
                </c:pt>
                <c:pt idx="46">
                  <c:v>66</c:v>
                </c:pt>
                <c:pt idx="47">
                  <c:v>68</c:v>
                </c:pt>
                <c:pt idx="48">
                  <c:v>70</c:v>
                </c:pt>
                <c:pt idx="49">
                  <c:v>72</c:v>
                </c:pt>
                <c:pt idx="50">
                  <c:v>73</c:v>
                </c:pt>
                <c:pt idx="51">
                  <c:v>74</c:v>
                </c:pt>
                <c:pt idx="52">
                  <c:v>76</c:v>
                </c:pt>
                <c:pt idx="53">
                  <c:v>78</c:v>
                </c:pt>
                <c:pt idx="54">
                  <c:v>80</c:v>
                </c:pt>
                <c:pt idx="55">
                  <c:v>82</c:v>
                </c:pt>
                <c:pt idx="56">
                  <c:v>84</c:v>
                </c:pt>
                <c:pt idx="57">
                  <c:v>86</c:v>
                </c:pt>
                <c:pt idx="58">
                  <c:v>88</c:v>
                </c:pt>
                <c:pt idx="59">
                  <c:v>90</c:v>
                </c:pt>
                <c:pt idx="60">
                  <c:v>91</c:v>
                </c:pt>
                <c:pt idx="61">
                  <c:v>92</c:v>
                </c:pt>
                <c:pt idx="62">
                  <c:v>94</c:v>
                </c:pt>
                <c:pt idx="63">
                  <c:v>95</c:v>
                </c:pt>
              </c:numCache>
            </c:numRef>
          </c:xVal>
          <c:yVal>
            <c:numRef>
              <c:f>Albero_2!$AE$59:$AE$122</c:f>
              <c:numCache>
                <c:formatCode>General</c:formatCode>
                <c:ptCount val="64"/>
                <c:pt idx="0">
                  <c:v>-4.8015749427921996E-3</c:v>
                </c:pt>
                <c:pt idx="1">
                  <c:v>-4.4860047849046014E-3</c:v>
                </c:pt>
                <c:pt idx="2">
                  <c:v>-3.8721554715540306E-3</c:v>
                </c:pt>
                <c:pt idx="3">
                  <c:v>-3.2854777334421631E-3</c:v>
                </c:pt>
                <c:pt idx="4">
                  <c:v>-2.7309118569760291E-3</c:v>
                </c:pt>
                <c:pt idx="5">
                  <c:v>-2.2133981285626693E-3</c:v>
                </c:pt>
                <c:pt idx="6">
                  <c:v>-1.7378768346091172E-3</c:v>
                </c:pt>
                <c:pt idx="7">
                  <c:v>-1.3092882615224136E-3</c:v>
                </c:pt>
                <c:pt idx="8">
                  <c:v>-9.325726957095928E-4</c:v>
                </c:pt>
                <c:pt idx="9">
                  <c:v>-6.1267042357768947E-4</c:v>
                </c:pt>
                <c:pt idx="10">
                  <c:v>-3.5452173153374331E-4</c:v>
                </c:pt>
                <c:pt idx="11">
                  <c:v>-1.6306690598478796E-4</c:v>
                </c:pt>
                <c:pt idx="12">
                  <c:v>-4.3246233337861659E-5</c:v>
                </c:pt>
                <c:pt idx="13">
                  <c:v>0</c:v>
                </c:pt>
                <c:pt idx="14">
                  <c:v>5.8812344176727843E-4</c:v>
                </c:pt>
                <c:pt idx="15">
                  <c:v>1.0984660933438654E-3</c:v>
                </c:pt>
                <c:pt idx="16">
                  <c:v>1.5347618902551733E-3</c:v>
                </c:pt>
                <c:pt idx="17">
                  <c:v>1.9007447680266113E-3</c:v>
                </c:pt>
                <c:pt idx="18">
                  <c:v>2.2001486621835882E-3</c:v>
                </c:pt>
                <c:pt idx="19">
                  <c:v>2.4367075082515205E-3</c:v>
                </c:pt>
                <c:pt idx="20">
                  <c:v>2.6141552417558115E-3</c:v>
                </c:pt>
                <c:pt idx="21">
                  <c:v>2.7362257982218759E-3</c:v>
                </c:pt>
                <c:pt idx="22">
                  <c:v>2.8066531131751248E-3</c:v>
                </c:pt>
                <c:pt idx="23">
                  <c:v>2.8291711221409641E-3</c:v>
                </c:pt>
                <c:pt idx="24">
                  <c:v>2.8075137606448069E-3</c:v>
                </c:pt>
                <c:pt idx="25">
                  <c:v>2.7454149642120711E-3</c:v>
                </c:pt>
                <c:pt idx="26">
                  <c:v>2.6466086683681594E-3</c:v>
                </c:pt>
                <c:pt idx="27">
                  <c:v>2.5148288086384758E-3</c:v>
                </c:pt>
                <c:pt idx="28">
                  <c:v>2.3538093205484438E-3</c:v>
                </c:pt>
                <c:pt idx="29">
                  <c:v>2.1672841396234675E-3</c:v>
                </c:pt>
                <c:pt idx="30">
                  <c:v>1.9589872013889634E-3</c:v>
                </c:pt>
                <c:pt idx="31">
                  <c:v>1.7326524413703304E-3</c:v>
                </c:pt>
                <c:pt idx="32">
                  <c:v>1.4920137950929918E-3</c:v>
                </c:pt>
                <c:pt idx="33">
                  <c:v>1.2408051980823467E-3</c:v>
                </c:pt>
                <c:pt idx="34">
                  <c:v>9.8276058586381151E-4</c:v>
                </c:pt>
                <c:pt idx="35">
                  <c:v>7.2161389396280251E-4</c:v>
                </c:pt>
                <c:pt idx="36">
                  <c:v>4.6109905790471528E-4</c:v>
                </c:pt>
                <c:pt idx="37">
                  <c:v>2.0495001321498355E-4</c:v>
                </c:pt>
                <c:pt idx="38">
                  <c:v>-4.3099304581007553E-5</c:v>
                </c:pt>
                <c:pt idx="39">
                  <c:v>-2.793149599578347E-4</c:v>
                </c:pt>
                <c:pt idx="40">
                  <c:v>-4.9996301739008847E-4</c:v>
                </c:pt>
                <c:pt idx="41">
                  <c:v>-7.0130954135235943E-4</c:v>
                </c:pt>
                <c:pt idx="42">
                  <c:v>-8.7962059631923814E-4</c:v>
                </c:pt>
                <c:pt idx="43">
                  <c:v>-1.0311622467653048E-3</c:v>
                </c:pt>
                <c:pt idx="44">
                  <c:v>-1.1522005571651638E-3</c:v>
                </c:pt>
                <c:pt idx="45">
                  <c:v>-1.2390015919933987E-3</c:v>
                </c:pt>
                <c:pt idx="46">
                  <c:v>-1.2878314157245899E-3</c:v>
                </c:pt>
                <c:pt idx="47">
                  <c:v>-1.2949560928333381E-3</c:v>
                </c:pt>
                <c:pt idx="48">
                  <c:v>-1.2566416877942306E-3</c:v>
                </c:pt>
                <c:pt idx="49">
                  <c:v>-1.1698120509051075E-3</c:v>
                </c:pt>
                <c:pt idx="50">
                  <c:v>-1.1096400241677358E-3</c:v>
                </c:pt>
                <c:pt idx="51">
                  <c:v>-1.0403211328003648E-3</c:v>
                </c:pt>
                <c:pt idx="52">
                  <c:v>-8.8045866060912359E-4</c:v>
                </c:pt>
                <c:pt idx="53">
                  <c:v>-7.0265644319834203E-4</c:v>
                </c:pt>
                <c:pt idx="54">
                  <c:v>-5.1934628943497985E-4</c:v>
                </c:pt>
                <c:pt idx="55">
                  <c:v>-3.4296000818598467E-4</c:v>
                </c:pt>
                <c:pt idx="56">
                  <c:v>-1.8592940831831453E-4</c:v>
                </c:pt>
                <c:pt idx="57">
                  <c:v>-6.0686298698926604E-5</c:v>
                </c:pt>
                <c:pt idx="58">
                  <c:v>2.0337511805224549E-5</c:v>
                </c:pt>
                <c:pt idx="59">
                  <c:v>4.4710214327185228E-5</c:v>
                </c:pt>
                <c:pt idx="60">
                  <c:v>3.1767459823920621E-5</c:v>
                </c:pt>
                <c:pt idx="61">
                  <c:v>0</c:v>
                </c:pt>
                <c:pt idx="62">
                  <c:v>-1.2622494004328657E-4</c:v>
                </c:pt>
                <c:pt idx="63">
                  <c:v>-2.2379037247939127E-4</c:v>
                </c:pt>
              </c:numCache>
            </c:numRef>
          </c:yVal>
          <c:smooth val="0"/>
          <c:extLst>
            <c:ext xmlns:c16="http://schemas.microsoft.com/office/drawing/2014/chart" uri="{C3380CC4-5D6E-409C-BE32-E72D297353CC}">
              <c16:uniqueId val="{00000002-4038-4715-B861-46A818CFFFAE}"/>
            </c:ext>
          </c:extLst>
        </c:ser>
        <c:dLbls>
          <c:showLegendKey val="0"/>
          <c:showVal val="0"/>
          <c:showCatName val="0"/>
          <c:showSerName val="0"/>
          <c:showPercent val="0"/>
          <c:showBubbleSize val="0"/>
        </c:dLbls>
        <c:axId val="2113799055"/>
        <c:axId val="2113809135"/>
      </c:scatterChart>
      <c:valAx>
        <c:axId val="21137990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113809135"/>
        <c:crosses val="autoZero"/>
        <c:crossBetween val="midCat"/>
      </c:valAx>
      <c:valAx>
        <c:axId val="2113809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1137990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Momento flettente</a:t>
            </a:r>
            <a:r>
              <a:rPr lang="it-IT" baseline="0"/>
              <a:t> 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'Albero_2 (2)'!$K$18:$K$24</c:f>
              <c:numCache>
                <c:formatCode>General</c:formatCode>
                <c:ptCount val="7"/>
                <c:pt idx="0">
                  <c:v>0</c:v>
                </c:pt>
                <c:pt idx="1">
                  <c:v>8</c:v>
                </c:pt>
                <c:pt idx="2">
                  <c:v>13.25</c:v>
                </c:pt>
                <c:pt idx="3">
                  <c:v>97</c:v>
                </c:pt>
                <c:pt idx="4">
                  <c:v>97</c:v>
                </c:pt>
                <c:pt idx="5">
                  <c:v>111</c:v>
                </c:pt>
                <c:pt idx="6">
                  <c:v>121</c:v>
                </c:pt>
              </c:numCache>
            </c:numRef>
          </c:xVal>
          <c:yVal>
            <c:numRef>
              <c:f>'Albero_2 (2)'!$L$18:$L$24</c:f>
              <c:numCache>
                <c:formatCode>General</c:formatCode>
                <c:ptCount val="7"/>
                <c:pt idx="0">
                  <c:v>0</c:v>
                </c:pt>
                <c:pt idx="1">
                  <c:v>-8671.9499073837615</c:v>
                </c:pt>
                <c:pt idx="2">
                  <c:v>-12224.194995032347</c:v>
                </c:pt>
                <c:pt idx="3">
                  <c:v>-68890.961869426421</c:v>
                </c:pt>
                <c:pt idx="4">
                  <c:v>-68890.961869426421</c:v>
                </c:pt>
                <c:pt idx="5">
                  <c:v>-28704.567445594344</c:v>
                </c:pt>
                <c:pt idx="6">
                  <c:v>0</c:v>
                </c:pt>
              </c:numCache>
            </c:numRef>
          </c:yVal>
          <c:smooth val="0"/>
          <c:extLst>
            <c:ext xmlns:c16="http://schemas.microsoft.com/office/drawing/2014/chart" uri="{C3380CC4-5D6E-409C-BE32-E72D297353CC}">
              <c16:uniqueId val="{00000000-F5A1-438A-8135-FC3900A23683}"/>
            </c:ext>
          </c:extLst>
        </c:ser>
        <c:dLbls>
          <c:showLegendKey val="0"/>
          <c:showVal val="0"/>
          <c:showCatName val="0"/>
          <c:showSerName val="0"/>
          <c:showPercent val="0"/>
          <c:showBubbleSize val="0"/>
        </c:dLbls>
        <c:axId val="1404140624"/>
        <c:axId val="1404149744"/>
      </c:scatterChart>
      <c:valAx>
        <c:axId val="1404140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404149744"/>
        <c:crosses val="autoZero"/>
        <c:crossBetween val="midCat"/>
      </c:valAx>
      <c:valAx>
        <c:axId val="1404149744"/>
        <c:scaling>
          <c:orientation val="minMax"/>
          <c:min val="-9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4041406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Momento</a:t>
            </a:r>
            <a:r>
              <a:rPr lang="it-IT" baseline="0"/>
              <a:t> Flettente z</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'Albero_2 (2)'!$K$18:$K$24</c:f>
              <c:numCache>
                <c:formatCode>General</c:formatCode>
                <c:ptCount val="7"/>
                <c:pt idx="0">
                  <c:v>0</c:v>
                </c:pt>
                <c:pt idx="1">
                  <c:v>8</c:v>
                </c:pt>
                <c:pt idx="2">
                  <c:v>13.25</c:v>
                </c:pt>
                <c:pt idx="3">
                  <c:v>97</c:v>
                </c:pt>
                <c:pt idx="4">
                  <c:v>97</c:v>
                </c:pt>
                <c:pt idx="5">
                  <c:v>111</c:v>
                </c:pt>
                <c:pt idx="6">
                  <c:v>121</c:v>
                </c:pt>
              </c:numCache>
            </c:numRef>
          </c:xVal>
          <c:yVal>
            <c:numRef>
              <c:f>'Albero_2 (2)'!$M$18:$M$24</c:f>
              <c:numCache>
                <c:formatCode>General</c:formatCode>
                <c:ptCount val="7"/>
                <c:pt idx="0">
                  <c:v>0</c:v>
                </c:pt>
                <c:pt idx="1">
                  <c:v>-3156.3316393352393</c:v>
                </c:pt>
                <c:pt idx="2">
                  <c:v>-333.02294875426833</c:v>
                </c:pt>
                <c:pt idx="3">
                  <c:v>44705.472829561222</c:v>
                </c:pt>
                <c:pt idx="4">
                  <c:v>23165.807578318312</c:v>
                </c:pt>
                <c:pt idx="5">
                  <c:v>9652.419824299297</c:v>
                </c:pt>
                <c:pt idx="6">
                  <c:v>0</c:v>
                </c:pt>
              </c:numCache>
            </c:numRef>
          </c:yVal>
          <c:smooth val="0"/>
          <c:extLst>
            <c:ext xmlns:c16="http://schemas.microsoft.com/office/drawing/2014/chart" uri="{C3380CC4-5D6E-409C-BE32-E72D297353CC}">
              <c16:uniqueId val="{00000000-41C2-4F33-9C32-165DB9808F83}"/>
            </c:ext>
          </c:extLst>
        </c:ser>
        <c:dLbls>
          <c:showLegendKey val="0"/>
          <c:showVal val="0"/>
          <c:showCatName val="0"/>
          <c:showSerName val="0"/>
          <c:showPercent val="0"/>
          <c:showBubbleSize val="0"/>
        </c:dLbls>
        <c:axId val="1406186960"/>
        <c:axId val="1406176880"/>
      </c:scatterChart>
      <c:valAx>
        <c:axId val="1406186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406176880"/>
        <c:crosses val="autoZero"/>
        <c:crossBetween val="midCat"/>
      </c:valAx>
      <c:valAx>
        <c:axId val="1406176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4061869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Deformate 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scatterChart>
        <c:scatterStyle val="lineMarker"/>
        <c:varyColors val="0"/>
        <c:ser>
          <c:idx val="0"/>
          <c:order val="0"/>
          <c:tx>
            <c:strRef>
              <c:f>'Albero_2 (2)'!$X$58</c:f>
              <c:strCache>
                <c:ptCount val="1"/>
                <c:pt idx="0">
                  <c:v>Fr_3</c:v>
                </c:pt>
              </c:strCache>
            </c:strRef>
          </c:tx>
          <c:spPr>
            <a:ln w="19050" cap="rnd">
              <a:solidFill>
                <a:schemeClr val="accent1"/>
              </a:solidFill>
              <a:round/>
            </a:ln>
            <a:effectLst/>
          </c:spPr>
          <c:marker>
            <c:symbol val="none"/>
          </c:marker>
          <c:xVal>
            <c:numRef>
              <c:f>'Albero_2 (2)'!$W$59:$W$134</c:f>
              <c:numCache>
                <c:formatCode>General</c:formatCode>
                <c:ptCount val="76"/>
                <c:pt idx="0">
                  <c:v>-26</c:v>
                </c:pt>
                <c:pt idx="1">
                  <c:v>-24</c:v>
                </c:pt>
                <c:pt idx="2">
                  <c:v>-22</c:v>
                </c:pt>
                <c:pt idx="3">
                  <c:v>-20</c:v>
                </c:pt>
                <c:pt idx="4">
                  <c:v>-18</c:v>
                </c:pt>
                <c:pt idx="5">
                  <c:v>-16</c:v>
                </c:pt>
                <c:pt idx="6">
                  <c:v>-14</c:v>
                </c:pt>
                <c:pt idx="7">
                  <c:v>-12</c:v>
                </c:pt>
                <c:pt idx="8">
                  <c:v>-10</c:v>
                </c:pt>
                <c:pt idx="9">
                  <c:v>-8</c:v>
                </c:pt>
                <c:pt idx="10">
                  <c:v>-6</c:v>
                </c:pt>
                <c:pt idx="11">
                  <c:v>-4</c:v>
                </c:pt>
                <c:pt idx="12">
                  <c:v>-2</c:v>
                </c:pt>
                <c:pt idx="13">
                  <c:v>0</c:v>
                </c:pt>
                <c:pt idx="14">
                  <c:v>2</c:v>
                </c:pt>
                <c:pt idx="15">
                  <c:v>4</c:v>
                </c:pt>
                <c:pt idx="16">
                  <c:v>6</c:v>
                </c:pt>
                <c:pt idx="17">
                  <c:v>8</c:v>
                </c:pt>
                <c:pt idx="18">
                  <c:v>10</c:v>
                </c:pt>
                <c:pt idx="19">
                  <c:v>12</c:v>
                </c:pt>
                <c:pt idx="20">
                  <c:v>14</c:v>
                </c:pt>
                <c:pt idx="21">
                  <c:v>16</c:v>
                </c:pt>
                <c:pt idx="22">
                  <c:v>18</c:v>
                </c:pt>
                <c:pt idx="23">
                  <c:v>20</c:v>
                </c:pt>
                <c:pt idx="24">
                  <c:v>22</c:v>
                </c:pt>
                <c:pt idx="25">
                  <c:v>24</c:v>
                </c:pt>
                <c:pt idx="26">
                  <c:v>26</c:v>
                </c:pt>
                <c:pt idx="27">
                  <c:v>28</c:v>
                </c:pt>
                <c:pt idx="28">
                  <c:v>30</c:v>
                </c:pt>
                <c:pt idx="29">
                  <c:v>32</c:v>
                </c:pt>
                <c:pt idx="30">
                  <c:v>34</c:v>
                </c:pt>
                <c:pt idx="31">
                  <c:v>36</c:v>
                </c:pt>
                <c:pt idx="32">
                  <c:v>38</c:v>
                </c:pt>
                <c:pt idx="33">
                  <c:v>40</c:v>
                </c:pt>
                <c:pt idx="34">
                  <c:v>42</c:v>
                </c:pt>
                <c:pt idx="35">
                  <c:v>44</c:v>
                </c:pt>
                <c:pt idx="36">
                  <c:v>46</c:v>
                </c:pt>
                <c:pt idx="37">
                  <c:v>48</c:v>
                </c:pt>
                <c:pt idx="38">
                  <c:v>50</c:v>
                </c:pt>
                <c:pt idx="39">
                  <c:v>52</c:v>
                </c:pt>
                <c:pt idx="40">
                  <c:v>54</c:v>
                </c:pt>
                <c:pt idx="41">
                  <c:v>56</c:v>
                </c:pt>
                <c:pt idx="42">
                  <c:v>58</c:v>
                </c:pt>
                <c:pt idx="43">
                  <c:v>60</c:v>
                </c:pt>
                <c:pt idx="44">
                  <c:v>62</c:v>
                </c:pt>
                <c:pt idx="45">
                  <c:v>64</c:v>
                </c:pt>
                <c:pt idx="46">
                  <c:v>66</c:v>
                </c:pt>
                <c:pt idx="47">
                  <c:v>68</c:v>
                </c:pt>
                <c:pt idx="48">
                  <c:v>70</c:v>
                </c:pt>
                <c:pt idx="49">
                  <c:v>72</c:v>
                </c:pt>
                <c:pt idx="50">
                  <c:v>73</c:v>
                </c:pt>
                <c:pt idx="51">
                  <c:v>74</c:v>
                </c:pt>
                <c:pt idx="52">
                  <c:v>76</c:v>
                </c:pt>
                <c:pt idx="53">
                  <c:v>78</c:v>
                </c:pt>
                <c:pt idx="54">
                  <c:v>80</c:v>
                </c:pt>
                <c:pt idx="55">
                  <c:v>82</c:v>
                </c:pt>
                <c:pt idx="56">
                  <c:v>84</c:v>
                </c:pt>
                <c:pt idx="57">
                  <c:v>86</c:v>
                </c:pt>
                <c:pt idx="58">
                  <c:v>88</c:v>
                </c:pt>
                <c:pt idx="59">
                  <c:v>90</c:v>
                </c:pt>
                <c:pt idx="60">
                  <c:v>91</c:v>
                </c:pt>
                <c:pt idx="61">
                  <c:v>92</c:v>
                </c:pt>
                <c:pt idx="62">
                  <c:v>94</c:v>
                </c:pt>
                <c:pt idx="63">
                  <c:v>96</c:v>
                </c:pt>
                <c:pt idx="64">
                  <c:v>97</c:v>
                </c:pt>
                <c:pt idx="65">
                  <c:v>98</c:v>
                </c:pt>
                <c:pt idx="66">
                  <c:v>100</c:v>
                </c:pt>
                <c:pt idx="67">
                  <c:v>102</c:v>
                </c:pt>
                <c:pt idx="68">
                  <c:v>104</c:v>
                </c:pt>
                <c:pt idx="69">
                  <c:v>106</c:v>
                </c:pt>
                <c:pt idx="70">
                  <c:v>108</c:v>
                </c:pt>
                <c:pt idx="71">
                  <c:v>109</c:v>
                </c:pt>
                <c:pt idx="72">
                  <c:v>110</c:v>
                </c:pt>
                <c:pt idx="73">
                  <c:v>111</c:v>
                </c:pt>
                <c:pt idx="74">
                  <c:v>112</c:v>
                </c:pt>
                <c:pt idx="75">
                  <c:v>113</c:v>
                </c:pt>
              </c:numCache>
            </c:numRef>
          </c:xVal>
          <c:yVal>
            <c:numRef>
              <c:f>'Albero_2 (2)'!$X$59:$X$134</c:f>
              <c:numCache>
                <c:formatCode>General</c:formatCode>
                <c:ptCount val="76"/>
                <c:pt idx="0">
                  <c:v>9.7618252641940729E-3</c:v>
                </c:pt>
                <c:pt idx="1">
                  <c:v>9.0109156284868368E-3</c:v>
                </c:pt>
                <c:pt idx="2">
                  <c:v>8.2600059927795989E-3</c:v>
                </c:pt>
                <c:pt idx="3">
                  <c:v>7.5090963570723628E-3</c:v>
                </c:pt>
                <c:pt idx="4">
                  <c:v>6.7581867213651267E-3</c:v>
                </c:pt>
                <c:pt idx="5">
                  <c:v>6.0072770856578906E-3</c:v>
                </c:pt>
                <c:pt idx="6">
                  <c:v>5.2563674499506545E-3</c:v>
                </c:pt>
                <c:pt idx="7">
                  <c:v>4.5054578142434184E-3</c:v>
                </c:pt>
                <c:pt idx="8">
                  <c:v>3.7545481785361814E-3</c:v>
                </c:pt>
                <c:pt idx="9">
                  <c:v>3.0036385428289453E-3</c:v>
                </c:pt>
                <c:pt idx="10">
                  <c:v>2.2527289071217092E-3</c:v>
                </c:pt>
                <c:pt idx="11">
                  <c:v>1.5018192714144727E-3</c:v>
                </c:pt>
                <c:pt idx="12">
                  <c:v>7.5090963570723633E-4</c:v>
                </c:pt>
                <c:pt idx="13" formatCode="0.00000">
                  <c:v>0</c:v>
                </c:pt>
                <c:pt idx="14" formatCode="0.00000">
                  <c:v>-7.5066329448335138E-4</c:v>
                </c:pt>
                <c:pt idx="15" formatCode="0.00000">
                  <c:v>-1.4998485416233931E-3</c:v>
                </c:pt>
                <c:pt idx="16" formatCode="0.00000">
                  <c:v>-2.246077694076816E-3</c:v>
                </c:pt>
                <c:pt idx="17" formatCode="0.00000">
                  <c:v>-2.9878727045003096E-3</c:v>
                </c:pt>
                <c:pt idx="18" formatCode="0.00000">
                  <c:v>-3.7237555255505653E-3</c:v>
                </c:pt>
                <c:pt idx="19" formatCode="0.00000">
                  <c:v>-4.4522481098842734E-3</c:v>
                </c:pt>
                <c:pt idx="20" formatCode="0.00000">
                  <c:v>-5.1718724101581228E-3</c:v>
                </c:pt>
                <c:pt idx="21" formatCode="0.00000">
                  <c:v>-5.8811503790288065E-3</c:v>
                </c:pt>
                <c:pt idx="22" formatCode="0.00000">
                  <c:v>-6.5786039691530136E-3</c:v>
                </c:pt>
                <c:pt idx="23" formatCode="0.00000">
                  <c:v>-7.2627551331874334E-3</c:v>
                </c:pt>
                <c:pt idx="24" formatCode="0.00000">
                  <c:v>-7.9321258237887576E-3</c:v>
                </c:pt>
                <c:pt idx="25" formatCode="0.00000">
                  <c:v>-8.5852379936136782E-3</c:v>
                </c:pt>
                <c:pt idx="26" formatCode="0.00000">
                  <c:v>-9.2206135953188835E-3</c:v>
                </c:pt>
                <c:pt idx="27" formatCode="0.00000">
                  <c:v>-9.836774581561061E-3</c:v>
                </c:pt>
                <c:pt idx="28" formatCode="0.00000">
                  <c:v>-1.0432242904996909E-2</c:v>
                </c:pt>
                <c:pt idx="29" formatCode="0.00000">
                  <c:v>-1.1005540518283109E-2</c:v>
                </c:pt>
                <c:pt idx="30" formatCode="0.00000">
                  <c:v>-1.1555189374076359E-2</c:v>
                </c:pt>
                <c:pt idx="31" formatCode="0.00000">
                  <c:v>-1.2079711425033345E-2</c:v>
                </c:pt>
                <c:pt idx="32" formatCode="0.00000">
                  <c:v>-1.2577628623810759E-2</c:v>
                </c:pt>
                <c:pt idx="33" formatCode="0.00000">
                  <c:v>-1.3047462923065288E-2</c:v>
                </c:pt>
                <c:pt idx="34" formatCode="0.00000">
                  <c:v>-1.3487736275453632E-2</c:v>
                </c:pt>
                <c:pt idx="35" formatCode="0.00000">
                  <c:v>-1.3896970633632469E-2</c:v>
                </c:pt>
                <c:pt idx="36" formatCode="0.00000">
                  <c:v>-1.4273687950258497E-2</c:v>
                </c:pt>
                <c:pt idx="37" formatCode="0.00000">
                  <c:v>-1.4616410177988405E-2</c:v>
                </c:pt>
                <c:pt idx="38" formatCode="0.00000">
                  <c:v>-1.4923659269478884E-2</c:v>
                </c:pt>
                <c:pt idx="39" formatCode="0.00000">
                  <c:v>-1.5193957177386624E-2</c:v>
                </c:pt>
                <c:pt idx="40" formatCode="0.00000">
                  <c:v>-1.5425825854368313E-2</c:v>
                </c:pt>
                <c:pt idx="41" formatCode="0.00000">
                  <c:v>-1.5617787253080643E-2</c:v>
                </c:pt>
                <c:pt idx="42" formatCode="0.00000">
                  <c:v>-1.5768363326180309E-2</c:v>
                </c:pt>
                <c:pt idx="43" formatCode="0.00000">
                  <c:v>-1.5876076026323991E-2</c:v>
                </c:pt>
                <c:pt idx="44" formatCode="0.00000">
                  <c:v>-1.5939447306168392E-2</c:v>
                </c:pt>
                <c:pt idx="45" formatCode="0.00000">
                  <c:v>-1.5956999118370192E-2</c:v>
                </c:pt>
                <c:pt idx="46" formatCode="0.00000">
                  <c:v>-1.5927253415586089E-2</c:v>
                </c:pt>
                <c:pt idx="47" formatCode="0.00000">
                  <c:v>-1.5848732150472767E-2</c:v>
                </c:pt>
                <c:pt idx="48" formatCode="0.00000">
                  <c:v>-1.5719957275686917E-2</c:v>
                </c:pt>
                <c:pt idx="49" formatCode="0.00000">
                  <c:v>-1.5539450743885236E-2</c:v>
                </c:pt>
                <c:pt idx="50" formatCode="0.00000">
                  <c:v>-1.5429336216808674E-2</c:v>
                </c:pt>
                <c:pt idx="51" formatCode="0.00000">
                  <c:v>-1.5305734507724411E-2</c:v>
                </c:pt>
                <c:pt idx="52" formatCode="0.00000">
                  <c:v>-1.5017330519861127E-2</c:v>
                </c:pt>
                <c:pt idx="53" formatCode="0.00000">
                  <c:v>-1.4672760732952083E-2</c:v>
                </c:pt>
                <c:pt idx="54" formatCode="0.00000">
                  <c:v>-1.4270547099653964E-2</c:v>
                </c:pt>
                <c:pt idx="55" formatCode="0.00000">
                  <c:v>-1.3809211572623463E-2</c:v>
                </c:pt>
                <c:pt idx="56" formatCode="0.00000">
                  <c:v>-1.3287276104517272E-2</c:v>
                </c:pt>
                <c:pt idx="57" formatCode="0.00000">
                  <c:v>-1.270326264799207E-2</c:v>
                </c:pt>
                <c:pt idx="58" formatCode="0.00000">
                  <c:v>-1.2055693155704563E-2</c:v>
                </c:pt>
                <c:pt idx="59" formatCode="0.00000">
                  <c:v>-1.1343234562385909E-2</c:v>
                </c:pt>
                <c:pt idx="60" formatCode="0.00000">
                  <c:v>-1.096309797825127E-2</c:v>
                </c:pt>
                <c:pt idx="61" formatCode="0.00000">
                  <c:v>-1.056788839048017E-2</c:v>
                </c:pt>
                <c:pt idx="62" formatCode="0.00000">
                  <c:v>-9.7349907501443154E-3</c:v>
                </c:pt>
                <c:pt idx="63" formatCode="0.00000">
                  <c:v>-8.8500227336097831E-3</c:v>
                </c:pt>
                <c:pt idx="64" formatCode="0.00000">
                  <c:v>-8.3897251755903398E-3</c:v>
                </c:pt>
                <c:pt idx="65" formatCode="0.00000">
                  <c:v>-7.9184654331080143E-3</c:v>
                </c:pt>
                <c:pt idx="66" formatCode="0.00000">
                  <c:v>-6.9457999408704483E-3</c:v>
                </c:pt>
                <c:pt idx="67" formatCode="0.00000">
                  <c:v>-5.9375073491285237E-3</c:v>
                </c:pt>
                <c:pt idx="68" formatCode="0.00000">
                  <c:v>-4.8990687501136799E-3</c:v>
                </c:pt>
                <c:pt idx="69" formatCode="0.00000">
                  <c:v>-3.8359652360573592E-3</c:v>
                </c:pt>
                <c:pt idx="70" formatCode="0.00000">
                  <c:v>-2.7536778991909985E-3</c:v>
                </c:pt>
                <c:pt idx="71" formatCode="0.00000">
                  <c:v>-2.2070531385263784E-3</c:v>
                </c:pt>
                <c:pt idx="72" formatCode="0.00000">
                  <c:v>-1.6576878317460385E-3</c:v>
                </c:pt>
                <c:pt idx="73" formatCode="0.00000">
                  <c:v>-1.1062671153789091E-3</c:v>
                </c:pt>
                <c:pt idx="74" formatCode="0.00000">
                  <c:v>-5.5347612595391951E-4</c:v>
                </c:pt>
                <c:pt idx="75" formatCode="0.00000">
                  <c:v>0</c:v>
                </c:pt>
              </c:numCache>
            </c:numRef>
          </c:yVal>
          <c:smooth val="0"/>
          <c:extLst>
            <c:ext xmlns:c16="http://schemas.microsoft.com/office/drawing/2014/chart" uri="{C3380CC4-5D6E-409C-BE32-E72D297353CC}">
              <c16:uniqueId val="{00000000-8DD6-4179-9A43-800961A54A37}"/>
            </c:ext>
          </c:extLst>
        </c:ser>
        <c:ser>
          <c:idx val="1"/>
          <c:order val="1"/>
          <c:tx>
            <c:strRef>
              <c:f>'Albero_2 (2)'!$Y$58</c:f>
              <c:strCache>
                <c:ptCount val="1"/>
                <c:pt idx="0">
                  <c:v>Fr_2</c:v>
                </c:pt>
              </c:strCache>
            </c:strRef>
          </c:tx>
          <c:spPr>
            <a:ln w="19050" cap="rnd">
              <a:solidFill>
                <a:schemeClr val="accent2"/>
              </a:solidFill>
              <a:round/>
            </a:ln>
            <a:effectLst/>
          </c:spPr>
          <c:marker>
            <c:symbol val="none"/>
          </c:marker>
          <c:xVal>
            <c:numRef>
              <c:f>'Albero_2 (2)'!$W$59:$W$134</c:f>
              <c:numCache>
                <c:formatCode>General</c:formatCode>
                <c:ptCount val="76"/>
                <c:pt idx="0">
                  <c:v>-26</c:v>
                </c:pt>
                <c:pt idx="1">
                  <c:v>-24</c:v>
                </c:pt>
                <c:pt idx="2">
                  <c:v>-22</c:v>
                </c:pt>
                <c:pt idx="3">
                  <c:v>-20</c:v>
                </c:pt>
                <c:pt idx="4">
                  <c:v>-18</c:v>
                </c:pt>
                <c:pt idx="5">
                  <c:v>-16</c:v>
                </c:pt>
                <c:pt idx="6">
                  <c:v>-14</c:v>
                </c:pt>
                <c:pt idx="7">
                  <c:v>-12</c:v>
                </c:pt>
                <c:pt idx="8">
                  <c:v>-10</c:v>
                </c:pt>
                <c:pt idx="9">
                  <c:v>-8</c:v>
                </c:pt>
                <c:pt idx="10">
                  <c:v>-6</c:v>
                </c:pt>
                <c:pt idx="11">
                  <c:v>-4</c:v>
                </c:pt>
                <c:pt idx="12">
                  <c:v>-2</c:v>
                </c:pt>
                <c:pt idx="13">
                  <c:v>0</c:v>
                </c:pt>
                <c:pt idx="14">
                  <c:v>2</c:v>
                </c:pt>
                <c:pt idx="15">
                  <c:v>4</c:v>
                </c:pt>
                <c:pt idx="16">
                  <c:v>6</c:v>
                </c:pt>
                <c:pt idx="17">
                  <c:v>8</c:v>
                </c:pt>
                <c:pt idx="18">
                  <c:v>10</c:v>
                </c:pt>
                <c:pt idx="19">
                  <c:v>12</c:v>
                </c:pt>
                <c:pt idx="20">
                  <c:v>14</c:v>
                </c:pt>
                <c:pt idx="21">
                  <c:v>16</c:v>
                </c:pt>
                <c:pt idx="22">
                  <c:v>18</c:v>
                </c:pt>
                <c:pt idx="23">
                  <c:v>20</c:v>
                </c:pt>
                <c:pt idx="24">
                  <c:v>22</c:v>
                </c:pt>
                <c:pt idx="25">
                  <c:v>24</c:v>
                </c:pt>
                <c:pt idx="26">
                  <c:v>26</c:v>
                </c:pt>
                <c:pt idx="27">
                  <c:v>28</c:v>
                </c:pt>
                <c:pt idx="28">
                  <c:v>30</c:v>
                </c:pt>
                <c:pt idx="29">
                  <c:v>32</c:v>
                </c:pt>
                <c:pt idx="30">
                  <c:v>34</c:v>
                </c:pt>
                <c:pt idx="31">
                  <c:v>36</c:v>
                </c:pt>
                <c:pt idx="32">
                  <c:v>38</c:v>
                </c:pt>
                <c:pt idx="33">
                  <c:v>40</c:v>
                </c:pt>
                <c:pt idx="34">
                  <c:v>42</c:v>
                </c:pt>
                <c:pt idx="35">
                  <c:v>44</c:v>
                </c:pt>
                <c:pt idx="36">
                  <c:v>46</c:v>
                </c:pt>
                <c:pt idx="37">
                  <c:v>48</c:v>
                </c:pt>
                <c:pt idx="38">
                  <c:v>50</c:v>
                </c:pt>
                <c:pt idx="39">
                  <c:v>52</c:v>
                </c:pt>
                <c:pt idx="40">
                  <c:v>54</c:v>
                </c:pt>
                <c:pt idx="41">
                  <c:v>56</c:v>
                </c:pt>
                <c:pt idx="42">
                  <c:v>58</c:v>
                </c:pt>
                <c:pt idx="43">
                  <c:v>60</c:v>
                </c:pt>
                <c:pt idx="44">
                  <c:v>62</c:v>
                </c:pt>
                <c:pt idx="45">
                  <c:v>64</c:v>
                </c:pt>
                <c:pt idx="46">
                  <c:v>66</c:v>
                </c:pt>
                <c:pt idx="47">
                  <c:v>68</c:v>
                </c:pt>
                <c:pt idx="48">
                  <c:v>70</c:v>
                </c:pt>
                <c:pt idx="49">
                  <c:v>72</c:v>
                </c:pt>
                <c:pt idx="50">
                  <c:v>73</c:v>
                </c:pt>
                <c:pt idx="51">
                  <c:v>74</c:v>
                </c:pt>
                <c:pt idx="52">
                  <c:v>76</c:v>
                </c:pt>
                <c:pt idx="53">
                  <c:v>78</c:v>
                </c:pt>
                <c:pt idx="54">
                  <c:v>80</c:v>
                </c:pt>
                <c:pt idx="55">
                  <c:v>82</c:v>
                </c:pt>
                <c:pt idx="56">
                  <c:v>84</c:v>
                </c:pt>
                <c:pt idx="57">
                  <c:v>86</c:v>
                </c:pt>
                <c:pt idx="58">
                  <c:v>88</c:v>
                </c:pt>
                <c:pt idx="59">
                  <c:v>90</c:v>
                </c:pt>
                <c:pt idx="60">
                  <c:v>91</c:v>
                </c:pt>
                <c:pt idx="61">
                  <c:v>92</c:v>
                </c:pt>
                <c:pt idx="62">
                  <c:v>94</c:v>
                </c:pt>
                <c:pt idx="63">
                  <c:v>96</c:v>
                </c:pt>
                <c:pt idx="64">
                  <c:v>97</c:v>
                </c:pt>
                <c:pt idx="65">
                  <c:v>98</c:v>
                </c:pt>
                <c:pt idx="66">
                  <c:v>100</c:v>
                </c:pt>
                <c:pt idx="67">
                  <c:v>102</c:v>
                </c:pt>
                <c:pt idx="68">
                  <c:v>104</c:v>
                </c:pt>
                <c:pt idx="69">
                  <c:v>106</c:v>
                </c:pt>
                <c:pt idx="70">
                  <c:v>108</c:v>
                </c:pt>
                <c:pt idx="71">
                  <c:v>109</c:v>
                </c:pt>
                <c:pt idx="72">
                  <c:v>110</c:v>
                </c:pt>
                <c:pt idx="73">
                  <c:v>111</c:v>
                </c:pt>
                <c:pt idx="74">
                  <c:v>112</c:v>
                </c:pt>
                <c:pt idx="75">
                  <c:v>113</c:v>
                </c:pt>
              </c:numCache>
            </c:numRef>
          </c:xVal>
          <c:yVal>
            <c:numRef>
              <c:f>'Albero_2 (2)'!$Y$59:$Y$134</c:f>
              <c:numCache>
                <c:formatCode>General</c:formatCode>
                <c:ptCount val="76"/>
                <c:pt idx="0">
                  <c:v>-1.7375666679478629E-3</c:v>
                </c:pt>
                <c:pt idx="1">
                  <c:v>-1.6514038210879987E-3</c:v>
                </c:pt>
                <c:pt idx="2">
                  <c:v>-1.5506267811211611E-3</c:v>
                </c:pt>
                <c:pt idx="3">
                  <c:v>-1.4370623221857215E-3</c:v>
                </c:pt>
                <c:pt idx="4">
                  <c:v>-1.3125372184200519E-3</c:v>
                </c:pt>
                <c:pt idx="5">
                  <c:v>-1.1788782439625242E-3</c:v>
                </c:pt>
                <c:pt idx="6">
                  <c:v>-1.0379121729515094E-3</c:v>
                </c:pt>
                <c:pt idx="7">
                  <c:v>-8.9146577952537982E-4</c:v>
                </c:pt>
                <c:pt idx="8">
                  <c:v>-7.413658378225067E-4</c:v>
                </c:pt>
                <c:pt idx="9">
                  <c:v>-5.8943912198126209E-4</c:v>
                </c:pt>
                <c:pt idx="10">
                  <c:v>-4.3751240614001732E-4</c:v>
                </c:pt>
                <c:pt idx="11">
                  <c:v>-2.8741246443714431E-4</c:v>
                </c:pt>
                <c:pt idx="12">
                  <c:v>-1.4096607101101463E-4</c:v>
                </c:pt>
                <c:pt idx="13">
                  <c:v>0</c:v>
                </c:pt>
                <c:pt idx="14">
                  <c:v>1.3398499167101313E-4</c:v>
                </c:pt>
                <c:pt idx="15">
                  <c:v>2.6079221593107915E-4</c:v>
                </c:pt>
                <c:pt idx="16">
                  <c:v>3.805510019227376E-4</c:v>
                </c:pt>
                <c:pt idx="17">
                  <c:v>4.9339067878852801E-4</c:v>
                </c:pt>
                <c:pt idx="18">
                  <c:v>5.9944057567099028E-4</c:v>
                </c:pt>
                <c:pt idx="19">
                  <c:v>6.9883002171266357E-4</c:v>
                </c:pt>
                <c:pt idx="20">
                  <c:v>7.9168834605608778E-4</c:v>
                </c:pt>
                <c:pt idx="21">
                  <c:v>8.7814487784380218E-4</c:v>
                </c:pt>
                <c:pt idx="22">
                  <c:v>9.5832894621834688E-4</c:v>
                </c:pt>
                <c:pt idx="23">
                  <c:v>1.032369880322261E-3</c:v>
                </c:pt>
                <c:pt idx="24">
                  <c:v>1.1003970092980841E-3</c:v>
                </c:pt>
                <c:pt idx="25">
                  <c:v>1.1625396622883561E-3</c:v>
                </c:pt>
                <c:pt idx="26">
                  <c:v>1.2189271684356167E-3</c:v>
                </c:pt>
                <c:pt idx="27">
                  <c:v>1.2696888568824048E-3</c:v>
                </c:pt>
                <c:pt idx="28">
                  <c:v>1.3149540567712606E-3</c:v>
                </c:pt>
                <c:pt idx="29">
                  <c:v>1.3548520972447233E-3</c:v>
                </c:pt>
                <c:pt idx="30">
                  <c:v>1.3895123074453332E-3</c:v>
                </c:pt>
                <c:pt idx="31">
                  <c:v>1.4190640165156288E-3</c:v>
                </c:pt>
                <c:pt idx="32">
                  <c:v>1.4436365535981505E-3</c:v>
                </c:pt>
                <c:pt idx="33">
                  <c:v>1.4633592478354377E-3</c:v>
                </c:pt>
                <c:pt idx="34">
                  <c:v>1.4783614283700301E-3</c:v>
                </c:pt>
                <c:pt idx="35">
                  <c:v>1.4887724243444667E-3</c:v>
                </c:pt>
                <c:pt idx="36">
                  <c:v>1.4947215649012879E-3</c:v>
                </c:pt>
                <c:pt idx="37">
                  <c:v>1.4963381791830328E-3</c:v>
                </c:pt>
                <c:pt idx="38">
                  <c:v>1.4937515963322409E-3</c:v>
                </c:pt>
                <c:pt idx="39">
                  <c:v>1.4870911454914523E-3</c:v>
                </c:pt>
                <c:pt idx="40">
                  <c:v>1.476486155803206E-3</c:v>
                </c:pt>
                <c:pt idx="41">
                  <c:v>1.4620659564100421E-3</c:v>
                </c:pt>
                <c:pt idx="42">
                  <c:v>1.4439598764544993E-3</c:v>
                </c:pt>
                <c:pt idx="43">
                  <c:v>1.4222972450791188E-3</c:v>
                </c:pt>
                <c:pt idx="44">
                  <c:v>1.3972073914264389E-3</c:v>
                </c:pt>
                <c:pt idx="45">
                  <c:v>1.3688196446389987E-3</c:v>
                </c:pt>
                <c:pt idx="46">
                  <c:v>1.3372633338593395E-3</c:v>
                </c:pt>
                <c:pt idx="47">
                  <c:v>1.3026677882300001E-3</c:v>
                </c:pt>
                <c:pt idx="48">
                  <c:v>1.2651623368935192E-3</c:v>
                </c:pt>
                <c:pt idx="49">
                  <c:v>1.2248763089924377E-3</c:v>
                </c:pt>
                <c:pt idx="50">
                  <c:v>1.2037309941872146E-3</c:v>
                </c:pt>
                <c:pt idx="51">
                  <c:v>1.1819390336692949E-3</c:v>
                </c:pt>
                <c:pt idx="52">
                  <c:v>1.1364798400666292E-3</c:v>
                </c:pt>
                <c:pt idx="53">
                  <c:v>1.0886280573269816E-3</c:v>
                </c:pt>
                <c:pt idx="54">
                  <c:v>1.0385130145928916E-3</c:v>
                </c:pt>
                <c:pt idx="55">
                  <c:v>9.8626404100689768E-4</c:v>
                </c:pt>
                <c:pt idx="56">
                  <c:v>9.3201046571154077E-4</c:v>
                </c:pt>
                <c:pt idx="57">
                  <c:v>8.7588161784936012E-4</c:v>
                </c:pt>
                <c:pt idx="58">
                  <c:v>8.1800682656289379E-4</c:v>
                </c:pt>
                <c:pt idx="59">
                  <c:v>7.585154209946831E-4</c:v>
                </c:pt>
                <c:pt idx="60">
                  <c:v>7.2820390321196732E-4</c:v>
                </c:pt>
                <c:pt idx="61">
                  <c:v>6.9753673028726763E-4</c:v>
                </c:pt>
                <c:pt idx="62">
                  <c:v>6.3520008358318621E-4</c:v>
                </c:pt>
                <c:pt idx="63">
                  <c:v>5.7163481002497918E-4</c:v>
                </c:pt>
                <c:pt idx="64" formatCode="0.00">
                  <c:v>5.3943185353262115E-4</c:v>
                </c:pt>
                <c:pt idx="65">
                  <c:v>5.069702387551846E-4</c:v>
                </c:pt>
                <c:pt idx="66">
                  <c:v>4.4133569891634375E-4</c:v>
                </c:pt>
                <c:pt idx="67">
                  <c:v>3.748605196509962E-4</c:v>
                </c:pt>
                <c:pt idx="68">
                  <c:v>3.0767403010167996E-4</c:v>
                </c:pt>
                <c:pt idx="69">
                  <c:v>2.3990555941093538E-4</c:v>
                </c:pt>
                <c:pt idx="70">
                  <c:v>1.7168443672130302E-4</c:v>
                </c:pt>
                <c:pt idx="71">
                  <c:v>1.3744454623394763E-4</c:v>
                </c:pt>
                <c:pt idx="72">
                  <c:v>1.0313999117532076E-4</c:v>
                </c:pt>
                <c:pt idx="73">
                  <c:v>6.8786937688242796E-5</c:v>
                </c:pt>
                <c:pt idx="74">
                  <c:v>3.4401551915529912E-5</c:v>
                </c:pt>
                <c:pt idx="75">
                  <c:v>-1.661441400184849E-18</c:v>
                </c:pt>
              </c:numCache>
            </c:numRef>
          </c:yVal>
          <c:smooth val="0"/>
          <c:extLst>
            <c:ext xmlns:c16="http://schemas.microsoft.com/office/drawing/2014/chart" uri="{C3380CC4-5D6E-409C-BE32-E72D297353CC}">
              <c16:uniqueId val="{00000001-8DD6-4179-9A43-800961A54A37}"/>
            </c:ext>
          </c:extLst>
        </c:ser>
        <c:ser>
          <c:idx val="3"/>
          <c:order val="2"/>
          <c:tx>
            <c:strRef>
              <c:f>'Albero_2 (2)'!$Z$58</c:f>
              <c:strCache>
                <c:ptCount val="1"/>
                <c:pt idx="0">
                  <c:v>Ma_3</c:v>
                </c:pt>
              </c:strCache>
            </c:strRef>
          </c:tx>
          <c:spPr>
            <a:ln w="19050" cap="rnd">
              <a:solidFill>
                <a:schemeClr val="accent4"/>
              </a:solidFill>
              <a:round/>
            </a:ln>
            <a:effectLst/>
          </c:spPr>
          <c:marker>
            <c:symbol val="none"/>
          </c:marker>
          <c:xVal>
            <c:numRef>
              <c:f>'Albero_2 (2)'!$W$59:$W$134</c:f>
              <c:numCache>
                <c:formatCode>General</c:formatCode>
                <c:ptCount val="76"/>
                <c:pt idx="0">
                  <c:v>-26</c:v>
                </c:pt>
                <c:pt idx="1">
                  <c:v>-24</c:v>
                </c:pt>
                <c:pt idx="2">
                  <c:v>-22</c:v>
                </c:pt>
                <c:pt idx="3">
                  <c:v>-20</c:v>
                </c:pt>
                <c:pt idx="4">
                  <c:v>-18</c:v>
                </c:pt>
                <c:pt idx="5">
                  <c:v>-16</c:v>
                </c:pt>
                <c:pt idx="6">
                  <c:v>-14</c:v>
                </c:pt>
                <c:pt idx="7">
                  <c:v>-12</c:v>
                </c:pt>
                <c:pt idx="8">
                  <c:v>-10</c:v>
                </c:pt>
                <c:pt idx="9">
                  <c:v>-8</c:v>
                </c:pt>
                <c:pt idx="10">
                  <c:v>-6</c:v>
                </c:pt>
                <c:pt idx="11">
                  <c:v>-4</c:v>
                </c:pt>
                <c:pt idx="12">
                  <c:v>-2</c:v>
                </c:pt>
                <c:pt idx="13">
                  <c:v>0</c:v>
                </c:pt>
                <c:pt idx="14">
                  <c:v>2</c:v>
                </c:pt>
                <c:pt idx="15">
                  <c:v>4</c:v>
                </c:pt>
                <c:pt idx="16">
                  <c:v>6</c:v>
                </c:pt>
                <c:pt idx="17">
                  <c:v>8</c:v>
                </c:pt>
                <c:pt idx="18">
                  <c:v>10</c:v>
                </c:pt>
                <c:pt idx="19">
                  <c:v>12</c:v>
                </c:pt>
                <c:pt idx="20">
                  <c:v>14</c:v>
                </c:pt>
                <c:pt idx="21">
                  <c:v>16</c:v>
                </c:pt>
                <c:pt idx="22">
                  <c:v>18</c:v>
                </c:pt>
                <c:pt idx="23">
                  <c:v>20</c:v>
                </c:pt>
                <c:pt idx="24">
                  <c:v>22</c:v>
                </c:pt>
                <c:pt idx="25">
                  <c:v>24</c:v>
                </c:pt>
                <c:pt idx="26">
                  <c:v>26</c:v>
                </c:pt>
                <c:pt idx="27">
                  <c:v>28</c:v>
                </c:pt>
                <c:pt idx="28">
                  <c:v>30</c:v>
                </c:pt>
                <c:pt idx="29">
                  <c:v>32</c:v>
                </c:pt>
                <c:pt idx="30">
                  <c:v>34</c:v>
                </c:pt>
                <c:pt idx="31">
                  <c:v>36</c:v>
                </c:pt>
                <c:pt idx="32">
                  <c:v>38</c:v>
                </c:pt>
                <c:pt idx="33">
                  <c:v>40</c:v>
                </c:pt>
                <c:pt idx="34">
                  <c:v>42</c:v>
                </c:pt>
                <c:pt idx="35">
                  <c:v>44</c:v>
                </c:pt>
                <c:pt idx="36">
                  <c:v>46</c:v>
                </c:pt>
                <c:pt idx="37">
                  <c:v>48</c:v>
                </c:pt>
                <c:pt idx="38">
                  <c:v>50</c:v>
                </c:pt>
                <c:pt idx="39">
                  <c:v>52</c:v>
                </c:pt>
                <c:pt idx="40">
                  <c:v>54</c:v>
                </c:pt>
                <c:pt idx="41">
                  <c:v>56</c:v>
                </c:pt>
                <c:pt idx="42">
                  <c:v>58</c:v>
                </c:pt>
                <c:pt idx="43">
                  <c:v>60</c:v>
                </c:pt>
                <c:pt idx="44">
                  <c:v>62</c:v>
                </c:pt>
                <c:pt idx="45">
                  <c:v>64</c:v>
                </c:pt>
                <c:pt idx="46">
                  <c:v>66</c:v>
                </c:pt>
                <c:pt idx="47">
                  <c:v>68</c:v>
                </c:pt>
                <c:pt idx="48">
                  <c:v>70</c:v>
                </c:pt>
                <c:pt idx="49">
                  <c:v>72</c:v>
                </c:pt>
                <c:pt idx="50">
                  <c:v>73</c:v>
                </c:pt>
                <c:pt idx="51">
                  <c:v>74</c:v>
                </c:pt>
                <c:pt idx="52">
                  <c:v>76</c:v>
                </c:pt>
                <c:pt idx="53">
                  <c:v>78</c:v>
                </c:pt>
                <c:pt idx="54">
                  <c:v>80</c:v>
                </c:pt>
                <c:pt idx="55">
                  <c:v>82</c:v>
                </c:pt>
                <c:pt idx="56">
                  <c:v>84</c:v>
                </c:pt>
                <c:pt idx="57">
                  <c:v>86</c:v>
                </c:pt>
                <c:pt idx="58">
                  <c:v>88</c:v>
                </c:pt>
                <c:pt idx="59">
                  <c:v>90</c:v>
                </c:pt>
                <c:pt idx="60">
                  <c:v>91</c:v>
                </c:pt>
                <c:pt idx="61">
                  <c:v>92</c:v>
                </c:pt>
                <c:pt idx="62">
                  <c:v>94</c:v>
                </c:pt>
                <c:pt idx="63">
                  <c:v>96</c:v>
                </c:pt>
                <c:pt idx="64">
                  <c:v>97</c:v>
                </c:pt>
                <c:pt idx="65">
                  <c:v>98</c:v>
                </c:pt>
                <c:pt idx="66">
                  <c:v>100</c:v>
                </c:pt>
                <c:pt idx="67">
                  <c:v>102</c:v>
                </c:pt>
                <c:pt idx="68">
                  <c:v>104</c:v>
                </c:pt>
                <c:pt idx="69">
                  <c:v>106</c:v>
                </c:pt>
                <c:pt idx="70">
                  <c:v>108</c:v>
                </c:pt>
                <c:pt idx="71">
                  <c:v>109</c:v>
                </c:pt>
                <c:pt idx="72">
                  <c:v>110</c:v>
                </c:pt>
                <c:pt idx="73">
                  <c:v>111</c:v>
                </c:pt>
                <c:pt idx="74">
                  <c:v>112</c:v>
                </c:pt>
                <c:pt idx="75">
                  <c:v>113</c:v>
                </c:pt>
              </c:numCache>
            </c:numRef>
          </c:xVal>
          <c:yVal>
            <c:numRef>
              <c:f>'Albero_2 (2)'!$Z$59:$Z$134</c:f>
              <c:numCache>
                <c:formatCode>General</c:formatCode>
                <c:ptCount val="76"/>
                <c:pt idx="0">
                  <c:v>-5.2558209571431569E-3</c:v>
                </c:pt>
                <c:pt idx="1">
                  <c:v>-4.8515270373629136E-3</c:v>
                </c:pt>
                <c:pt idx="2">
                  <c:v>-4.4472331175826711E-3</c:v>
                </c:pt>
                <c:pt idx="3">
                  <c:v>-4.0429391978024278E-3</c:v>
                </c:pt>
                <c:pt idx="4">
                  <c:v>-3.6386452780221854E-3</c:v>
                </c:pt>
                <c:pt idx="5">
                  <c:v>-3.2343513582419425E-3</c:v>
                </c:pt>
                <c:pt idx="6">
                  <c:v>-2.8300574384616996E-3</c:v>
                </c:pt>
                <c:pt idx="7">
                  <c:v>-2.4257635186814568E-3</c:v>
                </c:pt>
                <c:pt idx="8">
                  <c:v>-2.0214695989012139E-3</c:v>
                </c:pt>
                <c:pt idx="9">
                  <c:v>-1.6171756791209713E-3</c:v>
                </c:pt>
                <c:pt idx="10">
                  <c:v>-1.2128817593407284E-3</c:v>
                </c:pt>
                <c:pt idx="11">
                  <c:v>-8.0858783956048563E-4</c:v>
                </c:pt>
                <c:pt idx="12">
                  <c:v>-4.0429391978024281E-4</c:v>
                </c:pt>
                <c:pt idx="13">
                  <c:v>0</c:v>
                </c:pt>
                <c:pt idx="14">
                  <c:v>4.0587520398531381E-4</c:v>
                </c:pt>
                <c:pt idx="15">
                  <c:v>8.1086783073989034E-4</c:v>
                </c:pt>
                <c:pt idx="16">
                  <c:v>1.214095303032992E-3</c:v>
                </c:pt>
                <c:pt idx="17">
                  <c:v>1.6146750436338824E-3</c:v>
                </c:pt>
                <c:pt idx="18">
                  <c:v>2.0117244753118232E-3</c:v>
                </c:pt>
                <c:pt idx="19">
                  <c:v>2.4043610208360775E-3</c:v>
                </c:pt>
                <c:pt idx="20">
                  <c:v>2.7917021029759083E-3</c:v>
                </c:pt>
                <c:pt idx="21">
                  <c:v>3.1728651445005777E-3</c:v>
                </c:pt>
                <c:pt idx="22">
                  <c:v>3.5469675681793485E-3</c:v>
                </c:pt>
                <c:pt idx="23">
                  <c:v>3.9131267967814848E-3</c:v>
                </c:pt>
                <c:pt idx="24">
                  <c:v>4.2704602530762468E-3</c:v>
                </c:pt>
                <c:pt idx="25">
                  <c:v>4.6180853598328988E-3</c:v>
                </c:pt>
                <c:pt idx="26">
                  <c:v>4.9551195398207038E-3</c:v>
                </c:pt>
                <c:pt idx="27">
                  <c:v>5.280680215808924E-3</c:v>
                </c:pt>
                <c:pt idx="28">
                  <c:v>5.5938848105668215E-3</c:v>
                </c:pt>
                <c:pt idx="29">
                  <c:v>5.8938507468636603E-3</c:v>
                </c:pt>
                <c:pt idx="30">
                  <c:v>6.1796954474687025E-3</c:v>
                </c:pt>
                <c:pt idx="31">
                  <c:v>6.4505363351512086E-3</c:v>
                </c:pt>
                <c:pt idx="32">
                  <c:v>6.7054908326804451E-3</c:v>
                </c:pt>
                <c:pt idx="33">
                  <c:v>6.9436763628256733E-3</c:v>
                </c:pt>
                <c:pt idx="34">
                  <c:v>7.1642103483561545E-3</c:v>
                </c:pt>
                <c:pt idx="35">
                  <c:v>7.3662102120411535E-3</c:v>
                </c:pt>
                <c:pt idx="36">
                  <c:v>7.5487933766499307E-3</c:v>
                </c:pt>
                <c:pt idx="37">
                  <c:v>7.7110772649517509E-3</c:v>
                </c:pt>
                <c:pt idx="38">
                  <c:v>7.8521792997158762E-3</c:v>
                </c:pt>
                <c:pt idx="39">
                  <c:v>7.9712169037115688E-3</c:v>
                </c:pt>
                <c:pt idx="40">
                  <c:v>8.0673074997080919E-3</c:v>
                </c:pt>
                <c:pt idx="41">
                  <c:v>8.1395685104747092E-3</c:v>
                </c:pt>
                <c:pt idx="42">
                  <c:v>8.1871173587806795E-3</c:v>
                </c:pt>
                <c:pt idx="43">
                  <c:v>8.2090714673952701E-3</c:v>
                </c:pt>
                <c:pt idx="44">
                  <c:v>8.2045482590877416E-3</c:v>
                </c:pt>
                <c:pt idx="45">
                  <c:v>8.1726651566273577E-3</c:v>
                </c:pt>
                <c:pt idx="46">
                  <c:v>8.1125395827833791E-3</c:v>
                </c:pt>
                <c:pt idx="47">
                  <c:v>8.0232889603250711E-3</c:v>
                </c:pt>
                <c:pt idx="48">
                  <c:v>7.9040307120216927E-3</c:v>
                </c:pt>
                <c:pt idx="49">
                  <c:v>7.7538822606425094E-3</c:v>
                </c:pt>
                <c:pt idx="50">
                  <c:v>7.6669484034148864E-3</c:v>
                </c:pt>
                <c:pt idx="51">
                  <c:v>7.5719610289567843E-3</c:v>
                </c:pt>
                <c:pt idx="52">
                  <c:v>7.3573844397337796E-3</c:v>
                </c:pt>
                <c:pt idx="53">
                  <c:v>7.1092699157427582E-3</c:v>
                </c:pt>
                <c:pt idx="54">
                  <c:v>6.8267348797529815E-3</c:v>
                </c:pt>
                <c:pt idx="55">
                  <c:v>6.5088967545337134E-3</c:v>
                </c:pt>
                <c:pt idx="56">
                  <c:v>6.1548729628542152E-3</c:v>
                </c:pt>
                <c:pt idx="57">
                  <c:v>5.7637809274837509E-3</c:v>
                </c:pt>
                <c:pt idx="58">
                  <c:v>5.3347380711915833E-3</c:v>
                </c:pt>
                <c:pt idx="59">
                  <c:v>4.8730950184390567E-3</c:v>
                </c:pt>
                <c:pt idx="60">
                  <c:v>4.6430181666012281E-3</c:v>
                </c:pt>
                <c:pt idx="61">
                  <c:v>4.4153684021479263E-3</c:v>
                </c:pt>
                <c:pt idx="62">
                  <c:v>3.9669088467795379E-3</c:v>
                </c:pt>
                <c:pt idx="63">
                  <c:v>3.5268337751031545E-3</c:v>
                </c:pt>
                <c:pt idx="64">
                  <c:v>3.3096646152648585E-3</c:v>
                </c:pt>
                <c:pt idx="65">
                  <c:v>3.0942606098880369E-3</c:v>
                </c:pt>
                <c:pt idx="66">
                  <c:v>2.6683067739034496E-3</c:v>
                </c:pt>
                <c:pt idx="67">
                  <c:v>2.2480896899186552E-3</c:v>
                </c:pt>
                <c:pt idx="68">
                  <c:v>1.8327267807029151E-3</c:v>
                </c:pt>
                <c:pt idx="69">
                  <c:v>1.4213354690254935E-3</c:v>
                </c:pt>
                <c:pt idx="70">
                  <c:v>1.0130331776556521E-3</c:v>
                </c:pt>
                <c:pt idx="71">
                  <c:v>8.0976460920146871E-4</c:v>
                </c:pt>
                <c:pt idx="72">
                  <c:v>6.069373293626539E-4</c:v>
                </c:pt>
                <c:pt idx="73">
                  <c:v>4.0444101598536571E-4</c:v>
                </c:pt>
                <c:pt idx="74">
                  <c:v>2.0216534691576177E-4</c:v>
                </c:pt>
                <c:pt idx="75">
                  <c:v>0</c:v>
                </c:pt>
              </c:numCache>
            </c:numRef>
          </c:yVal>
          <c:smooth val="0"/>
          <c:extLst>
            <c:ext xmlns:c16="http://schemas.microsoft.com/office/drawing/2014/chart" uri="{C3380CC4-5D6E-409C-BE32-E72D297353CC}">
              <c16:uniqueId val="{00000002-8DD6-4179-9A43-800961A54A37}"/>
            </c:ext>
          </c:extLst>
        </c:ser>
        <c:ser>
          <c:idx val="2"/>
          <c:order val="3"/>
          <c:tx>
            <c:strRef>
              <c:f>'Albero_2 (2)'!$AA$58</c:f>
              <c:strCache>
                <c:ptCount val="1"/>
                <c:pt idx="0">
                  <c:v>Sum y</c:v>
                </c:pt>
              </c:strCache>
            </c:strRef>
          </c:tx>
          <c:spPr>
            <a:ln w="19050" cap="rnd">
              <a:solidFill>
                <a:schemeClr val="accent3"/>
              </a:solidFill>
              <a:round/>
            </a:ln>
            <a:effectLst/>
          </c:spPr>
          <c:marker>
            <c:symbol val="none"/>
          </c:marker>
          <c:xVal>
            <c:numRef>
              <c:f>'Albero_2 (2)'!$W$59:$W$134</c:f>
              <c:numCache>
                <c:formatCode>General</c:formatCode>
                <c:ptCount val="76"/>
                <c:pt idx="0">
                  <c:v>-26</c:v>
                </c:pt>
                <c:pt idx="1">
                  <c:v>-24</c:v>
                </c:pt>
                <c:pt idx="2">
                  <c:v>-22</c:v>
                </c:pt>
                <c:pt idx="3">
                  <c:v>-20</c:v>
                </c:pt>
                <c:pt idx="4">
                  <c:v>-18</c:v>
                </c:pt>
                <c:pt idx="5">
                  <c:v>-16</c:v>
                </c:pt>
                <c:pt idx="6">
                  <c:v>-14</c:v>
                </c:pt>
                <c:pt idx="7">
                  <c:v>-12</c:v>
                </c:pt>
                <c:pt idx="8">
                  <c:v>-10</c:v>
                </c:pt>
                <c:pt idx="9">
                  <c:v>-8</c:v>
                </c:pt>
                <c:pt idx="10">
                  <c:v>-6</c:v>
                </c:pt>
                <c:pt idx="11">
                  <c:v>-4</c:v>
                </c:pt>
                <c:pt idx="12">
                  <c:v>-2</c:v>
                </c:pt>
                <c:pt idx="13">
                  <c:v>0</c:v>
                </c:pt>
                <c:pt idx="14">
                  <c:v>2</c:v>
                </c:pt>
                <c:pt idx="15">
                  <c:v>4</c:v>
                </c:pt>
                <c:pt idx="16">
                  <c:v>6</c:v>
                </c:pt>
                <c:pt idx="17">
                  <c:v>8</c:v>
                </c:pt>
                <c:pt idx="18">
                  <c:v>10</c:v>
                </c:pt>
                <c:pt idx="19">
                  <c:v>12</c:v>
                </c:pt>
                <c:pt idx="20">
                  <c:v>14</c:v>
                </c:pt>
                <c:pt idx="21">
                  <c:v>16</c:v>
                </c:pt>
                <c:pt idx="22">
                  <c:v>18</c:v>
                </c:pt>
                <c:pt idx="23">
                  <c:v>20</c:v>
                </c:pt>
                <c:pt idx="24">
                  <c:v>22</c:v>
                </c:pt>
                <c:pt idx="25">
                  <c:v>24</c:v>
                </c:pt>
                <c:pt idx="26">
                  <c:v>26</c:v>
                </c:pt>
                <c:pt idx="27">
                  <c:v>28</c:v>
                </c:pt>
                <c:pt idx="28">
                  <c:v>30</c:v>
                </c:pt>
                <c:pt idx="29">
                  <c:v>32</c:v>
                </c:pt>
                <c:pt idx="30">
                  <c:v>34</c:v>
                </c:pt>
                <c:pt idx="31">
                  <c:v>36</c:v>
                </c:pt>
                <c:pt idx="32">
                  <c:v>38</c:v>
                </c:pt>
                <c:pt idx="33">
                  <c:v>40</c:v>
                </c:pt>
                <c:pt idx="34">
                  <c:v>42</c:v>
                </c:pt>
                <c:pt idx="35">
                  <c:v>44</c:v>
                </c:pt>
                <c:pt idx="36">
                  <c:v>46</c:v>
                </c:pt>
                <c:pt idx="37">
                  <c:v>48</c:v>
                </c:pt>
                <c:pt idx="38">
                  <c:v>50</c:v>
                </c:pt>
                <c:pt idx="39">
                  <c:v>52</c:v>
                </c:pt>
                <c:pt idx="40">
                  <c:v>54</c:v>
                </c:pt>
                <c:pt idx="41">
                  <c:v>56</c:v>
                </c:pt>
                <c:pt idx="42">
                  <c:v>58</c:v>
                </c:pt>
                <c:pt idx="43">
                  <c:v>60</c:v>
                </c:pt>
                <c:pt idx="44">
                  <c:v>62</c:v>
                </c:pt>
                <c:pt idx="45">
                  <c:v>64</c:v>
                </c:pt>
                <c:pt idx="46">
                  <c:v>66</c:v>
                </c:pt>
                <c:pt idx="47">
                  <c:v>68</c:v>
                </c:pt>
                <c:pt idx="48">
                  <c:v>70</c:v>
                </c:pt>
                <c:pt idx="49">
                  <c:v>72</c:v>
                </c:pt>
                <c:pt idx="50">
                  <c:v>73</c:v>
                </c:pt>
                <c:pt idx="51">
                  <c:v>74</c:v>
                </c:pt>
                <c:pt idx="52">
                  <c:v>76</c:v>
                </c:pt>
                <c:pt idx="53">
                  <c:v>78</c:v>
                </c:pt>
                <c:pt idx="54">
                  <c:v>80</c:v>
                </c:pt>
                <c:pt idx="55">
                  <c:v>82</c:v>
                </c:pt>
                <c:pt idx="56">
                  <c:v>84</c:v>
                </c:pt>
                <c:pt idx="57">
                  <c:v>86</c:v>
                </c:pt>
                <c:pt idx="58">
                  <c:v>88</c:v>
                </c:pt>
                <c:pt idx="59">
                  <c:v>90</c:v>
                </c:pt>
                <c:pt idx="60">
                  <c:v>91</c:v>
                </c:pt>
                <c:pt idx="61">
                  <c:v>92</c:v>
                </c:pt>
                <c:pt idx="62">
                  <c:v>94</c:v>
                </c:pt>
                <c:pt idx="63">
                  <c:v>96</c:v>
                </c:pt>
                <c:pt idx="64">
                  <c:v>97</c:v>
                </c:pt>
                <c:pt idx="65">
                  <c:v>98</c:v>
                </c:pt>
                <c:pt idx="66">
                  <c:v>100</c:v>
                </c:pt>
                <c:pt idx="67">
                  <c:v>102</c:v>
                </c:pt>
                <c:pt idx="68">
                  <c:v>104</c:v>
                </c:pt>
                <c:pt idx="69">
                  <c:v>106</c:v>
                </c:pt>
                <c:pt idx="70">
                  <c:v>108</c:v>
                </c:pt>
                <c:pt idx="71">
                  <c:v>109</c:v>
                </c:pt>
                <c:pt idx="72">
                  <c:v>110</c:v>
                </c:pt>
                <c:pt idx="73">
                  <c:v>111</c:v>
                </c:pt>
                <c:pt idx="74">
                  <c:v>112</c:v>
                </c:pt>
                <c:pt idx="75">
                  <c:v>113</c:v>
                </c:pt>
              </c:numCache>
            </c:numRef>
          </c:xVal>
          <c:yVal>
            <c:numRef>
              <c:f>'Albero_2 (2)'!$AA$59:$AA$134</c:f>
              <c:numCache>
                <c:formatCode>General</c:formatCode>
                <c:ptCount val="76"/>
                <c:pt idx="0">
                  <c:v>2.7684376391030529E-3</c:v>
                </c:pt>
                <c:pt idx="1">
                  <c:v>2.5079847700359243E-3</c:v>
                </c:pt>
                <c:pt idx="2">
                  <c:v>2.2621460940757667E-3</c:v>
                </c:pt>
                <c:pt idx="3">
                  <c:v>2.0290948370842131E-3</c:v>
                </c:pt>
                <c:pt idx="4">
                  <c:v>1.8070042249228894E-3</c:v>
                </c:pt>
                <c:pt idx="5">
                  <c:v>1.5940474834534239E-3</c:v>
                </c:pt>
                <c:pt idx="6">
                  <c:v>1.3883978385374456E-3</c:v>
                </c:pt>
                <c:pt idx="7">
                  <c:v>1.1882285160365819E-3</c:v>
                </c:pt>
                <c:pt idx="8">
                  <c:v>9.9171274181246091E-4</c:v>
                </c:pt>
                <c:pt idx="9">
                  <c:v>7.9702374172671195E-4</c:v>
                </c:pt>
                <c:pt idx="10">
                  <c:v>6.0233474164096343E-4</c:v>
                </c:pt>
                <c:pt idx="11">
                  <c:v>4.0581896741684277E-4</c:v>
                </c:pt>
                <c:pt idx="12">
                  <c:v>2.0564964491597888E-4</c:v>
                </c:pt>
                <c:pt idx="13">
                  <c:v>0</c:v>
                </c:pt>
                <c:pt idx="14">
                  <c:v>-2.1080309882702438E-4</c:v>
                </c:pt>
                <c:pt idx="15">
                  <c:v>-4.2818849495242358E-4</c:v>
                </c:pt>
                <c:pt idx="16">
                  <c:v>-6.5143138912108632E-4</c:v>
                </c:pt>
                <c:pt idx="17">
                  <c:v>-8.7980698207789938E-4</c:v>
                </c:pt>
                <c:pt idx="18">
                  <c:v>-1.112590474567752E-3</c:v>
                </c:pt>
                <c:pt idx="19">
                  <c:v>-1.3490570673355324E-3</c:v>
                </c:pt>
                <c:pt idx="20">
                  <c:v>-1.5884819611261267E-3</c:v>
                </c:pt>
                <c:pt idx="21">
                  <c:v>-1.8301403566844269E-3</c:v>
                </c:pt>
                <c:pt idx="22">
                  <c:v>-2.073307454755318E-3</c:v>
                </c:pt>
                <c:pt idx="23">
                  <c:v>-2.3172584560836873E-3</c:v>
                </c:pt>
                <c:pt idx="24">
                  <c:v>-2.5612685614144265E-3</c:v>
                </c:pt>
                <c:pt idx="25">
                  <c:v>-2.8046129714924236E-3</c:v>
                </c:pt>
                <c:pt idx="26">
                  <c:v>-3.0465668870625637E-3</c:v>
                </c:pt>
                <c:pt idx="27">
                  <c:v>-3.286405508869732E-3</c:v>
                </c:pt>
                <c:pt idx="28">
                  <c:v>-3.5234040376588257E-3</c:v>
                </c:pt>
                <c:pt idx="29">
                  <c:v>-3.7568376741747254E-3</c:v>
                </c:pt>
                <c:pt idx="30">
                  <c:v>-3.9859816191623225E-3</c:v>
                </c:pt>
                <c:pt idx="31">
                  <c:v>-4.2101110733665081E-3</c:v>
                </c:pt>
                <c:pt idx="32">
                  <c:v>-4.4285012375321637E-3</c:v>
                </c:pt>
                <c:pt idx="33">
                  <c:v>-4.640427312404178E-3</c:v>
                </c:pt>
                <c:pt idx="34">
                  <c:v>-4.8451644987274481E-3</c:v>
                </c:pt>
                <c:pt idx="35">
                  <c:v>-5.0419879972468488E-3</c:v>
                </c:pt>
                <c:pt idx="36">
                  <c:v>-5.2301730087072782E-3</c:v>
                </c:pt>
                <c:pt idx="37">
                  <c:v>-5.4089947338536214E-3</c:v>
                </c:pt>
                <c:pt idx="38">
                  <c:v>-5.5777283734307678E-3</c:v>
                </c:pt>
                <c:pt idx="39">
                  <c:v>-5.7356491281836033E-3</c:v>
                </c:pt>
                <c:pt idx="40">
                  <c:v>-5.8820321988570148E-3</c:v>
                </c:pt>
                <c:pt idx="41">
                  <c:v>-6.0161527861958917E-3</c:v>
                </c:pt>
                <c:pt idx="42">
                  <c:v>-6.1372860909451304E-3</c:v>
                </c:pt>
                <c:pt idx="43">
                  <c:v>-6.2447073138496012E-3</c:v>
                </c:pt>
                <c:pt idx="44">
                  <c:v>-6.3376916556542109E-3</c:v>
                </c:pt>
                <c:pt idx="45">
                  <c:v>-6.4155143171038351E-3</c:v>
                </c:pt>
                <c:pt idx="46">
                  <c:v>-6.4774504989433702E-3</c:v>
                </c:pt>
                <c:pt idx="47">
                  <c:v>-6.5227754019176951E-3</c:v>
                </c:pt>
                <c:pt idx="48">
                  <c:v>-6.5507642267717062E-3</c:v>
                </c:pt>
                <c:pt idx="49">
                  <c:v>-6.5606921742502895E-3</c:v>
                </c:pt>
                <c:pt idx="50">
                  <c:v>-6.5586568192065719E-3</c:v>
                </c:pt>
                <c:pt idx="51">
                  <c:v>-6.5518344450983318E-3</c:v>
                </c:pt>
                <c:pt idx="52">
                  <c:v>-6.523466240060719E-3</c:v>
                </c:pt>
                <c:pt idx="53">
                  <c:v>-6.4748627598823433E-3</c:v>
                </c:pt>
                <c:pt idx="54">
                  <c:v>-6.4052992053080914E-3</c:v>
                </c:pt>
                <c:pt idx="55">
                  <c:v>-6.3140507770828511E-3</c:v>
                </c:pt>
                <c:pt idx="56">
                  <c:v>-6.200392675951516E-3</c:v>
                </c:pt>
                <c:pt idx="57">
                  <c:v>-6.0636001026589583E-3</c:v>
                </c:pt>
                <c:pt idx="58">
                  <c:v>-5.9029482579500856E-3</c:v>
                </c:pt>
                <c:pt idx="59">
                  <c:v>-5.7116241229521695E-3</c:v>
                </c:pt>
                <c:pt idx="60">
                  <c:v>-5.5918759084380744E-3</c:v>
                </c:pt>
                <c:pt idx="61">
                  <c:v>-5.4549832580449769E-3</c:v>
                </c:pt>
                <c:pt idx="62">
                  <c:v>-5.1328818197815913E-3</c:v>
                </c:pt>
                <c:pt idx="63">
                  <c:v>-4.7515541484816496E-3</c:v>
                </c:pt>
                <c:pt idx="64">
                  <c:v>-4.54062870679286E-3</c:v>
                </c:pt>
                <c:pt idx="65">
                  <c:v>-4.3172345844647922E-3</c:v>
                </c:pt>
                <c:pt idx="66">
                  <c:v>-3.8361574680506553E-3</c:v>
                </c:pt>
                <c:pt idx="67">
                  <c:v>-3.3145571395588724E-3</c:v>
                </c:pt>
                <c:pt idx="68">
                  <c:v>-2.7586679393090847E-3</c:v>
                </c:pt>
                <c:pt idx="69">
                  <c:v>-2.1747242076209303E-3</c:v>
                </c:pt>
                <c:pt idx="70">
                  <c:v>-1.5689602848140435E-3</c:v>
                </c:pt>
                <c:pt idx="71">
                  <c:v>-1.2598439830909622E-3</c:v>
                </c:pt>
                <c:pt idx="72">
                  <c:v>-9.4761051120806382E-4</c:v>
                </c:pt>
                <c:pt idx="73">
                  <c:v>-6.3303916170530058E-4</c:v>
                </c:pt>
                <c:pt idx="74">
                  <c:v>-3.1690922712262787E-4</c:v>
                </c:pt>
                <c:pt idx="75">
                  <c:v>-1.661441400184849E-18</c:v>
                </c:pt>
              </c:numCache>
            </c:numRef>
          </c:yVal>
          <c:smooth val="0"/>
          <c:extLst>
            <c:ext xmlns:c16="http://schemas.microsoft.com/office/drawing/2014/chart" uri="{C3380CC4-5D6E-409C-BE32-E72D297353CC}">
              <c16:uniqueId val="{00000003-8DD6-4179-9A43-800961A54A37}"/>
            </c:ext>
          </c:extLst>
        </c:ser>
        <c:dLbls>
          <c:showLegendKey val="0"/>
          <c:showVal val="0"/>
          <c:showCatName val="0"/>
          <c:showSerName val="0"/>
          <c:showPercent val="0"/>
          <c:showBubbleSize val="0"/>
        </c:dLbls>
        <c:axId val="480828687"/>
        <c:axId val="480832527"/>
      </c:scatterChart>
      <c:valAx>
        <c:axId val="480828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80832527"/>
        <c:crosses val="autoZero"/>
        <c:crossBetween val="midCat"/>
      </c:valAx>
      <c:valAx>
        <c:axId val="480832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8082868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Deformate</a:t>
            </a:r>
            <a:r>
              <a:rPr lang="it-IT" baseline="0"/>
              <a:t> z</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scatterChart>
        <c:scatterStyle val="lineMarker"/>
        <c:varyColors val="0"/>
        <c:ser>
          <c:idx val="0"/>
          <c:order val="0"/>
          <c:tx>
            <c:strRef>
              <c:f>'Albero_2 (2)'!$AC$58</c:f>
              <c:strCache>
                <c:ptCount val="1"/>
                <c:pt idx="0">
                  <c:v>Ft_3</c:v>
                </c:pt>
              </c:strCache>
            </c:strRef>
          </c:tx>
          <c:spPr>
            <a:ln w="19050" cap="rnd">
              <a:solidFill>
                <a:schemeClr val="accent1"/>
              </a:solidFill>
              <a:round/>
            </a:ln>
            <a:effectLst/>
          </c:spPr>
          <c:marker>
            <c:symbol val="none"/>
          </c:marker>
          <c:xVal>
            <c:numRef>
              <c:f>'Albero_2 (2)'!$W$59:$W$134</c:f>
              <c:numCache>
                <c:formatCode>General</c:formatCode>
                <c:ptCount val="76"/>
                <c:pt idx="0">
                  <c:v>-26</c:v>
                </c:pt>
                <c:pt idx="1">
                  <c:v>-24</c:v>
                </c:pt>
                <c:pt idx="2">
                  <c:v>-22</c:v>
                </c:pt>
                <c:pt idx="3">
                  <c:v>-20</c:v>
                </c:pt>
                <c:pt idx="4">
                  <c:v>-18</c:v>
                </c:pt>
                <c:pt idx="5">
                  <c:v>-16</c:v>
                </c:pt>
                <c:pt idx="6">
                  <c:v>-14</c:v>
                </c:pt>
                <c:pt idx="7">
                  <c:v>-12</c:v>
                </c:pt>
                <c:pt idx="8">
                  <c:v>-10</c:v>
                </c:pt>
                <c:pt idx="9">
                  <c:v>-8</c:v>
                </c:pt>
                <c:pt idx="10">
                  <c:v>-6</c:v>
                </c:pt>
                <c:pt idx="11">
                  <c:v>-4</c:v>
                </c:pt>
                <c:pt idx="12">
                  <c:v>-2</c:v>
                </c:pt>
                <c:pt idx="13">
                  <c:v>0</c:v>
                </c:pt>
                <c:pt idx="14">
                  <c:v>2</c:v>
                </c:pt>
                <c:pt idx="15">
                  <c:v>4</c:v>
                </c:pt>
                <c:pt idx="16">
                  <c:v>6</c:v>
                </c:pt>
                <c:pt idx="17">
                  <c:v>8</c:v>
                </c:pt>
                <c:pt idx="18">
                  <c:v>10</c:v>
                </c:pt>
                <c:pt idx="19">
                  <c:v>12</c:v>
                </c:pt>
                <c:pt idx="20">
                  <c:v>14</c:v>
                </c:pt>
                <c:pt idx="21">
                  <c:v>16</c:v>
                </c:pt>
                <c:pt idx="22">
                  <c:v>18</c:v>
                </c:pt>
                <c:pt idx="23">
                  <c:v>20</c:v>
                </c:pt>
                <c:pt idx="24">
                  <c:v>22</c:v>
                </c:pt>
                <c:pt idx="25">
                  <c:v>24</c:v>
                </c:pt>
                <c:pt idx="26">
                  <c:v>26</c:v>
                </c:pt>
                <c:pt idx="27">
                  <c:v>28</c:v>
                </c:pt>
                <c:pt idx="28">
                  <c:v>30</c:v>
                </c:pt>
                <c:pt idx="29">
                  <c:v>32</c:v>
                </c:pt>
                <c:pt idx="30">
                  <c:v>34</c:v>
                </c:pt>
                <c:pt idx="31">
                  <c:v>36</c:v>
                </c:pt>
                <c:pt idx="32">
                  <c:v>38</c:v>
                </c:pt>
                <c:pt idx="33">
                  <c:v>40</c:v>
                </c:pt>
                <c:pt idx="34">
                  <c:v>42</c:v>
                </c:pt>
                <c:pt idx="35">
                  <c:v>44</c:v>
                </c:pt>
                <c:pt idx="36">
                  <c:v>46</c:v>
                </c:pt>
                <c:pt idx="37">
                  <c:v>48</c:v>
                </c:pt>
                <c:pt idx="38">
                  <c:v>50</c:v>
                </c:pt>
                <c:pt idx="39">
                  <c:v>52</c:v>
                </c:pt>
                <c:pt idx="40">
                  <c:v>54</c:v>
                </c:pt>
                <c:pt idx="41">
                  <c:v>56</c:v>
                </c:pt>
                <c:pt idx="42">
                  <c:v>58</c:v>
                </c:pt>
                <c:pt idx="43">
                  <c:v>60</c:v>
                </c:pt>
                <c:pt idx="44">
                  <c:v>62</c:v>
                </c:pt>
                <c:pt idx="45">
                  <c:v>64</c:v>
                </c:pt>
                <c:pt idx="46">
                  <c:v>66</c:v>
                </c:pt>
                <c:pt idx="47">
                  <c:v>68</c:v>
                </c:pt>
                <c:pt idx="48">
                  <c:v>70</c:v>
                </c:pt>
                <c:pt idx="49">
                  <c:v>72</c:v>
                </c:pt>
                <c:pt idx="50">
                  <c:v>73</c:v>
                </c:pt>
                <c:pt idx="51">
                  <c:v>74</c:v>
                </c:pt>
                <c:pt idx="52">
                  <c:v>76</c:v>
                </c:pt>
                <c:pt idx="53">
                  <c:v>78</c:v>
                </c:pt>
                <c:pt idx="54">
                  <c:v>80</c:v>
                </c:pt>
                <c:pt idx="55">
                  <c:v>82</c:v>
                </c:pt>
                <c:pt idx="56">
                  <c:v>84</c:v>
                </c:pt>
                <c:pt idx="57">
                  <c:v>86</c:v>
                </c:pt>
                <c:pt idx="58">
                  <c:v>88</c:v>
                </c:pt>
                <c:pt idx="59">
                  <c:v>90</c:v>
                </c:pt>
                <c:pt idx="60">
                  <c:v>91</c:v>
                </c:pt>
                <c:pt idx="61">
                  <c:v>92</c:v>
                </c:pt>
                <c:pt idx="62">
                  <c:v>94</c:v>
                </c:pt>
                <c:pt idx="63">
                  <c:v>96</c:v>
                </c:pt>
                <c:pt idx="64">
                  <c:v>97</c:v>
                </c:pt>
                <c:pt idx="65">
                  <c:v>98</c:v>
                </c:pt>
                <c:pt idx="66">
                  <c:v>100</c:v>
                </c:pt>
                <c:pt idx="67">
                  <c:v>102</c:v>
                </c:pt>
                <c:pt idx="68">
                  <c:v>104</c:v>
                </c:pt>
                <c:pt idx="69">
                  <c:v>106</c:v>
                </c:pt>
                <c:pt idx="70">
                  <c:v>108</c:v>
                </c:pt>
                <c:pt idx="71">
                  <c:v>109</c:v>
                </c:pt>
                <c:pt idx="72">
                  <c:v>110</c:v>
                </c:pt>
                <c:pt idx="73">
                  <c:v>111</c:v>
                </c:pt>
                <c:pt idx="74">
                  <c:v>112</c:v>
                </c:pt>
                <c:pt idx="75">
                  <c:v>113</c:v>
                </c:pt>
              </c:numCache>
            </c:numRef>
          </c:xVal>
          <c:yVal>
            <c:numRef>
              <c:f>'Albero_2 (2)'!$AC$59:$AC$134</c:f>
              <c:numCache>
                <c:formatCode>General</c:formatCode>
                <c:ptCount val="76"/>
                <c:pt idx="0">
                  <c:v>2.3037643283364273E-2</c:v>
                </c:pt>
                <c:pt idx="1">
                  <c:v>2.1265516876951635E-2</c:v>
                </c:pt>
                <c:pt idx="2">
                  <c:v>1.9493390470538999E-2</c:v>
                </c:pt>
                <c:pt idx="3">
                  <c:v>1.7721264064126364E-2</c:v>
                </c:pt>
                <c:pt idx="4">
                  <c:v>1.5949137657713726E-2</c:v>
                </c:pt>
                <c:pt idx="5">
                  <c:v>1.4177011251301091E-2</c:v>
                </c:pt>
                <c:pt idx="6">
                  <c:v>1.2404884844888454E-2</c:v>
                </c:pt>
                <c:pt idx="7">
                  <c:v>1.0632758438475817E-2</c:v>
                </c:pt>
                <c:pt idx="8">
                  <c:v>8.8606320320631822E-3</c:v>
                </c:pt>
                <c:pt idx="9">
                  <c:v>7.0885056256505454E-3</c:v>
                </c:pt>
                <c:pt idx="10">
                  <c:v>5.3163792192379086E-3</c:v>
                </c:pt>
                <c:pt idx="11">
                  <c:v>3.5442528128252727E-3</c:v>
                </c:pt>
                <c:pt idx="12">
                  <c:v>1.7721264064126364E-3</c:v>
                </c:pt>
                <c:pt idx="13">
                  <c:v>0</c:v>
                </c:pt>
                <c:pt idx="14">
                  <c:v>-1.7715450477949336E-3</c:v>
                </c:pt>
                <c:pt idx="15">
                  <c:v>-3.5396019438836504E-3</c:v>
                </c:pt>
                <c:pt idx="16">
                  <c:v>-5.3006825365599329E-3</c:v>
                </c:pt>
                <c:pt idx="17">
                  <c:v>-7.051298674117564E-3</c:v>
                </c:pt>
                <c:pt idx="18">
                  <c:v>-8.7879622048503275E-3</c:v>
                </c:pt>
                <c:pt idx="19">
                  <c:v>-1.0507184977052006E-2</c:v>
                </c:pt>
                <c:pt idx="20">
                  <c:v>-1.2205478839016385E-2</c:v>
                </c:pt>
                <c:pt idx="21">
                  <c:v>-1.3879355639037244E-2</c:v>
                </c:pt>
                <c:pt idx="22">
                  <c:v>-1.5525327225408369E-2</c:v>
                </c:pt>
                <c:pt idx="23">
                  <c:v>-1.7139905446423537E-2</c:v>
                </c:pt>
                <c:pt idx="24">
                  <c:v>-1.8719602150376536E-2</c:v>
                </c:pt>
                <c:pt idx="25">
                  <c:v>-2.0260929185561154E-2</c:v>
                </c:pt>
                <c:pt idx="26">
                  <c:v>-2.1760398400271167E-2</c:v>
                </c:pt>
                <c:pt idx="27">
                  <c:v>-2.3214521642800356E-2</c:v>
                </c:pt>
                <c:pt idx="28">
                  <c:v>-2.4619810761442509E-2</c:v>
                </c:pt>
                <c:pt idx="29">
                  <c:v>-2.5972777604491411E-2</c:v>
                </c:pt>
                <c:pt idx="30">
                  <c:v>-2.7269934020240839E-2</c:v>
                </c:pt>
                <c:pt idx="31">
                  <c:v>-2.8507791856984582E-2</c:v>
                </c:pt>
                <c:pt idx="32">
                  <c:v>-2.9682862963016407E-2</c:v>
                </c:pt>
                <c:pt idx="33">
                  <c:v>-3.079165918663013E-2</c:v>
                </c:pt>
                <c:pt idx="34">
                  <c:v>-3.1830692376119504E-2</c:v>
                </c:pt>
                <c:pt idx="35">
                  <c:v>-3.2796474379778312E-2</c:v>
                </c:pt>
                <c:pt idx="36">
                  <c:v>-3.3685517045900358E-2</c:v>
                </c:pt>
                <c:pt idx="37">
                  <c:v>-3.4494332222779422E-2</c:v>
                </c:pt>
                <c:pt idx="38">
                  <c:v>-3.5219431758709265E-2</c:v>
                </c:pt>
                <c:pt idx="39">
                  <c:v>-3.5857327501983692E-2</c:v>
                </c:pt>
                <c:pt idx="40">
                  <c:v>-3.6404531300896478E-2</c:v>
                </c:pt>
                <c:pt idx="41">
                  <c:v>-3.6857555003741403E-2</c:v>
                </c:pt>
                <c:pt idx="42">
                  <c:v>-3.7212910458812254E-2</c:v>
                </c:pt>
                <c:pt idx="43">
                  <c:v>-3.7467109514402817E-2</c:v>
                </c:pt>
                <c:pt idx="44">
                  <c:v>-3.7616664018806867E-2</c:v>
                </c:pt>
                <c:pt idx="45">
                  <c:v>-3.7658085820318189E-2</c:v>
                </c:pt>
                <c:pt idx="46">
                  <c:v>-3.7587886767230579E-2</c:v>
                </c:pt>
                <c:pt idx="47">
                  <c:v>-3.7402578707837801E-2</c:v>
                </c:pt>
                <c:pt idx="48">
                  <c:v>-3.7098673490433651E-2</c:v>
                </c:pt>
                <c:pt idx="49">
                  <c:v>-3.6672682963311914E-2</c:v>
                </c:pt>
                <c:pt idx="50">
                  <c:v>-3.6412815661198736E-2</c:v>
                </c:pt>
                <c:pt idx="51">
                  <c:v>-3.6121118974766345E-2</c:v>
                </c:pt>
                <c:pt idx="52">
                  <c:v>-3.5440493373090763E-2</c:v>
                </c:pt>
                <c:pt idx="53">
                  <c:v>-3.4627318006578936E-2</c:v>
                </c:pt>
                <c:pt idx="54">
                  <c:v>-3.367810472352465E-2</c:v>
                </c:pt>
                <c:pt idx="55">
                  <c:v>-3.2589365372221686E-2</c:v>
                </c:pt>
                <c:pt idx="56">
                  <c:v>-3.1357611800963824E-2</c:v>
                </c:pt>
                <c:pt idx="57">
                  <c:v>-2.9979355858044857E-2</c:v>
                </c:pt>
                <c:pt idx="58">
                  <c:v>-2.8451109391758541E-2</c:v>
                </c:pt>
                <c:pt idx="59">
                  <c:v>-2.6769726404168498E-2</c:v>
                </c:pt>
                <c:pt idx="60">
                  <c:v>-2.587261435931636E-2</c:v>
                </c:pt>
                <c:pt idx="61">
                  <c:v>-2.4939930434043533E-2</c:v>
                </c:pt>
                <c:pt idx="62">
                  <c:v>-2.2974314556857736E-2</c:v>
                </c:pt>
                <c:pt idx="63">
                  <c:v>-2.0885814001855008E-2</c:v>
                </c:pt>
                <c:pt idx="64">
                  <c:v>-1.9799524229311014E-2</c:v>
                </c:pt>
                <c:pt idx="65">
                  <c:v>-1.8687363998279239E-2</c:v>
                </c:pt>
                <c:pt idx="66">
                  <c:v>-1.6391899775374304E-2</c:v>
                </c:pt>
                <c:pt idx="67">
                  <c:v>-1.4012356562384101E-2</c:v>
                </c:pt>
                <c:pt idx="68">
                  <c:v>-1.1561669588552514E-2</c:v>
                </c:pt>
                <c:pt idx="69">
                  <c:v>-9.052774083123433E-3</c:v>
                </c:pt>
                <c:pt idx="70">
                  <c:v>-6.4986052753407434E-3</c:v>
                </c:pt>
                <c:pt idx="71">
                  <c:v>-5.2085856422055101E-3</c:v>
                </c:pt>
                <c:pt idx="72">
                  <c:v>-3.9120983944483335E-3</c:v>
                </c:pt>
                <c:pt idx="73">
                  <c:v>-2.6107604357246991E-3</c:v>
                </c:pt>
                <c:pt idx="74">
                  <c:v>-1.3061886696900925E-3</c:v>
                </c:pt>
                <c:pt idx="75">
                  <c:v>0</c:v>
                </c:pt>
              </c:numCache>
            </c:numRef>
          </c:yVal>
          <c:smooth val="0"/>
          <c:extLst>
            <c:ext xmlns:c16="http://schemas.microsoft.com/office/drawing/2014/chart" uri="{C3380CC4-5D6E-409C-BE32-E72D297353CC}">
              <c16:uniqueId val="{00000000-430E-46A0-8B99-FCD21EB1C2D4}"/>
            </c:ext>
          </c:extLst>
        </c:ser>
        <c:ser>
          <c:idx val="1"/>
          <c:order val="1"/>
          <c:tx>
            <c:strRef>
              <c:f>'Albero_2 (2)'!$AD$58</c:f>
              <c:strCache>
                <c:ptCount val="1"/>
                <c:pt idx="0">
                  <c:v>Ft_2</c:v>
                </c:pt>
              </c:strCache>
            </c:strRef>
          </c:tx>
          <c:spPr>
            <a:ln w="19050" cap="rnd">
              <a:solidFill>
                <a:schemeClr val="accent2"/>
              </a:solidFill>
              <a:round/>
            </a:ln>
            <a:effectLst/>
          </c:spPr>
          <c:marker>
            <c:symbol val="none"/>
          </c:marker>
          <c:xVal>
            <c:numRef>
              <c:f>'Albero_2 (2)'!$W$59:$W$134</c:f>
              <c:numCache>
                <c:formatCode>General</c:formatCode>
                <c:ptCount val="76"/>
                <c:pt idx="0">
                  <c:v>-26</c:v>
                </c:pt>
                <c:pt idx="1">
                  <c:v>-24</c:v>
                </c:pt>
                <c:pt idx="2">
                  <c:v>-22</c:v>
                </c:pt>
                <c:pt idx="3">
                  <c:v>-20</c:v>
                </c:pt>
                <c:pt idx="4">
                  <c:v>-18</c:v>
                </c:pt>
                <c:pt idx="5">
                  <c:v>-16</c:v>
                </c:pt>
                <c:pt idx="6">
                  <c:v>-14</c:v>
                </c:pt>
                <c:pt idx="7">
                  <c:v>-12</c:v>
                </c:pt>
                <c:pt idx="8">
                  <c:v>-10</c:v>
                </c:pt>
                <c:pt idx="9">
                  <c:v>-8</c:v>
                </c:pt>
                <c:pt idx="10">
                  <c:v>-6</c:v>
                </c:pt>
                <c:pt idx="11">
                  <c:v>-4</c:v>
                </c:pt>
                <c:pt idx="12">
                  <c:v>-2</c:v>
                </c:pt>
                <c:pt idx="13">
                  <c:v>0</c:v>
                </c:pt>
                <c:pt idx="14">
                  <c:v>2</c:v>
                </c:pt>
                <c:pt idx="15">
                  <c:v>4</c:v>
                </c:pt>
                <c:pt idx="16">
                  <c:v>6</c:v>
                </c:pt>
                <c:pt idx="17">
                  <c:v>8</c:v>
                </c:pt>
                <c:pt idx="18">
                  <c:v>10</c:v>
                </c:pt>
                <c:pt idx="19">
                  <c:v>12</c:v>
                </c:pt>
                <c:pt idx="20">
                  <c:v>14</c:v>
                </c:pt>
                <c:pt idx="21">
                  <c:v>16</c:v>
                </c:pt>
                <c:pt idx="22">
                  <c:v>18</c:v>
                </c:pt>
                <c:pt idx="23">
                  <c:v>20</c:v>
                </c:pt>
                <c:pt idx="24">
                  <c:v>22</c:v>
                </c:pt>
                <c:pt idx="25">
                  <c:v>24</c:v>
                </c:pt>
                <c:pt idx="26">
                  <c:v>26</c:v>
                </c:pt>
                <c:pt idx="27">
                  <c:v>28</c:v>
                </c:pt>
                <c:pt idx="28">
                  <c:v>30</c:v>
                </c:pt>
                <c:pt idx="29">
                  <c:v>32</c:v>
                </c:pt>
                <c:pt idx="30">
                  <c:v>34</c:v>
                </c:pt>
                <c:pt idx="31">
                  <c:v>36</c:v>
                </c:pt>
                <c:pt idx="32">
                  <c:v>38</c:v>
                </c:pt>
                <c:pt idx="33">
                  <c:v>40</c:v>
                </c:pt>
                <c:pt idx="34">
                  <c:v>42</c:v>
                </c:pt>
                <c:pt idx="35">
                  <c:v>44</c:v>
                </c:pt>
                <c:pt idx="36">
                  <c:v>46</c:v>
                </c:pt>
                <c:pt idx="37">
                  <c:v>48</c:v>
                </c:pt>
                <c:pt idx="38">
                  <c:v>50</c:v>
                </c:pt>
                <c:pt idx="39">
                  <c:v>52</c:v>
                </c:pt>
                <c:pt idx="40">
                  <c:v>54</c:v>
                </c:pt>
                <c:pt idx="41">
                  <c:v>56</c:v>
                </c:pt>
                <c:pt idx="42">
                  <c:v>58</c:v>
                </c:pt>
                <c:pt idx="43">
                  <c:v>60</c:v>
                </c:pt>
                <c:pt idx="44">
                  <c:v>62</c:v>
                </c:pt>
                <c:pt idx="45">
                  <c:v>64</c:v>
                </c:pt>
                <c:pt idx="46">
                  <c:v>66</c:v>
                </c:pt>
                <c:pt idx="47">
                  <c:v>68</c:v>
                </c:pt>
                <c:pt idx="48">
                  <c:v>70</c:v>
                </c:pt>
                <c:pt idx="49">
                  <c:v>72</c:v>
                </c:pt>
                <c:pt idx="50">
                  <c:v>73</c:v>
                </c:pt>
                <c:pt idx="51">
                  <c:v>74</c:v>
                </c:pt>
                <c:pt idx="52">
                  <c:v>76</c:v>
                </c:pt>
                <c:pt idx="53">
                  <c:v>78</c:v>
                </c:pt>
                <c:pt idx="54">
                  <c:v>80</c:v>
                </c:pt>
                <c:pt idx="55">
                  <c:v>82</c:v>
                </c:pt>
                <c:pt idx="56">
                  <c:v>84</c:v>
                </c:pt>
                <c:pt idx="57">
                  <c:v>86</c:v>
                </c:pt>
                <c:pt idx="58">
                  <c:v>88</c:v>
                </c:pt>
                <c:pt idx="59">
                  <c:v>90</c:v>
                </c:pt>
                <c:pt idx="60">
                  <c:v>91</c:v>
                </c:pt>
                <c:pt idx="61">
                  <c:v>92</c:v>
                </c:pt>
                <c:pt idx="62">
                  <c:v>94</c:v>
                </c:pt>
                <c:pt idx="63">
                  <c:v>96</c:v>
                </c:pt>
                <c:pt idx="64">
                  <c:v>97</c:v>
                </c:pt>
                <c:pt idx="65">
                  <c:v>98</c:v>
                </c:pt>
                <c:pt idx="66">
                  <c:v>100</c:v>
                </c:pt>
                <c:pt idx="67">
                  <c:v>102</c:v>
                </c:pt>
                <c:pt idx="68">
                  <c:v>104</c:v>
                </c:pt>
                <c:pt idx="69">
                  <c:v>106</c:v>
                </c:pt>
                <c:pt idx="70">
                  <c:v>108</c:v>
                </c:pt>
                <c:pt idx="71">
                  <c:v>109</c:v>
                </c:pt>
                <c:pt idx="72">
                  <c:v>110</c:v>
                </c:pt>
                <c:pt idx="73">
                  <c:v>111</c:v>
                </c:pt>
                <c:pt idx="74">
                  <c:v>112</c:v>
                </c:pt>
                <c:pt idx="75">
                  <c:v>113</c:v>
                </c:pt>
              </c:numCache>
            </c:numRef>
          </c:xVal>
          <c:yVal>
            <c:numRef>
              <c:f>'Albero_2 (2)'!$AD$59:$AD$134</c:f>
              <c:numCache>
                <c:formatCode>General</c:formatCode>
                <c:ptCount val="76"/>
                <c:pt idx="0">
                  <c:v>-4.773925184983761E-3</c:v>
                </c:pt>
                <c:pt idx="1">
                  <c:v>-4.5371947088403575E-3</c:v>
                </c:pt>
                <c:pt idx="2">
                  <c:v>-4.260312067131994E-3</c:v>
                </c:pt>
                <c:pt idx="3">
                  <c:v>-3.9482962805542929E-3</c:v>
                </c:pt>
                <c:pt idx="4">
                  <c:v>-3.6061663698028724E-3</c:v>
                </c:pt>
                <c:pt idx="5">
                  <c:v>-3.2389413555733524E-3</c:v>
                </c:pt>
                <c:pt idx="6">
                  <c:v>-2.8516402585613528E-3</c:v>
                </c:pt>
                <c:pt idx="7">
                  <c:v>-2.4492820994624939E-3</c:v>
                </c:pt>
                <c:pt idx="8">
                  <c:v>-2.0368858989723948E-3</c:v>
                </c:pt>
                <c:pt idx="9">
                  <c:v>-1.6194706777866762E-3</c:v>
                </c:pt>
                <c:pt idx="10">
                  <c:v>-1.2020554566009576E-3</c:v>
                </c:pt>
                <c:pt idx="11">
                  <c:v>-7.896592561108586E-4</c:v>
                </c:pt>
                <c:pt idx="12">
                  <c:v>-3.8730109701199951E-4</c:v>
                </c:pt>
                <c:pt idx="13">
                  <c:v>0</c:v>
                </c:pt>
                <c:pt idx="14">
                  <c:v>5.57111297213805E-4</c:v>
                </c:pt>
                <c:pt idx="15">
                  <c:v>1.0941465116451304E-3</c:v>
                </c:pt>
                <c:pt idx="16">
                  <c:v>1.6111056432939765E-3</c:v>
                </c:pt>
                <c:pt idx="17">
                  <c:v>2.1079886921603432E-3</c:v>
                </c:pt>
                <c:pt idx="18">
                  <c:v>2.5847956582442304E-3</c:v>
                </c:pt>
                <c:pt idx="19">
                  <c:v>3.0415265415456383E-3</c:v>
                </c:pt>
                <c:pt idx="20">
                  <c:v>3.4781813420645658E-3</c:v>
                </c:pt>
                <c:pt idx="21">
                  <c:v>3.894760059801015E-3</c:v>
                </c:pt>
                <c:pt idx="22">
                  <c:v>4.2912626947549841E-3</c:v>
                </c:pt>
                <c:pt idx="23">
                  <c:v>4.6676892469264741E-3</c:v>
                </c:pt>
                <c:pt idx="24">
                  <c:v>5.0240397163154845E-3</c:v>
                </c:pt>
                <c:pt idx="25">
                  <c:v>5.3603141029220161E-3</c:v>
                </c:pt>
                <c:pt idx="26">
                  <c:v>5.6765124067460664E-3</c:v>
                </c:pt>
                <c:pt idx="27">
                  <c:v>5.9726346277876388E-3</c:v>
                </c:pt>
                <c:pt idx="28">
                  <c:v>6.2486807660467316E-3</c:v>
                </c:pt>
                <c:pt idx="29">
                  <c:v>6.5046508215233449E-3</c:v>
                </c:pt>
                <c:pt idx="30">
                  <c:v>6.7405447942174776E-3</c:v>
                </c:pt>
                <c:pt idx="31">
                  <c:v>6.9563626841291325E-3</c:v>
                </c:pt>
                <c:pt idx="32">
                  <c:v>7.1521044912583069E-3</c:v>
                </c:pt>
                <c:pt idx="33">
                  <c:v>7.3277702156050017E-3</c:v>
                </c:pt>
                <c:pt idx="34">
                  <c:v>7.4833598571692186E-3</c:v>
                </c:pt>
                <c:pt idx="35">
                  <c:v>7.6188734159509542E-3</c:v>
                </c:pt>
                <c:pt idx="36">
                  <c:v>7.7343108919502111E-3</c:v>
                </c:pt>
                <c:pt idx="37">
                  <c:v>7.82967228516699E-3</c:v>
                </c:pt>
                <c:pt idx="38">
                  <c:v>7.904957595601286E-3</c:v>
                </c:pt>
                <c:pt idx="39">
                  <c:v>7.9601668232531057E-3</c:v>
                </c:pt>
                <c:pt idx="40">
                  <c:v>7.9952999681224442E-3</c:v>
                </c:pt>
                <c:pt idx="41">
                  <c:v>8.010357030209303E-3</c:v>
                </c:pt>
                <c:pt idx="42">
                  <c:v>8.005338009513684E-3</c:v>
                </c:pt>
                <c:pt idx="43">
                  <c:v>7.9802429060355853E-3</c:v>
                </c:pt>
                <c:pt idx="44">
                  <c:v>7.9350717197750054E-3</c:v>
                </c:pt>
                <c:pt idx="45">
                  <c:v>7.8698244507319475E-3</c:v>
                </c:pt>
                <c:pt idx="46">
                  <c:v>7.7845010989064101E-3</c:v>
                </c:pt>
                <c:pt idx="47">
                  <c:v>7.6791016642983921E-3</c:v>
                </c:pt>
                <c:pt idx="48">
                  <c:v>7.5536261469078964E-3</c:v>
                </c:pt>
                <c:pt idx="49">
                  <c:v>7.4080745467349201E-3</c:v>
                </c:pt>
                <c:pt idx="50">
                  <c:v>7.3277702156050025E-3</c:v>
                </c:pt>
                <c:pt idx="51">
                  <c:v>7.2424468637794642E-3</c:v>
                </c:pt>
                <c:pt idx="52">
                  <c:v>7.0567430980415296E-3</c:v>
                </c:pt>
                <c:pt idx="53">
                  <c:v>6.8509632495211154E-3</c:v>
                </c:pt>
                <c:pt idx="54">
                  <c:v>6.6251073182182207E-3</c:v>
                </c:pt>
                <c:pt idx="55">
                  <c:v>6.3791753041328482E-3</c:v>
                </c:pt>
                <c:pt idx="56">
                  <c:v>6.1131672072649952E-3</c:v>
                </c:pt>
                <c:pt idx="57">
                  <c:v>5.8270830276146626E-3</c:v>
                </c:pt>
                <c:pt idx="58">
                  <c:v>5.5209227651818512E-3</c:v>
                </c:pt>
                <c:pt idx="59">
                  <c:v>5.1946864199665602E-3</c:v>
                </c:pt>
                <c:pt idx="60">
                  <c:v>5.0240397163154845E-3</c:v>
                </c:pt>
                <c:pt idx="61">
                  <c:v>4.8483739919687888E-3</c:v>
                </c:pt>
                <c:pt idx="62">
                  <c:v>4.4819854811885395E-3</c:v>
                </c:pt>
                <c:pt idx="63">
                  <c:v>4.0955208876258097E-3</c:v>
                </c:pt>
                <c:pt idx="64">
                  <c:v>3.894760059801015E-3</c:v>
                </c:pt>
                <c:pt idx="65">
                  <c:v>3.6889802112806003E-3</c:v>
                </c:pt>
                <c:pt idx="66">
                  <c:v>3.2623634521529118E-3</c:v>
                </c:pt>
                <c:pt idx="67">
                  <c:v>2.8156706102427441E-3</c:v>
                </c:pt>
                <c:pt idx="68">
                  <c:v>2.3489016855500968E-3</c:v>
                </c:pt>
                <c:pt idx="69">
                  <c:v>1.8620566780749696E-3</c:v>
                </c:pt>
                <c:pt idx="70">
                  <c:v>1.3551355878173635E-3</c:v>
                </c:pt>
                <c:pt idx="71">
                  <c:v>1.0941465116451304E-3</c:v>
                </c:pt>
                <c:pt idx="72">
                  <c:v>8.2813841477727759E-4</c:v>
                </c:pt>
                <c:pt idx="73">
                  <c:v>5.57111297213805E-4</c:v>
                </c:pt>
                <c:pt idx="74">
                  <c:v>2.810651589547124E-4</c:v>
                </c:pt>
                <c:pt idx="75">
                  <c:v>0</c:v>
                </c:pt>
              </c:numCache>
            </c:numRef>
          </c:yVal>
          <c:smooth val="0"/>
          <c:extLst>
            <c:ext xmlns:c16="http://schemas.microsoft.com/office/drawing/2014/chart" uri="{C3380CC4-5D6E-409C-BE32-E72D297353CC}">
              <c16:uniqueId val="{00000001-430E-46A0-8B99-FCD21EB1C2D4}"/>
            </c:ext>
          </c:extLst>
        </c:ser>
        <c:ser>
          <c:idx val="2"/>
          <c:order val="2"/>
          <c:tx>
            <c:strRef>
              <c:f>'Albero_2 (2)'!$AE$58</c:f>
              <c:strCache>
                <c:ptCount val="1"/>
                <c:pt idx="0">
                  <c:v>Sum z</c:v>
                </c:pt>
              </c:strCache>
            </c:strRef>
          </c:tx>
          <c:spPr>
            <a:ln w="19050" cap="rnd">
              <a:solidFill>
                <a:schemeClr val="accent3"/>
              </a:solidFill>
              <a:round/>
            </a:ln>
            <a:effectLst/>
          </c:spPr>
          <c:marker>
            <c:symbol val="none"/>
          </c:marker>
          <c:xVal>
            <c:numRef>
              <c:f>'Albero_2 (2)'!$W$59:$W$134</c:f>
              <c:numCache>
                <c:formatCode>General</c:formatCode>
                <c:ptCount val="76"/>
                <c:pt idx="0">
                  <c:v>-26</c:v>
                </c:pt>
                <c:pt idx="1">
                  <c:v>-24</c:v>
                </c:pt>
                <c:pt idx="2">
                  <c:v>-22</c:v>
                </c:pt>
                <c:pt idx="3">
                  <c:v>-20</c:v>
                </c:pt>
                <c:pt idx="4">
                  <c:v>-18</c:v>
                </c:pt>
                <c:pt idx="5">
                  <c:v>-16</c:v>
                </c:pt>
                <c:pt idx="6">
                  <c:v>-14</c:v>
                </c:pt>
                <c:pt idx="7">
                  <c:v>-12</c:v>
                </c:pt>
                <c:pt idx="8">
                  <c:v>-10</c:v>
                </c:pt>
                <c:pt idx="9">
                  <c:v>-8</c:v>
                </c:pt>
                <c:pt idx="10">
                  <c:v>-6</c:v>
                </c:pt>
                <c:pt idx="11">
                  <c:v>-4</c:v>
                </c:pt>
                <c:pt idx="12">
                  <c:v>-2</c:v>
                </c:pt>
                <c:pt idx="13">
                  <c:v>0</c:v>
                </c:pt>
                <c:pt idx="14">
                  <c:v>2</c:v>
                </c:pt>
                <c:pt idx="15">
                  <c:v>4</c:v>
                </c:pt>
                <c:pt idx="16">
                  <c:v>6</c:v>
                </c:pt>
                <c:pt idx="17">
                  <c:v>8</c:v>
                </c:pt>
                <c:pt idx="18">
                  <c:v>10</c:v>
                </c:pt>
                <c:pt idx="19">
                  <c:v>12</c:v>
                </c:pt>
                <c:pt idx="20">
                  <c:v>14</c:v>
                </c:pt>
                <c:pt idx="21">
                  <c:v>16</c:v>
                </c:pt>
                <c:pt idx="22">
                  <c:v>18</c:v>
                </c:pt>
                <c:pt idx="23">
                  <c:v>20</c:v>
                </c:pt>
                <c:pt idx="24">
                  <c:v>22</c:v>
                </c:pt>
                <c:pt idx="25">
                  <c:v>24</c:v>
                </c:pt>
                <c:pt idx="26">
                  <c:v>26</c:v>
                </c:pt>
                <c:pt idx="27">
                  <c:v>28</c:v>
                </c:pt>
                <c:pt idx="28">
                  <c:v>30</c:v>
                </c:pt>
                <c:pt idx="29">
                  <c:v>32</c:v>
                </c:pt>
                <c:pt idx="30">
                  <c:v>34</c:v>
                </c:pt>
                <c:pt idx="31">
                  <c:v>36</c:v>
                </c:pt>
                <c:pt idx="32">
                  <c:v>38</c:v>
                </c:pt>
                <c:pt idx="33">
                  <c:v>40</c:v>
                </c:pt>
                <c:pt idx="34">
                  <c:v>42</c:v>
                </c:pt>
                <c:pt idx="35">
                  <c:v>44</c:v>
                </c:pt>
                <c:pt idx="36">
                  <c:v>46</c:v>
                </c:pt>
                <c:pt idx="37">
                  <c:v>48</c:v>
                </c:pt>
                <c:pt idx="38">
                  <c:v>50</c:v>
                </c:pt>
                <c:pt idx="39">
                  <c:v>52</c:v>
                </c:pt>
                <c:pt idx="40">
                  <c:v>54</c:v>
                </c:pt>
                <c:pt idx="41">
                  <c:v>56</c:v>
                </c:pt>
                <c:pt idx="42">
                  <c:v>58</c:v>
                </c:pt>
                <c:pt idx="43">
                  <c:v>60</c:v>
                </c:pt>
                <c:pt idx="44">
                  <c:v>62</c:v>
                </c:pt>
                <c:pt idx="45">
                  <c:v>64</c:v>
                </c:pt>
                <c:pt idx="46">
                  <c:v>66</c:v>
                </c:pt>
                <c:pt idx="47">
                  <c:v>68</c:v>
                </c:pt>
                <c:pt idx="48">
                  <c:v>70</c:v>
                </c:pt>
                <c:pt idx="49">
                  <c:v>72</c:v>
                </c:pt>
                <c:pt idx="50">
                  <c:v>73</c:v>
                </c:pt>
                <c:pt idx="51">
                  <c:v>74</c:v>
                </c:pt>
                <c:pt idx="52">
                  <c:v>76</c:v>
                </c:pt>
                <c:pt idx="53">
                  <c:v>78</c:v>
                </c:pt>
                <c:pt idx="54">
                  <c:v>80</c:v>
                </c:pt>
                <c:pt idx="55">
                  <c:v>82</c:v>
                </c:pt>
                <c:pt idx="56">
                  <c:v>84</c:v>
                </c:pt>
                <c:pt idx="57">
                  <c:v>86</c:v>
                </c:pt>
                <c:pt idx="58">
                  <c:v>88</c:v>
                </c:pt>
                <c:pt idx="59">
                  <c:v>90</c:v>
                </c:pt>
                <c:pt idx="60">
                  <c:v>91</c:v>
                </c:pt>
                <c:pt idx="61">
                  <c:v>92</c:v>
                </c:pt>
                <c:pt idx="62">
                  <c:v>94</c:v>
                </c:pt>
                <c:pt idx="63">
                  <c:v>96</c:v>
                </c:pt>
                <c:pt idx="64">
                  <c:v>97</c:v>
                </c:pt>
                <c:pt idx="65">
                  <c:v>98</c:v>
                </c:pt>
                <c:pt idx="66">
                  <c:v>100</c:v>
                </c:pt>
                <c:pt idx="67">
                  <c:v>102</c:v>
                </c:pt>
                <c:pt idx="68">
                  <c:v>104</c:v>
                </c:pt>
                <c:pt idx="69">
                  <c:v>106</c:v>
                </c:pt>
                <c:pt idx="70">
                  <c:v>108</c:v>
                </c:pt>
                <c:pt idx="71">
                  <c:v>109</c:v>
                </c:pt>
                <c:pt idx="72">
                  <c:v>110</c:v>
                </c:pt>
                <c:pt idx="73">
                  <c:v>111</c:v>
                </c:pt>
                <c:pt idx="74">
                  <c:v>112</c:v>
                </c:pt>
                <c:pt idx="75">
                  <c:v>113</c:v>
                </c:pt>
              </c:numCache>
            </c:numRef>
          </c:xVal>
          <c:yVal>
            <c:numRef>
              <c:f>'Albero_2 (2)'!$AE$59:$AE$134</c:f>
              <c:numCache>
                <c:formatCode>General</c:formatCode>
                <c:ptCount val="76"/>
                <c:pt idx="0">
                  <c:v>1.826371809838051E-2</c:v>
                </c:pt>
                <c:pt idx="1">
                  <c:v>1.6728322168111279E-2</c:v>
                </c:pt>
                <c:pt idx="2">
                  <c:v>1.5233078403407006E-2</c:v>
                </c:pt>
                <c:pt idx="3">
                  <c:v>1.3772967783572072E-2</c:v>
                </c:pt>
                <c:pt idx="4">
                  <c:v>1.2342971287910853E-2</c:v>
                </c:pt>
                <c:pt idx="5">
                  <c:v>1.0938069895727738E-2</c:v>
                </c:pt>
                <c:pt idx="6">
                  <c:v>9.5532445863271004E-3</c:v>
                </c:pt>
                <c:pt idx="7">
                  <c:v>8.1834763390133229E-3</c:v>
                </c:pt>
                <c:pt idx="8">
                  <c:v>6.823746133090787E-3</c:v>
                </c:pt>
                <c:pt idx="9">
                  <c:v>5.4690349478638692E-3</c:v>
                </c:pt>
                <c:pt idx="10">
                  <c:v>4.1143237626369514E-3</c:v>
                </c:pt>
                <c:pt idx="11">
                  <c:v>2.7545935567144142E-3</c:v>
                </c:pt>
                <c:pt idx="12">
                  <c:v>1.3848253094006367E-3</c:v>
                </c:pt>
                <c:pt idx="13">
                  <c:v>0</c:v>
                </c:pt>
                <c:pt idx="14">
                  <c:v>-1.2144337505811285E-3</c:v>
                </c:pt>
                <c:pt idx="15">
                  <c:v>-2.4454554322385202E-3</c:v>
                </c:pt>
                <c:pt idx="16">
                  <c:v>-3.6895768932659564E-3</c:v>
                </c:pt>
                <c:pt idx="17">
                  <c:v>-4.9433099819572203E-3</c:v>
                </c:pt>
                <c:pt idx="18">
                  <c:v>-6.2031665466060967E-3</c:v>
                </c:pt>
                <c:pt idx="19">
                  <c:v>-7.465658435506368E-3</c:v>
                </c:pt>
                <c:pt idx="20">
                  <c:v>-8.7272974969518184E-3</c:v>
                </c:pt>
                <c:pt idx="21">
                  <c:v>-9.984595579236229E-3</c:v>
                </c:pt>
                <c:pt idx="22">
                  <c:v>-1.1234064530653384E-2</c:v>
                </c:pt>
                <c:pt idx="23">
                  <c:v>-1.2472216199497062E-2</c:v>
                </c:pt>
                <c:pt idx="24">
                  <c:v>-1.3695562434061052E-2</c:v>
                </c:pt>
                <c:pt idx="25">
                  <c:v>-1.4900615082639138E-2</c:v>
                </c:pt>
                <c:pt idx="26">
                  <c:v>-1.6083885993525102E-2</c:v>
                </c:pt>
                <c:pt idx="27">
                  <c:v>-1.7241887015012718E-2</c:v>
                </c:pt>
                <c:pt idx="28">
                  <c:v>-1.8371129995395776E-2</c:v>
                </c:pt>
                <c:pt idx="29">
                  <c:v>-1.9468126782968068E-2</c:v>
                </c:pt>
                <c:pt idx="30">
                  <c:v>-2.0529389226023362E-2</c:v>
                </c:pt>
                <c:pt idx="31">
                  <c:v>-2.1551429172855449E-2</c:v>
                </c:pt>
                <c:pt idx="32">
                  <c:v>-2.2530758471758099E-2</c:v>
                </c:pt>
                <c:pt idx="33">
                  <c:v>-2.3463888971025131E-2</c:v>
                </c:pt>
                <c:pt idx="34">
                  <c:v>-2.4347332518950285E-2</c:v>
                </c:pt>
                <c:pt idx="35">
                  <c:v>-2.517760096382736E-2</c:v>
                </c:pt>
                <c:pt idx="36">
                  <c:v>-2.5951206153950149E-2</c:v>
                </c:pt>
                <c:pt idx="37">
                  <c:v>-2.6664659937612432E-2</c:v>
                </c:pt>
                <c:pt idx="38">
                  <c:v>-2.7314474163107977E-2</c:v>
                </c:pt>
                <c:pt idx="39">
                  <c:v>-2.7897160678730586E-2</c:v>
                </c:pt>
                <c:pt idx="40">
                  <c:v>-2.8409231332774034E-2</c:v>
                </c:pt>
                <c:pt idx="41">
                  <c:v>-2.88471979735321E-2</c:v>
                </c:pt>
                <c:pt idx="42">
                  <c:v>-2.9207572449298572E-2</c:v>
                </c:pt>
                <c:pt idx="43">
                  <c:v>-2.9486866608367232E-2</c:v>
                </c:pt>
                <c:pt idx="44">
                  <c:v>-2.9681592299031861E-2</c:v>
                </c:pt>
                <c:pt idx="45">
                  <c:v>-2.978826136958624E-2</c:v>
                </c:pt>
                <c:pt idx="46">
                  <c:v>-2.9803385668324169E-2</c:v>
                </c:pt>
                <c:pt idx="47">
                  <c:v>-2.972347704353941E-2</c:v>
                </c:pt>
                <c:pt idx="48">
                  <c:v>-2.9545047343525754E-2</c:v>
                </c:pt>
                <c:pt idx="49">
                  <c:v>-2.9264608416576993E-2</c:v>
                </c:pt>
                <c:pt idx="50">
                  <c:v>-2.9085045445593732E-2</c:v>
                </c:pt>
                <c:pt idx="51">
                  <c:v>-2.887867211098688E-2</c:v>
                </c:pt>
                <c:pt idx="52">
                  <c:v>-2.8383750275049233E-2</c:v>
                </c:pt>
                <c:pt idx="53">
                  <c:v>-2.7776354757057822E-2</c:v>
                </c:pt>
                <c:pt idx="54">
                  <c:v>-2.705299740530643E-2</c:v>
                </c:pt>
                <c:pt idx="55">
                  <c:v>-2.6210190068088838E-2</c:v>
                </c:pt>
                <c:pt idx="56">
                  <c:v>-2.5244444593698828E-2</c:v>
                </c:pt>
                <c:pt idx="57">
                  <c:v>-2.4152272830430192E-2</c:v>
                </c:pt>
                <c:pt idx="58">
                  <c:v>-2.2930186626576692E-2</c:v>
                </c:pt>
                <c:pt idx="59">
                  <c:v>-2.1575039984201939E-2</c:v>
                </c:pt>
                <c:pt idx="60">
                  <c:v>-2.0848574643000876E-2</c:v>
                </c:pt>
                <c:pt idx="61">
                  <c:v>-2.0091556442074745E-2</c:v>
                </c:pt>
                <c:pt idx="62">
                  <c:v>-1.8492329075669195E-2</c:v>
                </c:pt>
                <c:pt idx="63">
                  <c:v>-1.67902931142292E-2</c:v>
                </c:pt>
                <c:pt idx="64">
                  <c:v>-1.5904764169509998E-2</c:v>
                </c:pt>
                <c:pt idx="65">
                  <c:v>-1.4998383786998639E-2</c:v>
                </c:pt>
                <c:pt idx="66">
                  <c:v>-1.3129536323221393E-2</c:v>
                </c:pt>
                <c:pt idx="67">
                  <c:v>-1.1196685952141357E-2</c:v>
                </c:pt>
                <c:pt idx="68">
                  <c:v>-9.2127679030024178E-3</c:v>
                </c:pt>
                <c:pt idx="69">
                  <c:v>-7.1907174050484636E-3</c:v>
                </c:pt>
                <c:pt idx="70">
                  <c:v>-5.1434696875233797E-3</c:v>
                </c:pt>
                <c:pt idx="71">
                  <c:v>-4.1144391305603795E-3</c:v>
                </c:pt>
                <c:pt idx="72">
                  <c:v>-3.0839599796710559E-3</c:v>
                </c:pt>
                <c:pt idx="73">
                  <c:v>-2.053649138510894E-3</c:v>
                </c:pt>
                <c:pt idx="74">
                  <c:v>-1.0251235107353799E-3</c:v>
                </c:pt>
                <c:pt idx="75">
                  <c:v>0</c:v>
                </c:pt>
              </c:numCache>
            </c:numRef>
          </c:yVal>
          <c:smooth val="0"/>
          <c:extLst>
            <c:ext xmlns:c16="http://schemas.microsoft.com/office/drawing/2014/chart" uri="{C3380CC4-5D6E-409C-BE32-E72D297353CC}">
              <c16:uniqueId val="{00000002-430E-46A0-8B99-FCD21EB1C2D4}"/>
            </c:ext>
          </c:extLst>
        </c:ser>
        <c:dLbls>
          <c:showLegendKey val="0"/>
          <c:showVal val="0"/>
          <c:showCatName val="0"/>
          <c:showSerName val="0"/>
          <c:showPercent val="0"/>
          <c:showBubbleSize val="0"/>
        </c:dLbls>
        <c:axId val="2113799055"/>
        <c:axId val="2113809135"/>
      </c:scatterChart>
      <c:valAx>
        <c:axId val="21137990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113809135"/>
        <c:crosses val="autoZero"/>
        <c:crossBetween val="midCat"/>
      </c:valAx>
      <c:valAx>
        <c:axId val="2113809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1137990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13.png"/><Relationship Id="rId2" Type="http://schemas.openxmlformats.org/officeDocument/2006/relationships/image" Target="../media/image10.jpeg"/><Relationship Id="rId1" Type="http://schemas.openxmlformats.org/officeDocument/2006/relationships/image" Target="../media/image9.jpeg"/><Relationship Id="rId6" Type="http://schemas.openxmlformats.org/officeDocument/2006/relationships/chart" Target="../charts/chart2.xml"/><Relationship Id="rId5" Type="http://schemas.openxmlformats.org/officeDocument/2006/relationships/chart" Target="../charts/chart1.xml"/><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3" Type="http://schemas.openxmlformats.org/officeDocument/2006/relationships/customXml" Target="../ink/ink7.xml"/><Relationship Id="rId18" Type="http://schemas.openxmlformats.org/officeDocument/2006/relationships/image" Target="../media/image17.png"/><Relationship Id="rId26" Type="http://schemas.openxmlformats.org/officeDocument/2006/relationships/image" Target="../media/image21.png"/><Relationship Id="rId39" Type="http://schemas.openxmlformats.org/officeDocument/2006/relationships/customXml" Target="../ink/ink19.xml"/><Relationship Id="rId21" Type="http://schemas.openxmlformats.org/officeDocument/2006/relationships/customXml" Target="../ink/ink11.xml"/><Relationship Id="rId34" Type="http://schemas.openxmlformats.org/officeDocument/2006/relationships/image" Target="../media/image90.png"/><Relationship Id="rId42" Type="http://schemas.openxmlformats.org/officeDocument/2006/relationships/image" Target="../media/image130.png"/><Relationship Id="rId47" Type="http://schemas.openxmlformats.org/officeDocument/2006/relationships/customXml" Target="../ink/ink23.xml"/><Relationship Id="rId50" Type="http://schemas.openxmlformats.org/officeDocument/2006/relationships/image" Target="../media/image170.png"/><Relationship Id="rId55" Type="http://schemas.openxmlformats.org/officeDocument/2006/relationships/customXml" Target="../ink/ink27.xml"/><Relationship Id="rId63" Type="http://schemas.openxmlformats.org/officeDocument/2006/relationships/chart" Target="../charts/chart5.xml"/><Relationship Id="rId7" Type="http://schemas.openxmlformats.org/officeDocument/2006/relationships/customXml" Target="../ink/ink4.xml"/><Relationship Id="rId2" Type="http://schemas.openxmlformats.org/officeDocument/2006/relationships/image" Target="../media/image9.png"/><Relationship Id="rId16" Type="http://schemas.openxmlformats.org/officeDocument/2006/relationships/image" Target="../media/image16.png"/><Relationship Id="rId29" Type="http://schemas.openxmlformats.org/officeDocument/2006/relationships/customXml" Target="../ink/ink15.xml"/><Relationship Id="rId11" Type="http://schemas.openxmlformats.org/officeDocument/2006/relationships/customXml" Target="../ink/ink6.xml"/><Relationship Id="rId24" Type="http://schemas.openxmlformats.org/officeDocument/2006/relationships/image" Target="../media/image20.png"/><Relationship Id="rId32" Type="http://schemas.openxmlformats.org/officeDocument/2006/relationships/chart" Target="../charts/chart4.xml"/><Relationship Id="rId37" Type="http://schemas.openxmlformats.org/officeDocument/2006/relationships/customXml" Target="../ink/ink18.xml"/><Relationship Id="rId40" Type="http://schemas.openxmlformats.org/officeDocument/2006/relationships/image" Target="../media/image120.png"/><Relationship Id="rId45" Type="http://schemas.openxmlformats.org/officeDocument/2006/relationships/customXml" Target="../ink/ink22.xml"/><Relationship Id="rId53" Type="http://schemas.openxmlformats.org/officeDocument/2006/relationships/customXml" Target="../ink/ink26.xml"/><Relationship Id="rId58" Type="http://schemas.openxmlformats.org/officeDocument/2006/relationships/image" Target="../media/image210.png"/><Relationship Id="rId5" Type="http://schemas.openxmlformats.org/officeDocument/2006/relationships/customXml" Target="../ink/ink3.xml"/><Relationship Id="rId61" Type="http://schemas.openxmlformats.org/officeDocument/2006/relationships/customXml" Target="../ink/ink30.xml"/><Relationship Id="rId19" Type="http://schemas.openxmlformats.org/officeDocument/2006/relationships/customXml" Target="../ink/ink10.xml"/><Relationship Id="rId14" Type="http://schemas.openxmlformats.org/officeDocument/2006/relationships/image" Target="../media/image15.png"/><Relationship Id="rId22" Type="http://schemas.openxmlformats.org/officeDocument/2006/relationships/image" Target="../media/image19.png"/><Relationship Id="rId27" Type="http://schemas.openxmlformats.org/officeDocument/2006/relationships/customXml" Target="../ink/ink14.xml"/><Relationship Id="rId30" Type="http://schemas.openxmlformats.org/officeDocument/2006/relationships/image" Target="../media/image23.png"/><Relationship Id="rId35" Type="http://schemas.openxmlformats.org/officeDocument/2006/relationships/customXml" Target="../ink/ink17.xml"/><Relationship Id="rId43" Type="http://schemas.openxmlformats.org/officeDocument/2006/relationships/customXml" Target="../ink/ink21.xml"/><Relationship Id="rId48" Type="http://schemas.openxmlformats.org/officeDocument/2006/relationships/image" Target="../media/image160.png"/><Relationship Id="rId56" Type="http://schemas.openxmlformats.org/officeDocument/2006/relationships/image" Target="../media/image200.png"/><Relationship Id="rId8" Type="http://schemas.openxmlformats.org/officeDocument/2006/relationships/image" Target="../media/image121.png"/><Relationship Id="rId51" Type="http://schemas.openxmlformats.org/officeDocument/2006/relationships/customXml" Target="../ink/ink25.xml"/><Relationship Id="rId3" Type="http://schemas.openxmlformats.org/officeDocument/2006/relationships/customXml" Target="../ink/ink2.xml"/><Relationship Id="rId12" Type="http://schemas.openxmlformats.org/officeDocument/2006/relationships/image" Target="../media/image14.png"/><Relationship Id="rId17" Type="http://schemas.openxmlformats.org/officeDocument/2006/relationships/customXml" Target="../ink/ink9.xml"/><Relationship Id="rId25" Type="http://schemas.openxmlformats.org/officeDocument/2006/relationships/customXml" Target="../ink/ink13.xml"/><Relationship Id="rId33" Type="http://schemas.openxmlformats.org/officeDocument/2006/relationships/customXml" Target="../ink/ink16.xml"/><Relationship Id="rId38" Type="http://schemas.openxmlformats.org/officeDocument/2006/relationships/image" Target="../media/image110.png"/><Relationship Id="rId46" Type="http://schemas.openxmlformats.org/officeDocument/2006/relationships/image" Target="../media/image150.png"/><Relationship Id="rId59" Type="http://schemas.openxmlformats.org/officeDocument/2006/relationships/customXml" Target="../ink/ink29.xml"/><Relationship Id="rId20" Type="http://schemas.openxmlformats.org/officeDocument/2006/relationships/image" Target="../media/image18.png"/><Relationship Id="rId41" Type="http://schemas.openxmlformats.org/officeDocument/2006/relationships/customXml" Target="../ink/ink20.xml"/><Relationship Id="rId54" Type="http://schemas.openxmlformats.org/officeDocument/2006/relationships/image" Target="../media/image190.png"/><Relationship Id="rId62" Type="http://schemas.openxmlformats.org/officeDocument/2006/relationships/image" Target="../media/image230.png"/><Relationship Id="rId1" Type="http://schemas.openxmlformats.org/officeDocument/2006/relationships/customXml" Target="../ink/ink1.xml"/><Relationship Id="rId6" Type="http://schemas.openxmlformats.org/officeDocument/2006/relationships/image" Target="../media/image111.png"/><Relationship Id="rId15" Type="http://schemas.openxmlformats.org/officeDocument/2006/relationships/customXml" Target="../ink/ink8.xml"/><Relationship Id="rId23" Type="http://schemas.openxmlformats.org/officeDocument/2006/relationships/customXml" Target="../ink/ink12.xml"/><Relationship Id="rId28" Type="http://schemas.openxmlformats.org/officeDocument/2006/relationships/image" Target="../media/image22.png"/><Relationship Id="rId36" Type="http://schemas.openxmlformats.org/officeDocument/2006/relationships/image" Target="../media/image100.png"/><Relationship Id="rId49" Type="http://schemas.openxmlformats.org/officeDocument/2006/relationships/customXml" Target="../ink/ink24.xml"/><Relationship Id="rId57" Type="http://schemas.openxmlformats.org/officeDocument/2006/relationships/customXml" Target="../ink/ink28.xml"/><Relationship Id="rId10" Type="http://schemas.openxmlformats.org/officeDocument/2006/relationships/image" Target="../media/image132.png"/><Relationship Id="rId31" Type="http://schemas.openxmlformats.org/officeDocument/2006/relationships/chart" Target="../charts/chart3.xml"/><Relationship Id="rId44" Type="http://schemas.openxmlformats.org/officeDocument/2006/relationships/image" Target="../media/image140.png"/><Relationship Id="rId52" Type="http://schemas.openxmlformats.org/officeDocument/2006/relationships/image" Target="../media/image180.png"/><Relationship Id="rId60" Type="http://schemas.openxmlformats.org/officeDocument/2006/relationships/image" Target="../media/image220.png"/><Relationship Id="rId4" Type="http://schemas.openxmlformats.org/officeDocument/2006/relationships/image" Target="../media/image10.png"/><Relationship Id="rId9" Type="http://schemas.openxmlformats.org/officeDocument/2006/relationships/customXml" Target="../ink/ink5.xml"/></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jpeg"/></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3" Type="http://schemas.openxmlformats.org/officeDocument/2006/relationships/customXml" Target="../ink/ink37.xml"/><Relationship Id="rId18" Type="http://schemas.openxmlformats.org/officeDocument/2006/relationships/image" Target="../media/image171.png"/><Relationship Id="rId26" Type="http://schemas.openxmlformats.org/officeDocument/2006/relationships/image" Target="../media/image211.png"/><Relationship Id="rId3" Type="http://schemas.openxmlformats.org/officeDocument/2006/relationships/customXml" Target="../ink/ink32.xml"/><Relationship Id="rId21" Type="http://schemas.openxmlformats.org/officeDocument/2006/relationships/customXml" Target="../ink/ink41.xml"/><Relationship Id="rId34" Type="http://schemas.openxmlformats.org/officeDocument/2006/relationships/chart" Target="../charts/chart10.xml"/><Relationship Id="rId7" Type="http://schemas.openxmlformats.org/officeDocument/2006/relationships/customXml" Target="../ink/ink34.xml"/><Relationship Id="rId12" Type="http://schemas.openxmlformats.org/officeDocument/2006/relationships/image" Target="../media/image141.png"/><Relationship Id="rId17" Type="http://schemas.openxmlformats.org/officeDocument/2006/relationships/customXml" Target="../ink/ink39.xml"/><Relationship Id="rId25" Type="http://schemas.openxmlformats.org/officeDocument/2006/relationships/customXml" Target="../ink/ink43.xml"/><Relationship Id="rId33" Type="http://schemas.openxmlformats.org/officeDocument/2006/relationships/chart" Target="../charts/chart9.xml"/><Relationship Id="rId2" Type="http://schemas.openxmlformats.org/officeDocument/2006/relationships/image" Target="../media/image91.png"/><Relationship Id="rId16" Type="http://schemas.openxmlformats.org/officeDocument/2006/relationships/image" Target="../media/image161.png"/><Relationship Id="rId20" Type="http://schemas.openxmlformats.org/officeDocument/2006/relationships/image" Target="../media/image181.png"/><Relationship Id="rId29" Type="http://schemas.openxmlformats.org/officeDocument/2006/relationships/customXml" Target="../ink/ink45.xml"/><Relationship Id="rId1" Type="http://schemas.openxmlformats.org/officeDocument/2006/relationships/customXml" Target="../ink/ink31.xml"/><Relationship Id="rId6" Type="http://schemas.openxmlformats.org/officeDocument/2006/relationships/image" Target="../media/image112.png"/><Relationship Id="rId11" Type="http://schemas.openxmlformats.org/officeDocument/2006/relationships/customXml" Target="../ink/ink36.xml"/><Relationship Id="rId24" Type="http://schemas.openxmlformats.org/officeDocument/2006/relationships/image" Target="../media/image201.png"/><Relationship Id="rId32" Type="http://schemas.openxmlformats.org/officeDocument/2006/relationships/chart" Target="../charts/chart8.xml"/><Relationship Id="rId5" Type="http://schemas.openxmlformats.org/officeDocument/2006/relationships/customXml" Target="../ink/ink33.xml"/><Relationship Id="rId15" Type="http://schemas.openxmlformats.org/officeDocument/2006/relationships/customXml" Target="../ink/ink38.xml"/><Relationship Id="rId23" Type="http://schemas.openxmlformats.org/officeDocument/2006/relationships/customXml" Target="../ink/ink42.xml"/><Relationship Id="rId28" Type="http://schemas.openxmlformats.org/officeDocument/2006/relationships/image" Target="../media/image221.png"/><Relationship Id="rId10" Type="http://schemas.openxmlformats.org/officeDocument/2006/relationships/image" Target="../media/image131.png"/><Relationship Id="rId19" Type="http://schemas.openxmlformats.org/officeDocument/2006/relationships/customXml" Target="../ink/ink40.xml"/><Relationship Id="rId31" Type="http://schemas.openxmlformats.org/officeDocument/2006/relationships/chart" Target="../charts/chart7.xml"/><Relationship Id="rId4" Type="http://schemas.openxmlformats.org/officeDocument/2006/relationships/image" Target="../media/image101.png"/><Relationship Id="rId9" Type="http://schemas.openxmlformats.org/officeDocument/2006/relationships/customXml" Target="../ink/ink35.xml"/><Relationship Id="rId14" Type="http://schemas.openxmlformats.org/officeDocument/2006/relationships/image" Target="../media/image151.png"/><Relationship Id="rId22" Type="http://schemas.openxmlformats.org/officeDocument/2006/relationships/image" Target="../media/image191.png"/><Relationship Id="rId27" Type="http://schemas.openxmlformats.org/officeDocument/2006/relationships/customXml" Target="../ink/ink44.xml"/><Relationship Id="rId30" Type="http://schemas.openxmlformats.org/officeDocument/2006/relationships/image" Target="../media/image231.png"/><Relationship Id="rId35" Type="http://schemas.openxmlformats.org/officeDocument/2006/relationships/image" Target="../media/image34.png"/><Relationship Id="rId8" Type="http://schemas.openxmlformats.org/officeDocument/2006/relationships/image" Target="../media/image12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6.png"/><Relationship Id="rId4"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13" Type="http://schemas.openxmlformats.org/officeDocument/2006/relationships/customXml" Target="../ink/ink52.xml"/><Relationship Id="rId18" Type="http://schemas.openxmlformats.org/officeDocument/2006/relationships/image" Target="../media/image171.png"/><Relationship Id="rId26" Type="http://schemas.openxmlformats.org/officeDocument/2006/relationships/image" Target="../media/image211.png"/><Relationship Id="rId21" Type="http://schemas.openxmlformats.org/officeDocument/2006/relationships/customXml" Target="../ink/ink56.xml"/><Relationship Id="rId34" Type="http://schemas.openxmlformats.org/officeDocument/2006/relationships/image" Target="../media/image11.png"/><Relationship Id="rId7" Type="http://schemas.openxmlformats.org/officeDocument/2006/relationships/customXml" Target="../ink/ink49.xml"/><Relationship Id="rId12" Type="http://schemas.openxmlformats.org/officeDocument/2006/relationships/image" Target="../media/image141.png"/><Relationship Id="rId17" Type="http://schemas.openxmlformats.org/officeDocument/2006/relationships/customXml" Target="../ink/ink54.xml"/><Relationship Id="rId25" Type="http://schemas.openxmlformats.org/officeDocument/2006/relationships/customXml" Target="../ink/ink58.xml"/><Relationship Id="rId33" Type="http://schemas.openxmlformats.org/officeDocument/2006/relationships/chart" Target="../charts/chart13.xml"/><Relationship Id="rId2" Type="http://schemas.openxmlformats.org/officeDocument/2006/relationships/image" Target="../media/image91.png"/><Relationship Id="rId16" Type="http://schemas.openxmlformats.org/officeDocument/2006/relationships/image" Target="../media/image161.png"/><Relationship Id="rId20" Type="http://schemas.openxmlformats.org/officeDocument/2006/relationships/image" Target="../media/image181.png"/><Relationship Id="rId29" Type="http://schemas.openxmlformats.org/officeDocument/2006/relationships/customXml" Target="../ink/ink60.xml"/><Relationship Id="rId1" Type="http://schemas.openxmlformats.org/officeDocument/2006/relationships/customXml" Target="../ink/ink46.xml"/><Relationship Id="rId6" Type="http://schemas.openxmlformats.org/officeDocument/2006/relationships/image" Target="../media/image112.png"/><Relationship Id="rId11" Type="http://schemas.openxmlformats.org/officeDocument/2006/relationships/customXml" Target="../ink/ink51.xml"/><Relationship Id="rId24" Type="http://schemas.openxmlformats.org/officeDocument/2006/relationships/image" Target="../media/image201.png"/><Relationship Id="rId32" Type="http://schemas.openxmlformats.org/officeDocument/2006/relationships/chart" Target="../charts/chart12.xml"/><Relationship Id="rId37" Type="http://schemas.openxmlformats.org/officeDocument/2006/relationships/image" Target="../media/image34.png"/><Relationship Id="rId5" Type="http://schemas.openxmlformats.org/officeDocument/2006/relationships/customXml" Target="../ink/ink48.xml"/><Relationship Id="rId15" Type="http://schemas.openxmlformats.org/officeDocument/2006/relationships/customXml" Target="../ink/ink53.xml"/><Relationship Id="rId23" Type="http://schemas.openxmlformats.org/officeDocument/2006/relationships/customXml" Target="../ink/ink57.xml"/><Relationship Id="rId28" Type="http://schemas.openxmlformats.org/officeDocument/2006/relationships/image" Target="../media/image221.png"/><Relationship Id="rId36" Type="http://schemas.openxmlformats.org/officeDocument/2006/relationships/chart" Target="../charts/chart14.xml"/><Relationship Id="rId10" Type="http://schemas.openxmlformats.org/officeDocument/2006/relationships/image" Target="../media/image131.png"/><Relationship Id="rId19" Type="http://schemas.openxmlformats.org/officeDocument/2006/relationships/customXml" Target="../ink/ink55.xml"/><Relationship Id="rId31" Type="http://schemas.openxmlformats.org/officeDocument/2006/relationships/chart" Target="../charts/chart11.xml"/><Relationship Id="rId4" Type="http://schemas.openxmlformats.org/officeDocument/2006/relationships/image" Target="../media/image101.png"/><Relationship Id="rId9" Type="http://schemas.openxmlformats.org/officeDocument/2006/relationships/customXml" Target="../ink/ink50.xml"/><Relationship Id="rId14" Type="http://schemas.openxmlformats.org/officeDocument/2006/relationships/image" Target="../media/image151.png"/><Relationship Id="rId22" Type="http://schemas.openxmlformats.org/officeDocument/2006/relationships/image" Target="../media/image191.png"/><Relationship Id="rId27" Type="http://schemas.openxmlformats.org/officeDocument/2006/relationships/customXml" Target="../ink/ink59.xml"/><Relationship Id="rId30" Type="http://schemas.openxmlformats.org/officeDocument/2006/relationships/image" Target="../media/image231.png"/><Relationship Id="rId35" Type="http://schemas.openxmlformats.org/officeDocument/2006/relationships/image" Target="../media/image12.png"/><Relationship Id="rId8" Type="http://schemas.openxmlformats.org/officeDocument/2006/relationships/image" Target="../media/image122.png"/><Relationship Id="rId3" Type="http://schemas.openxmlformats.org/officeDocument/2006/relationships/customXml" Target="../ink/ink47.xml"/></Relationships>
</file>

<file path=xl/drawings/drawing1.xml><?xml version="1.0" encoding="utf-8"?>
<xdr:wsDr xmlns:xdr="http://schemas.openxmlformats.org/drawingml/2006/spreadsheetDrawing" xmlns:a="http://schemas.openxmlformats.org/drawingml/2006/main">
  <xdr:twoCellAnchor editAs="oneCell">
    <xdr:from>
      <xdr:col>15</xdr:col>
      <xdr:colOff>0</xdr:colOff>
      <xdr:row>1</xdr:row>
      <xdr:rowOff>1</xdr:rowOff>
    </xdr:from>
    <xdr:to>
      <xdr:col>19</xdr:col>
      <xdr:colOff>207676</xdr:colOff>
      <xdr:row>22</xdr:row>
      <xdr:rowOff>143137</xdr:rowOff>
    </xdr:to>
    <xdr:pic>
      <xdr:nvPicPr>
        <xdr:cNvPr id="2" name="Immagine 1">
          <a:extLst>
            <a:ext uri="{FF2B5EF4-FFF2-40B4-BE49-F238E27FC236}">
              <a16:creationId xmlns:a16="http://schemas.microsoft.com/office/drawing/2014/main" id="{D394A019-A225-C4FA-86AD-BD73E0593BFF}"/>
            </a:ext>
          </a:extLst>
        </xdr:cNvPr>
        <xdr:cNvPicPr>
          <a:picLocks noChangeAspect="1"/>
        </xdr:cNvPicPr>
      </xdr:nvPicPr>
      <xdr:blipFill>
        <a:blip xmlns:r="http://schemas.openxmlformats.org/officeDocument/2006/relationships" r:embed="rId1"/>
        <a:stretch>
          <a:fillRect/>
        </a:stretch>
      </xdr:blipFill>
      <xdr:spPr>
        <a:xfrm>
          <a:off x="8731624" y="179295"/>
          <a:ext cx="2646076" cy="3962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533400</xdr:colOff>
      <xdr:row>0</xdr:row>
      <xdr:rowOff>106680</xdr:rowOff>
    </xdr:from>
    <xdr:to>
      <xdr:col>7</xdr:col>
      <xdr:colOff>714601</xdr:colOff>
      <xdr:row>5</xdr:row>
      <xdr:rowOff>59176</xdr:rowOff>
    </xdr:to>
    <xdr:pic>
      <xdr:nvPicPr>
        <xdr:cNvPr id="2" name="Immagine 1">
          <a:extLst>
            <a:ext uri="{FF2B5EF4-FFF2-40B4-BE49-F238E27FC236}">
              <a16:creationId xmlns:a16="http://schemas.microsoft.com/office/drawing/2014/main" id="{A4050718-B0B0-6045-20C6-B39AA2FA8B4C}"/>
            </a:ext>
          </a:extLst>
        </xdr:cNvPr>
        <xdr:cNvPicPr>
          <a:picLocks noChangeAspect="1"/>
        </xdr:cNvPicPr>
      </xdr:nvPicPr>
      <xdr:blipFill>
        <a:blip xmlns:r="http://schemas.openxmlformats.org/officeDocument/2006/relationships" r:embed="rId1"/>
        <a:stretch>
          <a:fillRect/>
        </a:stretch>
      </xdr:blipFill>
      <xdr:spPr>
        <a:xfrm>
          <a:off x="4861560" y="106680"/>
          <a:ext cx="1619476" cy="866896"/>
        </a:xfrm>
        <a:prstGeom prst="rect">
          <a:avLst/>
        </a:prstGeom>
      </xdr:spPr>
    </xdr:pic>
    <xdr:clientData/>
  </xdr:twoCellAnchor>
  <xdr:twoCellAnchor editAs="oneCell">
    <xdr:from>
      <xdr:col>8</xdr:col>
      <xdr:colOff>586740</xdr:colOff>
      <xdr:row>1</xdr:row>
      <xdr:rowOff>45720</xdr:rowOff>
    </xdr:from>
    <xdr:to>
      <xdr:col>15</xdr:col>
      <xdr:colOff>240586</xdr:colOff>
      <xdr:row>5</xdr:row>
      <xdr:rowOff>76306</xdr:rowOff>
    </xdr:to>
    <xdr:pic>
      <xdr:nvPicPr>
        <xdr:cNvPr id="3" name="Immagine 2">
          <a:extLst>
            <a:ext uri="{FF2B5EF4-FFF2-40B4-BE49-F238E27FC236}">
              <a16:creationId xmlns:a16="http://schemas.microsoft.com/office/drawing/2014/main" id="{0543EB1D-6661-D679-1956-974A89792A7A}"/>
            </a:ext>
          </a:extLst>
        </xdr:cNvPr>
        <xdr:cNvPicPr>
          <a:picLocks noChangeAspect="1"/>
        </xdr:cNvPicPr>
      </xdr:nvPicPr>
      <xdr:blipFill>
        <a:blip xmlns:r="http://schemas.openxmlformats.org/officeDocument/2006/relationships" r:embed="rId2"/>
        <a:stretch>
          <a:fillRect/>
        </a:stretch>
      </xdr:blipFill>
      <xdr:spPr>
        <a:xfrm>
          <a:off x="6766560" y="228600"/>
          <a:ext cx="3982006" cy="762106"/>
        </a:xfrm>
        <a:prstGeom prst="rect">
          <a:avLst/>
        </a:prstGeom>
      </xdr:spPr>
    </xdr:pic>
    <xdr:clientData/>
  </xdr:twoCellAnchor>
  <xdr:twoCellAnchor editAs="oneCell">
    <xdr:from>
      <xdr:col>8</xdr:col>
      <xdr:colOff>542925</xdr:colOff>
      <xdr:row>17</xdr:row>
      <xdr:rowOff>9525</xdr:rowOff>
    </xdr:from>
    <xdr:to>
      <xdr:col>15</xdr:col>
      <xdr:colOff>534000</xdr:colOff>
      <xdr:row>20</xdr:row>
      <xdr:rowOff>78</xdr:rowOff>
    </xdr:to>
    <xdr:pic>
      <xdr:nvPicPr>
        <xdr:cNvPr id="5" name="Immagine 4">
          <a:extLst>
            <a:ext uri="{FF2B5EF4-FFF2-40B4-BE49-F238E27FC236}">
              <a16:creationId xmlns:a16="http://schemas.microsoft.com/office/drawing/2014/main" id="{31490D32-97B8-39B2-E101-4529F86D3610}"/>
            </a:ext>
          </a:extLst>
        </xdr:cNvPr>
        <xdr:cNvPicPr>
          <a:picLocks noChangeAspect="1"/>
        </xdr:cNvPicPr>
      </xdr:nvPicPr>
      <xdr:blipFill>
        <a:blip xmlns:r="http://schemas.openxmlformats.org/officeDocument/2006/relationships" r:embed="rId3"/>
        <a:stretch>
          <a:fillRect/>
        </a:stretch>
      </xdr:blipFill>
      <xdr:spPr>
        <a:xfrm>
          <a:off x="5734050" y="3257550"/>
          <a:ext cx="4296375" cy="56205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523875</xdr:colOff>
      <xdr:row>29</xdr:row>
      <xdr:rowOff>19050</xdr:rowOff>
    </xdr:from>
    <xdr:to>
      <xdr:col>14</xdr:col>
      <xdr:colOff>791806</xdr:colOff>
      <xdr:row>40</xdr:row>
      <xdr:rowOff>162237</xdr:rowOff>
    </xdr:to>
    <xdr:pic>
      <xdr:nvPicPr>
        <xdr:cNvPr id="2" name="Immagine 1">
          <a:extLst>
            <a:ext uri="{FF2B5EF4-FFF2-40B4-BE49-F238E27FC236}">
              <a16:creationId xmlns:a16="http://schemas.microsoft.com/office/drawing/2014/main" id="{B02AD95B-2630-4A15-BA67-229DB5E39720}"/>
            </a:ext>
          </a:extLst>
        </xdr:cNvPr>
        <xdr:cNvPicPr>
          <a:picLocks noChangeAspect="1"/>
        </xdr:cNvPicPr>
      </xdr:nvPicPr>
      <xdr:blipFill>
        <a:blip xmlns:r="http://schemas.openxmlformats.org/officeDocument/2006/relationships" r:embed="rId1"/>
        <a:stretch>
          <a:fillRect/>
        </a:stretch>
      </xdr:blipFill>
      <xdr:spPr>
        <a:xfrm>
          <a:off x="523875" y="5705475"/>
          <a:ext cx="8821381" cy="2238687"/>
        </a:xfrm>
        <a:prstGeom prst="rect">
          <a:avLst/>
        </a:prstGeom>
      </xdr:spPr>
    </xdr:pic>
    <xdr:clientData/>
  </xdr:twoCellAnchor>
  <xdr:twoCellAnchor editAs="oneCell">
    <xdr:from>
      <xdr:col>1</xdr:col>
      <xdr:colOff>0</xdr:colOff>
      <xdr:row>42</xdr:row>
      <xdr:rowOff>0</xdr:rowOff>
    </xdr:from>
    <xdr:to>
      <xdr:col>2</xdr:col>
      <xdr:colOff>495454</xdr:colOff>
      <xdr:row>45</xdr:row>
      <xdr:rowOff>95343</xdr:rowOff>
    </xdr:to>
    <xdr:pic>
      <xdr:nvPicPr>
        <xdr:cNvPr id="3" name="Immagine 2">
          <a:extLst>
            <a:ext uri="{FF2B5EF4-FFF2-40B4-BE49-F238E27FC236}">
              <a16:creationId xmlns:a16="http://schemas.microsoft.com/office/drawing/2014/main" id="{21311655-4118-E0EE-DEA3-5ADB2A76912E}"/>
            </a:ext>
          </a:extLst>
        </xdr:cNvPr>
        <xdr:cNvPicPr>
          <a:picLocks noChangeAspect="1"/>
        </xdr:cNvPicPr>
      </xdr:nvPicPr>
      <xdr:blipFill>
        <a:blip xmlns:r="http://schemas.openxmlformats.org/officeDocument/2006/relationships" r:embed="rId2"/>
        <a:stretch>
          <a:fillRect/>
        </a:stretch>
      </xdr:blipFill>
      <xdr:spPr>
        <a:xfrm>
          <a:off x="609600" y="8162925"/>
          <a:ext cx="1105054" cy="666843"/>
        </a:xfrm>
        <a:prstGeom prst="rect">
          <a:avLst/>
        </a:prstGeom>
      </xdr:spPr>
    </xdr:pic>
    <xdr:clientData/>
  </xdr:twoCellAnchor>
  <xdr:twoCellAnchor editAs="oneCell">
    <xdr:from>
      <xdr:col>1</xdr:col>
      <xdr:colOff>0</xdr:colOff>
      <xdr:row>47</xdr:row>
      <xdr:rowOff>0</xdr:rowOff>
    </xdr:from>
    <xdr:to>
      <xdr:col>11</xdr:col>
      <xdr:colOff>315222</xdr:colOff>
      <xdr:row>51</xdr:row>
      <xdr:rowOff>47738</xdr:rowOff>
    </xdr:to>
    <xdr:pic>
      <xdr:nvPicPr>
        <xdr:cNvPr id="4" name="Immagine 3">
          <a:extLst>
            <a:ext uri="{FF2B5EF4-FFF2-40B4-BE49-F238E27FC236}">
              <a16:creationId xmlns:a16="http://schemas.microsoft.com/office/drawing/2014/main" id="{0CDC9387-9A02-6784-7B65-0B626EA10AF4}"/>
            </a:ext>
          </a:extLst>
        </xdr:cNvPr>
        <xdr:cNvPicPr>
          <a:picLocks noChangeAspect="1"/>
        </xdr:cNvPicPr>
      </xdr:nvPicPr>
      <xdr:blipFill>
        <a:blip xmlns:r="http://schemas.openxmlformats.org/officeDocument/2006/relationships" r:embed="rId3"/>
        <a:stretch>
          <a:fillRect/>
        </a:stretch>
      </xdr:blipFill>
      <xdr:spPr>
        <a:xfrm>
          <a:off x="609600" y="9115425"/>
          <a:ext cx="6430272" cy="809738"/>
        </a:xfrm>
        <a:prstGeom prst="rect">
          <a:avLst/>
        </a:prstGeom>
      </xdr:spPr>
    </xdr:pic>
    <xdr:clientData/>
  </xdr:twoCellAnchor>
  <xdr:twoCellAnchor editAs="oneCell">
    <xdr:from>
      <xdr:col>3</xdr:col>
      <xdr:colOff>0</xdr:colOff>
      <xdr:row>42</xdr:row>
      <xdr:rowOff>0</xdr:rowOff>
    </xdr:from>
    <xdr:to>
      <xdr:col>7</xdr:col>
      <xdr:colOff>314717</xdr:colOff>
      <xdr:row>46</xdr:row>
      <xdr:rowOff>105</xdr:rowOff>
    </xdr:to>
    <xdr:pic>
      <xdr:nvPicPr>
        <xdr:cNvPr id="5" name="Immagine 4">
          <a:extLst>
            <a:ext uri="{FF2B5EF4-FFF2-40B4-BE49-F238E27FC236}">
              <a16:creationId xmlns:a16="http://schemas.microsoft.com/office/drawing/2014/main" id="{CD0C5177-2DAB-D042-FFD1-96DE9CB77595}"/>
            </a:ext>
          </a:extLst>
        </xdr:cNvPr>
        <xdr:cNvPicPr>
          <a:picLocks noChangeAspect="1"/>
        </xdr:cNvPicPr>
      </xdr:nvPicPr>
      <xdr:blipFill>
        <a:blip xmlns:r="http://schemas.openxmlformats.org/officeDocument/2006/relationships" r:embed="rId4"/>
        <a:stretch>
          <a:fillRect/>
        </a:stretch>
      </xdr:blipFill>
      <xdr:spPr>
        <a:xfrm>
          <a:off x="1828800" y="8162925"/>
          <a:ext cx="2810267" cy="7525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167640</xdr:colOff>
      <xdr:row>2</xdr:row>
      <xdr:rowOff>114300</xdr:rowOff>
    </xdr:from>
    <xdr:to>
      <xdr:col>6</xdr:col>
      <xdr:colOff>552676</xdr:colOff>
      <xdr:row>7</xdr:row>
      <xdr:rowOff>59176</xdr:rowOff>
    </xdr:to>
    <xdr:pic>
      <xdr:nvPicPr>
        <xdr:cNvPr id="2" name="Immagine 1">
          <a:extLst>
            <a:ext uri="{FF2B5EF4-FFF2-40B4-BE49-F238E27FC236}">
              <a16:creationId xmlns:a16="http://schemas.microsoft.com/office/drawing/2014/main" id="{48CE1062-0454-4B6B-BAE0-C875E8705BA9}"/>
            </a:ext>
          </a:extLst>
        </xdr:cNvPr>
        <xdr:cNvPicPr>
          <a:picLocks noChangeAspect="1"/>
        </xdr:cNvPicPr>
      </xdr:nvPicPr>
      <xdr:blipFill>
        <a:blip xmlns:r="http://schemas.openxmlformats.org/officeDocument/2006/relationships" r:embed="rId1"/>
        <a:stretch>
          <a:fillRect/>
        </a:stretch>
      </xdr:blipFill>
      <xdr:spPr>
        <a:xfrm>
          <a:off x="3413760" y="480060"/>
          <a:ext cx="1627096" cy="866896"/>
        </a:xfrm>
        <a:prstGeom prst="rect">
          <a:avLst/>
        </a:prstGeom>
      </xdr:spPr>
    </xdr:pic>
    <xdr:clientData/>
  </xdr:twoCellAnchor>
  <xdr:twoCellAnchor editAs="oneCell">
    <xdr:from>
      <xdr:col>7</xdr:col>
      <xdr:colOff>449580</xdr:colOff>
      <xdr:row>3</xdr:row>
      <xdr:rowOff>53340</xdr:rowOff>
    </xdr:from>
    <xdr:to>
      <xdr:col>12</xdr:col>
      <xdr:colOff>579676</xdr:colOff>
      <xdr:row>7</xdr:row>
      <xdr:rowOff>76306</xdr:rowOff>
    </xdr:to>
    <xdr:pic>
      <xdr:nvPicPr>
        <xdr:cNvPr id="3" name="Immagine 2">
          <a:extLst>
            <a:ext uri="{FF2B5EF4-FFF2-40B4-BE49-F238E27FC236}">
              <a16:creationId xmlns:a16="http://schemas.microsoft.com/office/drawing/2014/main" id="{C8FA7EC5-5A79-45B8-A37B-9FF3FCAD5EB9}"/>
            </a:ext>
          </a:extLst>
        </xdr:cNvPr>
        <xdr:cNvPicPr>
          <a:picLocks noChangeAspect="1"/>
        </xdr:cNvPicPr>
      </xdr:nvPicPr>
      <xdr:blipFill>
        <a:blip xmlns:r="http://schemas.openxmlformats.org/officeDocument/2006/relationships" r:embed="rId2"/>
        <a:stretch>
          <a:fillRect/>
        </a:stretch>
      </xdr:blipFill>
      <xdr:spPr>
        <a:xfrm>
          <a:off x="5417820" y="601980"/>
          <a:ext cx="3982006" cy="76210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523875</xdr:colOff>
      <xdr:row>29</xdr:row>
      <xdr:rowOff>19050</xdr:rowOff>
    </xdr:from>
    <xdr:to>
      <xdr:col>14</xdr:col>
      <xdr:colOff>791806</xdr:colOff>
      <xdr:row>40</xdr:row>
      <xdr:rowOff>162237</xdr:rowOff>
    </xdr:to>
    <xdr:pic>
      <xdr:nvPicPr>
        <xdr:cNvPr id="2" name="Immagine 1">
          <a:extLst>
            <a:ext uri="{FF2B5EF4-FFF2-40B4-BE49-F238E27FC236}">
              <a16:creationId xmlns:a16="http://schemas.microsoft.com/office/drawing/2014/main" id="{2EA4E3BD-3CE0-4F2E-82C9-4880FCEB3300}"/>
            </a:ext>
          </a:extLst>
        </xdr:cNvPr>
        <xdr:cNvPicPr>
          <a:picLocks noChangeAspect="1"/>
        </xdr:cNvPicPr>
      </xdr:nvPicPr>
      <xdr:blipFill>
        <a:blip xmlns:r="http://schemas.openxmlformats.org/officeDocument/2006/relationships" r:embed="rId1"/>
        <a:stretch>
          <a:fillRect/>
        </a:stretch>
      </xdr:blipFill>
      <xdr:spPr>
        <a:xfrm>
          <a:off x="523875" y="5724525"/>
          <a:ext cx="8821381" cy="2238687"/>
        </a:xfrm>
        <a:prstGeom prst="rect">
          <a:avLst/>
        </a:prstGeom>
      </xdr:spPr>
    </xdr:pic>
    <xdr:clientData/>
  </xdr:twoCellAnchor>
  <xdr:twoCellAnchor editAs="oneCell">
    <xdr:from>
      <xdr:col>1</xdr:col>
      <xdr:colOff>0</xdr:colOff>
      <xdr:row>42</xdr:row>
      <xdr:rowOff>0</xdr:rowOff>
    </xdr:from>
    <xdr:to>
      <xdr:col>2</xdr:col>
      <xdr:colOff>495454</xdr:colOff>
      <xdr:row>45</xdr:row>
      <xdr:rowOff>95343</xdr:rowOff>
    </xdr:to>
    <xdr:pic>
      <xdr:nvPicPr>
        <xdr:cNvPr id="3" name="Immagine 2">
          <a:extLst>
            <a:ext uri="{FF2B5EF4-FFF2-40B4-BE49-F238E27FC236}">
              <a16:creationId xmlns:a16="http://schemas.microsoft.com/office/drawing/2014/main" id="{3F0DCC57-48E6-4729-AEC9-B53FC0462DFF}"/>
            </a:ext>
          </a:extLst>
        </xdr:cNvPr>
        <xdr:cNvPicPr>
          <a:picLocks noChangeAspect="1"/>
        </xdr:cNvPicPr>
      </xdr:nvPicPr>
      <xdr:blipFill>
        <a:blip xmlns:r="http://schemas.openxmlformats.org/officeDocument/2006/relationships" r:embed="rId2"/>
        <a:stretch>
          <a:fillRect/>
        </a:stretch>
      </xdr:blipFill>
      <xdr:spPr>
        <a:xfrm>
          <a:off x="609600" y="8181975"/>
          <a:ext cx="1105054" cy="666843"/>
        </a:xfrm>
        <a:prstGeom prst="rect">
          <a:avLst/>
        </a:prstGeom>
      </xdr:spPr>
    </xdr:pic>
    <xdr:clientData/>
  </xdr:twoCellAnchor>
  <xdr:twoCellAnchor editAs="oneCell">
    <xdr:from>
      <xdr:col>1</xdr:col>
      <xdr:colOff>0</xdr:colOff>
      <xdr:row>47</xdr:row>
      <xdr:rowOff>0</xdr:rowOff>
    </xdr:from>
    <xdr:to>
      <xdr:col>11</xdr:col>
      <xdr:colOff>315222</xdr:colOff>
      <xdr:row>51</xdr:row>
      <xdr:rowOff>47738</xdr:rowOff>
    </xdr:to>
    <xdr:pic>
      <xdr:nvPicPr>
        <xdr:cNvPr id="4" name="Immagine 3">
          <a:extLst>
            <a:ext uri="{FF2B5EF4-FFF2-40B4-BE49-F238E27FC236}">
              <a16:creationId xmlns:a16="http://schemas.microsoft.com/office/drawing/2014/main" id="{3B1E37D4-AA30-4D8D-B36C-2FA03B18FB5E}"/>
            </a:ext>
          </a:extLst>
        </xdr:cNvPr>
        <xdr:cNvPicPr>
          <a:picLocks noChangeAspect="1"/>
        </xdr:cNvPicPr>
      </xdr:nvPicPr>
      <xdr:blipFill>
        <a:blip xmlns:r="http://schemas.openxmlformats.org/officeDocument/2006/relationships" r:embed="rId3"/>
        <a:stretch>
          <a:fillRect/>
        </a:stretch>
      </xdr:blipFill>
      <xdr:spPr>
        <a:xfrm>
          <a:off x="609600" y="9134475"/>
          <a:ext cx="6430272" cy="809738"/>
        </a:xfrm>
        <a:prstGeom prst="rect">
          <a:avLst/>
        </a:prstGeom>
      </xdr:spPr>
    </xdr:pic>
    <xdr:clientData/>
  </xdr:twoCellAnchor>
  <xdr:twoCellAnchor editAs="oneCell">
    <xdr:from>
      <xdr:col>3</xdr:col>
      <xdr:colOff>0</xdr:colOff>
      <xdr:row>42</xdr:row>
      <xdr:rowOff>0</xdr:rowOff>
    </xdr:from>
    <xdr:to>
      <xdr:col>7</xdr:col>
      <xdr:colOff>314717</xdr:colOff>
      <xdr:row>46</xdr:row>
      <xdr:rowOff>105</xdr:rowOff>
    </xdr:to>
    <xdr:pic>
      <xdr:nvPicPr>
        <xdr:cNvPr id="5" name="Immagine 4">
          <a:extLst>
            <a:ext uri="{FF2B5EF4-FFF2-40B4-BE49-F238E27FC236}">
              <a16:creationId xmlns:a16="http://schemas.microsoft.com/office/drawing/2014/main" id="{8EA3477B-2768-4611-AF11-97F2CC8F9B02}"/>
            </a:ext>
          </a:extLst>
        </xdr:cNvPr>
        <xdr:cNvPicPr>
          <a:picLocks noChangeAspect="1"/>
        </xdr:cNvPicPr>
      </xdr:nvPicPr>
      <xdr:blipFill>
        <a:blip xmlns:r="http://schemas.openxmlformats.org/officeDocument/2006/relationships" r:embed="rId4"/>
        <a:stretch>
          <a:fillRect/>
        </a:stretch>
      </xdr:blipFill>
      <xdr:spPr>
        <a:xfrm>
          <a:off x="1828800" y="8181975"/>
          <a:ext cx="2810267" cy="7525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552450</xdr:colOff>
      <xdr:row>20</xdr:row>
      <xdr:rowOff>161925</xdr:rowOff>
    </xdr:from>
    <xdr:to>
      <xdr:col>29</xdr:col>
      <xdr:colOff>87577</xdr:colOff>
      <xdr:row>34</xdr:row>
      <xdr:rowOff>132341</xdr:rowOff>
    </xdr:to>
    <xdr:pic>
      <xdr:nvPicPr>
        <xdr:cNvPr id="2" name="Immagine 1">
          <a:extLst>
            <a:ext uri="{FF2B5EF4-FFF2-40B4-BE49-F238E27FC236}">
              <a16:creationId xmlns:a16="http://schemas.microsoft.com/office/drawing/2014/main" id="{BF30C0C3-EAC0-0BAE-02CE-26BAF53DCE25}"/>
            </a:ext>
          </a:extLst>
        </xdr:cNvPr>
        <xdr:cNvPicPr>
          <a:picLocks noChangeAspect="1"/>
        </xdr:cNvPicPr>
      </xdr:nvPicPr>
      <xdr:blipFill>
        <a:blip xmlns:r="http://schemas.openxmlformats.org/officeDocument/2006/relationships" r:embed="rId1"/>
        <a:stretch>
          <a:fillRect/>
        </a:stretch>
      </xdr:blipFill>
      <xdr:spPr>
        <a:xfrm>
          <a:off x="17449800" y="3943350"/>
          <a:ext cx="6353175" cy="2752725"/>
        </a:xfrm>
        <a:prstGeom prst="rect">
          <a:avLst/>
        </a:prstGeom>
      </xdr:spPr>
    </xdr:pic>
    <xdr:clientData/>
  </xdr:twoCellAnchor>
  <xdr:twoCellAnchor editAs="oneCell">
    <xdr:from>
      <xdr:col>0</xdr:col>
      <xdr:colOff>591670</xdr:colOff>
      <xdr:row>36</xdr:row>
      <xdr:rowOff>36419</xdr:rowOff>
    </xdr:from>
    <xdr:to>
      <xdr:col>7</xdr:col>
      <xdr:colOff>69475</xdr:colOff>
      <xdr:row>48</xdr:row>
      <xdr:rowOff>49755</xdr:rowOff>
    </xdr:to>
    <xdr:pic>
      <xdr:nvPicPr>
        <xdr:cNvPr id="3" name="Immagine 2">
          <a:extLst>
            <a:ext uri="{FF2B5EF4-FFF2-40B4-BE49-F238E27FC236}">
              <a16:creationId xmlns:a16="http://schemas.microsoft.com/office/drawing/2014/main" id="{02935617-C66D-210D-5D87-675F915EBDCB}"/>
            </a:ext>
            <a:ext uri="{147F2762-F138-4A5C-976F-8EAC2B608ADB}">
              <a16:predDERef xmlns:a16="http://schemas.microsoft.com/office/drawing/2014/main" pred="{BF30C0C3-EAC0-0BAE-02CE-26BAF53DCE25}"/>
            </a:ext>
          </a:extLst>
        </xdr:cNvPr>
        <xdr:cNvPicPr>
          <a:picLocks noChangeAspect="1"/>
        </xdr:cNvPicPr>
      </xdr:nvPicPr>
      <xdr:blipFill>
        <a:blip xmlns:r="http://schemas.openxmlformats.org/officeDocument/2006/relationships" r:embed="rId2"/>
        <a:stretch>
          <a:fillRect/>
        </a:stretch>
      </xdr:blipFill>
      <xdr:spPr>
        <a:xfrm rot="16187027">
          <a:off x="1796638" y="5375686"/>
          <a:ext cx="2191760" cy="4601695"/>
        </a:xfrm>
        <a:prstGeom prst="rect">
          <a:avLst/>
        </a:prstGeom>
      </xdr:spPr>
    </xdr:pic>
    <xdr:clientData/>
  </xdr:twoCellAnchor>
  <xdr:twoCellAnchor editAs="oneCell">
    <xdr:from>
      <xdr:col>11</xdr:col>
      <xdr:colOff>22412</xdr:colOff>
      <xdr:row>52</xdr:row>
      <xdr:rowOff>44823</xdr:rowOff>
    </xdr:from>
    <xdr:to>
      <xdr:col>15</xdr:col>
      <xdr:colOff>329735</xdr:colOff>
      <xdr:row>88</xdr:row>
      <xdr:rowOff>31658</xdr:rowOff>
    </xdr:to>
    <xdr:pic>
      <xdr:nvPicPr>
        <xdr:cNvPr id="4" name="Immagine 3" descr="5.0 &#10;4.5 &#10;4.0 &#10;3.5 &#10;3.0 &#10;2.0 &#10;10 &#10;0 0.01 &#10;0.1 &#10;0.947+ 1.206,777- &#10;0.869 + t7775Tr-ossst/r &#10;—0-810+0.422577 — &#10;102 &#10;2.0±l/r-s20.0 &#10;1.232 + 0.8325Tr- 0.008ΙΙλ &#10;7.423 -4168 + &#10;_ —&amp;839 &#10;0.05 &#10;101 &#10;o. 10 &#10;0.15 &#10;Chart 3.10 Stress concentmlion K, for bending of a slepped bar Οί circular cross wction wilh a &#10;shoulder flllel (based οπ pb«AlKlaslic lesls of Leven ιιι&quot;' Harlman Ι 95 Ι Wilson and While Ι 973). ">
          <a:extLst>
            <a:ext uri="{FF2B5EF4-FFF2-40B4-BE49-F238E27FC236}">
              <a16:creationId xmlns:a16="http://schemas.microsoft.com/office/drawing/2014/main" id="{72F0DB9F-DCB9-457D-984E-27B5DF80B74F}"/>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5298" t="11277" r="13227" b="10649"/>
        <a:stretch/>
      </xdr:blipFill>
      <xdr:spPr bwMode="auto">
        <a:xfrm>
          <a:off x="8583706" y="10051676"/>
          <a:ext cx="4022072" cy="65257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661147</xdr:colOff>
      <xdr:row>52</xdr:row>
      <xdr:rowOff>78441</xdr:rowOff>
    </xdr:from>
    <xdr:to>
      <xdr:col>20</xdr:col>
      <xdr:colOff>614114</xdr:colOff>
      <xdr:row>87</xdr:row>
      <xdr:rowOff>1403</xdr:rowOff>
    </xdr:to>
    <xdr:pic>
      <xdr:nvPicPr>
        <xdr:cNvPr id="5" name="Immagine 4" descr="Esercizio 1: verifica a fatica, sforzi limite &#10;M. Carboni, S. Miccoli, G. Previati — Alberi di trasmissione— Esercizi &#10;..-niecc &#10;POLITECNICO &#10;MILANO &#10;i; % iii;.. &#10;iiiiiiiiiiiiiii &#10;iiifi: • &#10;iii::::: &#10;'.iii._.... ">
          <a:extLst>
            <a:ext uri="{FF2B5EF4-FFF2-40B4-BE49-F238E27FC236}">
              <a16:creationId xmlns:a16="http://schemas.microsoft.com/office/drawing/2014/main" id="{17B9B32A-5ACA-444C-A626-E7F22CFF0C25}"/>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6151" t="11642" r="12433" b="11496"/>
        <a:stretch/>
      </xdr:blipFill>
      <xdr:spPr bwMode="auto">
        <a:xfrm>
          <a:off x="12685059" y="10085294"/>
          <a:ext cx="4062132" cy="6280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717177</xdr:colOff>
      <xdr:row>35</xdr:row>
      <xdr:rowOff>70149</xdr:rowOff>
    </xdr:from>
    <xdr:to>
      <xdr:col>25</xdr:col>
      <xdr:colOff>179295</xdr:colOff>
      <xdr:row>49</xdr:row>
      <xdr:rowOff>44824</xdr:rowOff>
    </xdr:to>
    <xdr:graphicFrame macro="">
      <xdr:nvGraphicFramePr>
        <xdr:cNvPr id="134" name="Grafico 7">
          <a:extLst>
            <a:ext uri="{FF2B5EF4-FFF2-40B4-BE49-F238E27FC236}">
              <a16:creationId xmlns:a16="http://schemas.microsoft.com/office/drawing/2014/main" id="{AED8306A-DD97-96C7-1936-E6712A732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197835</xdr:colOff>
      <xdr:row>35</xdr:row>
      <xdr:rowOff>83738</xdr:rowOff>
    </xdr:from>
    <xdr:to>
      <xdr:col>31</xdr:col>
      <xdr:colOff>425823</xdr:colOff>
      <xdr:row>49</xdr:row>
      <xdr:rowOff>11206</xdr:rowOff>
    </xdr:to>
    <xdr:graphicFrame macro="">
      <xdr:nvGraphicFramePr>
        <xdr:cNvPr id="132" name="Grafico 9">
          <a:extLst>
            <a:ext uri="{FF2B5EF4-FFF2-40B4-BE49-F238E27FC236}">
              <a16:creationId xmlns:a16="http://schemas.microsoft.com/office/drawing/2014/main" id="{0FAB7CD2-B3A1-F970-7D94-037923F0B7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207434</xdr:colOff>
      <xdr:row>64</xdr:row>
      <xdr:rowOff>93132</xdr:rowOff>
    </xdr:from>
    <xdr:to>
      <xdr:col>25</xdr:col>
      <xdr:colOff>478837</xdr:colOff>
      <xdr:row>79</xdr:row>
      <xdr:rowOff>116944</xdr:rowOff>
    </xdr:to>
    <xdr:pic>
      <xdr:nvPicPr>
        <xdr:cNvPr id="13" name="Picture 5">
          <a:extLst>
            <a:ext uri="{FF2B5EF4-FFF2-40B4-BE49-F238E27FC236}">
              <a16:creationId xmlns:a16="http://schemas.microsoft.com/office/drawing/2014/main" id="{D7D3DE65-6855-E615-3BBB-D523EE71E22C}"/>
            </a:ext>
            <a:ext uri="{147F2762-F138-4A5C-976F-8EAC2B608ADB}">
              <a16:predDERef xmlns:a16="http://schemas.microsoft.com/office/drawing/2014/main" pred="{0FAB7CD2-B3A1-F970-7D94-037923F0B793}"/>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5255" t="30346" r="4123" b="3801"/>
        <a:stretch/>
      </xdr:blipFill>
      <xdr:spPr>
        <a:xfrm>
          <a:off x="17949334" y="12522199"/>
          <a:ext cx="4233333" cy="2743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32</xdr:col>
      <xdr:colOff>19955</xdr:colOff>
      <xdr:row>18</xdr:row>
      <xdr:rowOff>36660</xdr:rowOff>
    </xdr:from>
    <xdr:to>
      <xdr:col>32</xdr:col>
      <xdr:colOff>457200</xdr:colOff>
      <xdr:row>20</xdr:row>
      <xdr:rowOff>42341</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4" name="Input penna 23">
              <a:extLst>
                <a:ext uri="{FF2B5EF4-FFF2-40B4-BE49-F238E27FC236}">
                  <a16:creationId xmlns:a16="http://schemas.microsoft.com/office/drawing/2014/main" id="{04A68133-4FF2-39F1-9E13-BC265FF6BCBB}"/>
                </a:ext>
              </a:extLst>
            </xdr14:cNvPr>
            <xdr14:cNvContentPartPr/>
          </xdr14:nvContentPartPr>
          <xdr14:nvPr macro=""/>
          <xdr14:xfrm>
            <a:off x="18612755" y="3465660"/>
            <a:ext cx="437245" cy="386681"/>
          </xdr14:xfrm>
        </xdr:contentPart>
      </mc:Choice>
      <mc:Fallback xmlns="">
        <xdr:pic>
          <xdr:nvPicPr>
            <xdr:cNvPr id="24" name="Input penna 23">
              <a:extLst>
                <a:ext uri="{FF2B5EF4-FFF2-40B4-BE49-F238E27FC236}">
                  <a16:creationId xmlns:a16="http://schemas.microsoft.com/office/drawing/2014/main" id="{04A68133-4FF2-39F1-9E13-BC265FF6BCBB}"/>
                </a:ext>
              </a:extLst>
            </xdr:cNvPr>
            <xdr:cNvPicPr/>
          </xdr:nvPicPr>
          <xdr:blipFill>
            <a:blip xmlns:r="http://schemas.openxmlformats.org/officeDocument/2006/relationships" r:embed="rId2"/>
            <a:stretch>
              <a:fillRect/>
            </a:stretch>
          </xdr:blipFill>
          <xdr:spPr>
            <a:xfrm>
              <a:off x="13422240" y="2991240"/>
              <a:ext cx="469800" cy="399600"/>
            </a:xfrm>
            <a:prstGeom prst="rect">
              <a:avLst/>
            </a:prstGeom>
          </xdr:spPr>
        </xdr:pic>
      </mc:Fallback>
    </mc:AlternateContent>
    <xdr:clientData/>
  </xdr:twoCellAnchor>
  <xdr:twoCellAnchor editAs="oneCell">
    <xdr:from>
      <xdr:col>26</xdr:col>
      <xdr:colOff>246086</xdr:colOff>
      <xdr:row>2</xdr:row>
      <xdr:rowOff>167280</xdr:rowOff>
    </xdr:from>
    <xdr:to>
      <xdr:col>26</xdr:col>
      <xdr:colOff>392647</xdr:colOff>
      <xdr:row>5</xdr:row>
      <xdr:rowOff>84751</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8" name="Input penna 37">
              <a:extLst>
                <a:ext uri="{FF2B5EF4-FFF2-40B4-BE49-F238E27FC236}">
                  <a16:creationId xmlns:a16="http://schemas.microsoft.com/office/drawing/2014/main" id="{A989613D-59C3-D640-462A-74092E9D526F}"/>
                </a:ext>
              </a:extLst>
            </xdr14:cNvPr>
            <xdr14:cNvContentPartPr/>
          </xdr14:nvContentPartPr>
          <xdr14:nvPr macro=""/>
          <xdr14:xfrm>
            <a:off x="15181286" y="548280"/>
            <a:ext cx="146561" cy="488971"/>
          </xdr14:xfrm>
        </xdr:contentPart>
      </mc:Choice>
      <mc:Fallback xmlns="">
        <xdr:pic>
          <xdr:nvPicPr>
            <xdr:cNvPr id="38" name="Input penna 37">
              <a:extLst>
                <a:ext uri="{FF2B5EF4-FFF2-40B4-BE49-F238E27FC236}">
                  <a16:creationId xmlns:a16="http://schemas.microsoft.com/office/drawing/2014/main" id="{A989613D-59C3-D640-462A-74092E9D526F}"/>
                </a:ext>
              </a:extLst>
            </xdr:cNvPr>
            <xdr:cNvPicPr/>
          </xdr:nvPicPr>
          <xdr:blipFill>
            <a:blip xmlns:r="http://schemas.openxmlformats.org/officeDocument/2006/relationships" r:embed="rId4"/>
            <a:stretch>
              <a:fillRect/>
            </a:stretch>
          </xdr:blipFill>
          <xdr:spPr>
            <a:xfrm>
              <a:off x="9865080" y="73440"/>
              <a:ext cx="187200" cy="535320"/>
            </a:xfrm>
            <a:prstGeom prst="rect">
              <a:avLst/>
            </a:prstGeom>
          </xdr:spPr>
        </xdr:pic>
      </mc:Fallback>
    </mc:AlternateContent>
    <xdr:clientData/>
  </xdr:twoCellAnchor>
  <xdr:twoCellAnchor editAs="oneCell">
    <xdr:from>
      <xdr:col>24</xdr:col>
      <xdr:colOff>426480</xdr:colOff>
      <xdr:row>5</xdr:row>
      <xdr:rowOff>65295</xdr:rowOff>
    </xdr:from>
    <xdr:to>
      <xdr:col>26</xdr:col>
      <xdr:colOff>263371</xdr:colOff>
      <xdr:row>8</xdr:row>
      <xdr:rowOff>3877</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0" name="Input penna 39">
              <a:extLst>
                <a:ext uri="{FF2B5EF4-FFF2-40B4-BE49-F238E27FC236}">
                  <a16:creationId xmlns:a16="http://schemas.microsoft.com/office/drawing/2014/main" id="{612DF23C-992B-C2BD-4466-EB634D34BAAB}"/>
                </a:ext>
              </a:extLst>
            </xdr14:cNvPr>
            <xdr14:cNvContentPartPr/>
          </xdr14:nvContentPartPr>
          <xdr14:nvPr macro=""/>
          <xdr14:xfrm>
            <a:off x="14142480" y="1017795"/>
            <a:ext cx="1110519" cy="510082"/>
          </xdr14:xfrm>
        </xdr:contentPart>
      </mc:Choice>
      <mc:Fallback xmlns="">
        <xdr:pic>
          <xdr:nvPicPr>
            <xdr:cNvPr id="40" name="Input penna 39">
              <a:extLst>
                <a:ext uri="{FF2B5EF4-FFF2-40B4-BE49-F238E27FC236}">
                  <a16:creationId xmlns:a16="http://schemas.microsoft.com/office/drawing/2014/main" id="{612DF23C-992B-C2BD-4466-EB634D34BAAB}"/>
                </a:ext>
              </a:extLst>
            </xdr:cNvPr>
            <xdr:cNvPicPr/>
          </xdr:nvPicPr>
          <xdr:blipFill>
            <a:blip xmlns:r="http://schemas.openxmlformats.org/officeDocument/2006/relationships" r:embed="rId6"/>
            <a:stretch>
              <a:fillRect/>
            </a:stretch>
          </xdr:blipFill>
          <xdr:spPr>
            <a:xfrm>
              <a:off x="8790480" y="560880"/>
              <a:ext cx="1184040" cy="531360"/>
            </a:xfrm>
            <a:prstGeom prst="rect">
              <a:avLst/>
            </a:prstGeom>
          </xdr:spPr>
        </xdr:pic>
      </mc:Fallback>
    </mc:AlternateContent>
    <xdr:clientData/>
  </xdr:twoCellAnchor>
  <xdr:twoCellAnchor editAs="oneCell">
    <xdr:from>
      <xdr:col>26</xdr:col>
      <xdr:colOff>319888</xdr:colOff>
      <xdr:row>5</xdr:row>
      <xdr:rowOff>123248</xdr:rowOff>
    </xdr:from>
    <xdr:to>
      <xdr:col>32</xdr:col>
      <xdr:colOff>238273</xdr:colOff>
      <xdr:row>18</xdr:row>
      <xdr:rowOff>40953</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48" name="Input penna 47">
              <a:extLst>
                <a:ext uri="{FF2B5EF4-FFF2-40B4-BE49-F238E27FC236}">
                  <a16:creationId xmlns:a16="http://schemas.microsoft.com/office/drawing/2014/main" id="{9416C6EC-41D9-F94A-B1A2-A3190C77F8EC}"/>
                </a:ext>
              </a:extLst>
            </xdr14:cNvPr>
            <xdr14:cNvContentPartPr/>
          </xdr14:nvContentPartPr>
          <xdr14:nvPr macro=""/>
          <xdr14:xfrm>
            <a:off x="15255088" y="1075748"/>
            <a:ext cx="3574897" cy="2394205"/>
          </xdr14:xfrm>
        </xdr:contentPart>
      </mc:Choice>
      <mc:Fallback xmlns="">
        <xdr:pic>
          <xdr:nvPicPr>
            <xdr:cNvPr id="48" name="Input penna 47">
              <a:extLst>
                <a:ext uri="{FF2B5EF4-FFF2-40B4-BE49-F238E27FC236}">
                  <a16:creationId xmlns:a16="http://schemas.microsoft.com/office/drawing/2014/main" id="{9416C6EC-41D9-F94A-B1A2-A3190C77F8EC}"/>
                </a:ext>
              </a:extLst>
            </xdr:cNvPr>
            <xdr:cNvPicPr/>
          </xdr:nvPicPr>
          <xdr:blipFill>
            <a:blip xmlns:r="http://schemas.openxmlformats.org/officeDocument/2006/relationships" r:embed="rId8"/>
            <a:stretch>
              <a:fillRect/>
            </a:stretch>
          </xdr:blipFill>
          <xdr:spPr>
            <a:xfrm>
              <a:off x="9950040" y="615960"/>
              <a:ext cx="3714480" cy="2427840"/>
            </a:xfrm>
            <a:prstGeom prst="rect">
              <a:avLst/>
            </a:prstGeom>
          </xdr:spPr>
        </xdr:pic>
      </mc:Fallback>
    </mc:AlternateContent>
    <xdr:clientData/>
  </xdr:twoCellAnchor>
  <xdr:twoCellAnchor editAs="oneCell">
    <xdr:from>
      <xdr:col>26</xdr:col>
      <xdr:colOff>429199</xdr:colOff>
      <xdr:row>5</xdr:row>
      <xdr:rowOff>50983</xdr:rowOff>
    </xdr:from>
    <xdr:to>
      <xdr:col>27</xdr:col>
      <xdr:colOff>131171</xdr:colOff>
      <xdr:row>7</xdr:row>
      <xdr:rowOff>178237</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53" name="Input penna 52">
              <a:extLst>
                <a:ext uri="{FF2B5EF4-FFF2-40B4-BE49-F238E27FC236}">
                  <a16:creationId xmlns:a16="http://schemas.microsoft.com/office/drawing/2014/main" id="{85E30CDB-8C95-06B7-D322-15474CC7AEF6}"/>
                </a:ext>
              </a:extLst>
            </xdr14:cNvPr>
            <xdr14:cNvContentPartPr/>
          </xdr14:nvContentPartPr>
          <xdr14:nvPr macro=""/>
          <xdr14:xfrm>
            <a:off x="15364399" y="1003483"/>
            <a:ext cx="311572" cy="517779"/>
          </xdr14:xfrm>
        </xdr:contentPart>
      </mc:Choice>
      <mc:Fallback xmlns="">
        <xdr:pic>
          <xdr:nvPicPr>
            <xdr:cNvPr id="53" name="Input penna 52">
              <a:extLst>
                <a:ext uri="{FF2B5EF4-FFF2-40B4-BE49-F238E27FC236}">
                  <a16:creationId xmlns:a16="http://schemas.microsoft.com/office/drawing/2014/main" id="{85E30CDB-8C95-06B7-D322-15474CC7AEF6}"/>
                </a:ext>
              </a:extLst>
            </xdr:cNvPr>
            <xdr:cNvPicPr/>
          </xdr:nvPicPr>
          <xdr:blipFill>
            <a:blip xmlns:r="http://schemas.openxmlformats.org/officeDocument/2006/relationships" r:embed="rId10"/>
            <a:stretch>
              <a:fillRect/>
            </a:stretch>
          </xdr:blipFill>
          <xdr:spPr>
            <a:xfrm>
              <a:off x="10054100" y="538188"/>
              <a:ext cx="357800" cy="547225"/>
            </a:xfrm>
            <a:prstGeom prst="rect">
              <a:avLst/>
            </a:prstGeom>
          </xdr:spPr>
        </xdr:pic>
      </mc:Fallback>
    </mc:AlternateContent>
    <xdr:clientData/>
  </xdr:twoCellAnchor>
  <xdr:twoCellAnchor editAs="oneCell">
    <xdr:from>
      <xdr:col>31</xdr:col>
      <xdr:colOff>354884</xdr:colOff>
      <xdr:row>13</xdr:row>
      <xdr:rowOff>26505</xdr:rowOff>
    </xdr:from>
    <xdr:to>
      <xdr:col>31</xdr:col>
      <xdr:colOff>528599</xdr:colOff>
      <xdr:row>16</xdr:row>
      <xdr:rowOff>105913</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54" name="Input penna 53">
              <a:extLst>
                <a:ext uri="{FF2B5EF4-FFF2-40B4-BE49-F238E27FC236}">
                  <a16:creationId xmlns:a16="http://schemas.microsoft.com/office/drawing/2014/main" id="{A44C1422-AAE7-E02B-F6D4-C0E4AC2ECC39}"/>
                </a:ext>
              </a:extLst>
            </xdr14:cNvPr>
            <xdr14:cNvContentPartPr/>
          </xdr14:nvContentPartPr>
          <xdr14:nvPr macro=""/>
          <xdr14:xfrm>
            <a:off x="18338084" y="2503005"/>
            <a:ext cx="173715" cy="650908"/>
          </xdr14:xfrm>
        </xdr:contentPart>
      </mc:Choice>
      <mc:Fallback xmlns="">
        <xdr:pic>
          <xdr:nvPicPr>
            <xdr:cNvPr id="54" name="Input penna 53">
              <a:extLst>
                <a:ext uri="{FF2B5EF4-FFF2-40B4-BE49-F238E27FC236}">
                  <a16:creationId xmlns:a16="http://schemas.microsoft.com/office/drawing/2014/main" id="{A44C1422-AAE7-E02B-F6D4-C0E4AC2ECC39}"/>
                </a:ext>
              </a:extLst>
            </xdr:cNvPr>
            <xdr:cNvPicPr/>
          </xdr:nvPicPr>
          <xdr:blipFill>
            <a:blip xmlns:r="http://schemas.openxmlformats.org/officeDocument/2006/relationships" r:embed="rId12"/>
            <a:stretch>
              <a:fillRect/>
            </a:stretch>
          </xdr:blipFill>
          <xdr:spPr>
            <a:xfrm>
              <a:off x="13129560" y="2031840"/>
              <a:ext cx="215280" cy="690840"/>
            </a:xfrm>
            <a:prstGeom prst="rect">
              <a:avLst/>
            </a:prstGeom>
          </xdr:spPr>
        </xdr:pic>
      </mc:Fallback>
    </mc:AlternateContent>
    <xdr:clientData/>
  </xdr:twoCellAnchor>
  <xdr:twoCellAnchor editAs="oneCell">
    <xdr:from>
      <xdr:col>30</xdr:col>
      <xdr:colOff>342733</xdr:colOff>
      <xdr:row>14</xdr:row>
      <xdr:rowOff>180504</xdr:rowOff>
    </xdr:from>
    <xdr:to>
      <xdr:col>31</xdr:col>
      <xdr:colOff>325642</xdr:colOff>
      <xdr:row>16</xdr:row>
      <xdr:rowOff>180305</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55" name="Input penna 54">
              <a:extLst>
                <a:ext uri="{FF2B5EF4-FFF2-40B4-BE49-F238E27FC236}">
                  <a16:creationId xmlns:a16="http://schemas.microsoft.com/office/drawing/2014/main" id="{0F2F5E0E-2E24-2376-9ACC-2B12CF18C3BC}"/>
                </a:ext>
              </a:extLst>
            </xdr14:cNvPr>
            <xdr14:cNvContentPartPr/>
          </xdr14:nvContentPartPr>
          <xdr14:nvPr macro=""/>
          <xdr14:xfrm>
            <a:off x="17716333" y="2847504"/>
            <a:ext cx="592509" cy="388421"/>
          </xdr14:xfrm>
        </xdr:contentPart>
      </mc:Choice>
      <mc:Fallback xmlns="">
        <xdr:pic>
          <xdr:nvPicPr>
            <xdr:cNvPr id="55" name="Input penna 54">
              <a:extLst>
                <a:ext uri="{FF2B5EF4-FFF2-40B4-BE49-F238E27FC236}">
                  <a16:creationId xmlns:a16="http://schemas.microsoft.com/office/drawing/2014/main" id="{0F2F5E0E-2E24-2376-9ACC-2B12CF18C3BC}"/>
                </a:ext>
              </a:extLst>
            </xdr:cNvPr>
            <xdr:cNvPicPr/>
          </xdr:nvPicPr>
          <xdr:blipFill>
            <a:blip xmlns:r="http://schemas.openxmlformats.org/officeDocument/2006/relationships" r:embed="rId14"/>
            <a:stretch>
              <a:fillRect/>
            </a:stretch>
          </xdr:blipFill>
          <xdr:spPr>
            <a:xfrm>
              <a:off x="12486240" y="2382120"/>
              <a:ext cx="648360" cy="419400"/>
            </a:xfrm>
            <a:prstGeom prst="rect">
              <a:avLst/>
            </a:prstGeom>
          </xdr:spPr>
        </xdr:pic>
      </mc:Fallback>
    </mc:AlternateContent>
    <xdr:clientData/>
  </xdr:twoCellAnchor>
  <xdr:twoCellAnchor editAs="oneCell">
    <xdr:from>
      <xdr:col>23</xdr:col>
      <xdr:colOff>517680</xdr:colOff>
      <xdr:row>12</xdr:row>
      <xdr:rowOff>78300</xdr:rowOff>
    </xdr:from>
    <xdr:to>
      <xdr:col>32</xdr:col>
      <xdr:colOff>219540</xdr:colOff>
      <xdr:row>18</xdr:row>
      <xdr:rowOff>156120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65" name="Input penna 64">
              <a:extLst>
                <a:ext uri="{FF2B5EF4-FFF2-40B4-BE49-F238E27FC236}">
                  <a16:creationId xmlns:a16="http://schemas.microsoft.com/office/drawing/2014/main" id="{61AC6EC2-F3CD-9A9A-27FB-3B07B16F1560}"/>
                </a:ext>
              </a:extLst>
            </xdr14:cNvPr>
            <xdr14:cNvContentPartPr/>
          </xdr14:nvContentPartPr>
          <xdr14:nvPr macro=""/>
          <xdr14:xfrm>
            <a:off x="13624080" y="2364300"/>
            <a:ext cx="5241600" cy="1220820"/>
          </xdr14:xfrm>
        </xdr:contentPart>
      </mc:Choice>
      <mc:Fallback xmlns="">
        <xdr:pic>
          <xdr:nvPicPr>
            <xdr:cNvPr id="65" name="Input penna 64">
              <a:extLst>
                <a:ext uri="{FF2B5EF4-FFF2-40B4-BE49-F238E27FC236}">
                  <a16:creationId xmlns:a16="http://schemas.microsoft.com/office/drawing/2014/main" id="{61AC6EC2-F3CD-9A9A-27FB-3B07B16F1560}"/>
                </a:ext>
              </a:extLst>
            </xdr:cNvPr>
            <xdr:cNvPicPr/>
          </xdr:nvPicPr>
          <xdr:blipFill>
            <a:blip xmlns:r="http://schemas.openxmlformats.org/officeDocument/2006/relationships" r:embed="rId16"/>
            <a:stretch>
              <a:fillRect/>
            </a:stretch>
          </xdr:blipFill>
          <xdr:spPr>
            <a:xfrm>
              <a:off x="13164120" y="2278080"/>
              <a:ext cx="970200" cy="872280"/>
            </a:xfrm>
            <a:prstGeom prst="rect">
              <a:avLst/>
            </a:prstGeom>
          </xdr:spPr>
        </xdr:pic>
      </mc:Fallback>
    </mc:AlternateContent>
    <xdr:clientData/>
  </xdr:twoCellAnchor>
  <xdr:twoCellAnchor editAs="oneCell">
    <xdr:from>
      <xdr:col>25</xdr:col>
      <xdr:colOff>280931</xdr:colOff>
      <xdr:row>8</xdr:row>
      <xdr:rowOff>396</xdr:rowOff>
    </xdr:from>
    <xdr:to>
      <xdr:col>31</xdr:col>
      <xdr:colOff>473518</xdr:colOff>
      <xdr:row>23</xdr:row>
      <xdr:rowOff>26333</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81" name="Input penna 80">
              <a:extLst>
                <a:ext uri="{FF2B5EF4-FFF2-40B4-BE49-F238E27FC236}">
                  <a16:creationId xmlns:a16="http://schemas.microsoft.com/office/drawing/2014/main" id="{31114123-659A-B47D-B702-95E0AF7F6587}"/>
                </a:ext>
              </a:extLst>
            </xdr14:cNvPr>
            <xdr14:cNvContentPartPr/>
          </xdr14:nvContentPartPr>
          <xdr14:nvPr macro=""/>
          <xdr14:xfrm>
            <a:off x="14606531" y="1524396"/>
            <a:ext cx="3903527" cy="2883437"/>
          </xdr14:xfrm>
        </xdr:contentPart>
      </mc:Choice>
      <mc:Fallback xmlns="">
        <xdr:pic>
          <xdr:nvPicPr>
            <xdr:cNvPr id="81" name="Input penna 80">
              <a:extLst>
                <a:ext uri="{FF2B5EF4-FFF2-40B4-BE49-F238E27FC236}">
                  <a16:creationId xmlns:a16="http://schemas.microsoft.com/office/drawing/2014/main" id="{31114123-659A-B47D-B702-95E0AF7F6587}"/>
                </a:ext>
              </a:extLst>
            </xdr:cNvPr>
            <xdr:cNvPicPr/>
          </xdr:nvPicPr>
          <xdr:blipFill>
            <a:blip xmlns:r="http://schemas.openxmlformats.org/officeDocument/2006/relationships" r:embed="rId18"/>
            <a:stretch>
              <a:fillRect/>
            </a:stretch>
          </xdr:blipFill>
          <xdr:spPr>
            <a:xfrm>
              <a:off x="9325080" y="1061999"/>
              <a:ext cx="4054320" cy="2909882"/>
            </a:xfrm>
            <a:prstGeom prst="rect">
              <a:avLst/>
            </a:prstGeom>
          </xdr:spPr>
        </xdr:pic>
      </mc:Fallback>
    </mc:AlternateContent>
    <xdr:clientData/>
  </xdr:twoCellAnchor>
  <xdr:twoCellAnchor editAs="oneCell">
    <xdr:from>
      <xdr:col>25</xdr:col>
      <xdr:colOff>450120</xdr:colOff>
      <xdr:row>11</xdr:row>
      <xdr:rowOff>173303</xdr:rowOff>
    </xdr:from>
    <xdr:to>
      <xdr:col>28</xdr:col>
      <xdr:colOff>528621</xdr:colOff>
      <xdr:row>20</xdr:row>
      <xdr:rowOff>146807</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87" name="Input penna 86">
              <a:extLst>
                <a:ext uri="{FF2B5EF4-FFF2-40B4-BE49-F238E27FC236}">
                  <a16:creationId xmlns:a16="http://schemas.microsoft.com/office/drawing/2014/main" id="{E923A387-D745-24B0-5FDD-6CE5EE3B737F}"/>
                </a:ext>
              </a:extLst>
            </xdr14:cNvPr>
            <xdr14:cNvContentPartPr/>
          </xdr14:nvContentPartPr>
          <xdr14:nvPr macro=""/>
          <xdr14:xfrm>
            <a:off x="14775720" y="2268803"/>
            <a:ext cx="1960641" cy="1688004"/>
          </xdr14:xfrm>
        </xdr:contentPart>
      </mc:Choice>
      <mc:Fallback xmlns="">
        <xdr:pic>
          <xdr:nvPicPr>
            <xdr:cNvPr id="87" name="Input penna 86">
              <a:extLst>
                <a:ext uri="{FF2B5EF4-FFF2-40B4-BE49-F238E27FC236}">
                  <a16:creationId xmlns:a16="http://schemas.microsoft.com/office/drawing/2014/main" id="{E923A387-D745-24B0-5FDD-6CE5EE3B737F}"/>
                </a:ext>
              </a:extLst>
            </xdr:cNvPr>
            <xdr:cNvPicPr/>
          </xdr:nvPicPr>
          <xdr:blipFill>
            <a:blip xmlns:r="http://schemas.openxmlformats.org/officeDocument/2006/relationships" r:embed="rId20"/>
            <a:stretch>
              <a:fillRect/>
            </a:stretch>
          </xdr:blipFill>
          <xdr:spPr>
            <a:xfrm>
              <a:off x="9500040" y="1811880"/>
              <a:ext cx="2045160" cy="1703520"/>
            </a:xfrm>
            <a:prstGeom prst="rect">
              <a:avLst/>
            </a:prstGeom>
          </xdr:spPr>
        </xdr:pic>
      </mc:Fallback>
    </mc:AlternateContent>
    <xdr:clientData/>
  </xdr:twoCellAnchor>
  <xdr:twoCellAnchor editAs="oneCell">
    <xdr:from>
      <xdr:col>26</xdr:col>
      <xdr:colOff>98828</xdr:colOff>
      <xdr:row>12</xdr:row>
      <xdr:rowOff>149410</xdr:rowOff>
    </xdr:from>
    <xdr:to>
      <xdr:col>26</xdr:col>
      <xdr:colOff>362359</xdr:colOff>
      <xdr:row>13</xdr:row>
      <xdr:rowOff>113478</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3" name="Input penna 2">
              <a:extLst>
                <a:ext uri="{FF2B5EF4-FFF2-40B4-BE49-F238E27FC236}">
                  <a16:creationId xmlns:a16="http://schemas.microsoft.com/office/drawing/2014/main" id="{ABF9A0C2-5A1C-8577-823D-2261808E6E68}"/>
                </a:ext>
              </a:extLst>
            </xdr14:cNvPr>
            <xdr14:cNvContentPartPr/>
          </xdr14:nvContentPartPr>
          <xdr14:nvPr macro=""/>
          <xdr14:xfrm>
            <a:off x="15034028" y="2435410"/>
            <a:ext cx="263531" cy="154568"/>
          </xdr14:xfrm>
        </xdr:contentPart>
      </mc:Choice>
      <mc:Fallback xmlns="">
        <xdr:pic>
          <xdr:nvPicPr>
            <xdr:cNvPr id="3" name="Input penna 2">
              <a:extLst>
                <a:ext uri="{FF2B5EF4-FFF2-40B4-BE49-F238E27FC236}">
                  <a16:creationId xmlns:a16="http://schemas.microsoft.com/office/drawing/2014/main" id="{ABF9A0C2-5A1C-8577-823D-2261808E6E68}"/>
                </a:ext>
              </a:extLst>
            </xdr:cNvPr>
            <xdr:cNvPicPr/>
          </xdr:nvPicPr>
          <xdr:blipFill>
            <a:blip xmlns:r="http://schemas.openxmlformats.org/officeDocument/2006/relationships" r:embed="rId22"/>
            <a:stretch>
              <a:fillRect/>
            </a:stretch>
          </xdr:blipFill>
          <xdr:spPr>
            <a:xfrm>
              <a:off x="9767160" y="1978560"/>
              <a:ext cx="290160" cy="177480"/>
            </a:xfrm>
            <a:prstGeom prst="rect">
              <a:avLst/>
            </a:prstGeom>
          </xdr:spPr>
        </xdr:pic>
      </mc:Fallback>
    </mc:AlternateContent>
    <xdr:clientData/>
  </xdr:twoCellAnchor>
  <xdr:twoCellAnchor editAs="oneCell">
    <xdr:from>
      <xdr:col>30</xdr:col>
      <xdr:colOff>534202</xdr:colOff>
      <xdr:row>20</xdr:row>
      <xdr:rowOff>21104</xdr:rowOff>
    </xdr:from>
    <xdr:to>
      <xdr:col>31</xdr:col>
      <xdr:colOff>185348</xdr:colOff>
      <xdr:row>21</xdr:row>
      <xdr:rowOff>122740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6" name="Input penna 5">
              <a:extLst>
                <a:ext uri="{FF2B5EF4-FFF2-40B4-BE49-F238E27FC236}">
                  <a16:creationId xmlns:a16="http://schemas.microsoft.com/office/drawing/2014/main" id="{D29631EE-E2E6-57B4-B19D-83D08C7180DC}"/>
                </a:ext>
              </a:extLst>
            </xdr14:cNvPr>
            <xdr14:cNvContentPartPr/>
          </xdr14:nvContentPartPr>
          <xdr14:nvPr macro=""/>
          <xdr14:xfrm>
            <a:off x="17907802" y="3831104"/>
            <a:ext cx="260746" cy="292136"/>
          </xdr14:xfrm>
        </xdr:contentPart>
      </mc:Choice>
      <mc:Fallback xmlns="">
        <xdr:pic>
          <xdr:nvPicPr>
            <xdr:cNvPr id="6" name="Input penna 5">
              <a:extLst>
                <a:ext uri="{FF2B5EF4-FFF2-40B4-BE49-F238E27FC236}">
                  <a16:creationId xmlns:a16="http://schemas.microsoft.com/office/drawing/2014/main" id="{D29631EE-E2E6-57B4-B19D-83D08C7180DC}"/>
                </a:ext>
              </a:extLst>
            </xdr:cNvPr>
            <xdr:cNvPicPr/>
          </xdr:nvPicPr>
          <xdr:blipFill>
            <a:blip xmlns:r="http://schemas.openxmlformats.org/officeDocument/2006/relationships" r:embed="rId24"/>
            <a:stretch>
              <a:fillRect/>
            </a:stretch>
          </xdr:blipFill>
          <xdr:spPr>
            <a:xfrm>
              <a:off x="12738960" y="3351240"/>
              <a:ext cx="287280" cy="307800"/>
            </a:xfrm>
            <a:prstGeom prst="rect">
              <a:avLst/>
            </a:prstGeom>
          </xdr:spPr>
        </xdr:pic>
      </mc:Fallback>
    </mc:AlternateContent>
    <xdr:clientData/>
  </xdr:twoCellAnchor>
  <xdr:twoCellAnchor editAs="oneCell">
    <xdr:from>
      <xdr:col>28</xdr:col>
      <xdr:colOff>537400</xdr:colOff>
      <xdr:row>3</xdr:row>
      <xdr:rowOff>20992</xdr:rowOff>
    </xdr:from>
    <xdr:to>
      <xdr:col>31</xdr:col>
      <xdr:colOff>323204</xdr:colOff>
      <xdr:row>9</xdr:row>
      <xdr:rowOff>164287</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5" name="Input penna 24">
              <a:extLst>
                <a:ext uri="{FF2B5EF4-FFF2-40B4-BE49-F238E27FC236}">
                  <a16:creationId xmlns:a16="http://schemas.microsoft.com/office/drawing/2014/main" id="{15059630-A3FE-6375-9FE6-0BE070BE5ECB}"/>
                </a:ext>
              </a:extLst>
            </xdr14:cNvPr>
            <xdr14:cNvContentPartPr/>
          </xdr14:nvContentPartPr>
          <xdr14:nvPr macro=""/>
          <xdr14:xfrm>
            <a:off x="16691800" y="592492"/>
            <a:ext cx="1614604" cy="1286295"/>
          </xdr14:xfrm>
        </xdr:contentPart>
      </mc:Choice>
      <mc:Fallback xmlns="">
        <xdr:pic>
          <xdr:nvPicPr>
            <xdr:cNvPr id="25" name="Input penna 24">
              <a:extLst>
                <a:ext uri="{FF2B5EF4-FFF2-40B4-BE49-F238E27FC236}">
                  <a16:creationId xmlns:a16="http://schemas.microsoft.com/office/drawing/2014/main" id="{15059630-A3FE-6375-9FE6-0BE070BE5ECB}"/>
                </a:ext>
              </a:extLst>
            </xdr:cNvPr>
            <xdr:cNvPicPr/>
          </xdr:nvPicPr>
          <xdr:blipFill>
            <a:blip xmlns:r="http://schemas.openxmlformats.org/officeDocument/2006/relationships" r:embed="rId26"/>
            <a:stretch>
              <a:fillRect/>
            </a:stretch>
          </xdr:blipFill>
          <xdr:spPr>
            <a:xfrm>
              <a:off x="11481480" y="128160"/>
              <a:ext cx="1687320" cy="1317960"/>
            </a:xfrm>
            <a:prstGeom prst="rect">
              <a:avLst/>
            </a:prstGeom>
          </xdr:spPr>
        </xdr:pic>
      </mc:Fallback>
    </mc:AlternateContent>
    <xdr:clientData/>
  </xdr:twoCellAnchor>
  <xdr:twoCellAnchor editAs="oneCell">
    <xdr:from>
      <xdr:col>28</xdr:col>
      <xdr:colOff>183821</xdr:colOff>
      <xdr:row>6</xdr:row>
      <xdr:rowOff>81601</xdr:rowOff>
    </xdr:from>
    <xdr:to>
      <xdr:col>28</xdr:col>
      <xdr:colOff>451877</xdr:colOff>
      <xdr:row>10</xdr:row>
      <xdr:rowOff>28297</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9" name="Input penna 8">
              <a:extLst>
                <a:ext uri="{FF2B5EF4-FFF2-40B4-BE49-F238E27FC236}">
                  <a16:creationId xmlns:a16="http://schemas.microsoft.com/office/drawing/2014/main" id="{11B7308F-434E-9E11-EDC5-EB41D360D08F}"/>
                </a:ext>
              </a:extLst>
            </xdr14:cNvPr>
            <xdr14:cNvContentPartPr/>
          </xdr14:nvContentPartPr>
          <xdr14:nvPr macro=""/>
          <xdr14:xfrm>
            <a:off x="16338221" y="1224601"/>
            <a:ext cx="268056" cy="708696"/>
          </xdr14:xfrm>
        </xdr:contentPart>
      </mc:Choice>
      <mc:Fallback xmlns="">
        <xdr:pic>
          <xdr:nvPicPr>
            <xdr:cNvPr id="9" name="Input penna 8">
              <a:extLst>
                <a:ext uri="{FF2B5EF4-FFF2-40B4-BE49-F238E27FC236}">
                  <a16:creationId xmlns:a16="http://schemas.microsoft.com/office/drawing/2014/main" id="{11B7308F-434E-9E11-EDC5-EB41D360D08F}"/>
                </a:ext>
              </a:extLst>
            </xdr:cNvPr>
            <xdr:cNvPicPr/>
          </xdr:nvPicPr>
          <xdr:blipFill>
            <a:blip xmlns:r="http://schemas.openxmlformats.org/officeDocument/2006/relationships" r:embed="rId28"/>
            <a:stretch>
              <a:fillRect/>
            </a:stretch>
          </xdr:blipFill>
          <xdr:spPr>
            <a:xfrm>
              <a:off x="16329586" y="1215603"/>
              <a:ext cx="285687" cy="726332"/>
            </a:xfrm>
            <a:prstGeom prst="rect">
              <a:avLst/>
            </a:prstGeom>
          </xdr:spPr>
        </xdr:pic>
      </mc:Fallback>
    </mc:AlternateContent>
    <xdr:clientData/>
  </xdr:twoCellAnchor>
  <xdr:twoCellAnchor editAs="oneCell">
    <xdr:from>
      <xdr:col>31</xdr:col>
      <xdr:colOff>535677</xdr:colOff>
      <xdr:row>11</xdr:row>
      <xdr:rowOff>127641</xdr:rowOff>
    </xdr:from>
    <xdr:to>
      <xdr:col>32</xdr:col>
      <xdr:colOff>303793</xdr:colOff>
      <xdr:row>15</xdr:row>
      <xdr:rowOff>56728</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4" name="Input penna 13">
              <a:extLst>
                <a:ext uri="{FF2B5EF4-FFF2-40B4-BE49-F238E27FC236}">
                  <a16:creationId xmlns:a16="http://schemas.microsoft.com/office/drawing/2014/main" id="{F5BCC9FE-831F-FCA2-56AD-E2E8E7D36DBD}"/>
                </a:ext>
              </a:extLst>
            </xdr14:cNvPr>
            <xdr14:cNvContentPartPr/>
          </xdr14:nvContentPartPr>
          <xdr14:nvPr macro=""/>
          <xdr14:xfrm>
            <a:off x="18518877" y="2223141"/>
            <a:ext cx="377716" cy="691087"/>
          </xdr14:xfrm>
        </xdr:contentPart>
      </mc:Choice>
      <mc:Fallback xmlns="">
        <xdr:pic>
          <xdr:nvPicPr>
            <xdr:cNvPr id="14" name="Input penna 13">
              <a:extLst>
                <a:ext uri="{FF2B5EF4-FFF2-40B4-BE49-F238E27FC236}">
                  <a16:creationId xmlns:a16="http://schemas.microsoft.com/office/drawing/2014/main" id="{F5BCC9FE-831F-FCA2-56AD-E2E8E7D36DBD}"/>
                </a:ext>
              </a:extLst>
            </xdr:cNvPr>
            <xdr:cNvPicPr/>
          </xdr:nvPicPr>
          <xdr:blipFill>
            <a:blip xmlns:r="http://schemas.openxmlformats.org/officeDocument/2006/relationships" r:embed="rId30"/>
            <a:stretch>
              <a:fillRect/>
            </a:stretch>
          </xdr:blipFill>
          <xdr:spPr>
            <a:xfrm>
              <a:off x="18509884" y="2213985"/>
              <a:ext cx="395343" cy="709033"/>
            </a:xfrm>
            <a:prstGeom prst="rect">
              <a:avLst/>
            </a:prstGeom>
          </xdr:spPr>
        </xdr:pic>
      </mc:Fallback>
    </mc:AlternateContent>
    <xdr:clientData/>
  </xdr:twoCellAnchor>
  <xdr:twoCellAnchor>
    <xdr:from>
      <xdr:col>12</xdr:col>
      <xdr:colOff>601980</xdr:colOff>
      <xdr:row>0</xdr:row>
      <xdr:rowOff>140970</xdr:rowOff>
    </xdr:from>
    <xdr:to>
      <xdr:col>20</xdr:col>
      <xdr:colOff>38100</xdr:colOff>
      <xdr:row>15</xdr:row>
      <xdr:rowOff>87630</xdr:rowOff>
    </xdr:to>
    <xdr:graphicFrame macro="">
      <xdr:nvGraphicFramePr>
        <xdr:cNvPr id="18" name="Grafico 17">
          <a:extLst>
            <a:ext uri="{FF2B5EF4-FFF2-40B4-BE49-F238E27FC236}">
              <a16:creationId xmlns:a16="http://schemas.microsoft.com/office/drawing/2014/main" id="{9E335E6D-C1FC-6D49-8090-8B62B8B9DEB4}"/>
            </a:ext>
            <a:ext uri="{147F2762-F138-4A5C-976F-8EAC2B608ADB}">
              <a16:predDERef xmlns:a16="http://schemas.microsoft.com/office/drawing/2014/main" pred="{F5BCC9FE-831F-FCA2-56AD-E2E8E7D36D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12</xdr:col>
      <xdr:colOff>0</xdr:colOff>
      <xdr:row>16</xdr:row>
      <xdr:rowOff>11430</xdr:rowOff>
    </xdr:from>
    <xdr:to>
      <xdr:col>19</xdr:col>
      <xdr:colOff>45720</xdr:colOff>
      <xdr:row>31</xdr:row>
      <xdr:rowOff>11430</xdr:rowOff>
    </xdr:to>
    <xdr:graphicFrame macro="">
      <xdr:nvGraphicFramePr>
        <xdr:cNvPr id="19" name="Grafico 18">
          <a:extLst>
            <a:ext uri="{FF2B5EF4-FFF2-40B4-BE49-F238E27FC236}">
              <a16:creationId xmlns:a16="http://schemas.microsoft.com/office/drawing/2014/main" id="{B7A5DBCA-CE84-94CE-6630-1CA3BDFA2AA3}"/>
            </a:ext>
            <a:ext uri="{147F2762-F138-4A5C-976F-8EAC2B608ADB}">
              <a16:predDERef xmlns:a16="http://schemas.microsoft.com/office/drawing/2014/main" pred="{9E335E6D-C1FC-6D49-8090-8B62B8B9DE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editAs="oneCell">
    <xdr:from>
      <xdr:col>32</xdr:col>
      <xdr:colOff>19955</xdr:colOff>
      <xdr:row>18</xdr:row>
      <xdr:rowOff>36660</xdr:rowOff>
    </xdr:from>
    <xdr:to>
      <xdr:col>32</xdr:col>
      <xdr:colOff>457200</xdr:colOff>
      <xdr:row>20</xdr:row>
      <xdr:rowOff>42341</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2" name="Input penna 1">
              <a:extLst>
                <a:ext uri="{FF2B5EF4-FFF2-40B4-BE49-F238E27FC236}">
                  <a16:creationId xmlns:a16="http://schemas.microsoft.com/office/drawing/2014/main" id="{ACBBDC2A-0CBB-4F9E-B3B6-85EA3EFD3FAF}"/>
                </a:ext>
              </a:extLst>
            </xdr14:cNvPr>
            <xdr14:cNvContentPartPr/>
          </xdr14:nvContentPartPr>
          <xdr14:nvPr macro=""/>
          <xdr14:xfrm>
            <a:off x="18612755" y="3465660"/>
            <a:ext cx="437245" cy="386681"/>
          </xdr14:xfrm>
        </xdr:contentPart>
      </mc:Choice>
      <mc:Fallback xmlns="">
        <xdr:pic>
          <xdr:nvPicPr>
            <xdr:cNvPr id="24" name="Input penna 23">
              <a:extLst>
                <a:ext uri="{FF2B5EF4-FFF2-40B4-BE49-F238E27FC236}">
                  <a16:creationId xmlns:a16="http://schemas.microsoft.com/office/drawing/2014/main" id="{04A68133-4FF2-39F1-9E13-BC265FF6BCBB}"/>
                </a:ext>
              </a:extLst>
            </xdr:cNvPr>
            <xdr:cNvPicPr/>
          </xdr:nvPicPr>
          <xdr:blipFill>
            <a:blip xmlns:r="http://schemas.openxmlformats.org/officeDocument/2006/relationships" r:embed="rId34"/>
            <a:stretch>
              <a:fillRect/>
            </a:stretch>
          </xdr:blipFill>
          <xdr:spPr>
            <a:xfrm>
              <a:off x="13422240" y="2991240"/>
              <a:ext cx="469800" cy="399600"/>
            </a:xfrm>
            <a:prstGeom prst="rect">
              <a:avLst/>
            </a:prstGeom>
          </xdr:spPr>
        </xdr:pic>
      </mc:Fallback>
    </mc:AlternateContent>
    <xdr:clientData/>
  </xdr:twoCellAnchor>
  <xdr:twoCellAnchor editAs="oneCell">
    <xdr:from>
      <xdr:col>26</xdr:col>
      <xdr:colOff>246086</xdr:colOff>
      <xdr:row>2</xdr:row>
      <xdr:rowOff>167280</xdr:rowOff>
    </xdr:from>
    <xdr:to>
      <xdr:col>26</xdr:col>
      <xdr:colOff>392647</xdr:colOff>
      <xdr:row>5</xdr:row>
      <xdr:rowOff>84751</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4" name="Input penna 3">
              <a:extLst>
                <a:ext uri="{FF2B5EF4-FFF2-40B4-BE49-F238E27FC236}">
                  <a16:creationId xmlns:a16="http://schemas.microsoft.com/office/drawing/2014/main" id="{C6B01A7A-DF0D-4137-A989-D388CB259940}"/>
                </a:ext>
              </a:extLst>
            </xdr14:cNvPr>
            <xdr14:cNvContentPartPr/>
          </xdr14:nvContentPartPr>
          <xdr14:nvPr macro=""/>
          <xdr14:xfrm>
            <a:off x="15181286" y="548280"/>
            <a:ext cx="146561" cy="488971"/>
          </xdr14:xfrm>
        </xdr:contentPart>
      </mc:Choice>
      <mc:Fallback xmlns="">
        <xdr:pic>
          <xdr:nvPicPr>
            <xdr:cNvPr id="38" name="Input penna 37">
              <a:extLst>
                <a:ext uri="{FF2B5EF4-FFF2-40B4-BE49-F238E27FC236}">
                  <a16:creationId xmlns:a16="http://schemas.microsoft.com/office/drawing/2014/main" id="{A989613D-59C3-D640-462A-74092E9D526F}"/>
                </a:ext>
              </a:extLst>
            </xdr:cNvPr>
            <xdr:cNvPicPr/>
          </xdr:nvPicPr>
          <xdr:blipFill>
            <a:blip xmlns:r="http://schemas.openxmlformats.org/officeDocument/2006/relationships" r:embed="rId36"/>
            <a:stretch>
              <a:fillRect/>
            </a:stretch>
          </xdr:blipFill>
          <xdr:spPr>
            <a:xfrm>
              <a:off x="9865080" y="73440"/>
              <a:ext cx="187200" cy="535320"/>
            </a:xfrm>
            <a:prstGeom prst="rect">
              <a:avLst/>
            </a:prstGeom>
          </xdr:spPr>
        </xdr:pic>
      </mc:Fallback>
    </mc:AlternateContent>
    <xdr:clientData/>
  </xdr:twoCellAnchor>
  <xdr:twoCellAnchor editAs="oneCell">
    <xdr:from>
      <xdr:col>24</xdr:col>
      <xdr:colOff>426480</xdr:colOff>
      <xdr:row>5</xdr:row>
      <xdr:rowOff>65295</xdr:rowOff>
    </xdr:from>
    <xdr:to>
      <xdr:col>26</xdr:col>
      <xdr:colOff>263371</xdr:colOff>
      <xdr:row>8</xdr:row>
      <xdr:rowOff>3877</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5" name="Input penna 4">
              <a:extLst>
                <a:ext uri="{FF2B5EF4-FFF2-40B4-BE49-F238E27FC236}">
                  <a16:creationId xmlns:a16="http://schemas.microsoft.com/office/drawing/2014/main" id="{6187926B-DAF0-426A-B587-5CD6F572578D}"/>
                </a:ext>
              </a:extLst>
            </xdr14:cNvPr>
            <xdr14:cNvContentPartPr/>
          </xdr14:nvContentPartPr>
          <xdr14:nvPr macro=""/>
          <xdr14:xfrm>
            <a:off x="14142480" y="1017795"/>
            <a:ext cx="1110519" cy="510082"/>
          </xdr14:xfrm>
        </xdr:contentPart>
      </mc:Choice>
      <mc:Fallback xmlns="">
        <xdr:pic>
          <xdr:nvPicPr>
            <xdr:cNvPr id="40" name="Input penna 39">
              <a:extLst>
                <a:ext uri="{FF2B5EF4-FFF2-40B4-BE49-F238E27FC236}">
                  <a16:creationId xmlns:a16="http://schemas.microsoft.com/office/drawing/2014/main" id="{612DF23C-992B-C2BD-4466-EB634D34BAAB}"/>
                </a:ext>
              </a:extLst>
            </xdr:cNvPr>
            <xdr:cNvPicPr/>
          </xdr:nvPicPr>
          <xdr:blipFill>
            <a:blip xmlns:r="http://schemas.openxmlformats.org/officeDocument/2006/relationships" r:embed="rId38"/>
            <a:stretch>
              <a:fillRect/>
            </a:stretch>
          </xdr:blipFill>
          <xdr:spPr>
            <a:xfrm>
              <a:off x="8790480" y="560880"/>
              <a:ext cx="1184040" cy="531360"/>
            </a:xfrm>
            <a:prstGeom prst="rect">
              <a:avLst/>
            </a:prstGeom>
          </xdr:spPr>
        </xdr:pic>
      </mc:Fallback>
    </mc:AlternateContent>
    <xdr:clientData/>
  </xdr:twoCellAnchor>
  <xdr:twoCellAnchor editAs="oneCell">
    <xdr:from>
      <xdr:col>26</xdr:col>
      <xdr:colOff>319888</xdr:colOff>
      <xdr:row>5</xdr:row>
      <xdr:rowOff>123248</xdr:rowOff>
    </xdr:from>
    <xdr:to>
      <xdr:col>32</xdr:col>
      <xdr:colOff>239952</xdr:colOff>
      <xdr:row>18</xdr:row>
      <xdr:rowOff>40953</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7" name="Input penna 6">
              <a:extLst>
                <a:ext uri="{FF2B5EF4-FFF2-40B4-BE49-F238E27FC236}">
                  <a16:creationId xmlns:a16="http://schemas.microsoft.com/office/drawing/2014/main" id="{E8913BB2-925A-46E6-B269-3AFA96B64C2C}"/>
                </a:ext>
              </a:extLst>
            </xdr14:cNvPr>
            <xdr14:cNvContentPartPr/>
          </xdr14:nvContentPartPr>
          <xdr14:nvPr macro=""/>
          <xdr14:xfrm>
            <a:off x="15255088" y="1075748"/>
            <a:ext cx="3574897" cy="2394205"/>
          </xdr14:xfrm>
        </xdr:contentPart>
      </mc:Choice>
      <mc:Fallback xmlns="">
        <xdr:pic>
          <xdr:nvPicPr>
            <xdr:cNvPr id="48" name="Input penna 47">
              <a:extLst>
                <a:ext uri="{FF2B5EF4-FFF2-40B4-BE49-F238E27FC236}">
                  <a16:creationId xmlns:a16="http://schemas.microsoft.com/office/drawing/2014/main" id="{9416C6EC-41D9-F94A-B1A2-A3190C77F8EC}"/>
                </a:ext>
              </a:extLst>
            </xdr:cNvPr>
            <xdr:cNvPicPr/>
          </xdr:nvPicPr>
          <xdr:blipFill>
            <a:blip xmlns:r="http://schemas.openxmlformats.org/officeDocument/2006/relationships" r:embed="rId40"/>
            <a:stretch>
              <a:fillRect/>
            </a:stretch>
          </xdr:blipFill>
          <xdr:spPr>
            <a:xfrm>
              <a:off x="9950040" y="615960"/>
              <a:ext cx="3714480" cy="2427840"/>
            </a:xfrm>
            <a:prstGeom prst="rect">
              <a:avLst/>
            </a:prstGeom>
          </xdr:spPr>
        </xdr:pic>
      </mc:Fallback>
    </mc:AlternateContent>
    <xdr:clientData/>
  </xdr:twoCellAnchor>
  <xdr:twoCellAnchor editAs="oneCell">
    <xdr:from>
      <xdr:col>26</xdr:col>
      <xdr:colOff>429199</xdr:colOff>
      <xdr:row>5</xdr:row>
      <xdr:rowOff>50983</xdr:rowOff>
    </xdr:from>
    <xdr:to>
      <xdr:col>27</xdr:col>
      <xdr:colOff>131171</xdr:colOff>
      <xdr:row>7</xdr:row>
      <xdr:rowOff>178237</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8" name="Input penna 7">
              <a:extLst>
                <a:ext uri="{FF2B5EF4-FFF2-40B4-BE49-F238E27FC236}">
                  <a16:creationId xmlns:a16="http://schemas.microsoft.com/office/drawing/2014/main" id="{752FC5E1-26A9-410A-92AC-3E6103409197}"/>
                </a:ext>
              </a:extLst>
            </xdr14:cNvPr>
            <xdr14:cNvContentPartPr/>
          </xdr14:nvContentPartPr>
          <xdr14:nvPr macro=""/>
          <xdr14:xfrm>
            <a:off x="15364399" y="1003483"/>
            <a:ext cx="311572" cy="517779"/>
          </xdr14:xfrm>
        </xdr:contentPart>
      </mc:Choice>
      <mc:Fallback xmlns="">
        <xdr:pic>
          <xdr:nvPicPr>
            <xdr:cNvPr id="53" name="Input penna 52">
              <a:extLst>
                <a:ext uri="{FF2B5EF4-FFF2-40B4-BE49-F238E27FC236}">
                  <a16:creationId xmlns:a16="http://schemas.microsoft.com/office/drawing/2014/main" id="{85E30CDB-8C95-06B7-D322-15474CC7AEF6}"/>
                </a:ext>
              </a:extLst>
            </xdr:cNvPr>
            <xdr:cNvPicPr/>
          </xdr:nvPicPr>
          <xdr:blipFill>
            <a:blip xmlns:r="http://schemas.openxmlformats.org/officeDocument/2006/relationships" r:embed="rId42"/>
            <a:stretch>
              <a:fillRect/>
            </a:stretch>
          </xdr:blipFill>
          <xdr:spPr>
            <a:xfrm>
              <a:off x="10054100" y="538188"/>
              <a:ext cx="357800" cy="547225"/>
            </a:xfrm>
            <a:prstGeom prst="rect">
              <a:avLst/>
            </a:prstGeom>
          </xdr:spPr>
        </xdr:pic>
      </mc:Fallback>
    </mc:AlternateContent>
    <xdr:clientData/>
  </xdr:twoCellAnchor>
  <xdr:twoCellAnchor editAs="oneCell">
    <xdr:from>
      <xdr:col>31</xdr:col>
      <xdr:colOff>354884</xdr:colOff>
      <xdr:row>13</xdr:row>
      <xdr:rowOff>26505</xdr:rowOff>
    </xdr:from>
    <xdr:to>
      <xdr:col>31</xdr:col>
      <xdr:colOff>528599</xdr:colOff>
      <xdr:row>16</xdr:row>
      <xdr:rowOff>105913</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0" name="Input penna 9">
              <a:extLst>
                <a:ext uri="{FF2B5EF4-FFF2-40B4-BE49-F238E27FC236}">
                  <a16:creationId xmlns:a16="http://schemas.microsoft.com/office/drawing/2014/main" id="{41243AFE-B970-427F-B90A-5B9C0BD010AD}"/>
                </a:ext>
              </a:extLst>
            </xdr14:cNvPr>
            <xdr14:cNvContentPartPr/>
          </xdr14:nvContentPartPr>
          <xdr14:nvPr macro=""/>
          <xdr14:xfrm>
            <a:off x="18338084" y="2503005"/>
            <a:ext cx="173715" cy="650908"/>
          </xdr14:xfrm>
        </xdr:contentPart>
      </mc:Choice>
      <mc:Fallback xmlns="">
        <xdr:pic>
          <xdr:nvPicPr>
            <xdr:cNvPr id="54" name="Input penna 53">
              <a:extLst>
                <a:ext uri="{FF2B5EF4-FFF2-40B4-BE49-F238E27FC236}">
                  <a16:creationId xmlns:a16="http://schemas.microsoft.com/office/drawing/2014/main" id="{A44C1422-AAE7-E02B-F6D4-C0E4AC2ECC39}"/>
                </a:ext>
              </a:extLst>
            </xdr:cNvPr>
            <xdr:cNvPicPr/>
          </xdr:nvPicPr>
          <xdr:blipFill>
            <a:blip xmlns:r="http://schemas.openxmlformats.org/officeDocument/2006/relationships" r:embed="rId44"/>
            <a:stretch>
              <a:fillRect/>
            </a:stretch>
          </xdr:blipFill>
          <xdr:spPr>
            <a:xfrm>
              <a:off x="13129560" y="2031840"/>
              <a:ext cx="215280" cy="690840"/>
            </a:xfrm>
            <a:prstGeom prst="rect">
              <a:avLst/>
            </a:prstGeom>
          </xdr:spPr>
        </xdr:pic>
      </mc:Fallback>
    </mc:AlternateContent>
    <xdr:clientData/>
  </xdr:twoCellAnchor>
  <xdr:twoCellAnchor editAs="oneCell">
    <xdr:from>
      <xdr:col>30</xdr:col>
      <xdr:colOff>342733</xdr:colOff>
      <xdr:row>14</xdr:row>
      <xdr:rowOff>180504</xdr:rowOff>
    </xdr:from>
    <xdr:to>
      <xdr:col>31</xdr:col>
      <xdr:colOff>325642</xdr:colOff>
      <xdr:row>17</xdr:row>
      <xdr:rowOff>1011</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1" name="Input penna 10">
              <a:extLst>
                <a:ext uri="{FF2B5EF4-FFF2-40B4-BE49-F238E27FC236}">
                  <a16:creationId xmlns:a16="http://schemas.microsoft.com/office/drawing/2014/main" id="{8AB5E62F-3CFB-48A9-813A-5BE63721F784}"/>
                </a:ext>
              </a:extLst>
            </xdr14:cNvPr>
            <xdr14:cNvContentPartPr/>
          </xdr14:nvContentPartPr>
          <xdr14:nvPr macro=""/>
          <xdr14:xfrm>
            <a:off x="17716333" y="2847504"/>
            <a:ext cx="592509" cy="388421"/>
          </xdr14:xfrm>
        </xdr:contentPart>
      </mc:Choice>
      <mc:Fallback xmlns="">
        <xdr:pic>
          <xdr:nvPicPr>
            <xdr:cNvPr id="55" name="Input penna 54">
              <a:extLst>
                <a:ext uri="{FF2B5EF4-FFF2-40B4-BE49-F238E27FC236}">
                  <a16:creationId xmlns:a16="http://schemas.microsoft.com/office/drawing/2014/main" id="{0F2F5E0E-2E24-2376-9ACC-2B12CF18C3BC}"/>
                </a:ext>
              </a:extLst>
            </xdr:cNvPr>
            <xdr:cNvPicPr/>
          </xdr:nvPicPr>
          <xdr:blipFill>
            <a:blip xmlns:r="http://schemas.openxmlformats.org/officeDocument/2006/relationships" r:embed="rId46"/>
            <a:stretch>
              <a:fillRect/>
            </a:stretch>
          </xdr:blipFill>
          <xdr:spPr>
            <a:xfrm>
              <a:off x="12486240" y="2382120"/>
              <a:ext cx="648360" cy="419400"/>
            </a:xfrm>
            <a:prstGeom prst="rect">
              <a:avLst/>
            </a:prstGeom>
          </xdr:spPr>
        </xdr:pic>
      </mc:Fallback>
    </mc:AlternateContent>
    <xdr:clientData/>
  </xdr:twoCellAnchor>
  <xdr:twoCellAnchor editAs="oneCell">
    <xdr:from>
      <xdr:col>23</xdr:col>
      <xdr:colOff>517680</xdr:colOff>
      <xdr:row>12</xdr:row>
      <xdr:rowOff>78300</xdr:rowOff>
    </xdr:from>
    <xdr:to>
      <xdr:col>32</xdr:col>
      <xdr:colOff>221219</xdr:colOff>
      <xdr:row>18</xdr:row>
      <xdr:rowOff>156120</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2" name="Input penna 11">
              <a:extLst>
                <a:ext uri="{FF2B5EF4-FFF2-40B4-BE49-F238E27FC236}">
                  <a16:creationId xmlns:a16="http://schemas.microsoft.com/office/drawing/2014/main" id="{1DA044AA-F080-423C-9231-5056CF0FE897}"/>
                </a:ext>
              </a:extLst>
            </xdr14:cNvPr>
            <xdr14:cNvContentPartPr/>
          </xdr14:nvContentPartPr>
          <xdr14:nvPr macro=""/>
          <xdr14:xfrm>
            <a:off x="13624080" y="2364300"/>
            <a:ext cx="5241600" cy="1220820"/>
          </xdr14:xfrm>
        </xdr:contentPart>
      </mc:Choice>
      <mc:Fallback xmlns="">
        <xdr:pic>
          <xdr:nvPicPr>
            <xdr:cNvPr id="65" name="Input penna 64">
              <a:extLst>
                <a:ext uri="{FF2B5EF4-FFF2-40B4-BE49-F238E27FC236}">
                  <a16:creationId xmlns:a16="http://schemas.microsoft.com/office/drawing/2014/main" id="{61AC6EC2-F3CD-9A9A-27FB-3B07B16F1560}"/>
                </a:ext>
              </a:extLst>
            </xdr:cNvPr>
            <xdr:cNvPicPr/>
          </xdr:nvPicPr>
          <xdr:blipFill>
            <a:blip xmlns:r="http://schemas.openxmlformats.org/officeDocument/2006/relationships" r:embed="rId48"/>
            <a:stretch>
              <a:fillRect/>
            </a:stretch>
          </xdr:blipFill>
          <xdr:spPr>
            <a:xfrm>
              <a:off x="13164120" y="2278080"/>
              <a:ext cx="970200" cy="872280"/>
            </a:xfrm>
            <a:prstGeom prst="rect">
              <a:avLst/>
            </a:prstGeom>
          </xdr:spPr>
        </xdr:pic>
      </mc:Fallback>
    </mc:AlternateContent>
    <xdr:clientData/>
  </xdr:twoCellAnchor>
  <xdr:twoCellAnchor editAs="oneCell">
    <xdr:from>
      <xdr:col>25</xdr:col>
      <xdr:colOff>280931</xdr:colOff>
      <xdr:row>8</xdr:row>
      <xdr:rowOff>396</xdr:rowOff>
    </xdr:from>
    <xdr:to>
      <xdr:col>31</xdr:col>
      <xdr:colOff>475197</xdr:colOff>
      <xdr:row>23</xdr:row>
      <xdr:rowOff>26333</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3" name="Input penna 12">
              <a:extLst>
                <a:ext uri="{FF2B5EF4-FFF2-40B4-BE49-F238E27FC236}">
                  <a16:creationId xmlns:a16="http://schemas.microsoft.com/office/drawing/2014/main" id="{DF231307-B741-4016-960D-07EB4B453ACB}"/>
                </a:ext>
              </a:extLst>
            </xdr14:cNvPr>
            <xdr14:cNvContentPartPr/>
          </xdr14:nvContentPartPr>
          <xdr14:nvPr macro=""/>
          <xdr14:xfrm>
            <a:off x="14606531" y="1524396"/>
            <a:ext cx="3903527" cy="2883437"/>
          </xdr14:xfrm>
        </xdr:contentPart>
      </mc:Choice>
      <mc:Fallback xmlns="">
        <xdr:pic>
          <xdr:nvPicPr>
            <xdr:cNvPr id="81" name="Input penna 80">
              <a:extLst>
                <a:ext uri="{FF2B5EF4-FFF2-40B4-BE49-F238E27FC236}">
                  <a16:creationId xmlns:a16="http://schemas.microsoft.com/office/drawing/2014/main" id="{31114123-659A-B47D-B702-95E0AF7F6587}"/>
                </a:ext>
              </a:extLst>
            </xdr:cNvPr>
            <xdr:cNvPicPr/>
          </xdr:nvPicPr>
          <xdr:blipFill>
            <a:blip xmlns:r="http://schemas.openxmlformats.org/officeDocument/2006/relationships" r:embed="rId50"/>
            <a:stretch>
              <a:fillRect/>
            </a:stretch>
          </xdr:blipFill>
          <xdr:spPr>
            <a:xfrm>
              <a:off x="9325080" y="1061999"/>
              <a:ext cx="4054320" cy="2909882"/>
            </a:xfrm>
            <a:prstGeom prst="rect">
              <a:avLst/>
            </a:prstGeom>
          </xdr:spPr>
        </xdr:pic>
      </mc:Fallback>
    </mc:AlternateContent>
    <xdr:clientData/>
  </xdr:twoCellAnchor>
  <xdr:twoCellAnchor editAs="oneCell">
    <xdr:from>
      <xdr:col>25</xdr:col>
      <xdr:colOff>450120</xdr:colOff>
      <xdr:row>11</xdr:row>
      <xdr:rowOff>173303</xdr:rowOff>
    </xdr:from>
    <xdr:to>
      <xdr:col>28</xdr:col>
      <xdr:colOff>530300</xdr:colOff>
      <xdr:row>20</xdr:row>
      <xdr:rowOff>146807</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5" name="Input penna 14">
              <a:extLst>
                <a:ext uri="{FF2B5EF4-FFF2-40B4-BE49-F238E27FC236}">
                  <a16:creationId xmlns:a16="http://schemas.microsoft.com/office/drawing/2014/main" id="{CEFFECD8-4725-43F7-8EC2-0082D7F55BC4}"/>
                </a:ext>
              </a:extLst>
            </xdr14:cNvPr>
            <xdr14:cNvContentPartPr/>
          </xdr14:nvContentPartPr>
          <xdr14:nvPr macro=""/>
          <xdr14:xfrm>
            <a:off x="14775720" y="2268803"/>
            <a:ext cx="1960641" cy="1688004"/>
          </xdr14:xfrm>
        </xdr:contentPart>
      </mc:Choice>
      <mc:Fallback xmlns="">
        <xdr:pic>
          <xdr:nvPicPr>
            <xdr:cNvPr id="87" name="Input penna 86">
              <a:extLst>
                <a:ext uri="{FF2B5EF4-FFF2-40B4-BE49-F238E27FC236}">
                  <a16:creationId xmlns:a16="http://schemas.microsoft.com/office/drawing/2014/main" id="{E923A387-D745-24B0-5FDD-6CE5EE3B737F}"/>
                </a:ext>
              </a:extLst>
            </xdr:cNvPr>
            <xdr:cNvPicPr/>
          </xdr:nvPicPr>
          <xdr:blipFill>
            <a:blip xmlns:r="http://schemas.openxmlformats.org/officeDocument/2006/relationships" r:embed="rId52"/>
            <a:stretch>
              <a:fillRect/>
            </a:stretch>
          </xdr:blipFill>
          <xdr:spPr>
            <a:xfrm>
              <a:off x="9500040" y="1811880"/>
              <a:ext cx="2045160" cy="1703520"/>
            </a:xfrm>
            <a:prstGeom prst="rect">
              <a:avLst/>
            </a:prstGeom>
          </xdr:spPr>
        </xdr:pic>
      </mc:Fallback>
    </mc:AlternateContent>
    <xdr:clientData/>
  </xdr:twoCellAnchor>
  <xdr:twoCellAnchor editAs="oneCell">
    <xdr:from>
      <xdr:col>26</xdr:col>
      <xdr:colOff>98828</xdr:colOff>
      <xdr:row>12</xdr:row>
      <xdr:rowOff>149410</xdr:rowOff>
    </xdr:from>
    <xdr:to>
      <xdr:col>26</xdr:col>
      <xdr:colOff>362359</xdr:colOff>
      <xdr:row>13</xdr:row>
      <xdr:rowOff>113478</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6" name="Input penna 15">
              <a:extLst>
                <a:ext uri="{FF2B5EF4-FFF2-40B4-BE49-F238E27FC236}">
                  <a16:creationId xmlns:a16="http://schemas.microsoft.com/office/drawing/2014/main" id="{BE812148-8786-4417-9783-6CA753E39FCD}"/>
                </a:ext>
              </a:extLst>
            </xdr14:cNvPr>
            <xdr14:cNvContentPartPr/>
          </xdr14:nvContentPartPr>
          <xdr14:nvPr macro=""/>
          <xdr14:xfrm>
            <a:off x="15034028" y="2435410"/>
            <a:ext cx="263531" cy="154568"/>
          </xdr14:xfrm>
        </xdr:contentPart>
      </mc:Choice>
      <mc:Fallback xmlns="">
        <xdr:pic>
          <xdr:nvPicPr>
            <xdr:cNvPr id="3" name="Input penna 2">
              <a:extLst>
                <a:ext uri="{FF2B5EF4-FFF2-40B4-BE49-F238E27FC236}">
                  <a16:creationId xmlns:a16="http://schemas.microsoft.com/office/drawing/2014/main" id="{ABF9A0C2-5A1C-8577-823D-2261808E6E68}"/>
                </a:ext>
              </a:extLst>
            </xdr:cNvPr>
            <xdr:cNvPicPr/>
          </xdr:nvPicPr>
          <xdr:blipFill>
            <a:blip xmlns:r="http://schemas.openxmlformats.org/officeDocument/2006/relationships" r:embed="rId54"/>
            <a:stretch>
              <a:fillRect/>
            </a:stretch>
          </xdr:blipFill>
          <xdr:spPr>
            <a:xfrm>
              <a:off x="9767160" y="1978560"/>
              <a:ext cx="290160" cy="177480"/>
            </a:xfrm>
            <a:prstGeom prst="rect">
              <a:avLst/>
            </a:prstGeom>
          </xdr:spPr>
        </xdr:pic>
      </mc:Fallback>
    </mc:AlternateContent>
    <xdr:clientData/>
  </xdr:twoCellAnchor>
  <xdr:twoCellAnchor editAs="oneCell">
    <xdr:from>
      <xdr:col>30</xdr:col>
      <xdr:colOff>534202</xdr:colOff>
      <xdr:row>20</xdr:row>
      <xdr:rowOff>21104</xdr:rowOff>
    </xdr:from>
    <xdr:to>
      <xdr:col>31</xdr:col>
      <xdr:colOff>185348</xdr:colOff>
      <xdr:row>21</xdr:row>
      <xdr:rowOff>122740</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17" name="Input penna 16">
              <a:extLst>
                <a:ext uri="{FF2B5EF4-FFF2-40B4-BE49-F238E27FC236}">
                  <a16:creationId xmlns:a16="http://schemas.microsoft.com/office/drawing/2014/main" id="{D4ECE03F-58FC-4083-BFBA-8E4DA01F392A}"/>
                </a:ext>
              </a:extLst>
            </xdr14:cNvPr>
            <xdr14:cNvContentPartPr/>
          </xdr14:nvContentPartPr>
          <xdr14:nvPr macro=""/>
          <xdr14:xfrm>
            <a:off x="17907802" y="3831104"/>
            <a:ext cx="260746" cy="292136"/>
          </xdr14:xfrm>
        </xdr:contentPart>
      </mc:Choice>
      <mc:Fallback xmlns="">
        <xdr:pic>
          <xdr:nvPicPr>
            <xdr:cNvPr id="6" name="Input penna 5">
              <a:extLst>
                <a:ext uri="{FF2B5EF4-FFF2-40B4-BE49-F238E27FC236}">
                  <a16:creationId xmlns:a16="http://schemas.microsoft.com/office/drawing/2014/main" id="{D29631EE-E2E6-57B4-B19D-83D08C7180DC}"/>
                </a:ext>
              </a:extLst>
            </xdr:cNvPr>
            <xdr:cNvPicPr/>
          </xdr:nvPicPr>
          <xdr:blipFill>
            <a:blip xmlns:r="http://schemas.openxmlformats.org/officeDocument/2006/relationships" r:embed="rId56"/>
            <a:stretch>
              <a:fillRect/>
            </a:stretch>
          </xdr:blipFill>
          <xdr:spPr>
            <a:xfrm>
              <a:off x="12738960" y="3351240"/>
              <a:ext cx="287280" cy="307800"/>
            </a:xfrm>
            <a:prstGeom prst="rect">
              <a:avLst/>
            </a:prstGeom>
          </xdr:spPr>
        </xdr:pic>
      </mc:Fallback>
    </mc:AlternateContent>
    <xdr:clientData/>
  </xdr:twoCellAnchor>
  <xdr:twoCellAnchor editAs="oneCell">
    <xdr:from>
      <xdr:col>28</xdr:col>
      <xdr:colOff>537400</xdr:colOff>
      <xdr:row>3</xdr:row>
      <xdr:rowOff>20992</xdr:rowOff>
    </xdr:from>
    <xdr:to>
      <xdr:col>31</xdr:col>
      <xdr:colOff>323204</xdr:colOff>
      <xdr:row>9</xdr:row>
      <xdr:rowOff>164287</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0" name="Input penna 19">
              <a:extLst>
                <a:ext uri="{FF2B5EF4-FFF2-40B4-BE49-F238E27FC236}">
                  <a16:creationId xmlns:a16="http://schemas.microsoft.com/office/drawing/2014/main" id="{CC5F5958-01DD-4312-9470-D7A4B24AE838}"/>
                </a:ext>
              </a:extLst>
            </xdr14:cNvPr>
            <xdr14:cNvContentPartPr/>
          </xdr14:nvContentPartPr>
          <xdr14:nvPr macro=""/>
          <xdr14:xfrm>
            <a:off x="16691800" y="592492"/>
            <a:ext cx="1614604" cy="1286295"/>
          </xdr14:xfrm>
        </xdr:contentPart>
      </mc:Choice>
      <mc:Fallback xmlns="">
        <xdr:pic>
          <xdr:nvPicPr>
            <xdr:cNvPr id="25" name="Input penna 24">
              <a:extLst>
                <a:ext uri="{FF2B5EF4-FFF2-40B4-BE49-F238E27FC236}">
                  <a16:creationId xmlns:a16="http://schemas.microsoft.com/office/drawing/2014/main" id="{15059630-A3FE-6375-9FE6-0BE070BE5ECB}"/>
                </a:ext>
              </a:extLst>
            </xdr:cNvPr>
            <xdr:cNvPicPr/>
          </xdr:nvPicPr>
          <xdr:blipFill>
            <a:blip xmlns:r="http://schemas.openxmlformats.org/officeDocument/2006/relationships" r:embed="rId58"/>
            <a:stretch>
              <a:fillRect/>
            </a:stretch>
          </xdr:blipFill>
          <xdr:spPr>
            <a:xfrm>
              <a:off x="11481480" y="128160"/>
              <a:ext cx="1687320" cy="1317960"/>
            </a:xfrm>
            <a:prstGeom prst="rect">
              <a:avLst/>
            </a:prstGeom>
          </xdr:spPr>
        </xdr:pic>
      </mc:Fallback>
    </mc:AlternateContent>
    <xdr:clientData/>
  </xdr:twoCellAnchor>
  <xdr:twoCellAnchor editAs="oneCell">
    <xdr:from>
      <xdr:col>28</xdr:col>
      <xdr:colOff>183821</xdr:colOff>
      <xdr:row>6</xdr:row>
      <xdr:rowOff>81601</xdr:rowOff>
    </xdr:from>
    <xdr:to>
      <xdr:col>28</xdr:col>
      <xdr:colOff>451877</xdr:colOff>
      <xdr:row>10</xdr:row>
      <xdr:rowOff>28297</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1" name="Input penna 20">
              <a:extLst>
                <a:ext uri="{FF2B5EF4-FFF2-40B4-BE49-F238E27FC236}">
                  <a16:creationId xmlns:a16="http://schemas.microsoft.com/office/drawing/2014/main" id="{96A76866-1794-4FAB-83E2-9A70622345BF}"/>
                </a:ext>
              </a:extLst>
            </xdr14:cNvPr>
            <xdr14:cNvContentPartPr/>
          </xdr14:nvContentPartPr>
          <xdr14:nvPr macro=""/>
          <xdr14:xfrm>
            <a:off x="16338221" y="1224601"/>
            <a:ext cx="268056" cy="708696"/>
          </xdr14:xfrm>
        </xdr:contentPart>
      </mc:Choice>
      <mc:Fallback xmlns="">
        <xdr:pic>
          <xdr:nvPicPr>
            <xdr:cNvPr id="9" name="Input penna 8">
              <a:extLst>
                <a:ext uri="{FF2B5EF4-FFF2-40B4-BE49-F238E27FC236}">
                  <a16:creationId xmlns:a16="http://schemas.microsoft.com/office/drawing/2014/main" id="{11B7308F-434E-9E11-EDC5-EB41D360D08F}"/>
                </a:ext>
              </a:extLst>
            </xdr:cNvPr>
            <xdr:cNvPicPr/>
          </xdr:nvPicPr>
          <xdr:blipFill>
            <a:blip xmlns:r="http://schemas.openxmlformats.org/officeDocument/2006/relationships" r:embed="rId60"/>
            <a:stretch>
              <a:fillRect/>
            </a:stretch>
          </xdr:blipFill>
          <xdr:spPr>
            <a:xfrm>
              <a:off x="16329586" y="1215603"/>
              <a:ext cx="285687" cy="726332"/>
            </a:xfrm>
            <a:prstGeom prst="rect">
              <a:avLst/>
            </a:prstGeom>
          </xdr:spPr>
        </xdr:pic>
      </mc:Fallback>
    </mc:AlternateContent>
    <xdr:clientData/>
  </xdr:twoCellAnchor>
  <xdr:twoCellAnchor editAs="oneCell">
    <xdr:from>
      <xdr:col>31</xdr:col>
      <xdr:colOff>535677</xdr:colOff>
      <xdr:row>11</xdr:row>
      <xdr:rowOff>127641</xdr:rowOff>
    </xdr:from>
    <xdr:to>
      <xdr:col>32</xdr:col>
      <xdr:colOff>303793</xdr:colOff>
      <xdr:row>15</xdr:row>
      <xdr:rowOff>56728</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2" name="Input penna 21">
              <a:extLst>
                <a:ext uri="{FF2B5EF4-FFF2-40B4-BE49-F238E27FC236}">
                  <a16:creationId xmlns:a16="http://schemas.microsoft.com/office/drawing/2014/main" id="{D11707E4-20D7-460C-B90E-BA734C2AC783}"/>
                </a:ext>
              </a:extLst>
            </xdr14:cNvPr>
            <xdr14:cNvContentPartPr/>
          </xdr14:nvContentPartPr>
          <xdr14:nvPr macro=""/>
          <xdr14:xfrm>
            <a:off x="18518877" y="2223141"/>
            <a:ext cx="377716" cy="691087"/>
          </xdr14:xfrm>
        </xdr:contentPart>
      </mc:Choice>
      <mc:Fallback xmlns="">
        <xdr:pic>
          <xdr:nvPicPr>
            <xdr:cNvPr id="14" name="Input penna 13">
              <a:extLst>
                <a:ext uri="{FF2B5EF4-FFF2-40B4-BE49-F238E27FC236}">
                  <a16:creationId xmlns:a16="http://schemas.microsoft.com/office/drawing/2014/main" id="{F5BCC9FE-831F-FCA2-56AD-E2E8E7D36DBD}"/>
                </a:ext>
              </a:extLst>
            </xdr:cNvPr>
            <xdr:cNvPicPr/>
          </xdr:nvPicPr>
          <xdr:blipFill>
            <a:blip xmlns:r="http://schemas.openxmlformats.org/officeDocument/2006/relationships" r:embed="rId62"/>
            <a:stretch>
              <a:fillRect/>
            </a:stretch>
          </xdr:blipFill>
          <xdr:spPr>
            <a:xfrm>
              <a:off x="18509884" y="2213985"/>
              <a:ext cx="395343" cy="709033"/>
            </a:xfrm>
            <a:prstGeom prst="rect">
              <a:avLst/>
            </a:prstGeom>
          </xdr:spPr>
        </xdr:pic>
      </mc:Fallback>
    </mc:AlternateContent>
    <xdr:clientData/>
  </xdr:twoCellAnchor>
  <xdr:twoCellAnchor>
    <xdr:from>
      <xdr:col>5</xdr:col>
      <xdr:colOff>114300</xdr:colOff>
      <xdr:row>63</xdr:row>
      <xdr:rowOff>26670</xdr:rowOff>
    </xdr:from>
    <xdr:to>
      <xdr:col>12</xdr:col>
      <xdr:colOff>304800</xdr:colOff>
      <xdr:row>78</xdr:row>
      <xdr:rowOff>26670</xdr:rowOff>
    </xdr:to>
    <xdr:graphicFrame macro="">
      <xdr:nvGraphicFramePr>
        <xdr:cNvPr id="28" name="Grafico 27">
          <a:extLst>
            <a:ext uri="{FF2B5EF4-FFF2-40B4-BE49-F238E27FC236}">
              <a16:creationId xmlns:a16="http://schemas.microsoft.com/office/drawing/2014/main" id="{53DFE76E-A830-4215-4CD5-8C62822FBAE8}"/>
            </a:ext>
            <a:ext uri="{147F2762-F138-4A5C-976F-8EAC2B608ADB}">
              <a16:predDERef xmlns:a16="http://schemas.microsoft.com/office/drawing/2014/main" pred="{D11707E4-20D7-460C-B90E-BA734C2AC7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35</xdr:row>
      <xdr:rowOff>114300</xdr:rowOff>
    </xdr:from>
    <xdr:to>
      <xdr:col>5</xdr:col>
      <xdr:colOff>1038225</xdr:colOff>
      <xdr:row>44</xdr:row>
      <xdr:rowOff>95250</xdr:rowOff>
    </xdr:to>
    <xdr:pic>
      <xdr:nvPicPr>
        <xdr:cNvPr id="2" name="Immagine 1">
          <a:extLst>
            <a:ext uri="{FF2B5EF4-FFF2-40B4-BE49-F238E27FC236}">
              <a16:creationId xmlns:a16="http://schemas.microsoft.com/office/drawing/2014/main" id="{30362140-772A-E79A-7361-2F25F1BA976C}"/>
            </a:ext>
          </a:extLst>
        </xdr:cNvPr>
        <xdr:cNvPicPr>
          <a:picLocks noChangeAspect="1"/>
        </xdr:cNvPicPr>
      </xdr:nvPicPr>
      <xdr:blipFill>
        <a:blip xmlns:r="http://schemas.openxmlformats.org/officeDocument/2006/relationships" r:embed="rId1"/>
        <a:stretch>
          <a:fillRect/>
        </a:stretch>
      </xdr:blipFill>
      <xdr:spPr>
        <a:xfrm>
          <a:off x="0" y="6781800"/>
          <a:ext cx="4572000" cy="1962150"/>
        </a:xfrm>
        <a:prstGeom prst="rect">
          <a:avLst/>
        </a:prstGeom>
      </xdr:spPr>
    </xdr:pic>
    <xdr:clientData/>
  </xdr:twoCellAnchor>
  <xdr:twoCellAnchor editAs="oneCell">
    <xdr:from>
      <xdr:col>1</xdr:col>
      <xdr:colOff>19050</xdr:colOff>
      <xdr:row>46</xdr:row>
      <xdr:rowOff>28575</xdr:rowOff>
    </xdr:from>
    <xdr:to>
      <xdr:col>5</xdr:col>
      <xdr:colOff>986790</xdr:colOff>
      <xdr:row>56</xdr:row>
      <xdr:rowOff>152400</xdr:rowOff>
    </xdr:to>
    <xdr:pic>
      <xdr:nvPicPr>
        <xdr:cNvPr id="7" name="Immagine 2">
          <a:extLst>
            <a:ext uri="{FF2B5EF4-FFF2-40B4-BE49-F238E27FC236}">
              <a16:creationId xmlns:a16="http://schemas.microsoft.com/office/drawing/2014/main" id="{DCA0884C-0E98-550A-BD56-6425973FAC1B}"/>
            </a:ext>
            <a:ext uri="{147F2762-F138-4A5C-976F-8EAC2B608ADB}">
              <a16:predDERef xmlns:a16="http://schemas.microsoft.com/office/drawing/2014/main" pred="{30362140-772A-E79A-7361-2F25F1BA976C}"/>
            </a:ext>
          </a:extLst>
        </xdr:cNvPr>
        <xdr:cNvPicPr>
          <a:picLocks noChangeAspect="1"/>
        </xdr:cNvPicPr>
      </xdr:nvPicPr>
      <xdr:blipFill>
        <a:blip xmlns:r="http://schemas.openxmlformats.org/officeDocument/2006/relationships" r:embed="rId2"/>
        <a:stretch>
          <a:fillRect/>
        </a:stretch>
      </xdr:blipFill>
      <xdr:spPr>
        <a:xfrm>
          <a:off x="628650" y="8353425"/>
          <a:ext cx="4572000" cy="1952625"/>
        </a:xfrm>
        <a:prstGeom prst="rect">
          <a:avLst/>
        </a:prstGeom>
      </xdr:spPr>
    </xdr:pic>
    <xdr:clientData/>
  </xdr:twoCellAnchor>
  <xdr:twoCellAnchor editAs="oneCell">
    <xdr:from>
      <xdr:col>15</xdr:col>
      <xdr:colOff>104775</xdr:colOff>
      <xdr:row>2</xdr:row>
      <xdr:rowOff>152400</xdr:rowOff>
    </xdr:from>
    <xdr:to>
      <xdr:col>23</xdr:col>
      <xdr:colOff>545913</xdr:colOff>
      <xdr:row>36</xdr:row>
      <xdr:rowOff>151760</xdr:rowOff>
    </xdr:to>
    <xdr:pic>
      <xdr:nvPicPr>
        <xdr:cNvPr id="4" name="Immagine 3">
          <a:extLst>
            <a:ext uri="{FF2B5EF4-FFF2-40B4-BE49-F238E27FC236}">
              <a16:creationId xmlns:a16="http://schemas.microsoft.com/office/drawing/2014/main" id="{8748C45C-D45A-4BAC-95CC-A9E2DBA62B28}"/>
            </a:ext>
          </a:extLst>
        </xdr:cNvPr>
        <xdr:cNvPicPr>
          <a:picLocks noChangeAspect="1"/>
        </xdr:cNvPicPr>
      </xdr:nvPicPr>
      <xdr:blipFill>
        <a:blip xmlns:r="http://schemas.openxmlformats.org/officeDocument/2006/relationships" r:embed="rId3"/>
        <a:stretch>
          <a:fillRect/>
        </a:stretch>
      </xdr:blipFill>
      <xdr:spPr>
        <a:xfrm>
          <a:off x="10820400" y="533400"/>
          <a:ext cx="5317938" cy="7064053"/>
        </a:xfrm>
        <a:prstGeom prst="rect">
          <a:avLst/>
        </a:prstGeom>
      </xdr:spPr>
    </xdr:pic>
    <xdr:clientData/>
  </xdr:twoCellAnchor>
  <xdr:twoCellAnchor editAs="oneCell">
    <xdr:from>
      <xdr:col>6</xdr:col>
      <xdr:colOff>295275</xdr:colOff>
      <xdr:row>40</xdr:row>
      <xdr:rowOff>38100</xdr:rowOff>
    </xdr:from>
    <xdr:to>
      <xdr:col>13</xdr:col>
      <xdr:colOff>401573</xdr:colOff>
      <xdr:row>68</xdr:row>
      <xdr:rowOff>1308</xdr:rowOff>
    </xdr:to>
    <xdr:pic>
      <xdr:nvPicPr>
        <xdr:cNvPr id="5" name="Immagine 4">
          <a:extLst>
            <a:ext uri="{FF2B5EF4-FFF2-40B4-BE49-F238E27FC236}">
              <a16:creationId xmlns:a16="http://schemas.microsoft.com/office/drawing/2014/main" id="{5DE29E4C-450F-41BF-9DA1-B74B2B70EDE9}"/>
            </a:ext>
          </a:extLst>
        </xdr:cNvPr>
        <xdr:cNvPicPr>
          <a:picLocks noChangeAspect="1"/>
        </xdr:cNvPicPr>
      </xdr:nvPicPr>
      <xdr:blipFill>
        <a:blip xmlns:r="http://schemas.openxmlformats.org/officeDocument/2006/relationships" r:embed="rId4"/>
        <a:stretch>
          <a:fillRect/>
        </a:stretch>
      </xdr:blipFill>
      <xdr:spPr>
        <a:xfrm>
          <a:off x="5524500" y="7734300"/>
          <a:ext cx="4518278" cy="5297208"/>
        </a:xfrm>
        <a:prstGeom prst="rect">
          <a:avLst/>
        </a:prstGeom>
      </xdr:spPr>
    </xdr:pic>
    <xdr:clientData/>
  </xdr:twoCellAnchor>
  <xdr:twoCellAnchor editAs="oneCell">
    <xdr:from>
      <xdr:col>14</xdr:col>
      <xdr:colOff>180975</xdr:colOff>
      <xdr:row>40</xdr:row>
      <xdr:rowOff>47625</xdr:rowOff>
    </xdr:from>
    <xdr:to>
      <xdr:col>22</xdr:col>
      <xdr:colOff>512831</xdr:colOff>
      <xdr:row>71</xdr:row>
      <xdr:rowOff>110658</xdr:rowOff>
    </xdr:to>
    <xdr:pic>
      <xdr:nvPicPr>
        <xdr:cNvPr id="6" name="Immagine 5">
          <a:extLst>
            <a:ext uri="{FF2B5EF4-FFF2-40B4-BE49-F238E27FC236}">
              <a16:creationId xmlns:a16="http://schemas.microsoft.com/office/drawing/2014/main" id="{AB10D5A7-24F1-4501-BC3F-2D9CBA12A5E8}"/>
            </a:ext>
          </a:extLst>
        </xdr:cNvPr>
        <xdr:cNvPicPr>
          <a:picLocks noChangeAspect="1"/>
        </xdr:cNvPicPr>
      </xdr:nvPicPr>
      <xdr:blipFill>
        <a:blip xmlns:r="http://schemas.openxmlformats.org/officeDocument/2006/relationships" r:embed="rId5"/>
        <a:stretch>
          <a:fillRect/>
        </a:stretch>
      </xdr:blipFill>
      <xdr:spPr>
        <a:xfrm>
          <a:off x="10287000" y="7743825"/>
          <a:ext cx="5208656" cy="59685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17</xdr:col>
      <xdr:colOff>26222</xdr:colOff>
      <xdr:row>23</xdr:row>
      <xdr:rowOff>122297</xdr:rowOff>
    </xdr:from>
    <xdr:to>
      <xdr:col>25</xdr:col>
      <xdr:colOff>32402</xdr:colOff>
      <xdr:row>59</xdr:row>
      <xdr:rowOff>2970</xdr:rowOff>
    </xdr:to>
    <xdr:pic>
      <xdr:nvPicPr>
        <xdr:cNvPr id="6" name="Immagine 1">
          <a:extLst>
            <a:ext uri="{FF2B5EF4-FFF2-40B4-BE49-F238E27FC236}">
              <a16:creationId xmlns:a16="http://schemas.microsoft.com/office/drawing/2014/main" id="{82C75DAB-6B3D-DEFC-B833-98343FF2AEC8}"/>
            </a:ext>
          </a:extLst>
        </xdr:cNvPr>
        <xdr:cNvPicPr>
          <a:picLocks noChangeAspect="1"/>
        </xdr:cNvPicPr>
      </xdr:nvPicPr>
      <xdr:blipFill>
        <a:blip xmlns:r="http://schemas.openxmlformats.org/officeDocument/2006/relationships" r:embed="rId1"/>
        <a:stretch>
          <a:fillRect/>
        </a:stretch>
      </xdr:blipFill>
      <xdr:spPr>
        <a:xfrm>
          <a:off x="11823111" y="4289778"/>
          <a:ext cx="5199257" cy="6324748"/>
        </a:xfrm>
        <a:prstGeom prst="rect">
          <a:avLst/>
        </a:prstGeom>
      </xdr:spPr>
    </xdr:pic>
    <xdr:clientData/>
  </xdr:twoCellAnchor>
  <xdr:twoCellAnchor editAs="oneCell">
    <xdr:from>
      <xdr:col>26</xdr:col>
      <xdr:colOff>0</xdr:colOff>
      <xdr:row>2</xdr:row>
      <xdr:rowOff>0</xdr:rowOff>
    </xdr:from>
    <xdr:to>
      <xdr:col>34</xdr:col>
      <xdr:colOff>169908</xdr:colOff>
      <xdr:row>36</xdr:row>
      <xdr:rowOff>57513</xdr:rowOff>
    </xdr:to>
    <xdr:pic>
      <xdr:nvPicPr>
        <xdr:cNvPr id="3" name="Immagine 2">
          <a:extLst>
            <a:ext uri="{FF2B5EF4-FFF2-40B4-BE49-F238E27FC236}">
              <a16:creationId xmlns:a16="http://schemas.microsoft.com/office/drawing/2014/main" id="{600E817E-DBA1-A406-0103-07158F4504C7}"/>
            </a:ext>
          </a:extLst>
        </xdr:cNvPr>
        <xdr:cNvPicPr>
          <a:picLocks noChangeAspect="1"/>
        </xdr:cNvPicPr>
      </xdr:nvPicPr>
      <xdr:blipFill>
        <a:blip xmlns:r="http://schemas.openxmlformats.org/officeDocument/2006/relationships" r:embed="rId2"/>
        <a:stretch>
          <a:fillRect/>
        </a:stretch>
      </xdr:blipFill>
      <xdr:spPr>
        <a:xfrm>
          <a:off x="17264743" y="373743"/>
          <a:ext cx="5046708" cy="6300924"/>
        </a:xfrm>
        <a:prstGeom prst="rect">
          <a:avLst/>
        </a:prstGeom>
      </xdr:spPr>
    </xdr:pic>
    <xdr:clientData/>
  </xdr:twoCellAnchor>
  <xdr:twoCellAnchor editAs="oneCell">
    <xdr:from>
      <xdr:col>9</xdr:col>
      <xdr:colOff>313765</xdr:colOff>
      <xdr:row>24</xdr:row>
      <xdr:rowOff>56029</xdr:rowOff>
    </xdr:from>
    <xdr:to>
      <xdr:col>16</xdr:col>
      <xdr:colOff>432251</xdr:colOff>
      <xdr:row>52</xdr:row>
      <xdr:rowOff>85352</xdr:rowOff>
    </xdr:to>
    <xdr:pic>
      <xdr:nvPicPr>
        <xdr:cNvPr id="4" name="Immagine 3">
          <a:extLst>
            <a:ext uri="{FF2B5EF4-FFF2-40B4-BE49-F238E27FC236}">
              <a16:creationId xmlns:a16="http://schemas.microsoft.com/office/drawing/2014/main" id="{6D09B7F7-7943-8B34-E67A-FBDBC0F77076}"/>
            </a:ext>
          </a:extLst>
        </xdr:cNvPr>
        <xdr:cNvPicPr>
          <a:picLocks noChangeAspect="1"/>
        </xdr:cNvPicPr>
      </xdr:nvPicPr>
      <xdr:blipFill>
        <a:blip xmlns:r="http://schemas.openxmlformats.org/officeDocument/2006/relationships" r:embed="rId3"/>
        <a:stretch>
          <a:fillRect/>
        </a:stretch>
      </xdr:blipFill>
      <xdr:spPr>
        <a:xfrm>
          <a:off x="6600265" y="4706470"/>
          <a:ext cx="4848902" cy="5363323"/>
        </a:xfrm>
        <a:prstGeom prst="rect">
          <a:avLst/>
        </a:prstGeom>
      </xdr:spPr>
    </xdr:pic>
    <xdr:clientData/>
  </xdr:twoCellAnchor>
  <xdr:twoCellAnchor editAs="oneCell">
    <xdr:from>
      <xdr:col>1</xdr:col>
      <xdr:colOff>0</xdr:colOff>
      <xdr:row>30</xdr:row>
      <xdr:rowOff>0</xdr:rowOff>
    </xdr:from>
    <xdr:to>
      <xdr:col>9</xdr:col>
      <xdr:colOff>2952</xdr:colOff>
      <xdr:row>53</xdr:row>
      <xdr:rowOff>0</xdr:rowOff>
    </xdr:to>
    <xdr:pic>
      <xdr:nvPicPr>
        <xdr:cNvPr id="5" name="Immagine 4" descr="DISEGNO TECNICO INDUSTRIALE">
          <a:extLst>
            <a:ext uri="{FF2B5EF4-FFF2-40B4-BE49-F238E27FC236}">
              <a16:creationId xmlns:a16="http://schemas.microsoft.com/office/drawing/2014/main" id="{78EF1B32-E8F0-3459-449C-592214C30CB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9600" y="5486400"/>
          <a:ext cx="5866542" cy="420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539116</xdr:colOff>
      <xdr:row>62</xdr:row>
      <xdr:rowOff>34290</xdr:rowOff>
    </xdr:from>
    <xdr:to>
      <xdr:col>23</xdr:col>
      <xdr:colOff>55246</xdr:colOff>
      <xdr:row>96</xdr:row>
      <xdr:rowOff>123489</xdr:rowOff>
    </xdr:to>
    <xdr:pic>
      <xdr:nvPicPr>
        <xdr:cNvPr id="7" name="Immagine 1">
          <a:extLst>
            <a:ext uri="{FF2B5EF4-FFF2-40B4-BE49-F238E27FC236}">
              <a16:creationId xmlns:a16="http://schemas.microsoft.com/office/drawing/2014/main" id="{0E58F9FC-0622-E3BC-BF5D-8615C9D88BCB}"/>
            </a:ext>
            <a:ext uri="{147F2762-F138-4A5C-976F-8EAC2B608ADB}">
              <a16:predDERef xmlns:a16="http://schemas.microsoft.com/office/drawing/2014/main" pred="{78EF1B32-E8F0-3459-449C-592214C30CBF}"/>
            </a:ext>
          </a:extLst>
        </xdr:cNvPr>
        <xdr:cNvPicPr>
          <a:picLocks noChangeAspect="1"/>
        </xdr:cNvPicPr>
      </xdr:nvPicPr>
      <xdr:blipFill>
        <a:blip xmlns:r="http://schemas.openxmlformats.org/officeDocument/2006/relationships" r:embed="rId5"/>
        <a:stretch>
          <a:fillRect/>
        </a:stretch>
      </xdr:blipFill>
      <xdr:spPr>
        <a:xfrm>
          <a:off x="6882766" y="11254740"/>
          <a:ext cx="8888730" cy="630711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228536</xdr:colOff>
      <xdr:row>38</xdr:row>
      <xdr:rowOff>112314</xdr:rowOff>
    </xdr:from>
    <xdr:to>
      <xdr:col>9</xdr:col>
      <xdr:colOff>233082</xdr:colOff>
      <xdr:row>73</xdr:row>
      <xdr:rowOff>80682</xdr:rowOff>
    </xdr:to>
    <xdr:graphicFrame macro="">
      <xdr:nvGraphicFramePr>
        <xdr:cNvPr id="2" name="Grafico 1">
          <a:extLst>
            <a:ext uri="{FF2B5EF4-FFF2-40B4-BE49-F238E27FC236}">
              <a16:creationId xmlns:a16="http://schemas.microsoft.com/office/drawing/2014/main" id="{1FA7979C-CA20-DABA-D2B2-CF4207886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31</xdr:col>
      <xdr:colOff>12760</xdr:colOff>
      <xdr:row>13</xdr:row>
      <xdr:rowOff>162961</xdr:rowOff>
    </xdr:from>
    <xdr:to>
      <xdr:col>31</xdr:col>
      <xdr:colOff>332549</xdr:colOff>
      <xdr:row>15</xdr:row>
      <xdr:rowOff>52272</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put penna 1">
              <a:extLst>
                <a:ext uri="{FF2B5EF4-FFF2-40B4-BE49-F238E27FC236}">
                  <a16:creationId xmlns:a16="http://schemas.microsoft.com/office/drawing/2014/main" id="{02E4823B-1735-45D3-AE8D-B1B1A9B55973}"/>
                </a:ext>
              </a:extLst>
            </xdr14:cNvPr>
            <xdr14:cNvContentPartPr/>
          </xdr14:nvContentPartPr>
          <xdr14:nvPr macro=""/>
          <xdr14:xfrm>
            <a:off x="19542538" y="2684146"/>
            <a:ext cx="319789" cy="265606"/>
          </xdr14:xfrm>
        </xdr:contentPart>
      </mc:Choice>
      <mc:Fallback xmlns="">
        <xdr:pic>
          <xdr:nvPicPr>
            <xdr:cNvPr id="24" name="Input penna 23">
              <a:extLst>
                <a:ext uri="{FF2B5EF4-FFF2-40B4-BE49-F238E27FC236}">
                  <a16:creationId xmlns:a16="http://schemas.microsoft.com/office/drawing/2014/main" id="{04A68133-4FF2-39F1-9E13-BC265FF6BCBB}"/>
                </a:ext>
              </a:extLst>
            </xdr:cNvPr>
            <xdr:cNvPicPr/>
          </xdr:nvPicPr>
          <xdr:blipFill>
            <a:blip xmlns:r="http://schemas.openxmlformats.org/officeDocument/2006/relationships" r:embed="rId2"/>
            <a:stretch>
              <a:fillRect/>
            </a:stretch>
          </xdr:blipFill>
          <xdr:spPr>
            <a:xfrm>
              <a:off x="13422240" y="2991240"/>
              <a:ext cx="469800" cy="399600"/>
            </a:xfrm>
            <a:prstGeom prst="rect">
              <a:avLst/>
            </a:prstGeom>
          </xdr:spPr>
        </xdr:pic>
      </mc:Fallback>
    </mc:AlternateContent>
    <xdr:clientData/>
  </xdr:twoCellAnchor>
  <xdr:twoCellAnchor editAs="oneCell">
    <xdr:from>
      <xdr:col>26</xdr:col>
      <xdr:colOff>564869</xdr:colOff>
      <xdr:row>2</xdr:row>
      <xdr:rowOff>167280</xdr:rowOff>
    </xdr:from>
    <xdr:to>
      <xdr:col>26</xdr:col>
      <xdr:colOff>672488</xdr:colOff>
      <xdr:row>4</xdr:row>
      <xdr:rowOff>134632</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put penna 2">
              <a:extLst>
                <a:ext uri="{FF2B5EF4-FFF2-40B4-BE49-F238E27FC236}">
                  <a16:creationId xmlns:a16="http://schemas.microsoft.com/office/drawing/2014/main" id="{FA053D90-A8D0-41E2-82F8-641CAA27CD5D}"/>
                </a:ext>
              </a:extLst>
            </xdr14:cNvPr>
            <xdr14:cNvContentPartPr/>
          </xdr14:nvContentPartPr>
          <xdr14:nvPr macro=""/>
          <xdr14:xfrm>
            <a:off x="16990202" y="543576"/>
            <a:ext cx="107191" cy="331444"/>
          </xdr14:xfrm>
        </xdr:contentPart>
      </mc:Choice>
      <mc:Fallback xmlns="">
        <xdr:pic>
          <xdr:nvPicPr>
            <xdr:cNvPr id="38" name="Input penna 37">
              <a:extLst>
                <a:ext uri="{FF2B5EF4-FFF2-40B4-BE49-F238E27FC236}">
                  <a16:creationId xmlns:a16="http://schemas.microsoft.com/office/drawing/2014/main" id="{A989613D-59C3-D640-462A-74092E9D526F}"/>
                </a:ext>
              </a:extLst>
            </xdr:cNvPr>
            <xdr:cNvPicPr/>
          </xdr:nvPicPr>
          <xdr:blipFill>
            <a:blip xmlns:r="http://schemas.openxmlformats.org/officeDocument/2006/relationships" r:embed="rId4"/>
            <a:stretch>
              <a:fillRect/>
            </a:stretch>
          </xdr:blipFill>
          <xdr:spPr>
            <a:xfrm>
              <a:off x="9865080" y="73440"/>
              <a:ext cx="187200" cy="535320"/>
            </a:xfrm>
            <a:prstGeom prst="rect">
              <a:avLst/>
            </a:prstGeom>
          </xdr:spPr>
        </xdr:pic>
      </mc:Fallback>
    </mc:AlternateContent>
    <xdr:clientData/>
  </xdr:twoCellAnchor>
  <xdr:twoCellAnchor editAs="oneCell">
    <xdr:from>
      <xdr:col>25</xdr:col>
      <xdr:colOff>379442</xdr:colOff>
      <xdr:row>4</xdr:row>
      <xdr:rowOff>93834</xdr:rowOff>
    </xdr:from>
    <xdr:to>
      <xdr:col>26</xdr:col>
      <xdr:colOff>111893</xdr:colOff>
      <xdr:row>6</xdr:row>
      <xdr:rowOff>90491</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put penna 3">
              <a:extLst>
                <a:ext uri="{FF2B5EF4-FFF2-40B4-BE49-F238E27FC236}">
                  <a16:creationId xmlns:a16="http://schemas.microsoft.com/office/drawing/2014/main" id="{5729BE10-CF07-4590-8858-1AF67F3D6A94}"/>
                </a:ext>
              </a:extLst>
            </xdr14:cNvPr>
            <xdr14:cNvContentPartPr/>
          </xdr14:nvContentPartPr>
          <xdr14:nvPr macro=""/>
          <xdr14:xfrm>
            <a:off x="16193294" y="978130"/>
            <a:ext cx="814954" cy="354139"/>
          </xdr14:xfrm>
        </xdr:contentPart>
      </mc:Choice>
      <mc:Fallback xmlns="">
        <xdr:pic>
          <xdr:nvPicPr>
            <xdr:cNvPr id="40" name="Input penna 39">
              <a:extLst>
                <a:ext uri="{FF2B5EF4-FFF2-40B4-BE49-F238E27FC236}">
                  <a16:creationId xmlns:a16="http://schemas.microsoft.com/office/drawing/2014/main" id="{612DF23C-992B-C2BD-4466-EB634D34BAAB}"/>
                </a:ext>
              </a:extLst>
            </xdr:cNvPr>
            <xdr:cNvPicPr/>
          </xdr:nvPicPr>
          <xdr:blipFill>
            <a:blip xmlns:r="http://schemas.openxmlformats.org/officeDocument/2006/relationships" r:embed="rId6"/>
            <a:stretch>
              <a:fillRect/>
            </a:stretch>
          </xdr:blipFill>
          <xdr:spPr>
            <a:xfrm>
              <a:off x="8790480" y="560880"/>
              <a:ext cx="1184040" cy="531360"/>
            </a:xfrm>
            <a:prstGeom prst="rect">
              <a:avLst/>
            </a:prstGeom>
          </xdr:spPr>
        </xdr:pic>
      </mc:Fallback>
    </mc:AlternateContent>
    <xdr:clientData/>
  </xdr:twoCellAnchor>
  <xdr:twoCellAnchor editAs="oneCell">
    <xdr:from>
      <xdr:col>27</xdr:col>
      <xdr:colOff>7363</xdr:colOff>
      <xdr:row>4</xdr:row>
      <xdr:rowOff>129339</xdr:rowOff>
    </xdr:from>
    <xdr:to>
      <xdr:col>30</xdr:col>
      <xdr:colOff>699083</xdr:colOff>
      <xdr:row>13</xdr:row>
      <xdr:rowOff>166100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put penna 4">
              <a:extLst>
                <a:ext uri="{FF2B5EF4-FFF2-40B4-BE49-F238E27FC236}">
                  <a16:creationId xmlns:a16="http://schemas.microsoft.com/office/drawing/2014/main" id="{DDEDD1B3-CD03-48AC-81F8-A09640113276}"/>
                </a:ext>
              </a:extLst>
            </xdr14:cNvPr>
            <xdr14:cNvContentPartPr/>
          </xdr14:nvContentPartPr>
          <xdr14:nvPr macro=""/>
          <xdr14:xfrm>
            <a:off x="17044178" y="1013635"/>
            <a:ext cx="2619453" cy="1673650"/>
          </xdr14:xfrm>
        </xdr:contentPart>
      </mc:Choice>
      <mc:Fallback xmlns="">
        <xdr:pic>
          <xdr:nvPicPr>
            <xdr:cNvPr id="48" name="Input penna 47">
              <a:extLst>
                <a:ext uri="{FF2B5EF4-FFF2-40B4-BE49-F238E27FC236}">
                  <a16:creationId xmlns:a16="http://schemas.microsoft.com/office/drawing/2014/main" id="{9416C6EC-41D9-F94A-B1A2-A3190C77F8EC}"/>
                </a:ext>
              </a:extLst>
            </xdr:cNvPr>
            <xdr:cNvPicPr/>
          </xdr:nvPicPr>
          <xdr:blipFill>
            <a:blip xmlns:r="http://schemas.openxmlformats.org/officeDocument/2006/relationships" r:embed="rId8"/>
            <a:stretch>
              <a:fillRect/>
            </a:stretch>
          </xdr:blipFill>
          <xdr:spPr>
            <a:xfrm>
              <a:off x="9950040" y="615960"/>
              <a:ext cx="3714480" cy="2427840"/>
            </a:xfrm>
            <a:prstGeom prst="rect">
              <a:avLst/>
            </a:prstGeom>
          </xdr:spPr>
        </xdr:pic>
      </mc:Fallback>
    </mc:AlternateContent>
    <xdr:clientData/>
  </xdr:twoCellAnchor>
  <xdr:twoCellAnchor editAs="oneCell">
    <xdr:from>
      <xdr:col>27</xdr:col>
      <xdr:colOff>87310</xdr:colOff>
      <xdr:row>4</xdr:row>
      <xdr:rowOff>76487</xdr:rowOff>
    </xdr:from>
    <xdr:to>
      <xdr:col>27</xdr:col>
      <xdr:colOff>316561</xdr:colOff>
      <xdr:row>6</xdr:row>
      <xdr:rowOff>80493</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 name="Input penna 5">
              <a:extLst>
                <a:ext uri="{FF2B5EF4-FFF2-40B4-BE49-F238E27FC236}">
                  <a16:creationId xmlns:a16="http://schemas.microsoft.com/office/drawing/2014/main" id="{8848D997-70D8-4F10-AF34-A46BA747B970}"/>
                </a:ext>
              </a:extLst>
            </xdr14:cNvPr>
            <xdr14:cNvContentPartPr/>
          </xdr14:nvContentPartPr>
          <xdr14:nvPr macro=""/>
          <xdr14:xfrm>
            <a:off x="17124125" y="960783"/>
            <a:ext cx="229251" cy="361488"/>
          </xdr14:xfrm>
        </xdr:contentPart>
      </mc:Choice>
      <mc:Fallback xmlns="">
        <xdr:pic>
          <xdr:nvPicPr>
            <xdr:cNvPr id="53" name="Input penna 52">
              <a:extLst>
                <a:ext uri="{FF2B5EF4-FFF2-40B4-BE49-F238E27FC236}">
                  <a16:creationId xmlns:a16="http://schemas.microsoft.com/office/drawing/2014/main" id="{85E30CDB-8C95-06B7-D322-15474CC7AEF6}"/>
                </a:ext>
              </a:extLst>
            </xdr:cNvPr>
            <xdr:cNvPicPr/>
          </xdr:nvPicPr>
          <xdr:blipFill>
            <a:blip xmlns:r="http://schemas.openxmlformats.org/officeDocument/2006/relationships" r:embed="rId10"/>
            <a:stretch>
              <a:fillRect/>
            </a:stretch>
          </xdr:blipFill>
          <xdr:spPr>
            <a:xfrm>
              <a:off x="10054100" y="538188"/>
              <a:ext cx="357800" cy="547225"/>
            </a:xfrm>
            <a:prstGeom prst="rect">
              <a:avLst/>
            </a:prstGeom>
          </xdr:spPr>
        </xdr:pic>
      </mc:Fallback>
    </mc:AlternateContent>
    <xdr:clientData/>
  </xdr:twoCellAnchor>
  <xdr:twoCellAnchor editAs="oneCell">
    <xdr:from>
      <xdr:col>30</xdr:col>
      <xdr:colOff>421979</xdr:colOff>
      <xdr:row>10</xdr:row>
      <xdr:rowOff>33772</xdr:rowOff>
    </xdr:from>
    <xdr:to>
      <xdr:col>30</xdr:col>
      <xdr:colOff>549029</xdr:colOff>
      <xdr:row>12</xdr:row>
      <xdr:rowOff>130899</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 name="Input penna 6">
              <a:extLst>
                <a:ext uri="{FF2B5EF4-FFF2-40B4-BE49-F238E27FC236}">
                  <a16:creationId xmlns:a16="http://schemas.microsoft.com/office/drawing/2014/main" id="{3C5847F2-09F4-4DAA-93BE-77FB334F1168}"/>
                </a:ext>
              </a:extLst>
            </xdr14:cNvPr>
            <xdr14:cNvContentPartPr/>
          </xdr14:nvContentPartPr>
          <xdr14:nvPr macro=""/>
          <xdr14:xfrm>
            <a:off x="19340275" y="2009328"/>
            <a:ext cx="127050" cy="464015"/>
          </xdr14:xfrm>
        </xdr:contentPart>
      </mc:Choice>
      <mc:Fallback xmlns="">
        <xdr:pic>
          <xdr:nvPicPr>
            <xdr:cNvPr id="54" name="Input penna 53">
              <a:extLst>
                <a:ext uri="{FF2B5EF4-FFF2-40B4-BE49-F238E27FC236}">
                  <a16:creationId xmlns:a16="http://schemas.microsoft.com/office/drawing/2014/main" id="{A44C1422-AAE7-E02B-F6D4-C0E4AC2ECC39}"/>
                </a:ext>
              </a:extLst>
            </xdr:cNvPr>
            <xdr:cNvPicPr/>
          </xdr:nvPicPr>
          <xdr:blipFill>
            <a:blip xmlns:r="http://schemas.openxmlformats.org/officeDocument/2006/relationships" r:embed="rId12"/>
            <a:stretch>
              <a:fillRect/>
            </a:stretch>
          </xdr:blipFill>
          <xdr:spPr>
            <a:xfrm>
              <a:off x="13129560" y="2031840"/>
              <a:ext cx="215280" cy="690840"/>
            </a:xfrm>
            <a:prstGeom prst="rect">
              <a:avLst/>
            </a:prstGeom>
          </xdr:spPr>
        </xdr:pic>
      </mc:Fallback>
    </mc:AlternateContent>
    <xdr:clientData/>
  </xdr:twoCellAnchor>
  <xdr:twoCellAnchor editAs="oneCell">
    <xdr:from>
      <xdr:col>29</xdr:col>
      <xdr:colOff>577354</xdr:colOff>
      <xdr:row>11</xdr:row>
      <xdr:rowOff>95861</xdr:rowOff>
    </xdr:from>
    <xdr:to>
      <xdr:col>30</xdr:col>
      <xdr:colOff>356223</xdr:colOff>
      <xdr:row>13</xdr:row>
      <xdr:rowOff>6161</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 name="Input penna 7">
              <a:extLst>
                <a:ext uri="{FF2B5EF4-FFF2-40B4-BE49-F238E27FC236}">
                  <a16:creationId xmlns:a16="http://schemas.microsoft.com/office/drawing/2014/main" id="{D8950389-29F7-45F2-AAD8-7A3C2ECF0582}"/>
                </a:ext>
              </a:extLst>
            </xdr14:cNvPr>
            <xdr14:cNvContentPartPr/>
          </xdr14:nvContentPartPr>
          <xdr14:nvPr macro=""/>
          <xdr14:xfrm>
            <a:off x="18884169" y="2259565"/>
            <a:ext cx="434720" cy="267782"/>
          </xdr14:xfrm>
        </xdr:contentPart>
      </mc:Choice>
      <mc:Fallback xmlns="">
        <xdr:pic>
          <xdr:nvPicPr>
            <xdr:cNvPr id="55" name="Input penna 54">
              <a:extLst>
                <a:ext uri="{FF2B5EF4-FFF2-40B4-BE49-F238E27FC236}">
                  <a16:creationId xmlns:a16="http://schemas.microsoft.com/office/drawing/2014/main" id="{0F2F5E0E-2E24-2376-9ACC-2B12CF18C3BC}"/>
                </a:ext>
              </a:extLst>
            </xdr:cNvPr>
            <xdr:cNvPicPr/>
          </xdr:nvPicPr>
          <xdr:blipFill>
            <a:blip xmlns:r="http://schemas.openxmlformats.org/officeDocument/2006/relationships" r:embed="rId14"/>
            <a:stretch>
              <a:fillRect/>
            </a:stretch>
          </xdr:blipFill>
          <xdr:spPr>
            <a:xfrm>
              <a:off x="12486240" y="2382120"/>
              <a:ext cx="648360" cy="419400"/>
            </a:xfrm>
            <a:prstGeom prst="rect">
              <a:avLst/>
            </a:prstGeom>
          </xdr:spPr>
        </xdr:pic>
      </mc:Fallback>
    </mc:AlternateContent>
    <xdr:clientData/>
  </xdr:twoCellAnchor>
  <xdr:twoCellAnchor editAs="oneCell">
    <xdr:from>
      <xdr:col>29</xdr:col>
      <xdr:colOff>574149</xdr:colOff>
      <xdr:row>11</xdr:row>
      <xdr:rowOff>136399</xdr:rowOff>
    </xdr:from>
    <xdr:to>
      <xdr:col>30</xdr:col>
      <xdr:colOff>280327</xdr:colOff>
      <xdr:row>14</xdr:row>
      <xdr:rowOff>81022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 name="Input penna 8">
              <a:extLst>
                <a:ext uri="{FF2B5EF4-FFF2-40B4-BE49-F238E27FC236}">
                  <a16:creationId xmlns:a16="http://schemas.microsoft.com/office/drawing/2014/main" id="{EACBEE0B-320E-4413-9CD5-DF875BFFF12F}"/>
                </a:ext>
              </a:extLst>
            </xdr14:cNvPr>
            <xdr14:cNvContentPartPr/>
          </xdr14:nvContentPartPr>
          <xdr14:nvPr macro=""/>
          <xdr14:xfrm>
            <a:off x="18880964" y="2300103"/>
            <a:ext cx="362029" cy="490253"/>
          </xdr14:xfrm>
        </xdr:contentPart>
      </mc:Choice>
      <mc:Fallback xmlns="">
        <xdr:pic>
          <xdr:nvPicPr>
            <xdr:cNvPr id="65" name="Input penna 64">
              <a:extLst>
                <a:ext uri="{FF2B5EF4-FFF2-40B4-BE49-F238E27FC236}">
                  <a16:creationId xmlns:a16="http://schemas.microsoft.com/office/drawing/2014/main" id="{61AC6EC2-F3CD-9A9A-27FB-3B07B16F1560}"/>
                </a:ext>
              </a:extLst>
            </xdr:cNvPr>
            <xdr:cNvPicPr/>
          </xdr:nvPicPr>
          <xdr:blipFill>
            <a:blip xmlns:r="http://schemas.openxmlformats.org/officeDocument/2006/relationships" r:embed="rId16"/>
            <a:stretch>
              <a:fillRect/>
            </a:stretch>
          </xdr:blipFill>
          <xdr:spPr>
            <a:xfrm>
              <a:off x="18862971" y="2282105"/>
              <a:ext cx="397656" cy="525888"/>
            </a:xfrm>
            <a:prstGeom prst="rect">
              <a:avLst/>
            </a:prstGeom>
          </xdr:spPr>
        </xdr:pic>
      </mc:Fallback>
    </mc:AlternateContent>
    <xdr:clientData/>
  </xdr:twoCellAnchor>
  <xdr:twoCellAnchor editAs="oneCell">
    <xdr:from>
      <xdr:col>26</xdr:col>
      <xdr:colOff>143133</xdr:colOff>
      <xdr:row>6</xdr:row>
      <xdr:rowOff>81065</xdr:rowOff>
    </xdr:from>
    <xdr:to>
      <xdr:col>30</xdr:col>
      <xdr:colOff>3785</xdr:colOff>
      <xdr:row>17</xdr:row>
      <xdr:rowOff>75259</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 name="Input penna 9">
              <a:extLst>
                <a:ext uri="{FF2B5EF4-FFF2-40B4-BE49-F238E27FC236}">
                  <a16:creationId xmlns:a16="http://schemas.microsoft.com/office/drawing/2014/main" id="{22B000A0-24FF-462A-9D7D-0996E53E9337}"/>
                </a:ext>
              </a:extLst>
            </xdr14:cNvPr>
            <xdr14:cNvContentPartPr/>
          </xdr14:nvContentPartPr>
          <xdr14:nvPr macro=""/>
          <xdr14:xfrm>
            <a:off x="16568466" y="1322843"/>
            <a:ext cx="2859803" cy="2007379"/>
          </xdr14:xfrm>
        </xdr:contentPart>
      </mc:Choice>
      <mc:Fallback xmlns="">
        <xdr:pic>
          <xdr:nvPicPr>
            <xdr:cNvPr id="81" name="Input penna 80">
              <a:extLst>
                <a:ext uri="{FF2B5EF4-FFF2-40B4-BE49-F238E27FC236}">
                  <a16:creationId xmlns:a16="http://schemas.microsoft.com/office/drawing/2014/main" id="{31114123-659A-B47D-B702-95E0AF7F6587}"/>
                </a:ext>
              </a:extLst>
            </xdr:cNvPr>
            <xdr:cNvPicPr/>
          </xdr:nvPicPr>
          <xdr:blipFill>
            <a:blip xmlns:r="http://schemas.openxmlformats.org/officeDocument/2006/relationships" r:embed="rId18"/>
            <a:stretch>
              <a:fillRect/>
            </a:stretch>
          </xdr:blipFill>
          <xdr:spPr>
            <a:xfrm>
              <a:off x="9325080" y="1061999"/>
              <a:ext cx="4054320" cy="2909882"/>
            </a:xfrm>
            <a:prstGeom prst="rect">
              <a:avLst/>
            </a:prstGeom>
          </xdr:spPr>
        </xdr:pic>
      </mc:Fallback>
    </mc:AlternateContent>
    <xdr:clientData/>
  </xdr:twoCellAnchor>
  <xdr:twoCellAnchor editAs="oneCell">
    <xdr:from>
      <xdr:col>26</xdr:col>
      <xdr:colOff>266873</xdr:colOff>
      <xdr:row>9</xdr:row>
      <xdr:rowOff>58426</xdr:rowOff>
    </xdr:from>
    <xdr:to>
      <xdr:col>28</xdr:col>
      <xdr:colOff>16797</xdr:colOff>
      <xdr:row>15</xdr:row>
      <xdr:rowOff>128675</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 name="Input penna 10">
              <a:extLst>
                <a:ext uri="{FF2B5EF4-FFF2-40B4-BE49-F238E27FC236}">
                  <a16:creationId xmlns:a16="http://schemas.microsoft.com/office/drawing/2014/main" id="{3E53574A-3C04-477A-B804-4591B600077F}"/>
                </a:ext>
              </a:extLst>
            </xdr14:cNvPr>
            <xdr14:cNvContentPartPr/>
          </xdr14:nvContentPartPr>
          <xdr14:nvPr macro=""/>
          <xdr14:xfrm>
            <a:off x="16692206" y="1855241"/>
            <a:ext cx="1434704" cy="1170915"/>
          </xdr14:xfrm>
        </xdr:contentPart>
      </mc:Choice>
      <mc:Fallback xmlns="">
        <xdr:pic>
          <xdr:nvPicPr>
            <xdr:cNvPr id="87" name="Input penna 86">
              <a:extLst>
                <a:ext uri="{FF2B5EF4-FFF2-40B4-BE49-F238E27FC236}">
                  <a16:creationId xmlns:a16="http://schemas.microsoft.com/office/drawing/2014/main" id="{E923A387-D745-24B0-5FDD-6CE5EE3B737F}"/>
                </a:ext>
              </a:extLst>
            </xdr:cNvPr>
            <xdr:cNvPicPr/>
          </xdr:nvPicPr>
          <xdr:blipFill>
            <a:blip xmlns:r="http://schemas.openxmlformats.org/officeDocument/2006/relationships" r:embed="rId20"/>
            <a:stretch>
              <a:fillRect/>
            </a:stretch>
          </xdr:blipFill>
          <xdr:spPr>
            <a:xfrm>
              <a:off x="9500040" y="1811880"/>
              <a:ext cx="2045160" cy="1703520"/>
            </a:xfrm>
            <a:prstGeom prst="rect">
              <a:avLst/>
            </a:prstGeom>
          </xdr:spPr>
        </xdr:pic>
      </mc:Fallback>
    </mc:AlternateContent>
    <xdr:clientData/>
  </xdr:twoCellAnchor>
  <xdr:twoCellAnchor editAs="oneCell">
    <xdr:from>
      <xdr:col>26</xdr:col>
      <xdr:colOff>457168</xdr:colOff>
      <xdr:row>9</xdr:row>
      <xdr:rowOff>171676</xdr:rowOff>
    </xdr:from>
    <xdr:to>
      <xdr:col>26</xdr:col>
      <xdr:colOff>650335</xdr:colOff>
      <xdr:row>10</xdr:row>
      <xdr:rowOff>97380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 name="Input penna 11">
              <a:extLst>
                <a:ext uri="{FF2B5EF4-FFF2-40B4-BE49-F238E27FC236}">
                  <a16:creationId xmlns:a16="http://schemas.microsoft.com/office/drawing/2014/main" id="{AB1952CD-0226-4355-88B9-007A385D4489}"/>
                </a:ext>
              </a:extLst>
            </xdr14:cNvPr>
            <xdr14:cNvContentPartPr/>
          </xdr14:nvContentPartPr>
          <xdr14:nvPr macro=""/>
          <xdr14:xfrm>
            <a:off x="16882501" y="1968491"/>
            <a:ext cx="192739" cy="104446"/>
          </xdr14:xfrm>
        </xdr:contentPart>
      </mc:Choice>
      <mc:Fallback xmlns="">
        <xdr:pic>
          <xdr:nvPicPr>
            <xdr:cNvPr id="3" name="Input penna 2">
              <a:extLst>
                <a:ext uri="{FF2B5EF4-FFF2-40B4-BE49-F238E27FC236}">
                  <a16:creationId xmlns:a16="http://schemas.microsoft.com/office/drawing/2014/main" id="{ABF9A0C2-5A1C-8577-823D-2261808E6E68}"/>
                </a:ext>
              </a:extLst>
            </xdr:cNvPr>
            <xdr:cNvPicPr/>
          </xdr:nvPicPr>
          <xdr:blipFill>
            <a:blip xmlns:r="http://schemas.openxmlformats.org/officeDocument/2006/relationships" r:embed="rId22"/>
            <a:stretch>
              <a:fillRect/>
            </a:stretch>
          </xdr:blipFill>
          <xdr:spPr>
            <a:xfrm>
              <a:off x="9767160" y="1978560"/>
              <a:ext cx="290160" cy="177480"/>
            </a:xfrm>
            <a:prstGeom prst="rect">
              <a:avLst/>
            </a:prstGeom>
          </xdr:spPr>
        </xdr:pic>
      </mc:Fallback>
    </mc:AlternateContent>
    <xdr:clientData/>
  </xdr:twoCellAnchor>
  <xdr:twoCellAnchor editAs="oneCell">
    <xdr:from>
      <xdr:col>30</xdr:col>
      <xdr:colOff>105908</xdr:colOff>
      <xdr:row>15</xdr:row>
      <xdr:rowOff>36739</xdr:rowOff>
    </xdr:from>
    <xdr:to>
      <xdr:col>30</xdr:col>
      <xdr:colOff>297986</xdr:colOff>
      <xdr:row>16</xdr:row>
      <xdr:rowOff>63057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 name="Input penna 12">
              <a:extLst>
                <a:ext uri="{FF2B5EF4-FFF2-40B4-BE49-F238E27FC236}">
                  <a16:creationId xmlns:a16="http://schemas.microsoft.com/office/drawing/2014/main" id="{2C5B0D93-53FA-47C3-9CC1-7873E3B083A7}"/>
                </a:ext>
              </a:extLst>
            </xdr14:cNvPr>
            <xdr14:cNvContentPartPr/>
          </xdr14:nvContentPartPr>
          <xdr14:nvPr macro=""/>
          <xdr14:xfrm>
            <a:off x="19024204" y="2934220"/>
            <a:ext cx="192078" cy="205060"/>
          </xdr14:xfrm>
        </xdr:contentPart>
      </mc:Choice>
      <mc:Fallback xmlns="">
        <xdr:pic>
          <xdr:nvPicPr>
            <xdr:cNvPr id="6" name="Input penna 5">
              <a:extLst>
                <a:ext uri="{FF2B5EF4-FFF2-40B4-BE49-F238E27FC236}">
                  <a16:creationId xmlns:a16="http://schemas.microsoft.com/office/drawing/2014/main" id="{D29631EE-E2E6-57B4-B19D-83D08C7180DC}"/>
                </a:ext>
              </a:extLst>
            </xdr:cNvPr>
            <xdr:cNvPicPr/>
          </xdr:nvPicPr>
          <xdr:blipFill>
            <a:blip xmlns:r="http://schemas.openxmlformats.org/officeDocument/2006/relationships" r:embed="rId24"/>
            <a:stretch>
              <a:fillRect/>
            </a:stretch>
          </xdr:blipFill>
          <xdr:spPr>
            <a:xfrm>
              <a:off x="12738960" y="3351240"/>
              <a:ext cx="287280" cy="307800"/>
            </a:xfrm>
            <a:prstGeom prst="rect">
              <a:avLst/>
            </a:prstGeom>
          </xdr:spPr>
        </xdr:pic>
      </mc:Fallback>
    </mc:AlternateContent>
    <xdr:clientData/>
  </xdr:twoCellAnchor>
  <xdr:twoCellAnchor editAs="oneCell">
    <xdr:from>
      <xdr:col>28</xdr:col>
      <xdr:colOff>483806</xdr:colOff>
      <xdr:row>3</xdr:row>
      <xdr:rowOff>12274</xdr:rowOff>
    </xdr:from>
    <xdr:to>
      <xdr:col>30</xdr:col>
      <xdr:colOff>354438</xdr:colOff>
      <xdr:row>8</xdr:row>
      <xdr:rowOff>1996</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4" name="Input penna 13">
              <a:extLst>
                <a:ext uri="{FF2B5EF4-FFF2-40B4-BE49-F238E27FC236}">
                  <a16:creationId xmlns:a16="http://schemas.microsoft.com/office/drawing/2014/main" id="{2763869B-33ED-4E71-9870-0EAED7468B04}"/>
                </a:ext>
              </a:extLst>
            </xdr14:cNvPr>
            <xdr14:cNvContentPartPr/>
          </xdr14:nvContentPartPr>
          <xdr14:nvPr macro=""/>
          <xdr14:xfrm>
            <a:off x="18132102" y="567311"/>
            <a:ext cx="1185003" cy="901542"/>
          </xdr14:xfrm>
        </xdr:contentPart>
      </mc:Choice>
      <mc:Fallback xmlns="">
        <xdr:pic>
          <xdr:nvPicPr>
            <xdr:cNvPr id="25" name="Input penna 24">
              <a:extLst>
                <a:ext uri="{FF2B5EF4-FFF2-40B4-BE49-F238E27FC236}">
                  <a16:creationId xmlns:a16="http://schemas.microsoft.com/office/drawing/2014/main" id="{15059630-A3FE-6375-9FE6-0BE070BE5ECB}"/>
                </a:ext>
              </a:extLst>
            </xdr:cNvPr>
            <xdr:cNvPicPr/>
          </xdr:nvPicPr>
          <xdr:blipFill>
            <a:blip xmlns:r="http://schemas.openxmlformats.org/officeDocument/2006/relationships" r:embed="rId26"/>
            <a:stretch>
              <a:fillRect/>
            </a:stretch>
          </xdr:blipFill>
          <xdr:spPr>
            <a:xfrm>
              <a:off x="11481480" y="128160"/>
              <a:ext cx="1687320" cy="1317960"/>
            </a:xfrm>
            <a:prstGeom prst="rect">
              <a:avLst/>
            </a:prstGeom>
          </xdr:spPr>
        </xdr:pic>
      </mc:Fallback>
    </mc:AlternateContent>
    <xdr:clientData/>
  </xdr:twoCellAnchor>
  <xdr:twoCellAnchor editAs="oneCell">
    <xdr:from>
      <xdr:col>28</xdr:col>
      <xdr:colOff>225209</xdr:colOff>
      <xdr:row>5</xdr:row>
      <xdr:rowOff>50865</xdr:rowOff>
    </xdr:from>
    <xdr:to>
      <xdr:col>28</xdr:col>
      <xdr:colOff>421258</xdr:colOff>
      <xdr:row>8</xdr:row>
      <xdr:rowOff>2913</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5" name="Input penna 14">
              <a:extLst>
                <a:ext uri="{FF2B5EF4-FFF2-40B4-BE49-F238E27FC236}">
                  <a16:creationId xmlns:a16="http://schemas.microsoft.com/office/drawing/2014/main" id="{3C755F6D-8B65-4B96-9E41-B281D91CD587}"/>
                </a:ext>
              </a:extLst>
            </xdr14:cNvPr>
            <xdr14:cNvContentPartPr/>
          </xdr14:nvContentPartPr>
          <xdr14:nvPr macro=""/>
          <xdr14:xfrm>
            <a:off x="17873505" y="1113902"/>
            <a:ext cx="196049" cy="497679"/>
          </xdr14:xfrm>
        </xdr:contentPart>
      </mc:Choice>
      <mc:Fallback xmlns="">
        <xdr:pic>
          <xdr:nvPicPr>
            <xdr:cNvPr id="9" name="Input penna 8">
              <a:extLst>
                <a:ext uri="{FF2B5EF4-FFF2-40B4-BE49-F238E27FC236}">
                  <a16:creationId xmlns:a16="http://schemas.microsoft.com/office/drawing/2014/main" id="{11B7308F-434E-9E11-EDC5-EB41D360D08F}"/>
                </a:ext>
              </a:extLst>
            </xdr:cNvPr>
            <xdr:cNvPicPr/>
          </xdr:nvPicPr>
          <xdr:blipFill>
            <a:blip xmlns:r="http://schemas.openxmlformats.org/officeDocument/2006/relationships" r:embed="rId28"/>
            <a:stretch>
              <a:fillRect/>
            </a:stretch>
          </xdr:blipFill>
          <xdr:spPr>
            <a:xfrm>
              <a:off x="16329586" y="1215603"/>
              <a:ext cx="285687" cy="726332"/>
            </a:xfrm>
            <a:prstGeom prst="rect">
              <a:avLst/>
            </a:prstGeom>
          </xdr:spPr>
        </xdr:pic>
      </mc:Fallback>
    </mc:AlternateContent>
    <xdr:clientData/>
  </xdr:twoCellAnchor>
  <xdr:twoCellAnchor editAs="oneCell">
    <xdr:from>
      <xdr:col>30</xdr:col>
      <xdr:colOff>554206</xdr:colOff>
      <xdr:row>9</xdr:row>
      <xdr:rowOff>25030</xdr:rowOff>
    </xdr:from>
    <xdr:to>
      <xdr:col>30</xdr:col>
      <xdr:colOff>829951</xdr:colOff>
      <xdr:row>11</xdr:row>
      <xdr:rowOff>142941</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 name="Input penna 15">
              <a:extLst>
                <a:ext uri="{FF2B5EF4-FFF2-40B4-BE49-F238E27FC236}">
                  <a16:creationId xmlns:a16="http://schemas.microsoft.com/office/drawing/2014/main" id="{32680075-1197-437F-A271-72C56B4538D4}"/>
                </a:ext>
              </a:extLst>
            </xdr14:cNvPr>
            <xdr14:cNvContentPartPr/>
          </xdr14:nvContentPartPr>
          <xdr14:nvPr macro=""/>
          <xdr14:xfrm>
            <a:off x="19472502" y="1821845"/>
            <a:ext cx="277627" cy="484800"/>
          </xdr14:xfrm>
        </xdr:contentPart>
      </mc:Choice>
      <mc:Fallback xmlns="">
        <xdr:pic>
          <xdr:nvPicPr>
            <xdr:cNvPr id="14" name="Input penna 13">
              <a:extLst>
                <a:ext uri="{FF2B5EF4-FFF2-40B4-BE49-F238E27FC236}">
                  <a16:creationId xmlns:a16="http://schemas.microsoft.com/office/drawing/2014/main" id="{F5BCC9FE-831F-FCA2-56AD-E2E8E7D36DBD}"/>
                </a:ext>
              </a:extLst>
            </xdr:cNvPr>
            <xdr:cNvPicPr/>
          </xdr:nvPicPr>
          <xdr:blipFill>
            <a:blip xmlns:r="http://schemas.openxmlformats.org/officeDocument/2006/relationships" r:embed="rId30"/>
            <a:stretch>
              <a:fillRect/>
            </a:stretch>
          </xdr:blipFill>
          <xdr:spPr>
            <a:xfrm>
              <a:off x="18509884" y="2213985"/>
              <a:ext cx="395343" cy="709033"/>
            </a:xfrm>
            <a:prstGeom prst="rect">
              <a:avLst/>
            </a:prstGeom>
          </xdr:spPr>
        </xdr:pic>
      </mc:Fallback>
    </mc:AlternateContent>
    <xdr:clientData/>
  </xdr:twoCellAnchor>
  <xdr:twoCellAnchor>
    <xdr:from>
      <xdr:col>14</xdr:col>
      <xdr:colOff>368898</xdr:colOff>
      <xdr:row>1</xdr:row>
      <xdr:rowOff>15463</xdr:rowOff>
    </xdr:from>
    <xdr:to>
      <xdr:col>21</xdr:col>
      <xdr:colOff>504265</xdr:colOff>
      <xdr:row>15</xdr:row>
      <xdr:rowOff>150382</xdr:rowOff>
    </xdr:to>
    <xdr:graphicFrame macro="">
      <xdr:nvGraphicFramePr>
        <xdr:cNvPr id="17" name="Grafico 16">
          <a:extLst>
            <a:ext uri="{FF2B5EF4-FFF2-40B4-BE49-F238E27FC236}">
              <a16:creationId xmlns:a16="http://schemas.microsoft.com/office/drawing/2014/main" id="{3C9106FD-8398-4D4F-96EA-EF5107DAE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14</xdr:col>
      <xdr:colOff>385482</xdr:colOff>
      <xdr:row>16</xdr:row>
      <xdr:rowOff>20394</xdr:rowOff>
    </xdr:from>
    <xdr:to>
      <xdr:col>21</xdr:col>
      <xdr:colOff>438822</xdr:colOff>
      <xdr:row>33</xdr:row>
      <xdr:rowOff>108024</xdr:rowOff>
    </xdr:to>
    <xdr:graphicFrame macro="">
      <xdr:nvGraphicFramePr>
        <xdr:cNvPr id="18" name="Grafico 17">
          <a:extLst>
            <a:ext uri="{FF2B5EF4-FFF2-40B4-BE49-F238E27FC236}">
              <a16:creationId xmlns:a16="http://schemas.microsoft.com/office/drawing/2014/main" id="{B297609F-1DC6-4F0B-A46E-04BA700D93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12</xdr:col>
      <xdr:colOff>146538</xdr:colOff>
      <xdr:row>64</xdr:row>
      <xdr:rowOff>69669</xdr:rowOff>
    </xdr:from>
    <xdr:to>
      <xdr:col>20</xdr:col>
      <xdr:colOff>149496</xdr:colOff>
      <xdr:row>81</xdr:row>
      <xdr:rowOff>166078</xdr:rowOff>
    </xdr:to>
    <xdr:graphicFrame macro="">
      <xdr:nvGraphicFramePr>
        <xdr:cNvPr id="19" name="Grafico 18">
          <a:extLst>
            <a:ext uri="{FF2B5EF4-FFF2-40B4-BE49-F238E27FC236}">
              <a16:creationId xmlns:a16="http://schemas.microsoft.com/office/drawing/2014/main" id="{4F699182-E58E-4A8D-9A65-77329EEE46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12</xdr:col>
      <xdr:colOff>136770</xdr:colOff>
      <xdr:row>82</xdr:row>
      <xdr:rowOff>49869</xdr:rowOff>
    </xdr:from>
    <xdr:to>
      <xdr:col>20</xdr:col>
      <xdr:colOff>185896</xdr:colOff>
      <xdr:row>102</xdr:row>
      <xdr:rowOff>136769</xdr:rowOff>
    </xdr:to>
    <xdr:graphicFrame macro="">
      <xdr:nvGraphicFramePr>
        <xdr:cNvPr id="22" name="Grafico 21">
          <a:extLst>
            <a:ext uri="{FF2B5EF4-FFF2-40B4-BE49-F238E27FC236}">
              <a16:creationId xmlns:a16="http://schemas.microsoft.com/office/drawing/2014/main" id="{A0B7A504-2ADC-4003-A927-299CE23605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24</xdr:col>
      <xdr:colOff>76199</xdr:colOff>
      <xdr:row>26</xdr:row>
      <xdr:rowOff>87085</xdr:rowOff>
    </xdr:from>
    <xdr:to>
      <xdr:col>30</xdr:col>
      <xdr:colOff>674532</xdr:colOff>
      <xdr:row>36</xdr:row>
      <xdr:rowOff>5803</xdr:rowOff>
    </xdr:to>
    <xdr:pic>
      <xdr:nvPicPr>
        <xdr:cNvPr id="23" name="Immagine 22" descr="Disegni a penna&#10;Disegni a penna&#10;Disegni a penna&#10;Disegni a penna&#10;Disegni a penna&#10;Disegni a penna&#10;Disegni a penna&#10;Disegni a penna&#10;Disegni a penna&#10;">
          <a:extLst>
            <a:ext uri="{FF2B5EF4-FFF2-40B4-BE49-F238E27FC236}">
              <a16:creationId xmlns:a16="http://schemas.microsoft.com/office/drawing/2014/main" id="{703E497A-47A5-499E-A07D-5094ECF10D38}"/>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5689579" y="4895305"/>
          <a:ext cx="5624270" cy="180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35</xdr:row>
      <xdr:rowOff>114300</xdr:rowOff>
    </xdr:from>
    <xdr:to>
      <xdr:col>5</xdr:col>
      <xdr:colOff>1038225</xdr:colOff>
      <xdr:row>45</xdr:row>
      <xdr:rowOff>171450</xdr:rowOff>
    </xdr:to>
    <xdr:pic>
      <xdr:nvPicPr>
        <xdr:cNvPr id="2" name="Immagine 1">
          <a:extLst>
            <a:ext uri="{FF2B5EF4-FFF2-40B4-BE49-F238E27FC236}">
              <a16:creationId xmlns:a16="http://schemas.microsoft.com/office/drawing/2014/main" id="{9C6DD90A-03EA-434F-A47C-5ADED53C2B3F}"/>
            </a:ext>
          </a:extLst>
        </xdr:cNvPr>
        <xdr:cNvPicPr>
          <a:picLocks noChangeAspect="1"/>
        </xdr:cNvPicPr>
      </xdr:nvPicPr>
      <xdr:blipFill>
        <a:blip xmlns:r="http://schemas.openxmlformats.org/officeDocument/2006/relationships" r:embed="rId1"/>
        <a:stretch>
          <a:fillRect/>
        </a:stretch>
      </xdr:blipFill>
      <xdr:spPr>
        <a:xfrm>
          <a:off x="609600" y="6781800"/>
          <a:ext cx="4572000" cy="1962150"/>
        </a:xfrm>
        <a:prstGeom prst="rect">
          <a:avLst/>
        </a:prstGeom>
      </xdr:spPr>
    </xdr:pic>
    <xdr:clientData/>
  </xdr:twoCellAnchor>
  <xdr:twoCellAnchor editAs="oneCell">
    <xdr:from>
      <xdr:col>1</xdr:col>
      <xdr:colOff>0</xdr:colOff>
      <xdr:row>45</xdr:row>
      <xdr:rowOff>152400</xdr:rowOff>
    </xdr:from>
    <xdr:to>
      <xdr:col>5</xdr:col>
      <xdr:colOff>1038225</xdr:colOff>
      <xdr:row>56</xdr:row>
      <xdr:rowOff>114300</xdr:rowOff>
    </xdr:to>
    <xdr:pic>
      <xdr:nvPicPr>
        <xdr:cNvPr id="3" name="Immagine 2">
          <a:extLst>
            <a:ext uri="{FF2B5EF4-FFF2-40B4-BE49-F238E27FC236}">
              <a16:creationId xmlns:a16="http://schemas.microsoft.com/office/drawing/2014/main" id="{1FF69329-8CA0-455D-BDB7-292550504468}"/>
            </a:ext>
            <a:ext uri="{147F2762-F138-4A5C-976F-8EAC2B608ADB}">
              <a16:predDERef xmlns:a16="http://schemas.microsoft.com/office/drawing/2014/main" pred="{30362140-772A-E79A-7361-2F25F1BA976C}"/>
            </a:ext>
          </a:extLst>
        </xdr:cNvPr>
        <xdr:cNvPicPr>
          <a:picLocks noChangeAspect="1"/>
        </xdr:cNvPicPr>
      </xdr:nvPicPr>
      <xdr:blipFill>
        <a:blip xmlns:r="http://schemas.openxmlformats.org/officeDocument/2006/relationships" r:embed="rId2"/>
        <a:stretch>
          <a:fillRect/>
        </a:stretch>
      </xdr:blipFill>
      <xdr:spPr>
        <a:xfrm>
          <a:off x="609600" y="8724900"/>
          <a:ext cx="4572000" cy="2057400"/>
        </a:xfrm>
        <a:prstGeom prst="rect">
          <a:avLst/>
        </a:prstGeom>
      </xdr:spPr>
    </xdr:pic>
    <xdr:clientData/>
  </xdr:twoCellAnchor>
  <xdr:twoCellAnchor editAs="oneCell">
    <xdr:from>
      <xdr:col>7</xdr:col>
      <xdr:colOff>0</xdr:colOff>
      <xdr:row>36</xdr:row>
      <xdr:rowOff>0</xdr:rowOff>
    </xdr:from>
    <xdr:to>
      <xdr:col>14</xdr:col>
      <xdr:colOff>251078</xdr:colOff>
      <xdr:row>64</xdr:row>
      <xdr:rowOff>19797</xdr:rowOff>
    </xdr:to>
    <xdr:pic>
      <xdr:nvPicPr>
        <xdr:cNvPr id="4" name="Immagine 3">
          <a:extLst>
            <a:ext uri="{FF2B5EF4-FFF2-40B4-BE49-F238E27FC236}">
              <a16:creationId xmlns:a16="http://schemas.microsoft.com/office/drawing/2014/main" id="{E6E6793E-F6CE-29B5-0A1F-6F31BCEEDB40}"/>
            </a:ext>
          </a:extLst>
        </xdr:cNvPr>
        <xdr:cNvPicPr>
          <a:picLocks noChangeAspect="1"/>
        </xdr:cNvPicPr>
      </xdr:nvPicPr>
      <xdr:blipFill>
        <a:blip xmlns:r="http://schemas.openxmlformats.org/officeDocument/2006/relationships" r:embed="rId3"/>
        <a:stretch>
          <a:fillRect/>
        </a:stretch>
      </xdr:blipFill>
      <xdr:spPr>
        <a:xfrm>
          <a:off x="5815853" y="6880412"/>
          <a:ext cx="4486901" cy="5353797"/>
        </a:xfrm>
        <a:prstGeom prst="rect">
          <a:avLst/>
        </a:prstGeom>
      </xdr:spPr>
    </xdr:pic>
    <xdr:clientData/>
  </xdr:twoCellAnchor>
  <xdr:twoCellAnchor editAs="oneCell">
    <xdr:from>
      <xdr:col>15</xdr:col>
      <xdr:colOff>0</xdr:colOff>
      <xdr:row>36</xdr:row>
      <xdr:rowOff>0</xdr:rowOff>
    </xdr:from>
    <xdr:to>
      <xdr:col>23</xdr:col>
      <xdr:colOff>331856</xdr:colOff>
      <xdr:row>67</xdr:row>
      <xdr:rowOff>115140</xdr:rowOff>
    </xdr:to>
    <xdr:pic>
      <xdr:nvPicPr>
        <xdr:cNvPr id="5" name="Immagine 4">
          <a:extLst>
            <a:ext uri="{FF2B5EF4-FFF2-40B4-BE49-F238E27FC236}">
              <a16:creationId xmlns:a16="http://schemas.microsoft.com/office/drawing/2014/main" id="{F9161921-530E-1A62-DEE2-86D02AD6A06B}"/>
            </a:ext>
          </a:extLst>
        </xdr:cNvPr>
        <xdr:cNvPicPr>
          <a:picLocks noChangeAspect="1"/>
        </xdr:cNvPicPr>
      </xdr:nvPicPr>
      <xdr:blipFill>
        <a:blip xmlns:r="http://schemas.openxmlformats.org/officeDocument/2006/relationships" r:embed="rId4"/>
        <a:stretch>
          <a:fillRect/>
        </a:stretch>
      </xdr:blipFill>
      <xdr:spPr>
        <a:xfrm>
          <a:off x="10656794" y="6880412"/>
          <a:ext cx="5172797" cy="6020640"/>
        </a:xfrm>
        <a:prstGeom prst="rect">
          <a:avLst/>
        </a:prstGeom>
      </xdr:spPr>
    </xdr:pic>
    <xdr:clientData/>
  </xdr:twoCellAnchor>
  <xdr:twoCellAnchor editAs="oneCell">
    <xdr:from>
      <xdr:col>16</xdr:col>
      <xdr:colOff>0</xdr:colOff>
      <xdr:row>2</xdr:row>
      <xdr:rowOff>0</xdr:rowOff>
    </xdr:from>
    <xdr:to>
      <xdr:col>24</xdr:col>
      <xdr:colOff>476997</xdr:colOff>
      <xdr:row>38</xdr:row>
      <xdr:rowOff>172435</xdr:rowOff>
    </xdr:to>
    <xdr:pic>
      <xdr:nvPicPr>
        <xdr:cNvPr id="6" name="Immagine 5">
          <a:extLst>
            <a:ext uri="{FF2B5EF4-FFF2-40B4-BE49-F238E27FC236}">
              <a16:creationId xmlns:a16="http://schemas.microsoft.com/office/drawing/2014/main" id="{2E151ED1-98FB-DF69-29CE-0A6B1A7B8600}"/>
            </a:ext>
          </a:extLst>
        </xdr:cNvPr>
        <xdr:cNvPicPr>
          <a:picLocks noChangeAspect="1"/>
        </xdr:cNvPicPr>
      </xdr:nvPicPr>
      <xdr:blipFill>
        <a:blip xmlns:r="http://schemas.openxmlformats.org/officeDocument/2006/relationships" r:embed="rId5"/>
        <a:stretch>
          <a:fillRect/>
        </a:stretch>
      </xdr:blipFill>
      <xdr:spPr>
        <a:xfrm>
          <a:off x="11325225" y="381000"/>
          <a:ext cx="5353797" cy="705901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31</xdr:col>
      <xdr:colOff>12760</xdr:colOff>
      <xdr:row>13</xdr:row>
      <xdr:rowOff>162961</xdr:rowOff>
    </xdr:from>
    <xdr:to>
      <xdr:col>31</xdr:col>
      <xdr:colOff>332549</xdr:colOff>
      <xdr:row>15</xdr:row>
      <xdr:rowOff>52272</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put penna 1">
              <a:extLst>
                <a:ext uri="{FF2B5EF4-FFF2-40B4-BE49-F238E27FC236}">
                  <a16:creationId xmlns:a16="http://schemas.microsoft.com/office/drawing/2014/main" id="{44924C0F-A684-426B-A8A1-1B943375062C}"/>
                </a:ext>
              </a:extLst>
            </xdr14:cNvPr>
            <xdr14:cNvContentPartPr/>
          </xdr14:nvContentPartPr>
          <xdr14:nvPr macro=""/>
          <xdr14:xfrm>
            <a:off x="19542538" y="2684146"/>
            <a:ext cx="319789" cy="265606"/>
          </xdr14:xfrm>
        </xdr:contentPart>
      </mc:Choice>
      <mc:Fallback xmlns="">
        <xdr:pic>
          <xdr:nvPicPr>
            <xdr:cNvPr id="24" name="Input penna 23">
              <a:extLst>
                <a:ext uri="{FF2B5EF4-FFF2-40B4-BE49-F238E27FC236}">
                  <a16:creationId xmlns:a16="http://schemas.microsoft.com/office/drawing/2014/main" id="{04A68133-4FF2-39F1-9E13-BC265FF6BCBB}"/>
                </a:ext>
              </a:extLst>
            </xdr:cNvPr>
            <xdr:cNvPicPr/>
          </xdr:nvPicPr>
          <xdr:blipFill>
            <a:blip xmlns:r="http://schemas.openxmlformats.org/officeDocument/2006/relationships" r:embed="rId2"/>
            <a:stretch>
              <a:fillRect/>
            </a:stretch>
          </xdr:blipFill>
          <xdr:spPr>
            <a:xfrm>
              <a:off x="13422240" y="2991240"/>
              <a:ext cx="469800" cy="399600"/>
            </a:xfrm>
            <a:prstGeom prst="rect">
              <a:avLst/>
            </a:prstGeom>
          </xdr:spPr>
        </xdr:pic>
      </mc:Fallback>
    </mc:AlternateContent>
    <xdr:clientData/>
  </xdr:twoCellAnchor>
  <xdr:twoCellAnchor editAs="oneCell">
    <xdr:from>
      <xdr:col>26</xdr:col>
      <xdr:colOff>564869</xdr:colOff>
      <xdr:row>2</xdr:row>
      <xdr:rowOff>167280</xdr:rowOff>
    </xdr:from>
    <xdr:to>
      <xdr:col>26</xdr:col>
      <xdr:colOff>672488</xdr:colOff>
      <xdr:row>4</xdr:row>
      <xdr:rowOff>134632</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put penna 2">
              <a:extLst>
                <a:ext uri="{FF2B5EF4-FFF2-40B4-BE49-F238E27FC236}">
                  <a16:creationId xmlns:a16="http://schemas.microsoft.com/office/drawing/2014/main" id="{DFC1C3B2-4996-41F3-BF78-151BD4E7C7B6}"/>
                </a:ext>
              </a:extLst>
            </xdr14:cNvPr>
            <xdr14:cNvContentPartPr/>
          </xdr14:nvContentPartPr>
          <xdr14:nvPr macro=""/>
          <xdr14:xfrm>
            <a:off x="16990202" y="543576"/>
            <a:ext cx="107191" cy="331444"/>
          </xdr14:xfrm>
        </xdr:contentPart>
      </mc:Choice>
      <mc:Fallback xmlns="">
        <xdr:pic>
          <xdr:nvPicPr>
            <xdr:cNvPr id="38" name="Input penna 37">
              <a:extLst>
                <a:ext uri="{FF2B5EF4-FFF2-40B4-BE49-F238E27FC236}">
                  <a16:creationId xmlns:a16="http://schemas.microsoft.com/office/drawing/2014/main" id="{A989613D-59C3-D640-462A-74092E9D526F}"/>
                </a:ext>
              </a:extLst>
            </xdr:cNvPr>
            <xdr:cNvPicPr/>
          </xdr:nvPicPr>
          <xdr:blipFill>
            <a:blip xmlns:r="http://schemas.openxmlformats.org/officeDocument/2006/relationships" r:embed="rId4"/>
            <a:stretch>
              <a:fillRect/>
            </a:stretch>
          </xdr:blipFill>
          <xdr:spPr>
            <a:xfrm>
              <a:off x="9865080" y="73440"/>
              <a:ext cx="187200" cy="535320"/>
            </a:xfrm>
            <a:prstGeom prst="rect">
              <a:avLst/>
            </a:prstGeom>
          </xdr:spPr>
        </xdr:pic>
      </mc:Fallback>
    </mc:AlternateContent>
    <xdr:clientData/>
  </xdr:twoCellAnchor>
  <xdr:twoCellAnchor editAs="oneCell">
    <xdr:from>
      <xdr:col>25</xdr:col>
      <xdr:colOff>379442</xdr:colOff>
      <xdr:row>4</xdr:row>
      <xdr:rowOff>93834</xdr:rowOff>
    </xdr:from>
    <xdr:to>
      <xdr:col>26</xdr:col>
      <xdr:colOff>111894</xdr:colOff>
      <xdr:row>6</xdr:row>
      <xdr:rowOff>90491</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put penna 3">
              <a:extLst>
                <a:ext uri="{FF2B5EF4-FFF2-40B4-BE49-F238E27FC236}">
                  <a16:creationId xmlns:a16="http://schemas.microsoft.com/office/drawing/2014/main" id="{3A36034B-7636-491B-81B8-D63DE05B7495}"/>
                </a:ext>
              </a:extLst>
            </xdr14:cNvPr>
            <xdr14:cNvContentPartPr/>
          </xdr14:nvContentPartPr>
          <xdr14:nvPr macro=""/>
          <xdr14:xfrm>
            <a:off x="16193294" y="978130"/>
            <a:ext cx="814954" cy="354139"/>
          </xdr14:xfrm>
        </xdr:contentPart>
      </mc:Choice>
      <mc:Fallback xmlns="">
        <xdr:pic>
          <xdr:nvPicPr>
            <xdr:cNvPr id="40" name="Input penna 39">
              <a:extLst>
                <a:ext uri="{FF2B5EF4-FFF2-40B4-BE49-F238E27FC236}">
                  <a16:creationId xmlns:a16="http://schemas.microsoft.com/office/drawing/2014/main" id="{612DF23C-992B-C2BD-4466-EB634D34BAAB}"/>
                </a:ext>
              </a:extLst>
            </xdr:cNvPr>
            <xdr:cNvPicPr/>
          </xdr:nvPicPr>
          <xdr:blipFill>
            <a:blip xmlns:r="http://schemas.openxmlformats.org/officeDocument/2006/relationships" r:embed="rId6"/>
            <a:stretch>
              <a:fillRect/>
            </a:stretch>
          </xdr:blipFill>
          <xdr:spPr>
            <a:xfrm>
              <a:off x="8790480" y="560880"/>
              <a:ext cx="1184040" cy="531360"/>
            </a:xfrm>
            <a:prstGeom prst="rect">
              <a:avLst/>
            </a:prstGeom>
          </xdr:spPr>
        </xdr:pic>
      </mc:Fallback>
    </mc:AlternateContent>
    <xdr:clientData/>
  </xdr:twoCellAnchor>
  <xdr:twoCellAnchor editAs="oneCell">
    <xdr:from>
      <xdr:col>27</xdr:col>
      <xdr:colOff>7363</xdr:colOff>
      <xdr:row>4</xdr:row>
      <xdr:rowOff>129339</xdr:rowOff>
    </xdr:from>
    <xdr:to>
      <xdr:col>30</xdr:col>
      <xdr:colOff>699084</xdr:colOff>
      <xdr:row>13</xdr:row>
      <xdr:rowOff>166100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put penna 4">
              <a:extLst>
                <a:ext uri="{FF2B5EF4-FFF2-40B4-BE49-F238E27FC236}">
                  <a16:creationId xmlns:a16="http://schemas.microsoft.com/office/drawing/2014/main" id="{9BD62ED9-811F-4857-9BCC-2BBCC3AC4D65}"/>
                </a:ext>
              </a:extLst>
            </xdr14:cNvPr>
            <xdr14:cNvContentPartPr/>
          </xdr14:nvContentPartPr>
          <xdr14:nvPr macro=""/>
          <xdr14:xfrm>
            <a:off x="17044178" y="1013635"/>
            <a:ext cx="2619453" cy="1673650"/>
          </xdr14:xfrm>
        </xdr:contentPart>
      </mc:Choice>
      <mc:Fallback xmlns="">
        <xdr:pic>
          <xdr:nvPicPr>
            <xdr:cNvPr id="48" name="Input penna 47">
              <a:extLst>
                <a:ext uri="{FF2B5EF4-FFF2-40B4-BE49-F238E27FC236}">
                  <a16:creationId xmlns:a16="http://schemas.microsoft.com/office/drawing/2014/main" id="{9416C6EC-41D9-F94A-B1A2-A3190C77F8EC}"/>
                </a:ext>
              </a:extLst>
            </xdr:cNvPr>
            <xdr:cNvPicPr/>
          </xdr:nvPicPr>
          <xdr:blipFill>
            <a:blip xmlns:r="http://schemas.openxmlformats.org/officeDocument/2006/relationships" r:embed="rId8"/>
            <a:stretch>
              <a:fillRect/>
            </a:stretch>
          </xdr:blipFill>
          <xdr:spPr>
            <a:xfrm>
              <a:off x="9950040" y="615960"/>
              <a:ext cx="3714480" cy="2427840"/>
            </a:xfrm>
            <a:prstGeom prst="rect">
              <a:avLst/>
            </a:prstGeom>
          </xdr:spPr>
        </xdr:pic>
      </mc:Fallback>
    </mc:AlternateContent>
    <xdr:clientData/>
  </xdr:twoCellAnchor>
  <xdr:twoCellAnchor editAs="oneCell">
    <xdr:from>
      <xdr:col>27</xdr:col>
      <xdr:colOff>87310</xdr:colOff>
      <xdr:row>4</xdr:row>
      <xdr:rowOff>76487</xdr:rowOff>
    </xdr:from>
    <xdr:to>
      <xdr:col>27</xdr:col>
      <xdr:colOff>316561</xdr:colOff>
      <xdr:row>6</xdr:row>
      <xdr:rowOff>80493</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 name="Input penna 5">
              <a:extLst>
                <a:ext uri="{FF2B5EF4-FFF2-40B4-BE49-F238E27FC236}">
                  <a16:creationId xmlns:a16="http://schemas.microsoft.com/office/drawing/2014/main" id="{DAE8B5CC-5E69-4278-8053-8B07E23E00EC}"/>
                </a:ext>
              </a:extLst>
            </xdr14:cNvPr>
            <xdr14:cNvContentPartPr/>
          </xdr14:nvContentPartPr>
          <xdr14:nvPr macro=""/>
          <xdr14:xfrm>
            <a:off x="17124125" y="960783"/>
            <a:ext cx="229251" cy="361488"/>
          </xdr14:xfrm>
        </xdr:contentPart>
      </mc:Choice>
      <mc:Fallback xmlns="">
        <xdr:pic>
          <xdr:nvPicPr>
            <xdr:cNvPr id="53" name="Input penna 52">
              <a:extLst>
                <a:ext uri="{FF2B5EF4-FFF2-40B4-BE49-F238E27FC236}">
                  <a16:creationId xmlns:a16="http://schemas.microsoft.com/office/drawing/2014/main" id="{85E30CDB-8C95-06B7-D322-15474CC7AEF6}"/>
                </a:ext>
              </a:extLst>
            </xdr:cNvPr>
            <xdr:cNvPicPr/>
          </xdr:nvPicPr>
          <xdr:blipFill>
            <a:blip xmlns:r="http://schemas.openxmlformats.org/officeDocument/2006/relationships" r:embed="rId10"/>
            <a:stretch>
              <a:fillRect/>
            </a:stretch>
          </xdr:blipFill>
          <xdr:spPr>
            <a:xfrm>
              <a:off x="10054100" y="538188"/>
              <a:ext cx="357800" cy="547225"/>
            </a:xfrm>
            <a:prstGeom prst="rect">
              <a:avLst/>
            </a:prstGeom>
          </xdr:spPr>
        </xdr:pic>
      </mc:Fallback>
    </mc:AlternateContent>
    <xdr:clientData/>
  </xdr:twoCellAnchor>
  <xdr:twoCellAnchor editAs="oneCell">
    <xdr:from>
      <xdr:col>30</xdr:col>
      <xdr:colOff>421979</xdr:colOff>
      <xdr:row>10</xdr:row>
      <xdr:rowOff>33772</xdr:rowOff>
    </xdr:from>
    <xdr:to>
      <xdr:col>30</xdr:col>
      <xdr:colOff>549029</xdr:colOff>
      <xdr:row>12</xdr:row>
      <xdr:rowOff>130899</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 name="Input penna 6">
              <a:extLst>
                <a:ext uri="{FF2B5EF4-FFF2-40B4-BE49-F238E27FC236}">
                  <a16:creationId xmlns:a16="http://schemas.microsoft.com/office/drawing/2014/main" id="{FDD37DC5-D633-433B-8559-1335AD2EC41C}"/>
                </a:ext>
              </a:extLst>
            </xdr14:cNvPr>
            <xdr14:cNvContentPartPr/>
          </xdr14:nvContentPartPr>
          <xdr14:nvPr macro=""/>
          <xdr14:xfrm>
            <a:off x="19340275" y="2009328"/>
            <a:ext cx="127050" cy="464015"/>
          </xdr14:xfrm>
        </xdr:contentPart>
      </mc:Choice>
      <mc:Fallback xmlns="">
        <xdr:pic>
          <xdr:nvPicPr>
            <xdr:cNvPr id="54" name="Input penna 53">
              <a:extLst>
                <a:ext uri="{FF2B5EF4-FFF2-40B4-BE49-F238E27FC236}">
                  <a16:creationId xmlns:a16="http://schemas.microsoft.com/office/drawing/2014/main" id="{A44C1422-AAE7-E02B-F6D4-C0E4AC2ECC39}"/>
                </a:ext>
              </a:extLst>
            </xdr:cNvPr>
            <xdr:cNvPicPr/>
          </xdr:nvPicPr>
          <xdr:blipFill>
            <a:blip xmlns:r="http://schemas.openxmlformats.org/officeDocument/2006/relationships" r:embed="rId12"/>
            <a:stretch>
              <a:fillRect/>
            </a:stretch>
          </xdr:blipFill>
          <xdr:spPr>
            <a:xfrm>
              <a:off x="13129560" y="2031840"/>
              <a:ext cx="215280" cy="690840"/>
            </a:xfrm>
            <a:prstGeom prst="rect">
              <a:avLst/>
            </a:prstGeom>
          </xdr:spPr>
        </xdr:pic>
      </mc:Fallback>
    </mc:AlternateContent>
    <xdr:clientData/>
  </xdr:twoCellAnchor>
  <xdr:twoCellAnchor editAs="oneCell">
    <xdr:from>
      <xdr:col>29</xdr:col>
      <xdr:colOff>577354</xdr:colOff>
      <xdr:row>11</xdr:row>
      <xdr:rowOff>95861</xdr:rowOff>
    </xdr:from>
    <xdr:to>
      <xdr:col>30</xdr:col>
      <xdr:colOff>356225</xdr:colOff>
      <xdr:row>13</xdr:row>
      <xdr:rowOff>6161</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 name="Input penna 7">
              <a:extLst>
                <a:ext uri="{FF2B5EF4-FFF2-40B4-BE49-F238E27FC236}">
                  <a16:creationId xmlns:a16="http://schemas.microsoft.com/office/drawing/2014/main" id="{0E2640B5-11D0-4E08-BC83-3EDC815EF092}"/>
                </a:ext>
              </a:extLst>
            </xdr14:cNvPr>
            <xdr14:cNvContentPartPr/>
          </xdr14:nvContentPartPr>
          <xdr14:nvPr macro=""/>
          <xdr14:xfrm>
            <a:off x="18884169" y="2259565"/>
            <a:ext cx="434720" cy="267782"/>
          </xdr14:xfrm>
        </xdr:contentPart>
      </mc:Choice>
      <mc:Fallback xmlns="">
        <xdr:pic>
          <xdr:nvPicPr>
            <xdr:cNvPr id="55" name="Input penna 54">
              <a:extLst>
                <a:ext uri="{FF2B5EF4-FFF2-40B4-BE49-F238E27FC236}">
                  <a16:creationId xmlns:a16="http://schemas.microsoft.com/office/drawing/2014/main" id="{0F2F5E0E-2E24-2376-9ACC-2B12CF18C3BC}"/>
                </a:ext>
              </a:extLst>
            </xdr:cNvPr>
            <xdr:cNvPicPr/>
          </xdr:nvPicPr>
          <xdr:blipFill>
            <a:blip xmlns:r="http://schemas.openxmlformats.org/officeDocument/2006/relationships" r:embed="rId14"/>
            <a:stretch>
              <a:fillRect/>
            </a:stretch>
          </xdr:blipFill>
          <xdr:spPr>
            <a:xfrm>
              <a:off x="12486240" y="2382120"/>
              <a:ext cx="648360" cy="419400"/>
            </a:xfrm>
            <a:prstGeom prst="rect">
              <a:avLst/>
            </a:prstGeom>
          </xdr:spPr>
        </xdr:pic>
      </mc:Fallback>
    </mc:AlternateContent>
    <xdr:clientData/>
  </xdr:twoCellAnchor>
  <xdr:twoCellAnchor editAs="oneCell">
    <xdr:from>
      <xdr:col>29</xdr:col>
      <xdr:colOff>574149</xdr:colOff>
      <xdr:row>11</xdr:row>
      <xdr:rowOff>136399</xdr:rowOff>
    </xdr:from>
    <xdr:to>
      <xdr:col>30</xdr:col>
      <xdr:colOff>280329</xdr:colOff>
      <xdr:row>14</xdr:row>
      <xdr:rowOff>81022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 name="Input penna 8">
              <a:extLst>
                <a:ext uri="{FF2B5EF4-FFF2-40B4-BE49-F238E27FC236}">
                  <a16:creationId xmlns:a16="http://schemas.microsoft.com/office/drawing/2014/main" id="{A2E4F91A-13DD-4F4A-A015-CB625275A318}"/>
                </a:ext>
              </a:extLst>
            </xdr14:cNvPr>
            <xdr14:cNvContentPartPr/>
          </xdr14:nvContentPartPr>
          <xdr14:nvPr macro=""/>
          <xdr14:xfrm>
            <a:off x="18880964" y="2300103"/>
            <a:ext cx="362029" cy="490253"/>
          </xdr14:xfrm>
        </xdr:contentPart>
      </mc:Choice>
      <mc:Fallback xmlns="">
        <xdr:pic>
          <xdr:nvPicPr>
            <xdr:cNvPr id="65" name="Input penna 64">
              <a:extLst>
                <a:ext uri="{FF2B5EF4-FFF2-40B4-BE49-F238E27FC236}">
                  <a16:creationId xmlns:a16="http://schemas.microsoft.com/office/drawing/2014/main" id="{61AC6EC2-F3CD-9A9A-27FB-3B07B16F1560}"/>
                </a:ext>
              </a:extLst>
            </xdr:cNvPr>
            <xdr:cNvPicPr/>
          </xdr:nvPicPr>
          <xdr:blipFill>
            <a:blip xmlns:r="http://schemas.openxmlformats.org/officeDocument/2006/relationships" r:embed="rId16"/>
            <a:stretch>
              <a:fillRect/>
            </a:stretch>
          </xdr:blipFill>
          <xdr:spPr>
            <a:xfrm>
              <a:off x="18862971" y="2282105"/>
              <a:ext cx="397656" cy="525888"/>
            </a:xfrm>
            <a:prstGeom prst="rect">
              <a:avLst/>
            </a:prstGeom>
          </xdr:spPr>
        </xdr:pic>
      </mc:Fallback>
    </mc:AlternateContent>
    <xdr:clientData/>
  </xdr:twoCellAnchor>
  <xdr:twoCellAnchor editAs="oneCell">
    <xdr:from>
      <xdr:col>26</xdr:col>
      <xdr:colOff>143133</xdr:colOff>
      <xdr:row>6</xdr:row>
      <xdr:rowOff>81065</xdr:rowOff>
    </xdr:from>
    <xdr:to>
      <xdr:col>30</xdr:col>
      <xdr:colOff>3785</xdr:colOff>
      <xdr:row>17</xdr:row>
      <xdr:rowOff>75259</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 name="Input penna 9">
              <a:extLst>
                <a:ext uri="{FF2B5EF4-FFF2-40B4-BE49-F238E27FC236}">
                  <a16:creationId xmlns:a16="http://schemas.microsoft.com/office/drawing/2014/main" id="{F3EEEDF5-BC98-4DF5-BD64-B023F0A4E295}"/>
                </a:ext>
              </a:extLst>
            </xdr14:cNvPr>
            <xdr14:cNvContentPartPr/>
          </xdr14:nvContentPartPr>
          <xdr14:nvPr macro=""/>
          <xdr14:xfrm>
            <a:off x="16568466" y="1322843"/>
            <a:ext cx="2859803" cy="2007379"/>
          </xdr14:xfrm>
        </xdr:contentPart>
      </mc:Choice>
      <mc:Fallback xmlns="">
        <xdr:pic>
          <xdr:nvPicPr>
            <xdr:cNvPr id="81" name="Input penna 80">
              <a:extLst>
                <a:ext uri="{FF2B5EF4-FFF2-40B4-BE49-F238E27FC236}">
                  <a16:creationId xmlns:a16="http://schemas.microsoft.com/office/drawing/2014/main" id="{31114123-659A-B47D-B702-95E0AF7F6587}"/>
                </a:ext>
              </a:extLst>
            </xdr:cNvPr>
            <xdr:cNvPicPr/>
          </xdr:nvPicPr>
          <xdr:blipFill>
            <a:blip xmlns:r="http://schemas.openxmlformats.org/officeDocument/2006/relationships" r:embed="rId18"/>
            <a:stretch>
              <a:fillRect/>
            </a:stretch>
          </xdr:blipFill>
          <xdr:spPr>
            <a:xfrm>
              <a:off x="9325080" y="1061999"/>
              <a:ext cx="4054320" cy="2909882"/>
            </a:xfrm>
            <a:prstGeom prst="rect">
              <a:avLst/>
            </a:prstGeom>
          </xdr:spPr>
        </xdr:pic>
      </mc:Fallback>
    </mc:AlternateContent>
    <xdr:clientData/>
  </xdr:twoCellAnchor>
  <xdr:twoCellAnchor editAs="oneCell">
    <xdr:from>
      <xdr:col>26</xdr:col>
      <xdr:colOff>266873</xdr:colOff>
      <xdr:row>9</xdr:row>
      <xdr:rowOff>58426</xdr:rowOff>
    </xdr:from>
    <xdr:to>
      <xdr:col>28</xdr:col>
      <xdr:colOff>16795</xdr:colOff>
      <xdr:row>15</xdr:row>
      <xdr:rowOff>128675</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 name="Input penna 10">
              <a:extLst>
                <a:ext uri="{FF2B5EF4-FFF2-40B4-BE49-F238E27FC236}">
                  <a16:creationId xmlns:a16="http://schemas.microsoft.com/office/drawing/2014/main" id="{12FB21EE-831F-4B28-A2B7-629C7FE02E20}"/>
                </a:ext>
              </a:extLst>
            </xdr14:cNvPr>
            <xdr14:cNvContentPartPr/>
          </xdr14:nvContentPartPr>
          <xdr14:nvPr macro=""/>
          <xdr14:xfrm>
            <a:off x="16692206" y="1855241"/>
            <a:ext cx="1434704" cy="1170915"/>
          </xdr14:xfrm>
        </xdr:contentPart>
      </mc:Choice>
      <mc:Fallback xmlns="">
        <xdr:pic>
          <xdr:nvPicPr>
            <xdr:cNvPr id="87" name="Input penna 86">
              <a:extLst>
                <a:ext uri="{FF2B5EF4-FFF2-40B4-BE49-F238E27FC236}">
                  <a16:creationId xmlns:a16="http://schemas.microsoft.com/office/drawing/2014/main" id="{E923A387-D745-24B0-5FDD-6CE5EE3B737F}"/>
                </a:ext>
              </a:extLst>
            </xdr:cNvPr>
            <xdr:cNvPicPr/>
          </xdr:nvPicPr>
          <xdr:blipFill>
            <a:blip xmlns:r="http://schemas.openxmlformats.org/officeDocument/2006/relationships" r:embed="rId20"/>
            <a:stretch>
              <a:fillRect/>
            </a:stretch>
          </xdr:blipFill>
          <xdr:spPr>
            <a:xfrm>
              <a:off x="9500040" y="1811880"/>
              <a:ext cx="2045160" cy="1703520"/>
            </a:xfrm>
            <a:prstGeom prst="rect">
              <a:avLst/>
            </a:prstGeom>
          </xdr:spPr>
        </xdr:pic>
      </mc:Fallback>
    </mc:AlternateContent>
    <xdr:clientData/>
  </xdr:twoCellAnchor>
  <xdr:twoCellAnchor editAs="oneCell">
    <xdr:from>
      <xdr:col>26</xdr:col>
      <xdr:colOff>457168</xdr:colOff>
      <xdr:row>9</xdr:row>
      <xdr:rowOff>171676</xdr:rowOff>
    </xdr:from>
    <xdr:to>
      <xdr:col>26</xdr:col>
      <xdr:colOff>650335</xdr:colOff>
      <xdr:row>10</xdr:row>
      <xdr:rowOff>97380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 name="Input penna 11">
              <a:extLst>
                <a:ext uri="{FF2B5EF4-FFF2-40B4-BE49-F238E27FC236}">
                  <a16:creationId xmlns:a16="http://schemas.microsoft.com/office/drawing/2014/main" id="{7BB38F66-CA3A-4DC7-9F99-6D5EB4B79C03}"/>
                </a:ext>
              </a:extLst>
            </xdr14:cNvPr>
            <xdr14:cNvContentPartPr/>
          </xdr14:nvContentPartPr>
          <xdr14:nvPr macro=""/>
          <xdr14:xfrm>
            <a:off x="16882501" y="1968491"/>
            <a:ext cx="192739" cy="104446"/>
          </xdr14:xfrm>
        </xdr:contentPart>
      </mc:Choice>
      <mc:Fallback xmlns="">
        <xdr:pic>
          <xdr:nvPicPr>
            <xdr:cNvPr id="3" name="Input penna 2">
              <a:extLst>
                <a:ext uri="{FF2B5EF4-FFF2-40B4-BE49-F238E27FC236}">
                  <a16:creationId xmlns:a16="http://schemas.microsoft.com/office/drawing/2014/main" id="{ABF9A0C2-5A1C-8577-823D-2261808E6E68}"/>
                </a:ext>
              </a:extLst>
            </xdr:cNvPr>
            <xdr:cNvPicPr/>
          </xdr:nvPicPr>
          <xdr:blipFill>
            <a:blip xmlns:r="http://schemas.openxmlformats.org/officeDocument/2006/relationships" r:embed="rId22"/>
            <a:stretch>
              <a:fillRect/>
            </a:stretch>
          </xdr:blipFill>
          <xdr:spPr>
            <a:xfrm>
              <a:off x="9767160" y="1978560"/>
              <a:ext cx="290160" cy="177480"/>
            </a:xfrm>
            <a:prstGeom prst="rect">
              <a:avLst/>
            </a:prstGeom>
          </xdr:spPr>
        </xdr:pic>
      </mc:Fallback>
    </mc:AlternateContent>
    <xdr:clientData/>
  </xdr:twoCellAnchor>
  <xdr:twoCellAnchor editAs="oneCell">
    <xdr:from>
      <xdr:col>30</xdr:col>
      <xdr:colOff>105908</xdr:colOff>
      <xdr:row>15</xdr:row>
      <xdr:rowOff>36739</xdr:rowOff>
    </xdr:from>
    <xdr:to>
      <xdr:col>30</xdr:col>
      <xdr:colOff>297986</xdr:colOff>
      <xdr:row>16</xdr:row>
      <xdr:rowOff>63057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 name="Input penna 12">
              <a:extLst>
                <a:ext uri="{FF2B5EF4-FFF2-40B4-BE49-F238E27FC236}">
                  <a16:creationId xmlns:a16="http://schemas.microsoft.com/office/drawing/2014/main" id="{118786FC-D037-40BB-BB8A-EB4943B79743}"/>
                </a:ext>
              </a:extLst>
            </xdr14:cNvPr>
            <xdr14:cNvContentPartPr/>
          </xdr14:nvContentPartPr>
          <xdr14:nvPr macro=""/>
          <xdr14:xfrm>
            <a:off x="19024204" y="2934220"/>
            <a:ext cx="192078" cy="205060"/>
          </xdr14:xfrm>
        </xdr:contentPart>
      </mc:Choice>
      <mc:Fallback xmlns="">
        <xdr:pic>
          <xdr:nvPicPr>
            <xdr:cNvPr id="6" name="Input penna 5">
              <a:extLst>
                <a:ext uri="{FF2B5EF4-FFF2-40B4-BE49-F238E27FC236}">
                  <a16:creationId xmlns:a16="http://schemas.microsoft.com/office/drawing/2014/main" id="{D29631EE-E2E6-57B4-B19D-83D08C7180DC}"/>
                </a:ext>
              </a:extLst>
            </xdr:cNvPr>
            <xdr:cNvPicPr/>
          </xdr:nvPicPr>
          <xdr:blipFill>
            <a:blip xmlns:r="http://schemas.openxmlformats.org/officeDocument/2006/relationships" r:embed="rId24"/>
            <a:stretch>
              <a:fillRect/>
            </a:stretch>
          </xdr:blipFill>
          <xdr:spPr>
            <a:xfrm>
              <a:off x="12738960" y="3351240"/>
              <a:ext cx="287280" cy="307800"/>
            </a:xfrm>
            <a:prstGeom prst="rect">
              <a:avLst/>
            </a:prstGeom>
          </xdr:spPr>
        </xdr:pic>
      </mc:Fallback>
    </mc:AlternateContent>
    <xdr:clientData/>
  </xdr:twoCellAnchor>
  <xdr:twoCellAnchor editAs="oneCell">
    <xdr:from>
      <xdr:col>28</xdr:col>
      <xdr:colOff>483806</xdr:colOff>
      <xdr:row>3</xdr:row>
      <xdr:rowOff>12274</xdr:rowOff>
    </xdr:from>
    <xdr:to>
      <xdr:col>30</xdr:col>
      <xdr:colOff>354440</xdr:colOff>
      <xdr:row>8</xdr:row>
      <xdr:rowOff>1996</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4" name="Input penna 13">
              <a:extLst>
                <a:ext uri="{FF2B5EF4-FFF2-40B4-BE49-F238E27FC236}">
                  <a16:creationId xmlns:a16="http://schemas.microsoft.com/office/drawing/2014/main" id="{DE1F7960-5669-4BCD-B526-6B8C6F785A22}"/>
                </a:ext>
              </a:extLst>
            </xdr14:cNvPr>
            <xdr14:cNvContentPartPr/>
          </xdr14:nvContentPartPr>
          <xdr14:nvPr macro=""/>
          <xdr14:xfrm>
            <a:off x="18132102" y="567311"/>
            <a:ext cx="1185003" cy="901542"/>
          </xdr14:xfrm>
        </xdr:contentPart>
      </mc:Choice>
      <mc:Fallback xmlns="">
        <xdr:pic>
          <xdr:nvPicPr>
            <xdr:cNvPr id="25" name="Input penna 24">
              <a:extLst>
                <a:ext uri="{FF2B5EF4-FFF2-40B4-BE49-F238E27FC236}">
                  <a16:creationId xmlns:a16="http://schemas.microsoft.com/office/drawing/2014/main" id="{15059630-A3FE-6375-9FE6-0BE070BE5ECB}"/>
                </a:ext>
              </a:extLst>
            </xdr:cNvPr>
            <xdr:cNvPicPr/>
          </xdr:nvPicPr>
          <xdr:blipFill>
            <a:blip xmlns:r="http://schemas.openxmlformats.org/officeDocument/2006/relationships" r:embed="rId26"/>
            <a:stretch>
              <a:fillRect/>
            </a:stretch>
          </xdr:blipFill>
          <xdr:spPr>
            <a:xfrm>
              <a:off x="11481480" y="128160"/>
              <a:ext cx="1687320" cy="1317960"/>
            </a:xfrm>
            <a:prstGeom prst="rect">
              <a:avLst/>
            </a:prstGeom>
          </xdr:spPr>
        </xdr:pic>
      </mc:Fallback>
    </mc:AlternateContent>
    <xdr:clientData/>
  </xdr:twoCellAnchor>
  <xdr:twoCellAnchor editAs="oneCell">
    <xdr:from>
      <xdr:col>28</xdr:col>
      <xdr:colOff>225209</xdr:colOff>
      <xdr:row>5</xdr:row>
      <xdr:rowOff>50865</xdr:rowOff>
    </xdr:from>
    <xdr:to>
      <xdr:col>28</xdr:col>
      <xdr:colOff>421258</xdr:colOff>
      <xdr:row>8</xdr:row>
      <xdr:rowOff>2913</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5" name="Input penna 14">
              <a:extLst>
                <a:ext uri="{FF2B5EF4-FFF2-40B4-BE49-F238E27FC236}">
                  <a16:creationId xmlns:a16="http://schemas.microsoft.com/office/drawing/2014/main" id="{C7BA5542-0770-4728-B0E0-91C9172DA1F9}"/>
                </a:ext>
              </a:extLst>
            </xdr14:cNvPr>
            <xdr14:cNvContentPartPr/>
          </xdr14:nvContentPartPr>
          <xdr14:nvPr macro=""/>
          <xdr14:xfrm>
            <a:off x="17873505" y="1113902"/>
            <a:ext cx="196049" cy="497679"/>
          </xdr14:xfrm>
        </xdr:contentPart>
      </mc:Choice>
      <mc:Fallback xmlns="">
        <xdr:pic>
          <xdr:nvPicPr>
            <xdr:cNvPr id="9" name="Input penna 8">
              <a:extLst>
                <a:ext uri="{FF2B5EF4-FFF2-40B4-BE49-F238E27FC236}">
                  <a16:creationId xmlns:a16="http://schemas.microsoft.com/office/drawing/2014/main" id="{11B7308F-434E-9E11-EDC5-EB41D360D08F}"/>
                </a:ext>
              </a:extLst>
            </xdr:cNvPr>
            <xdr:cNvPicPr/>
          </xdr:nvPicPr>
          <xdr:blipFill>
            <a:blip xmlns:r="http://schemas.openxmlformats.org/officeDocument/2006/relationships" r:embed="rId28"/>
            <a:stretch>
              <a:fillRect/>
            </a:stretch>
          </xdr:blipFill>
          <xdr:spPr>
            <a:xfrm>
              <a:off x="16329586" y="1215603"/>
              <a:ext cx="285687" cy="726332"/>
            </a:xfrm>
            <a:prstGeom prst="rect">
              <a:avLst/>
            </a:prstGeom>
          </xdr:spPr>
        </xdr:pic>
      </mc:Fallback>
    </mc:AlternateContent>
    <xdr:clientData/>
  </xdr:twoCellAnchor>
  <xdr:twoCellAnchor editAs="oneCell">
    <xdr:from>
      <xdr:col>30</xdr:col>
      <xdr:colOff>554206</xdr:colOff>
      <xdr:row>9</xdr:row>
      <xdr:rowOff>25030</xdr:rowOff>
    </xdr:from>
    <xdr:to>
      <xdr:col>30</xdr:col>
      <xdr:colOff>829951</xdr:colOff>
      <xdr:row>11</xdr:row>
      <xdr:rowOff>142941</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 name="Input penna 15">
              <a:extLst>
                <a:ext uri="{FF2B5EF4-FFF2-40B4-BE49-F238E27FC236}">
                  <a16:creationId xmlns:a16="http://schemas.microsoft.com/office/drawing/2014/main" id="{7196DA72-C70B-4E2D-B194-B89C09382CD4}"/>
                </a:ext>
              </a:extLst>
            </xdr14:cNvPr>
            <xdr14:cNvContentPartPr/>
          </xdr14:nvContentPartPr>
          <xdr14:nvPr macro=""/>
          <xdr14:xfrm>
            <a:off x="19472502" y="1821845"/>
            <a:ext cx="277627" cy="484800"/>
          </xdr14:xfrm>
        </xdr:contentPart>
      </mc:Choice>
      <mc:Fallback xmlns="">
        <xdr:pic>
          <xdr:nvPicPr>
            <xdr:cNvPr id="14" name="Input penna 13">
              <a:extLst>
                <a:ext uri="{FF2B5EF4-FFF2-40B4-BE49-F238E27FC236}">
                  <a16:creationId xmlns:a16="http://schemas.microsoft.com/office/drawing/2014/main" id="{F5BCC9FE-831F-FCA2-56AD-E2E8E7D36DBD}"/>
                </a:ext>
              </a:extLst>
            </xdr:cNvPr>
            <xdr:cNvPicPr/>
          </xdr:nvPicPr>
          <xdr:blipFill>
            <a:blip xmlns:r="http://schemas.openxmlformats.org/officeDocument/2006/relationships" r:embed="rId30"/>
            <a:stretch>
              <a:fillRect/>
            </a:stretch>
          </xdr:blipFill>
          <xdr:spPr>
            <a:xfrm>
              <a:off x="18509884" y="2213985"/>
              <a:ext cx="395343" cy="709033"/>
            </a:xfrm>
            <a:prstGeom prst="rect">
              <a:avLst/>
            </a:prstGeom>
          </xdr:spPr>
        </xdr:pic>
      </mc:Fallback>
    </mc:AlternateContent>
    <xdr:clientData/>
  </xdr:twoCellAnchor>
  <xdr:twoCellAnchor>
    <xdr:from>
      <xdr:col>14</xdr:col>
      <xdr:colOff>368897</xdr:colOff>
      <xdr:row>1</xdr:row>
      <xdr:rowOff>15463</xdr:rowOff>
    </xdr:from>
    <xdr:to>
      <xdr:col>22</xdr:col>
      <xdr:colOff>68383</xdr:colOff>
      <xdr:row>18</xdr:row>
      <xdr:rowOff>87923</xdr:rowOff>
    </xdr:to>
    <xdr:graphicFrame macro="">
      <xdr:nvGraphicFramePr>
        <xdr:cNvPr id="17" name="Grafico 16">
          <a:extLst>
            <a:ext uri="{FF2B5EF4-FFF2-40B4-BE49-F238E27FC236}">
              <a16:creationId xmlns:a16="http://schemas.microsoft.com/office/drawing/2014/main" id="{7243CD32-33A8-4D0D-B28E-20CC1DC97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14</xdr:col>
      <xdr:colOff>444097</xdr:colOff>
      <xdr:row>20</xdr:row>
      <xdr:rowOff>49702</xdr:rowOff>
    </xdr:from>
    <xdr:to>
      <xdr:col>21</xdr:col>
      <xdr:colOff>497437</xdr:colOff>
      <xdr:row>37</xdr:row>
      <xdr:rowOff>127562</xdr:rowOff>
    </xdr:to>
    <xdr:graphicFrame macro="">
      <xdr:nvGraphicFramePr>
        <xdr:cNvPr id="18" name="Grafico 17">
          <a:extLst>
            <a:ext uri="{FF2B5EF4-FFF2-40B4-BE49-F238E27FC236}">
              <a16:creationId xmlns:a16="http://schemas.microsoft.com/office/drawing/2014/main" id="{C1C94EDD-9D8E-4285-804A-FF8FB2C7F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4</xdr:col>
      <xdr:colOff>174172</xdr:colOff>
      <xdr:row>64</xdr:row>
      <xdr:rowOff>69668</xdr:rowOff>
    </xdr:from>
    <xdr:to>
      <xdr:col>20</xdr:col>
      <xdr:colOff>149497</xdr:colOff>
      <xdr:row>92</xdr:row>
      <xdr:rowOff>120255</xdr:rowOff>
    </xdr:to>
    <xdr:graphicFrame macro="">
      <xdr:nvGraphicFramePr>
        <xdr:cNvPr id="19" name="Grafico 18">
          <a:extLst>
            <a:ext uri="{FF2B5EF4-FFF2-40B4-BE49-F238E27FC236}">
              <a16:creationId xmlns:a16="http://schemas.microsoft.com/office/drawing/2014/main" id="{4FC6F054-61F0-40EF-BC35-99FFA84673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editAs="oneCell">
    <xdr:from>
      <xdr:col>41</xdr:col>
      <xdr:colOff>0</xdr:colOff>
      <xdr:row>3</xdr:row>
      <xdr:rowOff>0</xdr:rowOff>
    </xdr:from>
    <xdr:to>
      <xdr:col>49</xdr:col>
      <xdr:colOff>502921</xdr:colOff>
      <xdr:row>43</xdr:row>
      <xdr:rowOff>187705</xdr:rowOff>
    </xdr:to>
    <xdr:pic>
      <xdr:nvPicPr>
        <xdr:cNvPr id="20" name="Immagine 19" descr="5.0 &#10;4.5 &#10;4.0 &#10;3.5 &#10;3.0 &#10;2.0 &#10;10 &#10;0 0.01 &#10;0.1 &#10;0.947+ 1.206,777- &#10;0.869 + t7775Tr-ossst/r &#10;—0-810+0.422577 — &#10;102 &#10;2.0±l/r-s20.0 &#10;1.232 + 0.8325Tr- 0.008ΙΙλ &#10;7.423 -4168 + &#10;_ —&amp;839 &#10;0.05 &#10;101 &#10;o. 10 &#10;0.15 &#10;Chart 3.10 Stress concentmlion K, for bending of a slepped bar Οί circular cross wction wilh a &#10;shoulder flllel (based οπ pb«AlKlaslic lesls of Leven ιιι&quot;' Harlman Ι 95 Ι Wilson and While Ι 973). ">
          <a:extLst>
            <a:ext uri="{FF2B5EF4-FFF2-40B4-BE49-F238E27FC236}">
              <a16:creationId xmlns:a16="http://schemas.microsoft.com/office/drawing/2014/main" id="{3F02855F-B53A-4943-B2D8-75AA27EB9BD1}"/>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28186380" y="563880"/>
          <a:ext cx="5379721" cy="7617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0</xdr:colOff>
      <xdr:row>44</xdr:row>
      <xdr:rowOff>0</xdr:rowOff>
    </xdr:from>
    <xdr:to>
      <xdr:col>49</xdr:col>
      <xdr:colOff>502921</xdr:colOff>
      <xdr:row>84</xdr:row>
      <xdr:rowOff>92986</xdr:rowOff>
    </xdr:to>
    <xdr:pic>
      <xdr:nvPicPr>
        <xdr:cNvPr id="21" name="Immagine 20" descr="Esercizio 1: verifica a fatica, sforzi limite &#10;M. Carboni, S. Miccoli, G. Previati — Alberi di trasmissione— Esercizi &#10;..-niecc &#10;POLITECNICO &#10;MILANO &#10;i; % iii;.. &#10;iiiiiiiiiiiiiii &#10;iiifi: • &#10;iii::::: &#10;'.iii._.... ">
          <a:extLst>
            <a:ext uri="{FF2B5EF4-FFF2-40B4-BE49-F238E27FC236}">
              <a16:creationId xmlns:a16="http://schemas.microsoft.com/office/drawing/2014/main" id="{7166C22A-EE3F-4899-92CB-635AD902FA2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8186380" y="8321040"/>
          <a:ext cx="5379721" cy="7606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149981</xdr:colOff>
      <xdr:row>95</xdr:row>
      <xdr:rowOff>147561</xdr:rowOff>
    </xdr:from>
    <xdr:to>
      <xdr:col>20</xdr:col>
      <xdr:colOff>478973</xdr:colOff>
      <xdr:row>124</xdr:row>
      <xdr:rowOff>146353</xdr:rowOff>
    </xdr:to>
    <xdr:graphicFrame macro="">
      <xdr:nvGraphicFramePr>
        <xdr:cNvPr id="22" name="Grafico 21">
          <a:extLst>
            <a:ext uri="{FF2B5EF4-FFF2-40B4-BE49-F238E27FC236}">
              <a16:creationId xmlns:a16="http://schemas.microsoft.com/office/drawing/2014/main" id="{131B85E2-5467-4E27-A5FA-894ED53BD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editAs="oneCell">
    <xdr:from>
      <xdr:col>24</xdr:col>
      <xdr:colOff>76199</xdr:colOff>
      <xdr:row>26</xdr:row>
      <xdr:rowOff>87085</xdr:rowOff>
    </xdr:from>
    <xdr:to>
      <xdr:col>30</xdr:col>
      <xdr:colOff>674534</xdr:colOff>
      <xdr:row>36</xdr:row>
      <xdr:rowOff>5803</xdr:rowOff>
    </xdr:to>
    <xdr:pic>
      <xdr:nvPicPr>
        <xdr:cNvPr id="23" name="Immagine 22" descr="Disegni a penna&#10;Disegni a penna&#10;Disegni a penna&#10;Disegni a penna&#10;Disegni a penna&#10;Disegni a penna&#10;Disegni a penna&#10;Disegni a penna&#10;Disegni a penna&#10;">
          <a:extLst>
            <a:ext uri="{FF2B5EF4-FFF2-40B4-BE49-F238E27FC236}">
              <a16:creationId xmlns:a16="http://schemas.microsoft.com/office/drawing/2014/main" id="{42CFFACE-38C0-496E-8997-8FF650C38974}"/>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6070579" y="4895305"/>
          <a:ext cx="5619915" cy="180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inho/Documents/Davide/22-23/Prova%20Finale/Dati_Motoriduttore_a_muzzo_pers.xlsx" TargetMode="External"/><Relationship Id="rId1" Type="http://schemas.openxmlformats.org/officeDocument/2006/relationships/externalLinkPath" Target="file:///C:/Users/dinho/Documents/Davide/22-23/Prova%20Finale/Dati_Motoriduttore_a_muzzo_pe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dinho/Documents/Davide/22-23/Prova%20Finale/Dati_Motoriduttore_tentativi_2.xlsx" TargetMode="External"/><Relationship Id="rId1" Type="http://schemas.openxmlformats.org/officeDocument/2006/relationships/externalLinkPath" Target="file:///C:/Users/dinho/Documents/Davide/22-23/Prova%20Finale/Dati_Motoriduttore_tentativi_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teriali"/>
      <sheetName val="Coppie e u"/>
      <sheetName val="Pre-dime 5-6"/>
      <sheetName val="Forze e verifica 5-6"/>
      <sheetName val="Pre-dime 3-4"/>
      <sheetName val="Forze e verifica 3-4"/>
      <sheetName val="Albero 1"/>
      <sheetName val="Albero 2"/>
    </sheetNames>
    <sheetDataSet>
      <sheetData sheetId="0">
        <row r="3">
          <cell r="F3">
            <v>1030</v>
          </cell>
          <cell r="G3">
            <v>735</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teriali"/>
      <sheetName val="Coppie e u"/>
      <sheetName val="Pre-dime 5-6"/>
      <sheetName val="Forze e verifica 5-6"/>
      <sheetName val="Pre-dime 3-4"/>
      <sheetName val="Forze e verifica 3-4"/>
      <sheetName val="Albero 1"/>
      <sheetName val="Albero 2"/>
    </sheetNames>
    <sheetDataSet>
      <sheetData sheetId="0">
        <row r="3">
          <cell r="F3">
            <v>1030</v>
          </cell>
          <cell r="G3">
            <v>735</v>
          </cell>
        </row>
      </sheetData>
      <sheetData sheetId="1"/>
      <sheetData sheetId="2">
        <row r="11">
          <cell r="S11">
            <v>66.666666666666671</v>
          </cell>
        </row>
      </sheetData>
      <sheetData sheetId="3"/>
      <sheetData sheetId="4"/>
      <sheetData sheetId="5"/>
      <sheetData sheetId="6"/>
      <sheetData sheetId="7"/>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0T06:28:12.308"/>
    </inkml:context>
    <inkml:brush xml:id="br0">
      <inkml:brushProperty name="width" value="0.05" units="cm"/>
      <inkml:brushProperty name="height" value="0.05" units="cm"/>
    </inkml:brush>
  </inkml:definitions>
  <inkml:trace contextRef="#ctx0" brushRef="#br0">376 27 24575,'-11'53'0,"-2"1"0,-3-2 0,-35 81 0,-87 135 0,136-265 0,-27 49 0,-2-2 0,-49 62 0,80-112 0,0 0 0,-1 0 0,1 1 0,-1-1 0,1 0 0,0 1 0,-1-1 0,1 0 0,0 1 0,0-1 0,-1 1 0,1-1 0,0 1 0,0-1 0,0 0 0,-1 1 0,1-1 0,0 1 0,0-1 0,0 1 0,0-1 0,0 1 0,0-1 0,0 1 0,0-1 0,0 1 0,0-1 0,0 1 0,0-1 0,1 1 0,-1-1 0,0 0 0,0 0 0,16 4 0,32-9 0,-42 4 0,31-4 0,1 1 0,0 2 0,0 2 0,0 2 0,0 1 0,0 2 0,58 15 0,611 149 0,-698-167 0,-2 0 0,0-1 0,0 0 0,1 1 0,-1-1 0,12-1 0,-19 0 0,1 0 0,-1 0 0,1 0 0,-1 0 0,1 0 0,0 0 0,-1 0 0,1 0 0,-1-1 0,1 1 0,-1 0 0,0 0 0,1-1 0,-1 1 0,0 0 0,0-1 0,1 1 0,-1 0 0,0-1 0,1 1 0,-1 0 0,0 0 0,1 0 0,-1-1 0,0 1 0,0-1 0,1 1 0,-1-1 0,0 1 0,0-1 0,0 0 0,-3-18 0,-18-16 0,5 19 0,-2 0 0,1 1 0,-36-24 0,11 10 0,-163-110 0,189 127 0,2-2 0,0 1 0,1-1 0,1-1 0,0-1 0,-14-23 0,-50-110 0,50 95 0,-138-297-1365,158 334-5461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0T06:29:21.795"/>
    </inkml:context>
    <inkml:brush xml:id="br0">
      <inkml:brushProperty name="width" value="0.1" units="cm"/>
      <inkml:brushProperty name="height" value="0.1" units="cm"/>
      <inkml:brushProperty name="color" value="#004F8B"/>
    </inkml:brush>
  </inkml:definitions>
  <inkml:trace contextRef="#ctx0" brushRef="#br0">227 1 24575,'0'1263'0,"-2"-1280"0,0 0 0,0 0 0,-2 1 0,-11-27 0,-1-12 0,15 49 0,0 1 0,-1-1 0,-1 0 0,1 0 0,-1 1 0,0 0 0,0-1 0,-1 0 0,2 1 0,-2 0 0,-1 1 0,1-2 0,-1 3 0,-7-9 0,4 7 0,-2-5 0,0 2 0,0 0 0,-19-11 0,22 16 0,1-1 0,0 0 0,1-1 0,-8-7 0,-6-5 0,11 14 0,10 13 0,12 18 0,-13-27 0,17 32 0,-11-19 0,0 0 0,2 0 0,0 0 0,20 22 0,-18-22 0,0-1 0,10 18 0,3 4 0,-14-22 0,-1 2 0,10 22 0,-6-16 0,-13-21 0,0 1 0,0-1 0,0 0 0,0 1 0,1-1 0,-1 0 0,0 1 0,0-1 0,0 0 0,0 0 0,1 1 0,-1-1 0,0 0 0,0 0 0,1 1 0,-1-1 0,0 0 0,0 0 0,1 0 0,-1 1 0,0-1 0,0 0 0,1 0 0,-1 0 0,0 0 0,1 0 0,-1 0 0,0 1 0,1-1 0,-1 0 0,0 0 0,0 0 0,0 0 0,1 0 0,7-8 0,1-19 0,-1 0 0,0 0 0,3-1 0,1 2 0,0 0 0,33-45 0,-43 65 0,0 1 0,1 1 0,-1-2 0,0 0 0,2-10 0,-3 13 0,0 0 0,0-1 0,0 0 0,0 1 0,0 0 0,1 0 0,-1-1 0,1 2 0,0-2 0,0 1 0,0 1 0,0-1 0,0 0 0,1 0 0,0 0 0,4-2 0,11-4 0,-17 9 0,-1 0 0,0 0 0,0 0 0,0 0 0,0 0 0,1 0 0,-1 0 0,0 0 0,0 0 0,0 0 0,1 0 0,-1 0 0,0 0 0,0 0 0,0 1 0,0-1 0,0 0 0,1 0 0,-1 0 0,0 0 0,0 0 0,0 1 0,0-1 0,0 0 0,0 0 0,0 0 0,0 0 0,1 1 0,-1-1 0,0 0 0,0 0 0,0 0 0,0 1 0,0-1 0,0 0 0,0 0 0,0 0 0,0 0 0,0 1 0,0-1 0,0 0 0,0 0 0,0 0 0,-1 1 0,1-1 0,0 0 0,0 0 0,-16 35 0,7-16 0,-5 14 0,2 3 0,1 1 0,-5 37 0,7-41-1365</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0T06:30:03.611"/>
    </inkml:context>
    <inkml:brush xml:id="br0">
      <inkml:brushProperty name="width" value="0.1" units="cm"/>
      <inkml:brushProperty name="height" value="0.1" units="cm"/>
      <inkml:brushProperty name="color" value="#004F8B"/>
    </inkml:brush>
  </inkml:definitions>
  <inkml:trace contextRef="#ctx0" brushRef="#br0">1 1332 24575,'5'-1'0,"0"0"0,0 0 0,0 0 0,0-1 0,0 0 0,0 0 0,5-4 0,14-4 0,273-103 0,192-134 0,-94 22 0,-359 209 0,0 1 0,59-17 0,11-4 0,221-82 0,-190 73 0,217-59 0,-294 88 0,82-33 0,-119 38 0,1-3 0,-1 0 0,-2 0 0,22-20 0,-18 17 0,-17 12 0,-1 0 0,0 0 0,0-1 0,0 1 0,-1-1 0,1-1 0,-1 0 0,0 0 0,7-12 0,-13 18 0,1-1 0,-1 1 0,0 0 0,1-1 0,-1 1 0,0 0 0,0 0 0,0 0 0,0 0 0,-1-1 0,1 1 0,0 0 0,0-1 0,-1 1 0,1 0 0,-1-1 0,1 1 0,-1 0 0,1 0 0,-1 0 0,0-1 0,0 1 0,0 0 0,1 0 0,0 0 0,-1 0 0,0 1 0,0-1 0,-1 0 0,1 0 0,0 0 0,0 1 0,0-1 0,0 1 0,-1-1 0,0 0 0,-7-1 0,0-2 0,0 1 0,-16-3 0,20 5 0,-125-21 0,0 4 0,-1 7 0,-151 5 0,330 20 0,191 14 0,-1 0 0,-23 22 0,-127-27 0,119 17 0,-184-35 0,-34 0 0,-38 3 0,44-7 0,-9 1 0,0 0 0,-1 1 0,2 1 0,-2 0 0,2 0 0,-1 2 0,2 0 0,-1 1 0,1 0 0,-1 0 0,1 1 0,1 1 0,-20 18 0,-41 47 0,-30 35 0,34-34-1365,52-58-5461</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0T06:28:03.241"/>
    </inkml:context>
    <inkml:brush xml:id="br0">
      <inkml:brushProperty name="width" value="0.05" units="cm"/>
      <inkml:brushProperty name="height" value="0.05" units="cm"/>
    </inkml:brush>
  </inkml:definitions>
  <inkml:trace contextRef="#ctx0" brushRef="#br0">1 1 24575,'28'16'0,"129"84"0,57 57 0,83 73-1324,79 59-3971,1868 1362 3532,-676-650 922,-900-666 2123,-4-3-9,-37 72-1273,-24 41 0,-558-411 0,705 476 0,-185-175 5600,-538-318-5053,44 36 1,-68-50-575,8 4 27,-2-1 0,1-1 0,11 7 0,23 11 0,121 101 0,9 7 0,42 28 0,-172-129 0,194 118 0,-162-110-1365,-58-28-5461</inkml:trace>
  <inkml:trace contextRef="#ctx0" brushRef="#br0" timeOffset="2353.44">2929 2278 24575,'-56'304'0,"31"-183"0,-12 63-66,-141 604-561,177-783 631,0 0 27,0-1 0,-1 1 0,1-1 0,0 1 0,1 1 1,-1 5-1,1-11-25,0 1 0,0-1 0,0 0 0,0 1 1,1-1-1,-1 1 0,0-1 0,0 0 0,0 1 1,0-1-1,1 0 0,-1 1 0,0-1 0,0 0 0,1 1 1,-1-1-1,0 0 0,1 1 0,-1-1 0,0 0 0,1 0 1,-1 0-1,0 1 0,1-1 0,-1 0 0,1 0 0,-1 0 1,0 0-1,21-4 171,6-6-156,1 1 0,0 0 0,0 2 0,0 3 0,37-4 1,147 5-44,-145 4 32,58-1-10,401 17 0,-517-16 0,24 1 0,-33-2 0,0 0 0,0 0 0,1 0 0,-1 0 0,0 0 0,0 0 0,0 0 0,1 0 0,-1-1 0,0 1 0,0 0 0,0 0 0,0 0 0,1 0 0,-1 0 0,0 0 0,0 0 0,0 0 0,0-1 0,0 1 0,0 0 0,1 0 0,-1 0 0,0 0 0,0 0 0,0-1 0,0 1 0,0 0 0,0 0 0,0 0 0,0 0 0,0-1 0,0 1 0,0 0 0,0 0 0,0 0 0,0 0 0,0-1 0,0 1 0,0 0 0,0 0 0,0 0 0,0 0 0,0-1 0,-14-12 0,-7-5 0,1-1 0,-1 0 0,3-1 0,-31-45 0,-55-99 0,-28-100 0,56 107 0,-23-29 0,93 177 0,-1-3 0,0 2 0,-1 1 0,1 0 0,-1 0 0,-1 1 0,1 0 0,-2 0 0,-18-12 0,17 12 0,1-2 0,-1-1 0,1 1 0,2-2 0,-18-23 0,16 21 0,-96-147-1365,99 151-5461</inkml:trace>
  <inkml:trace contextRef="#ctx0" brushRef="#br0" timeOffset="158964.34">5182 3112 24575,'136'39'0,"-8"-3"0,-25 2 0,117 63 0,-151-61 0,68 51 0,11 6 0,-94-69 0,100 36 0,-137-56 0,33 8 0,1-2 0,66 9 0,7 2 0,-109-21-341,-2 1 0,1 0-1,17 10 1,-14-5-6485</inkml:trace>
  <inkml:trace contextRef="#ctx0" brushRef="#br0" timeOffset="160833.41">5161 3134 24575,'10'32'0,"-6"-15"0,1-3 0,1 1 0,-1-1 0,14 22 0,-10-16 0,-8-17 0,0 0 0,1 1 0,0 0 0,0-1 0,0 1 0,0-1 0,1 0 0,-1 1 0,1-2 0,0 1 0,5 4 0,-8-7 0,0 0 0,0 0 0,0 0 0,1 0 0,-1 0 0,0 0 0,0 0 0,1 0 0,-1 0 0,0 0 0,0 0 0,0 0 0,1 0 0,-1 0 0,0 0 0,0 0 0,0 0 0,1 0 0,-1-1 0,0 1 0,0 0 0,0 0 0,0 0 0,1 0 0,-1 0 0,0-1 0,0 1 0,0 0 0,0 0 0,0 0 0,0 0 0,0-1 0,1 1 0,-1 0 0,0 0 0,0 0 0,0-1 0,0 1 0,0 0 0,0 0 0,0-1 0,0 1 0,0-15 0,-5-16 0,-29-94 0,-66-154 0,41 123 0,48 132 0,-2-11 0,13 34 0,0 1 0,0-1 0,0 1 0,0 0 0,0-1 0,0 1 0,1-1 0,-1 1 0,0 0 0,0-1 0,0 1 0,1 0 0,-1-1 0,0 1 0,0 0 0,1-1 0,-1 1 0,0 0 0,0 0 0,1-1 0,-1 1 0,0 0 0,1 0 0,-1 0 0,0-1 0,1 1 0,-1 0 0,1 0 0,-1 0 0,0 0 0,1 0 0,-1 0 0,0 0 0,0 0 0,0 0 0,1 0 0,-1 0 0,0 0 0,1 0 0,-1 0 0,1 0 0,-1 0 0,0 0 0,1 1 0,20 3 0,151 52-16,7 3 108,-139-47-572,1-4-1,60 8 1,-75-15-6346</inkml:trace>
  <inkml:trace contextRef="#ctx0" brushRef="#br0" timeOffset="162611.57">5571 3176 24575,'0'19'0,"3"0"0,0 1 0,1-1 0,1 0 0,1 0 0,1 0 0,8 17 0,-14-35 0,-1-1 0,0 1 0,0 0 0,0-1 0,0 1 0,1 0 0,-1-1 0,0 1 0,1-1 0,-1 1 0,0-1 0,1 1 0,-1 0 0,1-1 0,-1 1 0,1-1 0,-1 0 0,1 1 0,-1-1 0,1 1 0,0-1 0,-1 0 0,2 1 0,3-14 0,-5-27 0,-10-30 0,-3-1 0,-1 3 0,-37-101 0,41 144 0,7 19 0,0 0 0,1 0 0,0 0 0,0 0 0,1 0 0,-1-1 0,1-7 0,51 62 0,-38-36 0,1-3 0,0 0 0,1 0 0,0-1 0,1-1 0,-1 0 0,2 0 0,25 5 0,19 10 0,-5-2 0,-37-14 0,0 1 0,1-1 0,-1 3 0,27 16 0,-33-13-1365,-2-1-5461</inkml:trace>
  <inkml:trace contextRef="#ctx0" brushRef="#br0" timeOffset="164046.64">6144 3071 24575,'0'21'0,"1"0"0,2 0 0,0 0 0,1 0 0,9 28 0,-13-48 0,0 0 0,0 0 0,0 0 0,1 0 0,-1 0 0,0 0 0,1 0 0,-1 0 0,1 0 0,-1 0 0,1 0 0,-1-1 0,1 1 0,0 0 0,-1 0 0,1-1 0,0 1 0,-1 0 0,1-1 0,0 1 0,0-1 0,0 1 0,0-1 0,0 1 0,0-1 0,-1 0 0,1 1 0,0-1 0,0 0 0,0 0 0,0 0 0,-1 1 0,1-1 0,0 0 0,0-1 0,0 1 0,0 0 0,0 0 0,0 0 0,0 0 0,0-1 0,0 1 0,1-1 0,4-2 0,-1 0 0,0-1 0,-2 1 0,2-1 0,-1-1 0,7-6 0,7-10 0,0-4 0,-2 3 0,-1-2 0,15-34 0,42-110 0,-47 103 0,48-87 0,-73 151 0,0 0 0,1 0 0,-1 0 0,0 0 0,1 0 0,0 0 0,-1 0 0,1 1 0,-1-1 0,1 0 0,0 0 0,-1 1 0,0-1 0,1 0 0,0 1 0,0-1 0,0 1 0,-1-1 0,1 1 0,0 0 0,0 0 0,0 0 0,0-1 0,0 1 0,0 0 0,2 0 0,-2 0 0,0 1 0,0-1 0,0 0 0,0 1 0,0 0 0,0 0 0,0 0 0,0 0 0,0 0 0,-1 0 0,1 0 0,0 0 0,0 0 0,-1 0 0,1 1 0,-1-1 0,1 2 0,3 12 0,-1-3 0,5 26 0,-7-33 0,13 181 0,-13-142 0,2 2 0,2-2 0,2 0 0,14 53 0,-14-70 0,-6-21 0,0 0 0,1 0 0,0 0 0,0 0 0,0 0 0,1 1 0,-1-2 0,1 1 0,1-1 0,5 8 0,-8-13 0,-1 1 0,1-1 0,0 1 0,0-1 0,0 1 0,-1-1 0,1 0 0,0 1 0,0-1 0,0 0 0,0 0 0,0 0 0,0 0 0,-1 0 0,1 0 0,0 0 0,-1 0 0,1 0 0,0 0 0,0 0 0,0-1 0,0 1 0,0 0 0,0-1 0,-1 1 0,1-1 0,0 1 0,0-1 0,0 1 0,-1-1 0,1 1 0,0-1 0,-1 0 0,1 1 0,0-2 0,20-28 0,-6 0-227,-1-1-1,-1 0 1,-3-1-1,1-1 1,6-40-1,-15 58-6598</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0T06:32:06.077"/>
    </inkml:context>
    <inkml:brush xml:id="br0">
      <inkml:brushProperty name="width" value="0.1" units="cm"/>
      <inkml:brushProperty name="height" value="0.1" units="cm"/>
      <inkml:brushProperty name="color" value="#004F8B"/>
    </inkml:brush>
  </inkml:definitions>
  <inkml:trace contextRef="#ctx0" brushRef="#br0">762 1 24575,'1'12'0,"0"0"0,1 1 0,1-2 0,0 1 0,5 14 0,9 36 0,14 85 0,-1-3 0,-27-118 0,0 0 0,-2 2 0,-2 39 0,-1-56-97,0-1-1,-1 0 1,0 1-1,0-1 1,-2 0-1,1 0 1,-1-1-1,0 0 1,0 1-1,-2-2 1,1 1-1,-1-1 0,-8 8 1</inkml:trace>
  <inkml:trace contextRef="#ctx0" brushRef="#br0" timeOffset="1705.61">557 1089 24575,'-2'4'0,"1"0"0,-1 1 0,0-2 0,1 1 0,-2 0 0,1 0 0,0-1 0,0 1 0,-1 0 0,0-1 0,-3 3 0,-3 5 0,-17 21 0,-1 0 0,-1-2 0,-2-1 0,-60 44 0,83-68 0,1-1 0,-2 0 0,0 0 0,0-1 0,1 0 0,-1-1 0,0 0 0,-1 0 0,2-1 0,-2 1 0,0-2 0,2 1 0,-2-1 0,1 0 0,-1-1 0,1 0 0,0-1 0,-1 1 0,2-2 0,-1 2 0,0-2 0,0 0 0,1-1 0,-1 0 0,1 0 0,-1-1 0,2 1 0,-1-1 0,1 0 0,-1-1 0,1 0 0,1 0 0,0 0 0,-1-1 0,1 0 0,1 0 0,0 1 0,0-2 0,1 0 0,-1 0 0,-2-10 0,-2-8 0,3-1 0,0 1 0,1 0 0,-1-30 0,6-108 0,2 62 0,-3 87 0,1-1 0,0 2 0,2-1 0,0 0 0,0 0 0,0 1 0,2-1 0,1 2 0,0-2 0,1 2 0,14-23 0,25-43 0,40-61 0,-76 128 0,0 1 0,0 1 0,15-13 0,14-12 0,-30 25-120,-5 5 24,-1 1 1,0 0-1,1 1 0,0-1 0,0 0 0,0 1 1,1 0-1,-1 0 0,0 0 0,1 0 1,0 1-1,9-2 0,4 0-6730</inkml:trace>
  <inkml:trace contextRef="#ctx0" brushRef="#br0" timeOffset="3862.78">148 248 24575,'0'-3'0,"1"1"0,0 0 0,-1-1 0,1 1 0,0 0 0,1 0 0,-1 0 0,0 0 0,1 0 0,-1 0 0,1 0 0,-2 1 0,2-1 0,0 1 0,0-1 0,3-1 0,33-21 0,-6 9 0,1 1 0,0 2 0,53-11 0,-68 17 0,34-14 0,-38 13 0,-1 2 0,1-1 0,27-4 0,-41 10 0,1 0 0,-1 0 0,0 0 0,1 0 0,-1 0 0,0 0 0,1 1 0,-1-1 0,0 0 0,1 0 0,-1 0 0,0 1 0,0-1 0,1 0 0,-1 0 0,0 1 0,0-1 0,1 0 0,-1 0 0,0 0 0,0 0 0,0 1 0,0-1 0,1 0 0,-1 1 0,0-1 0,0 0 0,0 1 0,0-1 0,0 0 0,0 1 0,0-1 0,0 1 0,0-1 0,0 0 0,0 1 0,0-1 0,0 0 0,0 1 0,0-1 0,-1 1 0,-2 18 0,2-18 0,-5 23 0,-2-1 0,-13 29 0,11-31 0,1 1 0,1-1 0,-4 24 0,-5 33-1365,14-60-5461</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0T06:32:15.338"/>
    </inkml:context>
    <inkml:brush xml:id="br0">
      <inkml:brushProperty name="width" value="0.1" units="cm"/>
      <inkml:brushProperty name="height" value="0.1" units="cm"/>
      <inkml:brushProperty name="color" value="#004F8B"/>
    </inkml:brush>
  </inkml:definitions>
  <inkml:trace contextRef="#ctx0" brushRef="#br0">280 1 24575,'-5'92'0,"-16"93"0,6-60 0,9-73 0,-11 184 0,16-137 0,4 144 0,7-143 0,1 39 0,-11 313 0,-1-448 0,1 0 0,0 1 0,-1-1 0,1 0 0,-1 0 0,-3 6 0,4-9 0,0-1 0,0 0 0,0 0 0,0 1 0,0-1 0,-1 0 0,1 0 0,0 1 0,0-1 0,0 0 0,0 0 0,0 1 0,-1-1 0,1 0 0,0 0 0,0 0 0,-1 0 0,1 1 0,0-1 0,0 0 0,0 0 0,-1 0 0,1 0 0,0 0 0,0 0 0,-1 0 0,1 0 0,0 1 0,-1-1 0,1 0 0,0 0 0,0 0 0,-1 0 0,1 0 0,0-1 0,-1 1 0,-9-16 0,5 0 0,1 1 0,0-1 0,-1-16 0,-7-32 0,-11-25 0,12 43 0,-21-55 0,26 87 0,0-1 0,0 2 0,-2-2 0,-1 3 0,0-2 0,0 2 0,-18-20 0,-7 2 0,34 30 0,0 0 0,0 0 0,-1 0 0,1 0 0,0 0 0,0 1 0,0-1 0,-1 0 0,1 0 0,0 1 0,0-1 0,0 0 0,-1 0 0,1 0 0,0 1 0,0-1 0,0 0 0,0 1 0,0-1 0,0 0 0,0 0 0,0 1 0,0-1 0,0 0 0,0 1 0,0-1 0,0 0 0,0 0 0,0 1 0,0-1 0,0 0 0,0 1 0,0-1 0,0 0 0,0 0 0,0 1 0,1-1 0,0 18 0,0-16 0,5 30 0,1-1 0,3 0 0,1 0 0,0-1 0,26 46 0,14 35 0,-27-61 0,-19-40 0,1 0 0,-1-1 0,-1 2 0,1 0 0,-2-1 0,4 23 0,0-5 0,-7-28 0,0 0 0,0 0 0,0 1 0,0-1 0,1 0 0,-1 0 0,0 1 0,0-1 0,0 0 0,1 0 0,-1 0 0,0 0 0,0 1 0,1-1 0,-1 0 0,0 0 0,0 0 0,1 0 0,-1 0 0,0 0 0,0 0 0,1 0 0,-1 1 0,0-1 0,0 0 0,1 0 0,-1 0 0,0 0 0,1 0 0,-1-1 0,0 1 0,1 0 0,10-11 0,85-167 0,-18 30 0,-30 51 0,-19 36 0,-19 47-1365</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0T06:32:19.131"/>
    </inkml:context>
    <inkml:brush xml:id="br0">
      <inkml:brushProperty name="width" value="0.1" units="cm"/>
      <inkml:brushProperty name="height" value="0.1" units="cm"/>
      <inkml:brushProperty name="color" value="#004F8B"/>
    </inkml:brush>
  </inkml:definitions>
  <inkml:trace contextRef="#ctx0" brushRef="#br0">1 1 24575,'9'1'0,"-1"1"0,1 1 0,0 0 0,0 0 0,-2 0 0,2 0 0,-1 2 0,-1-1 0,1 2 0,12 8 0,10 6 0,-19-13 0,1 2 0,-2-1 0,1 2 0,-1-2 0,-1 3 0,13 13 0,-13-13 0,1-3 0,1 2 0,-1-2 0,2 1 0,21 10 0,-16-9 0,-1 0 0,18 16 0,198 160 0,-185-150 0,151 135 0,-174-155 0,2 1 0,0-3 0,33 13 0,33 20 0,-67-34 0,2-1 0,-1-1 0,1-2 0,30 8 0,17 5 0,-48-12 0,32 7 0,-37-10 0,-1 0 0,0 1 0,0 2 0,-1 0 0,0 0 0,29 23 0,-6-5 0,-19-8 0,-6-3 0,-15-18 0,-10-11 0,-6-4 0,-1 0 0,0 1 0,-1 0 0,-23-16 0,-23-20 0,30 24 0,22 19 0,0 0 0,1-1 0,-13-14 0,-8-13 0,-38-34 0,50 53 0,16 16 0,2-1 0,-2 1 0,1-1 0,0 1 0,0-1 0,0 1 0,0-1 0,0 0 0,0 1 0,0 0 0,0-1 0,1 0 0,-1 0 0,0-2 0,1 4 0,0 0 0,0-1 0,0 1 0,0 0 0,0 0 0,1-1 0,-1 1 0,0 0 0,0 0 0,0 0 0,0-1 0,0 1 0,0 0 0,0 0 0,0 0 0,1 0 0,-1-1 0,0 1 0,0 0 0,0 0 0,0 0 0,1 0 0,-1 0 0,0-1 0,0 1 0,0 0 0,0 0 0,1 0 0,-1 0 0,0 0 0,0 0 0,1 0 0,-1 0 0,0 0 0,0 0 0,0 0 0,1 0 0,15 6 0,1 5 0,-3 2 0,2 0 0,-3 0 0,1 1 0,-2 0 0,18 25 0,28 31 0,-26-36 0,-19-19 0,-1-2 0,2 0 0,-1-1 0,25 17 0,-36-28 0,-1-1 0,1 1 0,-1 0 0,1 0 0,-1 0 0,0 0 0,1 0 0,-1 0 0,0 0 0,1 0 0,-1 1 0,0-1 0,-1 0 0,1 1 0,0-1 0,-1 1 0,1-1 0,0 1 0,-1-1 0,1 1 0,0 0 0,-1-1 0,1 2 0,-2-1 0,0-1 0,0 0 0,0 0 0,0 1 0,0-1 0,0 0 0,1 0 0,-1 0 0,0 0 0,0 0 0,-1 0 0,1 0 0,0-1 0,-1 1 0,1 0 0,-1-1 0,1 1 0,-1-1 0,1 1 0,-1-1 0,1 0 0,-1 0 0,1 0 0,-1 0 0,-2 0 0,-35 2 0,-1-1 0,0-3 0,0-1 0,-65-15 0,57 10 0,0 1 0,-71 0 0,114 7-1365</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0T06:32:26.753"/>
    </inkml:context>
    <inkml:brush xml:id="br0">
      <inkml:brushProperty name="width" value="0.1" units="cm"/>
      <inkml:brushProperty name="height" value="0.1" units="cm"/>
      <inkml:brushProperty name="color" value="#004F8B"/>
    </inkml:brush>
  </inkml:definitions>
  <inkml:trace contextRef="#ctx0" brushRef="#br0">382 1193 24575,'156'-86'0,"220"-133"0,-24 12 0,129-6 0,-1-1 0,-422 182 0,-2-4 0,55-45 0,19-14 0,-113 86-1365</inkml:trace>
  <inkml:trace contextRef="#ctx0" brushRef="#br0" timeOffset="2236.94">13918 2125 24575,'3'-5'0,"0"1"0,0-1 0,0 2 0,0-2 0,-1 0 0,2-6 0,9-14 0,30-37 0,2 4 0,90-92 0,89-51 0,-193 178 0,56-31 0,7-5 0,-78 44 0,-15 10 0,-12 8 0,-1 3 0,0 1 0,0 1 0,1 0 0,0 0 0,1 1 0,-1 1 0,-16 18 0,-5 6 0,-9 7 0,-67 91 0,-20 54 0,72-100 0,-105 125 0,128-181 0,27-27 0,21-20 0,-8 9 0,3 0 0,-1 1 0,0 1 0,0-1 0,1 1 0,0 1 0,0 0 0,1 1 0,-1 0 0,1 0 0,0 1 0,-1 0 0,19-2 0,17-1 0,90 2 0,-118 4 0,463 2-1365,-460-2-5461</inkml:trace>
  <inkml:trace contextRef="#ctx0" brushRef="#br0" timeOffset="15590.81">13590 3264 24575,'46'0'0,"43"1"0,0-3 0,153-25 0,-51-7 0,-58 6 0,-79 14 0,4-2 0,79-36 0,-88 32 0,-34 15 0,-2-2 0,2 1 0,-3-2 0,2-1 0,-2 0 0,1 0 0,-1-1 0,-1-1 0,0 1 0,-1-2 0,0 1 0,0-1 0,-1-1 0,-2 1 0,1-2 0,0 1 0,-2-2 0,-1 0 0,9-24 0,10-77 0,9-29 0,-33 143 0,4-9 0,-2 1 0,1-1 0,-1 0 0,0-17 0,-2 26 0,0 0 0,0 0 0,0 0 0,0 1 0,0-1 0,-1 0 0,1 0 0,-1 0 0,0 0 0,1 0 0,-1 0 0,0 0 0,0 0 0,0 0 0,0 0 0,-1 1 0,1-1 0,0 0 0,-1 1 0,1-1 0,-1 1 0,1 1 0,-1-1 0,0-1 0,0 1 0,1 0 0,-1 0 0,0 0 0,1 1 0,-1-1 0,0 0 0,-3 0 0,-55-8 0,0 1 0,0 4 0,-1 3 0,-63 5 0,101-1 0,-1 1 0,1 2 0,-1 0 0,-33 13 0,39-10 0,0 1 0,0 0 0,-26 20 0,27-17 0,2-1 0,0 0 0,2 2 0,-1-1 0,2 1 0,-1 1 0,2 0 0,0 0 0,-14 29 0,0-4 0,18-30 0,-1 1 0,2 1 0,-9 21 0,-2 2 0,17-33 0,-1-1 0,0 0 0,0 0 0,0 1 0,1-1 0,-1 1 0,0-1 0,0 0 0,-1 0 0,1 0 0,0 0 0,-1 0 0,1 0 0,-1 0 0,1 0 0,-1 0 0,1 0 0,-4 0 0,4-1 0,0 0 0,-1-1 0,1 1 0,1-1 0,-1 1 0,0-1 0,0 1 0,1-1 0,-1 0 0,0 1 0,0-1 0,1 0 0,-1 0 0,0 0 0,1 0 0,-1 1 0,0 0 0,1-1 0,-1 0 0,1 0 0,0 0 0,-1 0 0,1-1 0,0 1 0,-1 0 0,1 1 0,0-1 0,0 0 0,0 0 0,0 0 0,0 0 0,0 0 0,1-2 0,2-38 0,5 12 0,14-30 0,-2 0 0,19-23 0,-39 82 0,0 0 0,0 0 0,1-1 0,-1 1 0,0 0 0,0-1 0,0 1 0,0-1 0,0 1 0,0 0 0,0-1 0,1 1 0,-1 0 0,0-1 0,0 1 0,0-1 0,0 1 0,-1 0 0,1 0 0,0 0 0,0 0 0,0-1 0,0 1 0,0 0 0,0-1 0,-1 1 0,1 0 0,0-1 0,0 1 0,0 0 0,-1-1 0,1 1 0,0-1 0,-13 5 0,-12 16 0,10-4 0,1 1 0,1 0 0,1 1 0,0 0 0,1 1 0,1 0 0,1 1 0,1 1 0,1-2 0,0 1 0,1 2 0,0-1 0,3 0 0,-2 40 0,5-60 0,-1 2 0,1-1 0,0 0 0,1 1 0,-1-1 0,0 0 0,1 1 0,-1-1 0,1 0 0,-1 0 0,1 1 0,0-1 0,0 0 0,1 2 0,-1-3 0,-1-1 0,1 0 0,-1 1 0,1-1 0,-1 0 0,2 0 0,-1 1 0,-1-1 0,1 0 0,-1 0 0,1 0 0,-1 0 0,1 0 0,0 0 0,-1 0 0,1 0 0,-1 0 0,1 0 0,0 0 0,-1 0 0,2-1 0,18-10 0,13-14 0,1 2 0,43-21 0,-62 39-143,-1 0-1,1 1 1,-1 1 0,1 1-1,0 0 1,0 1 0,0 0-1,30 3 1,-44-1 68,17-1-6751</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0T06:35:41.489"/>
    </inkml:context>
    <inkml:brush xml:id="br0">
      <inkml:brushProperty name="width" value="0.05" units="cm"/>
      <inkml:brushProperty name="height" value="0.05" units="cm"/>
      <inkml:brushProperty name="color" value="#E71224"/>
    </inkml:brush>
  </inkml:definitions>
  <inkml:trace contextRef="#ctx0" brushRef="#br0">10015 5196 24575,'-111'130'0,"43"-48"0,49-59 0,-298 312 0,76-145 0,218-174-13,-3-3-1,-40 20 1,23-14-1312,31-13-5501</inkml:trace>
  <inkml:trace contextRef="#ctx0" brushRef="#br0" timeOffset="1084.79">9482 5717 24575,'14'3'0,"25"19"0,24 24 0,15 15 0,12 6 0,-7 4 0,-6-4 0,-13-6 0,-11-13 0,-13-11 0,-11-13 0,-11-6 0,-3-7 0,-7 0 0</inkml:trace>
  <inkml:trace contextRef="#ctx0" brushRef="#br0" timeOffset="2384.63">9830 6716 24575,'384'-280'0,"-242"173"0,190-177 0,-275 240 0,-45 36 0,0-1 0,-1 0 0,0 1 0,-2-2 0,15-16 0,-7 4-1365,-11 11-5461</inkml:trace>
  <inkml:trace contextRef="#ctx0" brushRef="#br0" timeOffset="4489.62">3052 3426 24575,'7'0'0,"9"-8"0,30-8 0,14-9 0,7-11 0,6-8 0,6-1 0,5-6 0,3-2 0,-3-1 0,-9 1 0,-3 4 0,-14 5 0,-13 13 0,-11 4 0,-8 10 0,-7 3 0,-9 5-8191</inkml:trace>
  <inkml:trace contextRef="#ctx0" brushRef="#br0" timeOffset="6230.69">3564 3093 24575,'37'41'0,"80"75"0,895 750-3594,-723-655 3555,-24-18 775,-157-103 63,107 115 0,-213-203-762,101 107 741,-27-30-536,104 89 0,22-16-242,102 86 0,-248-181 0,-1 2 0,84 122 0,16 22 0,-118-162 0,2-1 0,49 39 0,379 368 0,-451-431 0,103 97 0,-98-97 0,0 1 0,2-3 0,47 24 0,-49-27 0,1 1 0,-1 1 0,21 19 0,27 15 0,-58-37 0,0-2 0,0 1 0,-1 0 0,15 18 0,17 17 0,-10-19 0,0-3 0,71 36 0,-18-10 0,-29-17 0,-32-20 0,-2 3 0,37 26 0,154 153 0,-188-175-1365,-13-13-5461</inkml:trace>
  <inkml:trace contextRef="#ctx0" brushRef="#br0" timeOffset="7550.3">8561 7904 24575,'59'-82'0,"-2"19"0,2 3 0,2 2 0,3 2 0,2 4 0,124-73 0,-102 72 0,71-38 0,-111 62 92,-38 22-456,0 0 0,1 1-1,16-6 1,-14 7-6462</inkml:trace>
  <inkml:trace contextRef="#ctx0" brushRef="#br0" timeOffset="10356.26">3544 3031 24575,'-48'-37'0,"4"-3"0,-80-85 0,38 36 0,-854-777-885,710 687 930,186 139 109,2-1-1,2-3 1,-63-88 0,-9-6 71,96 119-225,-15-19 0,-2 2 0,-2 2 0,-38-31 0,-188-133 0,14 6 0,223 169 0,1 1 0,0-2 0,-20-29 0,-4-3 0,37 42 0,1 1 0,-11-18 0,12 18 0,-1-2 0,-12-14 0,15 24 0,-1 1 0,1-1 0,-1 1 0,0-1 0,0 1 0,0 1 0,0 0 0,-1 0 0,0 1 0,1 1 0,-17-3 0,12 1 0,-2 0 0,-23-10 0,-4-6-1365,31 10-5461</inkml:trace>
  <inkml:trace contextRef="#ctx0" brushRef="#br0" timeOffset="11289.7">575 323 24575,'-4'0'0,"-8"0"0,-9 2 0,-4 7 0,-8 4 0,-7 3 0,-1 0 0,-10 3 0,2 6 0,1 2 0,3 2 0,4-7 0,4-7 0,4-4 0,3-4 0,5-4 0,5 1 0,7-1-8191</inkml:trace>
  <inkml:trace contextRef="#ctx0" brushRef="#br0" timeOffset="12177.19">1 552 24575,'10'-2'0,"0"1"0,1-2 0,0 0 0,-2 1 0,2-1 0,-1-2 0,-1 0 0,16-10 0,7 0 0,46-24 0,-31 15 0,1 2 0,79-26 0,-65 35 0,-44 10 0,0-1 0,-1-1 0,1-1 0,-1 0 0,-1 1 0,2-3 0,-3 0 0,23-14 0,-3-6 0,1 3 0,1-1 0,41-16 0,-70 36 9,1-1-1,-1 1 1,1 0-1,-2-1 0,0 0 1,0-1-1,0 0 1,-1 1-1,0-3 1,8-11-1,27-34-1466,-27 40-5368</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0T06:37:45.031"/>
    </inkml:context>
    <inkml:brush xml:id="br0">
      <inkml:brushProperty name="width" value="0.05" units="cm"/>
      <inkml:brushProperty name="height" value="0.05" units="cm"/>
      <inkml:brushProperty name="color" value="#E71224"/>
    </inkml:brush>
  </inkml:definitions>
  <inkml:trace contextRef="#ctx0" brushRef="#br0">43 1 24575,'-5'16'0,"1"2"0,1-2 0,-2 34 0,1-7 0,-2 4 0,-1 8 0,2 0 0,2 62 0,3-115 0,0 0 0,0 0 0,0 0 0,1 0 0,-1 0 0,0 0 0,1 0 0,0 0 0,-1-1 0,1 1 0,0-1 0,0 1 0,0-1 0,0 1 0,0 0 0,1-1 0,-1 1 0,0-1 0,1 0 0,-2 1 0,2-1 0,-1 0 0,1 0 0,0 0 0,-1 0 0,1 0 0,0 0 0,0-1 0,0 1 0,0 0 0,0-1 0,-1 0 0,1 1 0,0-1 0,3 0 0,7 0 0,1-1 0,-1 0 0,1-1 0,19-5 0,3 0 0,137 1 0,-55 4 0,-50-10-1365,-49 8-5461</inkml:trace>
  <inkml:trace contextRef="#ctx0" brushRef="#br0" timeOffset="4329.59">4857 3441 24575,'-23'174'0,"12"-78"0,-40 434 0,47-506 0,3-19 0,0-1 0,0 0 0,0-1 0,1 1 0,-1 1 0,1-1 0,0 0 0,0 0 0,1 0 0,-1 1 0,1-2 0,2 7 0,-3-10 0,1 1 0,-1-1 0,1 0 0,0 1 0,-1-1 0,1 0 0,0 0 0,-1 1 0,1-1 0,0 0 0,-1 0 0,1 0 0,0 0 0,-1 0 0,1 0 0,0 0 0,-1 0 0,1 0 0,0 0 0,-1 0 0,1 0 0,0-1 0,-1 1 0,1 0 0,0 0 0,-1-1 0,2 0 0,20-11 0,-17 10 0,15-10 0,-1 1 0,3 2 0,-2 0 0,2 0 0,-1 1 0,2 2 0,-1 2 0,0 0 0,0 1 0,40-1 0,33 7-1365,-77-3-5461</inkml:trace>
  <inkml:trace contextRef="#ctx0" brushRef="#br0" timeOffset="5797.21">5450 4235 24575,'-59'-17'0,"36"14"0,0 2 0,-1 1 0,-27 1 0,44-1 0,0 1 0,-1 0 0,0 1 0,1-1 0,0 2 0,0-1 0,-1 1 0,1 0 0,1 0 0,-1 1 0,0 0 0,1 0 0,-10 8 0,15-10 0,-1 0 0,0 0 0,1 0 0,-1 1 0,1-1 0,0 0 0,0 0 0,0 0 0,0 0 0,0-1 0,0 2 0,0-1 0,1 1 0,-1-1 0,1 0 0,0 1 0,0-1 0,0 1 0,0 3 0,1-2 0,0-2 0,0 2 0,0 0 0,1-1 0,-1 1 0,1-1 0,0 1 0,0-1 0,0 1 0,1-1 0,3 3 0,3 3 0,0-1 0,2 0 0,-2-1 0,2 0 0,0 1 0,17 5 0,134 56 0,-160-69 0,0 1 0,0 0 0,0 0 0,0 0 0,-1 1 0,1-1 0,0 0 0,-1 1 0,0-1 0,0 1 0,1-1 0,-1 1 0,0 0 0,1-1 0,-1 1 0,0 0 0,0 0 0,0 0 0,-1-1 0,1 1 0,0 0 0,-1 0 0,1 0 0,-1 0 0,0 2 0,0-2 0,0 0 0,0 0 0,0 0 0,0 0 0,0 0 0,-1 1 0,0 0 0,0 1 0,-1-1 0,1 1 0,-1 0 0,0-1 0,0 1 0,0-1 0,1 1 0,-2-1 0,1-1 0,-1 1 0,0 0 0,0 0 0,0 0 0,0 0 0,0-1 0,-6 4 0,0-2 14,0-1 1,0-1-1,0 0 0,-1 1 0,0-2 1,-15 2-1,-59-4-959,73 1 425,-11-1-6306</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0T08:16:21.797"/>
    </inkml:context>
    <inkml:brush xml:id="br0">
      <inkml:brushProperty name="width" value="0.05" units="cm"/>
      <inkml:brushProperty name="height" value="0.05" units="cm"/>
      <inkml:brushProperty name="color" value="#E71224"/>
    </inkml:brush>
  </inkml:definitions>
  <inkml:trace contextRef="#ctx0" brushRef="#br0">1 99 24575,'19'-20'0,"-14"15"0,0 0 0,1-1 0,0 1 0,0 0 0,0 0 0,8-2 0,-2 0 0,1 2 0,-1-1 0,2 2 0,0 0 0,-1 1 0,1-1 0,22 0 0,8 1 0,50 4 0,-48 0 0,-40-1 0,0 0 0,0 1 0,-2-1 0,2 1 0,0 0 0,-1 1 0,1-2 0,-2 2 0,2 1 0,-1-1 0,0 0 0,0 0 0,0 0 0,-1 2 0,0-1 0,1 1 0,-1-1 0,0 1 0,5 5 0,-5-3 0,0 1 0,0-1 0,0 0 0,-1 1 0,0 0 0,0 1 0,-1-2 0,0 2 0,-1-1 0,0 1 0,0-2 0,0 16 0,-1-2 0,1-9 0,-1 1 0,0 0 0,-1 1 0,0-1 0,-1-1 0,-3 12 0,1-17 0,1-2 0,-1 0 0,-1 1 0,1-3 0,0 3 0,0-1 0,-1 0 0,0-2 0,-1 1 0,1 1 0,0-1 0,-6 0 0,-12 9 0,7-3 0,0-3 0,0 1 0,-1-1 0,-1 0 0,2-1 0,-36 3 0,14-2 0,-49-1 0,602-5 0,-509 0-227,1 0-1,-1 0 1,1 1-1,-1 1 1,13 2-1,2 3-6598</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0T08:16:27.460"/>
    </inkml:context>
    <inkml:brush xml:id="br0">
      <inkml:brushProperty name="width" value="0.05" units="cm"/>
      <inkml:brushProperty name="height" value="0.05" units="cm"/>
      <inkml:brushProperty name="color" value="#E71224"/>
    </inkml:brush>
  </inkml:definitions>
  <inkml:trace contextRef="#ctx0" brushRef="#br0">1 1 24575,'-1'446'0,"1"-443"0,0 1 0,0-2 0,0 2 0,1-1 0,-1 1 0,1-1 0,-1 1 0,1-1 0,1 1 0,-1-1 0,0-1 0,1 2 0,-1-1 0,4 5 0,-3-6 0,0 0 0,1-1 0,-1 1 0,1 0 0,0-1 0,0 1 0,0-1 0,0 0 0,0-1 0,-1 1 0,1 0 0,0-1 0,0 1 0,0-1 0,0 0 0,6 0 0,145-3-1365,-133 3-5461</inkml:trace>
  <inkml:trace contextRef="#ctx0" brushRef="#br0" timeOffset="2484.08">370 350 24575,'3'0'0,"1"0"0,-1 1 0,1 0 0,-1 0 0,1 0 0,-1 0 0,0 1 0,0-1 0,0 1 0,1 0 0,-1 0 0,0 0 0,0 0 0,-1-1 0,1 2 0,0-1 0,-1 1 0,0 0 0,0 0 0,0 0 0,0 0 0,0 0 0,-1 0 0,1 0 0,-1 0 0,1 0 0,0 7 0,2 1 0,-2-1 0,0 0 0,0 1 0,-1-1 0,-1 1 0,1-1 0,-2 1 0,1 11 0,-1-18 0,0 0 0,0 1 0,-1-1 0,1 0 0,-1-1 0,0 1 0,0 0 0,0-1 0,0 1 0,-1-1 0,1 1 0,-1-1 0,-5 4 0,-3 3 0,0-1 0,-22 12 0,-9 8 0,41-29 0,0 0 0,1 1 0,-1-1 0,1 0 0,-1 1 0,1-1 0,-1 1 0,1-1 0,-1 1 0,1-1 0,-1 1 0,1-1 0,-1 1 0,1 0 0,0-1 0,-1 1 0,1-1 0,0 1 0,0 0 0,-1-1 0,1 1 0,0 0 0,0-1 0,0 1 0,0 0 0,0 0 0,0-1 0,0 1 0,0 0 0,0-1 0,0 1 0,0-1 0,1 1 0,0 0 0,0 0 0,1 1 0,-1-1 0,0-1 0,1 1 0,-1 0 0,1 0 0,-1 0 0,1-1 0,-1 1 0,1-1 0,-1 1 0,2-1 0,55 6 0,-58-6 0,67 4 0,0 3 0,90 21 0,-154-28 0,0 1 0,0 0 0,0 0 0,1 0 0,-1 1 0,0 0 0,0-1 0,0 1 0,2 3 0,-4-4 0,-1-1 0,0 0 0,1 1 0,-1-1 0,0 0 0,0 1 0,1-1 0,-1 0 0,0 1 0,0-1 0,1 0 0,-1 1 0,0-1 0,0 1 0,0-1 0,0 0 0,0 1 0,0-1 0,0 1 0,0-1 0,0 1 0,0-1 0,0 0 0,0 1 0,0-1 0,0 1 0,0-1 0,0 1 0,0 0 0,-1-1 0,0 1 0,0 0 0,0-1 0,0 1 0,0 0 0,0-1 0,0 1 0,0 0 0,0-1 0,-1 1 0,1-1 0,0 0 0,0 1 0,-1-1 0,-1 0 0,-18 3 22,-1-1 0,0-1-1,-42-3 1,48 0-204,-1 1 1,-1 0-1,1 2 1,-1 0-1,1 1 1,0 1-1,-21 6 1,17-1-6645</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0T08:24:31.780"/>
    </inkml:context>
    <inkml:brush xml:id="br0">
      <inkml:brushProperty name="width" value="0.05" units="cm"/>
      <inkml:brushProperty name="height" value="0.05" units="cm"/>
    </inkml:brush>
  </inkml:definitions>
  <inkml:trace contextRef="#ctx0" brushRef="#br0">2069 623 24575,'1'112'0,"-3"128"0,-7-155 0,-2 37 0,12 787-1365,-1-887-5461</inkml:trace>
  <inkml:trace contextRef="#ctx0" brushRef="#br0" timeOffset="1247.08">1988 583 24575,'-2'0'0,"1"0"0,0 0 0,-1 1 0,1-1 0,0 1 0,0-1 0,0 1 0,-1-1 0,1 1 0,0 0 0,0-1 0,1 1 0,-1 0 0,0 0 0,0-1 0,0 1 0,1 0 0,-1 0 0,0 0 0,0 0 0,1 0 0,-1 0 0,0 2 0,-13 35 0,8-19 0,-5 2 0,-21 33 0,20-37 0,1 2 0,-14 31 0,3 7 0,-35 81 0,53-128 0,1-7 0,4-5 0,8-29 0,-5 9 0,1 0 0,1 1 0,0 0 0,13-25 0,2-9 0,-15 41 0,1 0 0,-1 0 0,15-17 0,-15 20 0,2-1 0,-1 1 0,-1-2 0,9-24 0,-7 4 0,-5 21 0,-1 1 0,2 0 0,0 0 0,-1 1 0,2-2 0,11-16 0,7-8 0,30-59 0,-52 93 0,1-1 0,0-1 0,0 1 0,0 0 0,0 0 0,0 0 0,1 1 0,-1-1 0,1-1 0,3 0 0,-5 3 0,-1 1 0,1-1 0,0 1 0,0 0 0,-1-1 0,1 1 0,0 0 0,0 0 0,0 0 0,-1 0 0,1 0 0,0-1 0,0 1 0,0 1 0,0-1 0,-1 0 0,1 0 0,0 0 0,0 0 0,0 1 0,1 0 0,-1-1 0,0 1 0,1 0 0,-1 0 0,-1 0 0,1 0 0,0 1 0,0-1 0,0 0 0,0 1 0,0-1 0,0 0 0,0 1 0,0 1 0,26 61 0,27 99 0,-43-125 0,21 109 0,-26-113 0,-6-29-151,1-1-1,1 1 0,-1-1 0,1 1 1,-1-1-1,1 0 0,-1-1 1,7 9-1,6 3-6674</inkml:trace>
  <inkml:trace contextRef="#ctx0" brushRef="#br0" timeOffset="2727.18">1926 1869 24575,'-1'0'0,"1"-1"0,-1 1 0,1 0 0,0 0 0,-1 0 0,1 0 0,-1 0 0,1 0 0,-1 0 0,1 0 0,0 0 0,-1 0 0,1 0 0,-1 0 0,1 0 0,0 0 0,-1 1 0,1-1 0,-1 0 0,1 0 0,0 0 0,-1 1 0,1-1 0,0 0 0,-1 0 0,1 2 0,0-2 0,0 0 0,-1 1 0,1-1 0,0 0 0,0 1 0,0-1 0,0 0 0,0 1 0,8 11 0,23 10 0,-11-13 0,2 3 0,-2 1 0,-1 0 0,1 1 0,-2 0 0,0 2 0,19 23 0,-24-26 0,0-2 0,1 2 0,0-1 0,18 9 0,-14-10 0,-2 1 0,29 27 0,-30-25 0,1-1 0,0 0 0,1-1 0,0-1 0,28 14 0,-22-13 0,2 4 0,0 1 0,-1 1 0,25 24 0,-29-23 0,2 0 0,0-2 0,48 28 0,-27-20 0,-1 2 0,48 39 0,-61-42 0,-3-3 0,-19-15 0,-1-1 0,1 1 0,-1-1 0,2 0 0,-1 0 0,1-1 0,-1-1 0,16 6 0,127 38 0,-43 9 0,-93-50 0,-1 2 0,18 10 0,-19-10 0,-1 0 0,2-1 0,20 7 0,-15-8-115,2 2-301,0-2-1,20 13 0,-16-6-6409</inkml:trace>
  <inkml:trace contextRef="#ctx0" brushRef="#br0" timeOffset="3937.78">3400 2659 24575,'7'1'0,"0"0"0,0 0 0,0 1 0,10 3 0,0 1 0,-5-1 0,0 0 0,-1 1 0,0 0 0,-1 0 0,1 2 0,-1 0 0,-1 0 0,1 0 0,-1 1 0,13 17 0,-9-12 0,0 1 0,1-3 0,27 21 0,-17-17 0,0 0 0,-2 1 0,0 1 0,-1 2 0,30 33 0,-50-52 0,0 1 0,0-1 0,0 0 0,0 0 0,-1 0 0,1 0 0,0 1 0,-1-1 0,1 0 0,-1 0 0,0 0 0,0 1 0,0-1 0,1 0 0,-1 1 0,0-1 0,0 0 0,0 1 0,0-1 0,0 0 0,0-1 0,0 2 0,-1-1 0,1 2 0,0-2 0,-1 0 0,0 0 0,-1 1 0,1-1 0,0 0 0,0 0 0,0 0 0,-1 0 0,1-1 0,-1 1 0,1 0 0,0 0 0,-1-1 0,1 1 0,-1-1 0,-2 1 0,-8 1 0,-1 0 0,1-1 0,-22-1 0,28-1 0,-548-2-461,463 3-443,70 0-5922</inkml:trace>
  <inkml:trace contextRef="#ctx0" brushRef="#br0" timeOffset="4877.2">4097 3199 24575,'0'7'0,"7"-1"0,1-6 0,5-2 0,1-1 0,5-3 0,3-9 0,3-4 0,0-3 0,0 0 0,2-6 0,0 1 0,-1-1 0,-5 6-8191</inkml:trace>
  <inkml:trace contextRef="#ctx0" brushRef="#br0" timeOffset="5837.18">4077 2907 24575,'0'5'0,"1"0"0,0 1 0,-1-2 0,1 1 0,1-1 0,0 1 0,0 0 0,0-1 0,6 8 0,29 39 0,-31-43 0,36 39 0,-32-37 0,-1 0 0,1 0 0,-1 2 0,-1 0 0,12 20 0,12 30 0,41 58 0,16 3 0,-71-102 0,-14-15-227,-2-1-1,1 0 1,0 0-1,0 0 1,3 12-1,0 3-6598</inkml:trace>
  <inkml:trace contextRef="#ctx0" brushRef="#br0" timeOffset="7084.89">2561 1 24575,'-1'220'0,"2"-213"0,0 1 0,1-1 0,0-1 0,-1 1 0,1-1 0,1 1 0,-1-2 0,2 1 0,-1 1 0,1-1 0,7 10 0,17 29 0,2 30 0,-21-48 0,26 51 0,-16-44 0,22 38 0,-36-64 0,1-2 0,-1 0 0,0 1 0,1-1 0,0-1 0,1 1 0,7 6 0,-12-10 0,0-1 0,0 0 0,1 1 0,-1-1 0,0 0 0,1-1 0,-1 1 0,1 0 0,-1-1 0,0 1 0,1-1 0,-1 0 0,1 0 0,0 0 0,-1 0 0,1-1 0,-1 1 0,1 0 0,0-1 0,-1 0 0,0 0 0,0 0 0,0 0 0,1 0 0,-1 0 0,0-1 0,0 1 0,0-1 0,1 1 0,-2-1 0,4-4 0,4-4 0,1-2 0,-1 0 0,-2 1 0,12-22 0,-2 4 0,-6 14 0,-2-2 0,-1 1 0,1 0 0,-2-1 0,0-1 0,-2 1 0,0 0 0,0-3 0,-2 3 0,3-27 0,-6 43 0,4-29 0,-4 29 0,1 0 0,-1 0 0,0 0 0,1 0 0,-1 0 0,0-1 0,0 1 0,0 0 0,1 0 0,0 0 0,-1 0 0,1 0 0,0 0 0,0 0 0,-1 0 0,1 1 0,0-1 0,0 0 0,0 0 0,2-1 0,-3 2 0,1 0 0,-1 0 0,0 0 0,0 0 0,1 0 0,-1 0 0,0 0 0,1 0 0,-1 0 0,0 0 0,0 0 0,1 0 0,-1 0 0,0 0 0,0 0 0,1 0 0,-1 0 0,0 0 0,0 0 0,1 0 0,-1 1 0,0-1 0,0 0 0,0 0 0,1 0 0,-1 0 0,0 1 0,0-1 0,0 0 0,1 0 0,-1 0 0,0 1 0,0-1 0,0 0 0,0 0 0,0 0 0,1 1 0,-1-1 0,0 0 0,0 0 0,0 1 0,0-1 0,0 0 0,0 1 0,0-1 0,0 0 0,0 0 0,0 1 0,0-1 0,0 0 0,0 0 0,0 1 0,0-1 0,0 0 0,-1 0 0,1 1 0,0-1 0,-7 15 0,-4 0 0,1 0 0,0 1 0,1-1 0,2 1 0,-1 1 0,1 0 0,0-1 0,3 1 0,-1 2 0,-2 17 0,4-25 0,0 2 0,-1-1 0,0 0 0,0-1 0,-1 0 0,-8 13 0,-3 2 0,-26 33 0,15-28 0,20-24 0,1 1 0,0-1 0,0 1 0,1 0 0,-1 0 0,1-1 0,2 2 0,-2 0 0,1 0 0,-3 13 0,5-12 0,0 1 0,-1-1 0,0 1 0,-1-1 0,1 0 0,-2 0 0,0 0 0,-1-1 0,-10 16 0,9-15 0,0 2 0,0-1 0,2 1 0,0 2 0,0-3 0,1 2 0,0-1 0,1 2 0,-3 25 0,-7 32 0,5-52-1365,0-3-5461</inkml:trace>
  <inkml:trace contextRef="#ctx0" brushRef="#br0" timeOffset="8079.09">882 2576 24575,'0'1'0,"0"0"0,1-1 0,-1 2 0,1-1 0,0 0 0,-1 0 0,1 0 0,0 0 0,0 0 0,0 0 0,-1 0 0,1 0 0,0 0 0,1 0 0,-1 0 0,0 1 0,0-2 0,0 1 0,0-1 0,0 1 0,1-1 0,-1 1 0,0-1 0,1 1 0,-1-1 0,-1 0 0,1 0 0,1 0 0,-1 0 0,0 0 0,1 0 0,-1 0 0,0 0 0,1-1 0,-1 1 0,0 0 0,1-1 0,-1 1 0,0-1 0,0 1 0,0-1 0,1-1 0,-1 2 0,2-3 0,4-3 0,1 0 0,0-2 0,-1 1 0,10-15 0,-5 7 0,-1 4 0,2 0 0,-1 0 0,27-15 0,5-6 0,65-42 0,-37 27 0,-51 32 0,-1-1 0,0-2 0,36-37 0,-50 49 0,1-2 0,1 2 0,0 0 0,-1 1 0,2 1 0,-1-1 0,12-5 0,-9 5 0,-1 0 0,1 0 0,-1-2 0,9-9 0,-1 1 0,17-15 0,52-37 0,-72 58 0,-2 0 0,2 2 0,0 0 0,1 1 0,-2 1 0,3 0 0,23-5 0,-28 7 0,0 0 0,-2 0 0,1-1 0,0-2 0,-1 0 0,18-10 0,33-16 0,-35 20 0,0 3 0,2 0 0,-1 2 0,45-5 0,-46 8 0,0-2 0,0 0 0,-1-3 0,0 2 0,24-14 0,56-18 0,-89 34-455,1-1 0,24-12 0,-20 7-6371</inkml:trace>
  <inkml:trace contextRef="#ctx0" brushRef="#br0" timeOffset="9417.52">903 2721 24575,'-1'-58'0,"0"-16"0,14-126 0,-10 169 0,-3 24 0,0 2 0,0-1 0,1 0 0,-1-1 0,1 1 0,1 1 0,-1-1 0,1 0 0,0 0 0,1 1 0,-1 0 0,6-10 0,-8 15 0,0-1 0,0 1 0,1 0 0,-1-1 0,0 1 0,0 0 0,1 0 0,-1 0 0,0-1 0,0 1 0,1 0 0,-1 0 0,0 0 0,1 0 0,-1 0 0,0-1 0,0 1 0,1 0 0,-1 0 0,0 0 0,1 0 0,-1 0 0,0 0 0,1 0 0,-1 0 0,0 0 0,1 0 0,-1 0 0,0 0 0,1 0 0,-1 1 0,0-1 0,1 0 0,-1 0 0,0 0 0,1 1 0,5 12 0,-3 17 0,-8-10 0,-1-1 0,-10 29 0,9-33 0,2 2 0,-1-1 0,2 1 0,-3 23 0,4 26 0,3-44 0,-1-1 0,-1 0 0,-6 27 0,8-47 0,-1 0 0,1-1 0,0 1 0,0 0 0,-1 0 0,1-1 0,0 1 0,0 0 0,0 0 0,0 0 0,0-1 0,0 0 0,0 1 0,0 0 0,0 0 0,0-1 0,1 1 0,-1 1 0,13-3 0,-6-2 0,33-4-25,-1 1 0,0 1 0,1 3 0,76 4 1,-34 0-1217,-60-2-5585</inkml:trace>
  <inkml:trace contextRef="#ctx0" brushRef="#br0" timeOffset="10237.52">1 1931 24575,'0'-2'0,"0"0"0,1 1 0,-1-1 0,1 0 0,0 1 0,0-1 0,-1 1 0,1-1 0,0 2 0,0-1 0,1-1 0,-1 1 0,0 0 0,0 0 0,0-1 0,1 1 0,-2 0 0,2 0 0,-1 1 0,1-1 0,-1 0 0,1 0 0,0 1 0,-1-1 0,1 1 0,2-1 0,45-8 0,212 5 0,-134 7 0,-104-4 0,-13 0 0,0 1 0,-2 0 0,2 0 0,17 4 0,-25-4 0,0 1 0,0 0 0,0-1 0,0 1 0,0 0 0,0 0 0,0 0 0,0 0 0,0 1 0,-1-1 0,0 0 0,1 1 0,0-1 0,-1 1 0,0 0 0,1 0 0,-1-1 0,0 1 0,0-1 0,0 1 0,0 0 0,0 0 0,0 0 0,-1 0 0,1 0 0,0 4 0,1 5 0,-1-1 0,0 0 0,-1 0 0,0 0 0,-1 1 0,0-1 0,0 0 0,-1 0 0,-1-1 0,1 1 0,-2 0 0,-4 12 0,1-9 0,-1-1 0,0 1 0,0-2 0,-1 2 0,-1-3 0,1 1 0,-23 16 0,22-18 0,-1 0 0,3 1 0,-17 17 0,24-26 0,1 0 0,0 0 0,-1 0 0,1 0 0,0 0 0,0 0 0,0 0 0,-1 0 0,1 0 0,0 0 0,0 0 0,1 0 0,-1 0 0,0 0 0,0 0 0,0 0 0,1 0 0,-1 0 0,0-1 0,1 1 0,-1 0 0,1 0 0,-1 1 0,1-2 0,-1 1 0,1 0 0,0 0 0,-1 0 0,1-1 0,0 1 0,0 0 0,0-1 0,-1 1 0,1-1 0,0 1 0,0-1 0,0 1 0,2 0 0,37 15 0,-10-9-9,1-2-1,-1-1 1,1-2-1,0-1 1,49-5-1,1 2-1298,-58 2-5518</inkml:trace>
  <inkml:trace contextRef="#ctx0" brushRef="#br0" timeOffset="11287.28">309 2035 24575,'0'-2'0,"0"0"0,1 2 0,-1-2 0,1 0 0,0 1 0,-1-1 0,0 1 0,1-1 0,0 1 0,0-1 0,1 1 0,-1 0 0,0 0 0,0-1 0,1 1 0,-1 0 0,0 0 0,1 0 0,-1 0 0,1 1 0,-1-1 0,1 0 0,0 1 0,-1-1 0,1 1 0,2-1 0,3-2 0,1 2 0,0-1 0,0 1 0,9-1 0,3 3 0,0 1 0,-1 1 0,1 1 0,-1 1 0,24 9 0,26 5 0,-5-7 0,-40-8 0,0 0 0,43 16 0,-42-10-1365,-2 0-5461</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0T08:54:31.625"/>
    </inkml:context>
    <inkml:brush xml:id="br0">
      <inkml:brushProperty name="width" value="0.05" units="cm"/>
      <inkml:brushProperty name="height" value="0.05" units="cm"/>
      <inkml:brushProperty name="color" value="#E71224"/>
    </inkml:brush>
  </inkml:definitions>
  <inkml:trace contextRef="#ctx0" brushRef="#br0">246 1943 24575,'1'-4'0,"0"0"0,0 0 0,0 0 0,0 0 0,0 0 0,1 0 0,0 1 0,0-1 0,0 1 0,0-1 0,0 1 0,1 0 0,-1 0 0,1 0 0,0 0 0,0 0 0,0 1 0,0 0 0,0-1 0,1 1 0,3-2 0,8-5 0,1 1 0,0 1 0,24-8 0,27-1 0,-47 12 0,39-13 0,-13 2 0,-32 11 0,-1 0 0,1-1 0,14-8 0,47-24-1365,-51 26-5461</inkml:trace>
  <inkml:trace contextRef="#ctx0" brushRef="#br0" timeOffset="1981.92">308 1796 24575,'0'0'0,"0"1"0,0-1 0,0 0 0,0 1 0,0-1 0,0 1 0,0-1 0,0 0 0,0 1 0,0-1 0,0 1 0,0-1 0,0 0 0,1 1 0,-1-1 0,0 0 0,0 1 0,0-1 0,0 0 0,1 1 0,-1-1 0,0 0 0,0 1 0,1-1 0,-1 0 0,0 0 0,0 1 0,1-1 0,-1 0 0,0 0 0,1 0 0,-1 1 0,0-1 0,1 0 0,-1 0 0,1 0 0,0 0 0,14-7 0,-14 6 0,0 0 0,1 0 0,-1 0 0,0 1 0,0-2 0,0 0 0,0 1 0,0 0 0,0-1 0,0 1 0,0 0 0,-1-1 0,1 1 0,-1-1 0,1 1 0,-1-1 0,1 0 0,-1 1 0,0-1 0,0 2 0,1-6 0,-1 6 0,0-1 0,-1 1 0,1 0 0,0 0 0,0-1 0,0 1 0,0 0 0,0 0 0,0 0 0,0-1 0,0 1 0,-1 0 0,1 0 0,0 0 0,0 0 0,0-1 0,0 1 0,-1 0 0,1 0 0,0 0 0,0 0 0,0 0 0,-1-1 0,1 1 0,0 0 0,0 0 0,0 0 0,-1 0 0,1 0 0,0 0 0,0 0 0,-1 0 0,1 0 0,0 0 0,0 0 0,-1 0 0,1 0 0,0 0 0,0 0 0,0 0 0,-1 0 0,1 1 0,0-1 0,-10 11 0,-2 16 0,-11 74 0,22-99 0,1 0 0,0 0 0,0 2 0,0-3 0,0 1 0,0 0 0,0 0 0,1 0 0,-1 0 0,0 0 0,1 1 0,0-1 0,0 0 0,0 1 0,0-3 0,0 2 0,0 0 0,0 0 0,0 0 0,1-1 0,-1 1 0,0-1 0,1 1 0,0-1 0,-1 1 0,1-1 0,0 0 0,0 0 0,0 0 0,-1 1 0,1-2 0,0 1 0,0-1 0,0 1 0,0-1 0,4 1 0,8 2 0,0-1 0,1-1 0,0 0 0,17-2 0,-23 1 0,276-4-1365,-262 4-5461</inkml:trace>
  <inkml:trace contextRef="#ctx0" brushRef="#br0" timeOffset="3923.76">164 1670 24575,'0'-1085'0,"-1"1052"0,-8-43 0,-2-25 0,3 23-1365,4 55-5461</inkml:trace>
  <inkml:trace contextRef="#ctx0" brushRef="#br0" timeOffset="4853.92">123 244 24575,'-1'3'0,"0"0"0,0 1 0,0-1 0,-1 0 0,1 0 0,-1 1 0,0-1 0,0-1 0,0 1 0,-1 0 0,-2 2 0,-12 20 0,10-7 0,0 1 0,1 1 0,1-1 0,-4 35 0,0 81 0,7-73 0,-3 0 0,-16 75 0,15-114 0,3-20 0,1-14 0,2-2 0,1 1 0,0-1 0,1 2 0,0-3 0,1 2 0,0 0 0,1 0 0,1 0 0,0 0 0,7-12 0,15-39 0,-22 44 0,0 0 0,3-20 0,-7 26 0,2 0 0,-1 0 0,2 0 0,0 0 0,0 1 0,10-18 0,1 1 0,-2-1 0,0 0 0,-2-1 0,-1 1 0,-2-1 0,8-52 0,-14 20 0,-3 49 0,1 2 0,1 0 0,0 0 0,0 0 0,4-18 0,-4 28 0,0 0 0,0 0 0,0-1 0,0 1 0,1 0 0,-1 0 0,0 0 0,1 0 0,-1 0 0,1 1 0,0-2 0,0 2 0,-1 0 0,1-1 0,0 1 0,0 0 0,4-2 0,-5 3 0,0-1 0,0 1 0,1 0 0,-1-1 0,0 1 0,0 0 0,0 0 0,1 0 0,-1 0 0,0 0 0,0 1 0,0-1 0,0 0 0,1 0 0,-1 1 0,0-1 0,0 1 0,0-1 0,0 1 0,0-1 0,0 1 0,0 0 0,0-1 0,0 1 0,0 0 0,0 0 0,-1 0 0,1 0 0,0-1 0,0 2 0,-1-1 0,1 0 0,-1 0 0,1 0 0,0 2 0,8 23 0,-1 0 0,-1 0 0,-2 1 0,4 40 0,-3-27 0,-3-9 0,-1 61 0,-3-59 0,5 47 0,-1-68 11,0 0 0,1-1 0,1 0 0,-1 0-1,2 0 1,-1 0 0,13 15 0,11 25-1463,-18-27-5374</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0T08:54:38.933"/>
    </inkml:context>
    <inkml:brush xml:id="br0">
      <inkml:brushProperty name="width" value="0.05" units="cm"/>
      <inkml:brushProperty name="height" value="0.05" units="cm"/>
      <inkml:brushProperty name="color" value="#E71224"/>
    </inkml:brush>
  </inkml:definitions>
  <inkml:trace contextRef="#ctx0" brushRef="#br0">84 1920 24575,'0'-1688'0,"-1"1701"0,0-1 0,-1 1 0,-1-2 0,0 2 0,0-1 0,-1 0 0,-8 17 0,-3 11 0,-18 83 0,33-123 0,0 0 0,0 0 0,0 0 0,0 0 0,0 0 0,0 0 0,0 0 0,0 0 0,-1 0 0,1 0 0,0 0 0,0 0 0,0 0 0,0 0 0,0 0 0,0 0 0,0 0 0,0 0 0,-1 0 0,1 0 0,0 0 0,0 0 0,0 0 0,0 0 0,0 0 0,0 0 0,0 0 0,0 0 0,0 0 0,0 0 0,-1 0 0,1 0 0,0 0 0,0 1 0,0-1 0,0 0 0,0 0 0,0 0 0,0 0 0,0 0 0,0 0 0,0 0 0,0 0 0,0 0 0,0 0 0,0 1 0,0-1 0,0 0 0,0 0 0,0 0 0,0 0 0,0 0 0,0 0 0,0 0 0,0 1 0,-3-15 0,2-23 0,2-285 0,0 312 0,0-3 0,1 2 0,0-1 0,1 1 0,0-1 0,1 1 0,0 1 0,1-1 0,6-12 0,-10 23 0,-1-1 0,0 0 0,1 0 0,-1-1 0,1 2 0,-1-1 0,1 0 0,-1 0 0,1 1 0,0-1 0,-1 0 0,1 1 0,0-1 0,-1 1 0,1-1 0,0 1 0,0-1 0,-1 1 0,1 0 0,0-1 0,0 1 0,0 0 0,0 0 0,1-1 0,-1 1 0,0 1 0,-1-1 0,1 1 0,0-1 0,0 1 0,-1-1 0,1 1 0,0 0 0,0-1 0,-1 1 0,1 0 0,-1-1 0,1 1 0,-1 0 0,1 0 0,-1-1 0,1 2 0,0 1 0,12 46 0,-12-46 0,3 16 0,2 0 0,0-1 0,1 0 0,0 1 0,17 25 0,-12-19 43,12 36 0,-7-16-1494,-9-25-5375</inkml:trace>
  <inkml:trace contextRef="#ctx0" brushRef="#br0" timeOffset="1289.81">309 1774 24575,'0'-20'0,"-1"-1"0,1 1 0,2-1 0,0 1 0,4-21 0,-4 35 0,0 0 0,0 0 0,0 0 0,1 0 0,0 1 0,0-2 0,0 2 0,1 0 0,-1 0 0,1 1 0,1-2 0,-1 2 0,1 0 0,-1 0 0,1 0 0,0-1 0,8-2 0,12-9 0,32-25 0,-42 28 0,1 2 0,0-1 0,1 2 0,0-1 0,29-10 0,-28 13 0,-1 1 0,0-4 0,0 1 0,-1-2 0,0 2 0,18-21 0,-20 20 0,1-2 0,0 1 0,0 2 0,1 0 0,1-1 0,-1 4 0,22-11 0,-28 16 0,-2 0 0,0-1 0,0 1 0,0-1 0,0-1 0,0 2 0,-1-3 0,1 0 0,-1 1 0,7-8 0,45-39-1365,-43 35-5461</inkml:trace>
  <inkml:trace contextRef="#ctx0" brushRef="#br0" timeOffset="2741.4">309 1399 24575,'0'21'0,"-1"-2"0,0 2 0,-6 25 0,4-37 0,1 0 0,-1 0 0,-1-2 0,1 3 0,-1-2 0,-1 0 0,0-1 0,0 1 0,-9 10 0,2-1 0,1-1 0,1 1 0,0 2 0,-10 24 0,6-13 0,13-28 0,0 0 0,0 0 0,0 0 0,1 1 0,-1-1 0,0-1 0,1 1 0,-1 0 0,1 1 0,0-1 0,0 0 0,0 0 0,0 1 0,0 0 0,0-1 0,2 4 0,-2-4 0,1-1 0,0 0 0,0 0 0,0 0 0,0 0 0,0 0 0,0-1 0,0 1 0,0-1 0,0 1 0,0-1 0,1 1 0,-1 0 0,0-1 0,0 2 0,1-2 0,-1 0 0,0 1 0,1-1 0,-1 0 0,0 0 0,1 0 0,-1 0 0,0 0 0,1 0 0,-1 0 0,0-1 0,3-1 0,11-1 0,0 1 0,0-3 0,0 1 0,18-11 0,-19 8 0,0 2 0,1-1 0,0 2 0,22-5 0,-6 6 0,-20 3 0,-1-1 0,0 0 0,0-2 0,1 1 0,-1 0 0,-1-1 0,1 0 0,0-1 0,-1 0 0,15-10 0,-18 10-85,7-6-171,0 1 0,0 1 0,1-1 0,28-9 0,-20 11-6570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5T09:05:41.435"/>
    </inkml:context>
    <inkml:brush xml:id="br0">
      <inkml:brushProperty name="width" value="0.05" units="cm"/>
      <inkml:brushProperty name="height" value="0.05" units="cm"/>
    </inkml:brush>
  </inkml:definitions>
  <inkml:trace contextRef="#ctx0" brushRef="#br0">376 27 24575,'-11'53'0,"-2"1"0,-3-2 0,-35 81 0,-87 135 0,136-265 0,-27 49 0,-2-2 0,-49 62 0,80-112 0,0 0 0,-1 0 0,1 1 0,-1-1 0,1 0 0,0 1 0,-1-1 0,1 0 0,0 1 0,0-1 0,-1 1 0,1-1 0,0 1 0,0-1 0,0 0 0,-1 1 0,1-1 0,0 1 0,0-1 0,0 1 0,0-1 0,0 1 0,0-1 0,0 1 0,0-1 0,0 1 0,0-1 0,0 1 0,0-1 0,1 1 0,-1-1 0,0 0 0,0 0 0,16 4 0,32-9 0,-42 4 0,31-4 0,1 1 0,0 2 0,0 2 0,0 2 0,0 1 0,0 2 0,58 15 0,611 149 0,-698-167 0,-2 0 0,0-1 0,0 0 0,1 1 0,-1-1 0,12-1 0,-19 0 0,1 0 0,-1 0 0,1 0 0,-1 0 0,1 0 0,0 0 0,-1 0 0,1 0 0,-1-1 0,1 1 0,-1 0 0,0 0 0,1-1 0,-1 1 0,0 0 0,0-1 0,1 1 0,-1 0 0,0-1 0,1 1 0,-1 0 0,0 0 0,1 0 0,-1-1 0,0 1 0,0-1 0,1 1 0,-1-1 0,0 1 0,0-1 0,0 0 0,-3-18 0,-18-16 0,5 19 0,-2 0 0,1 1 0,-36-24 0,11 10 0,-163-110 0,189 127 0,2-2 0,0 1 0,1-1 0,1-1 0,0-1 0,-14-23 0,-50-110 0,50 95 0,-138-297-1365,158 334-5461</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5T09:05:41.436"/>
    </inkml:context>
    <inkml:brush xml:id="br0">
      <inkml:brushProperty name="width" value="0.1" units="cm"/>
      <inkml:brushProperty name="height" value="0.1" units="cm"/>
      <inkml:brushProperty name="color" value="#004F8B"/>
    </inkml:brush>
  </inkml:definitions>
  <inkml:trace contextRef="#ctx0" brushRef="#br0">227 1 24575,'0'1263'0,"-2"-1280"0,0 0 0,0 0 0,-2 1 0,-11-27 0,-1-12 0,15 49 0,0 1 0,-1-1 0,-1 0 0,1 0 0,-1 1 0,0 0 0,0-1 0,-1 0 0,2 1 0,-2 0 0,-1 1 0,1-2 0,-1 3 0,-7-9 0,4 7 0,-2-5 0,0 2 0,0 0 0,-19-11 0,22 16 0,1-1 0,0 0 0,1-1 0,-8-7 0,-6-5 0,11 14 0,10 13 0,12 18 0,-13-27 0,17 32 0,-11-19 0,0 0 0,2 0 0,0 0 0,20 22 0,-18-22 0,0-1 0,10 18 0,3 4 0,-14-22 0,-1 2 0,10 22 0,-6-16 0,-13-21 0,0 1 0,0-1 0,0 0 0,0 1 0,1-1 0,-1 0 0,0 1 0,0-1 0,0 0 0,0 0 0,1 1 0,-1-1 0,0 0 0,0 0 0,1 1 0,-1-1 0,0 0 0,0 0 0,1 0 0,-1 1 0,0-1 0,0 0 0,1 0 0,-1 0 0,0 0 0,1 0 0,-1 0 0,0 1 0,1-1 0,-1 0 0,0 0 0,0 0 0,0 0 0,1 0 0,7-8 0,1-19 0,-1 0 0,0 0 0,3-1 0,1 2 0,0 0 0,33-45 0,-43 65 0,0 1 0,1 1 0,-1-2 0,0 0 0,2-10 0,-3 13 0,0 0 0,0-1 0,0 0 0,0 1 0,0 0 0,1 0 0,-1-1 0,1 2 0,0-2 0,0 1 0,0 1 0,0-1 0,0 0 0,1 0 0,0 0 0,4-2 0,11-4 0,-17 9 0,-1 0 0,0 0 0,0 0 0,0 0 0,0 0 0,1 0 0,-1 0 0,0 0 0,0 0 0,0 0 0,1 0 0,-1 0 0,0 0 0,0 0 0,0 1 0,0-1 0,0 0 0,1 0 0,-1 0 0,0 0 0,0 0 0,0 1 0,0-1 0,0 0 0,0 0 0,0 0 0,0 0 0,1 1 0,-1-1 0,0 0 0,0 0 0,0 0 0,0 1 0,0-1 0,0 0 0,0 0 0,0 0 0,0 0 0,0 1 0,0-1 0,0 0 0,0 0 0,0 0 0,-1 1 0,1-1 0,0 0 0,0 0 0,-16 35 0,7-16 0,-5 14 0,2 3 0,1 1 0,-5 37 0,7-41-1365</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5T09:05:41.437"/>
    </inkml:context>
    <inkml:brush xml:id="br0">
      <inkml:brushProperty name="width" value="0.1" units="cm"/>
      <inkml:brushProperty name="height" value="0.1" units="cm"/>
      <inkml:brushProperty name="color" value="#004F8B"/>
    </inkml:brush>
  </inkml:definitions>
  <inkml:trace contextRef="#ctx0" brushRef="#br0">1 1332 24575,'5'-1'0,"0"0"0,0 0 0,0 0 0,0-1 0,0 0 0,0 0 0,5-4 0,14-4 0,273-103 0,192-134 0,-94 22 0,-359 209 0,0 1 0,59-17 0,11-4 0,221-82 0,-190 73 0,217-59 0,-294 88 0,82-33 0,-119 38 0,1-3 0,-1 0 0,-2 0 0,22-20 0,-18 17 0,-17 12 0,-1 0 0,0 0 0,0-1 0,0 1 0,-1-1 0,1-1 0,-1 0 0,0 0 0,7-12 0,-13 18 0,1-1 0,-1 1 0,0 0 0,1-1 0,-1 1 0,0 0 0,0 0 0,0 0 0,0 0 0,-1-1 0,1 1 0,0 0 0,0-1 0,-1 1 0,1 0 0,-1-1 0,1 1 0,-1 0 0,1 0 0,-1 0 0,0-1 0,0 1 0,0 0 0,1 0 0,0 0 0,-1 0 0,0 1 0,0-1 0,-1 0 0,1 0 0,0 0 0,0 1 0,0-1 0,0 1 0,-1-1 0,0 0 0,-7-1 0,0-2 0,0 1 0,-16-3 0,20 5 0,-125-21 0,0 4 0,-1 7 0,-151 5 0,330 20 0,191 14 0,-1 0 0,-23 22 0,-127-27 0,119 17 0,-184-35 0,-34 0 0,-38 3 0,44-7 0,-9 1 0,0 0 0,-1 1 0,2 1 0,-2 0 0,2 0 0,-1 2 0,2 0 0,-1 1 0,1 0 0,-1 0 0,1 1 0,1 1 0,-20 18 0,-41 47 0,-30 35 0,34-34-1365,52-58-5461</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5T09:05:41.438"/>
    </inkml:context>
    <inkml:brush xml:id="br0">
      <inkml:brushProperty name="width" value="0.05" units="cm"/>
      <inkml:brushProperty name="height" value="0.05" units="cm"/>
    </inkml:brush>
  </inkml:definitions>
  <inkml:trace contextRef="#ctx0" brushRef="#br0">1 1 24575,'28'15'0,"129"86"0,57 56 0,83 73-1324,80 59-3971,1867 1362 3532,-675-651 922,-901-663 2123,-4-6-9,-36 73-1273,-25 40 0,-558-409 0,705 474 0,-184-173 5600,-539-320-5053,43 37 1,-67-50-575,8 4 27,-2 0 0,1-1 0,11 5 0,24 11 0,119 103 0,11 6 0,42 27 0,-175-127 0,196 117 0,-161-110-1365,-59-28-5461</inkml:trace>
  <inkml:trace contextRef="#ctx0" brushRef="#br0" timeOffset="1">2930 2278 24575,'-56'304'0,"31"-183"0,-13 65-66,-139 600-561,176-781 631,0 0 27,0-2 0,-1 2 0,1-1 0,0 1 0,1 2 1,-1 3-1,1-10-25,0 0 0,0 0 0,0 0 0,0 3 1,1-3-1,-1 1 0,0-1 0,0 0 0,0 1 1,0-1-1,1 0 0,-1 1 0,0-1 0,0 0 0,1 1 1,-1-1-1,0 0 0,1 1 0,-1-1 0,0 0 0,1 0 1,-1 0-1,0 1 0,1-1 0,-1 0 0,1 0 0,-1 0 1,0 0-1,21-4 171,5-6-156,3-1 0,-1 3 0,0 1 0,-1 4 0,39-5 1,146 5-44,-146 4 32,61-1-10,398 16 0,-516-15 0,24 1 0,-33-2 0,0 0 0,0 0 0,1 0 0,-1 0 0,0 0 0,0 0 0,0 0 0,1 0 0,-1-1 0,0 1 0,0 0 0,0 0 0,0 0 0,1 0 0,-1 0 0,0 0 0,0 0 0,0 0 0,0-1 0,0 1 0,0 0 0,1 0 0,-1 0 0,0 0 0,0 0 0,0-1 0,0 1 0,0 0 0,0 0 0,0 0 0,0 0 0,0-1 0,0 1 0,0 0 0,0 0 0,0 0 0,0 0 0,0-1 0,0 1 0,0 0 0,0 0 0,0 0 0,0 0 0,0-1 0,-14-11 0,-7-6 0,1-2 0,-1 2 0,4-3 0,-33-44 0,-55-98 0,-26-100 0,55 105 0,-23-28 0,93 178 0,0-5 0,-1 3 0,-2 2 0,2-1 0,-1-1 0,-1 2 0,1 0 0,-2 0 0,-18-11 0,17 11 0,1-3 0,-1 0 0,0 1 0,3-1 0,-17-25 0,15 23 0,-96-149-1365,99 152-5461</inkml:trace>
  <inkml:trace contextRef="#ctx0" brushRef="#br0" timeOffset="2">5185 3112 24575,'135'39'0,"-7"-2"0,-25 0 0,117 64 0,-150-61 0,66 51 0,13 5 0,-95-68 0,100 36 0,-136-56 0,31 9 0,1-3 0,68 8 0,6 4 0,-109-22-341,-2 1 0,1-1-1,17 12 1,-14-7-6485</inkml:trace>
  <inkml:trace contextRef="#ctx0" brushRef="#br0" timeOffset="3">5164 3135 24575,'10'31'0,"-6"-14"0,1-3 0,1 2 0,-1-3 0,13 24 0,-10-18 0,-7-16 0,0 0 0,1 1 0,0 0 0,0-1 0,0 0 0,0 1 0,1-1 0,-1 1 0,1-2 0,0 1 0,6 4 0,-9-7 0,0 0 0,0 0 0,0 0 0,1 0 0,-1 0 0,0 0 0,0 0 0,1 0 0,-1 0 0,0 0 0,0 0 0,0 0 0,1 0 0,-1 0 0,0 0 0,0 0 0,0 0 0,1 0 0,-1-1 0,0 1 0,0 0 0,0 0 0,0 0 0,1 0 0,-1 0 0,0-1 0,0 1 0,0 0 0,0 0 0,0 0 0,0 0 0,0-1 0,1 1 0,-1 0 0,0 0 0,0 0 0,0-1 0,0 1 0,0 0 0,0 0 0,0-1 0,0 1 0,0-15 0,-5-15 0,-30-96 0,-64-153 0,40 124 0,48 130 0,-2-9 0,13 33 0,0 1 0,0-1 0,0 1 0,0 0 0,0-1 0,0 1 0,1-1 0,-1 1 0,0 0 0,0-3 0,0 3 0,1 0 0,-1 0 0,0 0 0,0 0 0,1-2 0,-1 2 0,0 0 0,0 0 0,1-1 0,-1 1 0,0 0 0,1 0 0,-1 0 0,0 0 0,1 0 0,-1 0 0,1 0 0,-1 0 0,0 0 0,1 0 0,-1 0 0,0 0 0,0 0 0,0 0 0,1 0 0,-1 0 0,0 0 0,1 0 0,-1 0 0,1 0 0,-1 0 0,0 0 0,1 0 0,20 6 0,150 49-16,10 4 108,-143-46-572,4-6-1,60 10 1,-76-16-6346</inkml:trace>
  <inkml:trace contextRef="#ctx0" brushRef="#br0" timeOffset="4">5573 3176 24575,'0'19'0,"3"1"0,1-1 0,0 0 0,1 1 0,1-2 0,1 1 0,8 16 0,-14-34 0,-1-1 0,0 1 0,0 0 0,0-1 0,0 1 0,1 0 0,-1-1 0,0 1 0,1-1 0,-1 1 0,0-1 0,1 1 0,-1 1 0,1-2 0,-1 1 0,1-1 0,-1 0 0,1 1 0,-1-1 0,1 1 0,0-1 0,-1 0 0,2 0 0,3-13 0,-5-26 0,-10-31 0,-3 0 0,-1 1 0,-38-100 0,42 146 0,7 15 0,0 3 0,1-2 0,0 1 0,0 0 0,1 0 0,-1 0 0,1-9 0,51 63 0,-37-35 0,0-4 0,0-1 0,1 1 0,0-1 0,1-1 0,-1 1 0,1-1 0,26 5 0,19 9 0,-4 0 0,-38-15 0,0 1 0,1-2 0,-2 4 0,28 17 0,-33-14-1365,-2-2-5461</inkml:trace>
  <inkml:trace contextRef="#ctx0" brushRef="#br0" timeOffset="5">6147 3072 24575,'0'20'0,"1"1"0,2 1 0,0-1 0,1-1 0,9 29 0,-13-48 0,0 0 0,0 0 0,0 0 0,1 0 0,-1 0 0,0 0 0,1 0 0,-1 0 0,1 0 0,-1 0 0,1 0 0,-1-1 0,1 1 0,0 0 0,-1 0 0,1-1 0,0 1 0,-1 0 0,1-1 0,0 1 0,0-1 0,-1 1 0,1-1 0,0 0 0,0 0 0,-1 0 0,1 3 0,0-3 0,0 0 0,0 0 0,0 0 0,-1 1 0,1-1 0,0 0 0,0-1 0,0 1 0,0 0 0,0 0 0,0 0 0,0 0 0,0-3 0,0 3 0,1 0 0,4-3 0,-1 0 0,0-1 0,-2 1 0,2-1 0,-1-1 0,8-5 0,6-11 0,0-4 0,-2 2 0,-1-1 0,15-34 0,42-110 0,-48 102 0,50-85 0,-74 150 0,0 0 0,1 0 0,-1 1 0,0-1 0,1 0 0,0 0 0,-1 0 0,1 1 0,-1-1 0,1 0 0,0 0 0,-1 1 0,0-1 0,1 0 0,0 1 0,0-1 0,0 1 0,-1-1 0,1 1 0,0 0 0,0 0 0,0 0 0,0-1 0,0 1 0,0 0 0,2 0 0,-2 0 0,0 1 0,0-1 0,0 0 0,0 1 0,0 0 0,0 0 0,0 0 0,0 0 0,0 0 0,-1 0 0,1 0 0,0 0 0,0 0 0,-1 0 0,1 0 0,-1 0 0,1 2 0,3 12 0,-1-3 0,5 26 0,-7-33 0,14 181 0,-14-142 0,2 3 0,2-3 0,1-1 0,15 55 0,-14-72 0,-6-20 0,0 1 0,1-1 0,0 0 0,0 0 0,0 0 0,1 0 0,-1-1 0,1 1 0,1-1 0,5 8 0,-8-13 0,-1 1 0,1-1 0,0 1 0,0-1 0,0 1 0,-1-1 0,1 0 0,0 1 0,0-1 0,0 0 0,0 0 0,0 0 0,0 0 0,-1 0 0,1 0 0,0 0 0,-1 0 0,1 0 0,0 0 0,0 0 0,0-1 0,-1 1 0,1 0 0,0-1 0,-1 1 0,1-1 0,0 1 0,0-1 0,0 1 0,-1-1 0,1 1 0,0-1 0,-1 0 0,1 1 0,0-3 0,21-25 0,-7-3-227,-1 1-1,-1-2 1,-3 0-1,1-1 1,6-40-1,-15 59-6598</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5T09:05:41.444"/>
    </inkml:context>
    <inkml:brush xml:id="br0">
      <inkml:brushProperty name="width" value="0.1" units="cm"/>
      <inkml:brushProperty name="height" value="0.1" units="cm"/>
      <inkml:brushProperty name="color" value="#004F8B"/>
    </inkml:brush>
  </inkml:definitions>
  <inkml:trace contextRef="#ctx0" brushRef="#br0">762 1 24575,'1'12'0,"0"0"0,1 1 0,1-2 0,0 1 0,5 14 0,9 36 0,14 85 0,-1-3 0,-27-118 0,0 0 0,-2 2 0,-2 39 0,-1-56-97,0-1-1,-1 0 1,0 1-1,0-1 1,-2 0-1,1 0 1,-1-1-1,0 0 1,0 1-1,-2-2 1,1 1-1,-1-1 0,-8 8 1</inkml:trace>
  <inkml:trace contextRef="#ctx0" brushRef="#br0" timeOffset="1">557 1089 24575,'-2'4'0,"1"0"0,-1 1 0,0-2 0,1 1 0,-2 0 0,1 0 0,0-1 0,0 1 0,-1 0 0,0-1 0,-3 3 0,-3 5 0,-17 21 0,-1 0 0,-1-2 0,-2-1 0,-60 44 0,83-68 0,1-1 0,-2 0 0,0 0 0,0-1 0,1 0 0,-1-1 0,0 0 0,-1 0 0,2-1 0,-2 1 0,0-2 0,2 1 0,-2-1 0,1 0 0,-1-1 0,1 0 0,0-1 0,-1 1 0,2-2 0,-1 2 0,0-2 0,0 0 0,1-1 0,-1 0 0,1 0 0,-1-1 0,2 1 0,-1-1 0,1 0 0,-1-1 0,1 0 0,1 0 0,0 0 0,-1-1 0,1 0 0,1 0 0,0 1 0,0-2 0,1 0 0,-1 0 0,-2-10 0,-2-8 0,3-1 0,0 1 0,1 0 0,-1-30 0,6-108 0,2 62 0,-3 87 0,1-1 0,0 2 0,2-1 0,0 0 0,0 0 0,0 1 0,2-1 0,1 2 0,0-2 0,1 2 0,14-23 0,25-43 0,40-61 0,-76 128 0,0 1 0,0 1 0,15-13 0,14-12 0,-30 25-120,-5 5 24,-1 1 1,0 0-1,1 1 0,0-1 0,0 0 0,0 1 1,1 0-1,-1 0 0,0 0 0,1 0 1,0 1-1,9-2 0,4 0-6730</inkml:trace>
  <inkml:trace contextRef="#ctx0" brushRef="#br0" timeOffset="2">148 248 24575,'0'-3'0,"1"1"0,0 0 0,-1-1 0,1 1 0,0 0 0,1 0 0,-1 0 0,0 0 0,1 0 0,-1 0 0,1 0 0,-2 1 0,2-1 0,0 1 0,0-1 0,3-1 0,33-21 0,-6 9 0,1 1 0,0 2 0,53-11 0,-68 17 0,34-14 0,-38 13 0,-1 2 0,1-1 0,27-4 0,-41 10 0,1 0 0,-1 0 0,0 0 0,1 0 0,-1 0 0,0 0 0,1 1 0,-1-1 0,0 0 0,1 0 0,-1 0 0,0 1 0,0-1 0,1 0 0,-1 0 0,0 1 0,0-1 0,1 0 0,-1 0 0,0 0 0,0 0 0,0 1 0,0-1 0,1 0 0,-1 1 0,0-1 0,0 0 0,0 1 0,0-1 0,0 0 0,0 1 0,0-1 0,0 1 0,0-1 0,0 0 0,0 1 0,0-1 0,0 0 0,0 1 0,0-1 0,-1 1 0,-2 18 0,2-18 0,-5 23 0,-2-1 0,-13 29 0,11-31 0,1 1 0,1-1 0,-4 24 0,-5 33-1365,14-60-5461</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5T09:05:41.447"/>
    </inkml:context>
    <inkml:brush xml:id="br0">
      <inkml:brushProperty name="width" value="0.1" units="cm"/>
      <inkml:brushProperty name="height" value="0.1" units="cm"/>
      <inkml:brushProperty name="color" value="#004F8B"/>
    </inkml:brush>
  </inkml:definitions>
  <inkml:trace contextRef="#ctx0" brushRef="#br0">280 1 24575,'-5'92'0,"-16"93"0,6-60 0,9-73 0,-11 184 0,16-137 0,4 144 0,7-143 0,1 39 0,-11 313 0,-1-448 0,1 0 0,0 1 0,-1-1 0,1 0 0,-1 0 0,-3 6 0,4-9 0,0-1 0,0 0 0,0 0 0,0 1 0,0-1 0,-1 0 0,1 0 0,0 1 0,0-1 0,0 0 0,0 0 0,0 1 0,-1-1 0,1 0 0,0 0 0,0 0 0,-1 0 0,1 1 0,0-1 0,0 0 0,0 0 0,-1 0 0,1 0 0,0 0 0,0 0 0,-1 0 0,1 0 0,0 1 0,-1-1 0,1 0 0,0 0 0,0 0 0,-1 0 0,1 0 0,0-1 0,-1 1 0,-9-16 0,5 0 0,1 1 0,0-1 0,-1-16 0,-7-32 0,-11-25 0,12 43 0,-21-55 0,26 87 0,0-1 0,0 2 0,-2-2 0,-1 3 0,0-2 0,0 2 0,-18-20 0,-7 2 0,34 30 0,0 0 0,0 0 0,-1 0 0,1 0 0,0 0 0,0 1 0,0-1 0,-1 0 0,1 0 0,0 1 0,0-1 0,0 0 0,-1 0 0,1 0 0,0 1 0,0-1 0,0 0 0,0 1 0,0-1 0,0 0 0,0 0 0,0 1 0,0-1 0,0 0 0,0 1 0,0-1 0,0 0 0,0 0 0,0 1 0,0-1 0,0 0 0,0 1 0,0-1 0,0 0 0,0 0 0,0 1 0,1-1 0,0 18 0,0-16 0,5 30 0,1-1 0,3 0 0,1 0 0,0-1 0,26 46 0,14 35 0,-27-61 0,-19-40 0,1 0 0,-1-1 0,-1 2 0,1 0 0,-2-1 0,4 23 0,0-5 0,-7-28 0,0 0 0,0 0 0,0 1 0,0-1 0,1 0 0,-1 0 0,0 1 0,0-1 0,0 0 0,1 0 0,-1 0 0,0 0 0,0 1 0,1-1 0,-1 0 0,0 0 0,0 0 0,1 0 0,-1 0 0,0 0 0,0 0 0,1 0 0,-1 1 0,0-1 0,0 0 0,1 0 0,-1 0 0,0 0 0,1 0 0,-1-1 0,0 1 0,1 0 0,10-11 0,85-167 0,-18 30 0,-30 51 0,-19 36 0,-19 47-1365</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5T09:05:41.448"/>
    </inkml:context>
    <inkml:brush xml:id="br0">
      <inkml:brushProperty name="width" value="0.1" units="cm"/>
      <inkml:brushProperty name="height" value="0.1" units="cm"/>
      <inkml:brushProperty name="color" value="#004F8B"/>
    </inkml:brush>
  </inkml:definitions>
  <inkml:trace contextRef="#ctx0" brushRef="#br0">1 1 24575,'9'1'0,"-1"1"0,1 1 0,0 0 0,0 0 0,-2 0 0,2 0 0,-1 2 0,-1-1 0,1 2 0,12 8 0,10 6 0,-19-13 0,1 2 0,-2-1 0,1 2 0,-1-2 0,-1 3 0,13 13 0,-13-13 0,1-3 0,1 2 0,-1-2 0,2 1 0,21 10 0,-16-9 0,-1 0 0,18 16 0,198 160 0,-185-150 0,151 135 0,-174-155 0,2 1 0,0-3 0,33 13 0,33 20 0,-67-34 0,2-1 0,-1-1 0,1-2 0,30 8 0,17 5 0,-48-12 0,32 7 0,-37-10 0,-1 0 0,0 1 0,0 2 0,-1 0 0,0 0 0,29 23 0,-6-5 0,-19-8 0,-6-3 0,-15-18 0,-10-11 0,-6-4 0,-1 0 0,0 1 0,-1 0 0,-23-16 0,-23-20 0,30 24 0,22 19 0,0 0 0,1-1 0,-13-14 0,-8-13 0,-38-34 0,50 53 0,16 16 0,2-1 0,-2 1 0,1-1 0,0 1 0,0-1 0,0 1 0,0-1 0,0 0 0,0 1 0,0 0 0,0-1 0,1 0 0,-1 0 0,0-2 0,1 4 0,0 0 0,0-1 0,0 1 0,0 0 0,0 0 0,1-1 0,-1 1 0,0 0 0,0 0 0,0 0 0,0-1 0,0 1 0,0 0 0,0 0 0,0 0 0,1 0 0,-1-1 0,0 1 0,0 0 0,0 0 0,0 0 0,1 0 0,-1 0 0,0-1 0,0 1 0,0 0 0,0 0 0,1 0 0,-1 0 0,0 0 0,0 0 0,1 0 0,-1 0 0,0 0 0,0 0 0,0 0 0,1 0 0,15 6 0,1 5 0,-3 2 0,2 0 0,-3 0 0,1 1 0,-2 0 0,18 25 0,28 31 0,-26-36 0,-19-19 0,-1-2 0,2 0 0,-1-1 0,25 17 0,-36-28 0,-1-1 0,1 1 0,-1 0 0,1 0 0,-1 0 0,0 0 0,1 0 0,-1 0 0,0 0 0,1 0 0,-1 1 0,0-1 0,-1 0 0,1 1 0,0-1 0,-1 1 0,1-1 0,0 1 0,-1-1 0,1 1 0,0 0 0,-1-1 0,1 2 0,-2-1 0,0-1 0,0 0 0,0 0 0,0 1 0,0-1 0,0 0 0,1 0 0,-1 0 0,0 0 0,0 0 0,-1 0 0,1 0 0,0-1 0,-1 1 0,1 0 0,-1-1 0,1 1 0,-1-1 0,1 1 0,-1-1 0,1 0 0,-1 0 0,1 0 0,-1 0 0,-2 0 0,-35 2 0,-1-1 0,0-3 0,0-1 0,-65-15 0,57 10 0,0 1 0,-71 0 0,114 7-1365</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5T09:05:41.449"/>
    </inkml:context>
    <inkml:brush xml:id="br0">
      <inkml:brushProperty name="width" value="0.1" units="cm"/>
      <inkml:brushProperty name="height" value="0.1" units="cm"/>
      <inkml:brushProperty name="color" value="#004F8B"/>
    </inkml:brush>
  </inkml:definitions>
  <inkml:trace contextRef="#ctx0" brushRef="#br0">382 1228 24575,'156'-89'0,"219"-135"0,-22 10 0,126-5 0,1-2 0,-423 188 0,0-3 0,55-49 0,17-12 0,-112 88-1365</inkml:trace>
  <inkml:trace contextRef="#ctx0" brushRef="#br0" timeOffset="1">13906 2186 24575,'3'-3'0,"0"-1"0,0-1 0,0 0 0,0 1 0,-1-1 0,2-6 0,9-15 0,29-38 0,3 4 0,90-95 0,88-51 0,-191 182 0,54-31 0,9-6 0,-79 45 0,-15 11 0,-12 8 0,-1 4 0,0 0 0,0 1 0,1 1 0,0-1 0,1 1 0,-1 0 0,-17 20 0,-4 6 0,-8 8 0,-68 92 0,-20 56 0,71-101 0,-103 128 0,128-188 0,26-27 0,21-21 0,-8 11 0,2-1 0,0 1 0,0-1 0,0 2 0,0 0 0,1 1 0,1 0 0,0-1 0,-1 2 0,0 0 0,1 2 0,-1-2 0,19 0 0,18-3 0,89 3 0,-118 4 0,462 2-1365,-459-2-5461</inkml:trace>
  <inkml:trace contextRef="#ctx0" brushRef="#br0" timeOffset="2">13578 3360 24575,'45'0'0,"44"1"0,1-3 0,151-26 0,-50-7 0,-58 6 0,-79 16 0,3-5 0,81-35 0,-90 33 0,-33 15 0,-2-3 0,2 1 0,-3-1 0,2 0 0,-2-2 0,1 0 0,-1 1 0,-1-3 0,0 2 0,-1-1 0,0-3 0,0 3 0,-1-3 0,-2 2 0,1-2 0,-1-1 0,-1 1 0,-1-1 0,9-26 0,11-78 0,8-31 0,-33 148 0,4-9 0,-2 1 0,1-1 0,-1 0 0,0-19 0,-2 28 0,0 0 0,0 0 0,0 0 0,0 0 0,0 1 0,-1-1 0,1 0 0,-1 0 0,0-1 0,1 1 0,-1 0 0,0 0 0,0 1 0,0-2 0,0 1 0,-1 1 0,1-1 0,0 0 0,-1 1 0,1-1 0,-1 1 0,1 1 0,-1-1 0,0-1 0,0 1 0,1 0 0,-1 0 0,0 0 0,1 1 0,-1 0 0,0-2 0,-3 1 0,-55-8 0,0 1 0,0 4 0,-1 3 0,-62 5 0,100-1 0,-2 1 0,2 1 0,-1 2 0,-32 12 0,37-10 0,2 2 0,-1-1 0,-26 22 0,27-19 0,1-1 0,2 0 0,1 2 0,-1 0 0,2 0 0,-1 2 0,2 0 0,0 0 0,-14 27 0,-1-1 0,19-30 0,-1-2 0,2 3 0,-9 20 0,-2 3 0,17-34 0,-1-1 0,0 1 0,0-2 0,0 2 0,1-1 0,-1 1 0,0-1 0,0-1 0,-1 2 0,1-1 0,0 0 0,-1 1 0,1-1 0,-1 0 0,1 0 0,-1 0 0,1 0 0,-3 0 0,3-1 0,0 0 0,-1-1 0,1 1 0,1-1 0,-1 1 0,0-1 0,0 1 0,1-1 0,-1 0 0,0 1 0,0-1 0,1-1 0,-1 1 0,0 0 0,1-1 0,-1 2 0,0 0 0,1 0 0,-1-1 0,1 0 0,0 0 0,-1 0 0,1-1 0,0 2 0,-1-1 0,1 0 0,0 0 0,0 0 0,0 0 0,0 0 0,0 0 0,0 0 0,1-2 0,2-40 0,5 15 0,13-34 0,-1 2 0,19-25 0,-39 85 0,0 0 0,0 0 0,1-1 0,-1 1 0,0 0 0,0 0 0,0 0 0,0-1 0,0 1 0,0 0 0,0-1 0,1 1 0,-1 0 0,0-1 0,0 1 0,0-1 0,0 1 0,-1 0 0,1-1 0,0 1 0,0 0 0,0-1 0,0 1 0,0 0 0,0-1 0,-1 1 0,1 0 0,0-1 0,0 1 0,0 0 0,-1-1 0,1 1 0,0-1 0,-13 5 0,-12 16 0,10-3 0,1 0 0,2 1 0,0 1 0,0 0 0,0-1 0,2 1 0,2 3 0,0-1 0,1-1 0,0 1 0,1 1 0,1-1 0,2 1 0,-2 40 0,5-60 0,-1 1 0,1-1 0,0 0 0,1 2 0,-1-2 0,0 0 0,1 1 0,-1-1 0,1 0 0,-1 0 0,1 1 0,0-2 0,0 1 0,1 3 0,-1-4 0,-1-1 0,1 0 0,-1 1 0,1-1 0,-1 0 0,1 0 0,0 1 0,-1-1 0,1 0 0,-1 0 0,1 0 0,-1 0 0,1 0 0,0 0 0,-1 0 0,1 0 0,-1 0 0,1 0 0,0 0 0,-1 0 0,2-1 0,18-10 0,13-15 0,0 3 0,44-23 0,-61 41-143,-2 0-1,1 1 1,-1 1 0,1 0-1,0 1 1,0 1 0,0 0-1,30 3 1,-44-1 68,17-1-6751</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5T09:05:41.452"/>
    </inkml:context>
    <inkml:brush xml:id="br0">
      <inkml:brushProperty name="width" value="0.05" units="cm"/>
      <inkml:brushProperty name="height" value="0.05" units="cm"/>
      <inkml:brushProperty name="color" value="#E71224"/>
    </inkml:brush>
  </inkml:definitions>
  <inkml:trace contextRef="#ctx0" brushRef="#br0">10018 5196 24575,'-110'130'0,"42"-47"0,48-61 0,-297 313 0,76-145 0,218-174-13,-4-3-1,-38 19 1,23-13-1312,29-13-5501</inkml:trace>
  <inkml:trace contextRef="#ctx0" brushRef="#br0" timeOffset="1">9485 5717 24575,'14'3'0,"25"18"0,25 25 0,13 16 0,13 5 0,-6 4 0,-8-4 0,-12-5 0,-11-15 0,-12-10 0,-12-14 0,-11-4 0,-3-8 0,-7 0 0</inkml:trace>
  <inkml:trace contextRef="#ctx0" brushRef="#br0" timeOffset="2">9834 6716 24575,'384'-281'0,"-242"174"0,191-177 0,-278 242 0,-43 34 0,0-2 0,-1 1 0,1 1 0,-3-2 0,15-15 0,-7 2-1365,-11 12-5461</inkml:trace>
  <inkml:trace contextRef="#ctx0" brushRef="#br0" timeOffset="3">3052 3426 24575,'7'0'0,"10"-9"0,29-6 0,13-10 0,9-10 0,5-10 0,6 0 0,5-6 0,4-2 0,-5-1 0,-8 1 0,-2 4 0,-16 5 0,-12 13 0,-11 4 0,-8 10 0,-7 2 0,-9 6-8191</inkml:trace>
  <inkml:trace contextRef="#ctx0" brushRef="#br0" timeOffset="4">3566 3092 24575,'36'41'0,"81"76"0,895 750-3594,-722-659 3555,-25-12 775,-156-108 63,106 119 0,-213-205-762,99 107 741,-24-30-536,103 88 0,23-15-242,101 86 0,-249-181 0,1 2 0,83 122 0,16 22 0,-118-163 0,2 1 0,48 38 0,381 367 0,-452-429 0,103 96 0,-97-95 0,-1-2 0,1-3 0,49 25 0,-50-28 0,0 3 0,0 0 0,21 18 0,27 18 0,-58-40 0,0-1 0,0 1 0,-1-1 0,16 21 0,16 14 0,-11-18 0,1-3 0,70 35 0,-16-8 0,-31-17 0,-30-22 0,-3 4 0,36 26 0,156 153 0,-190-175-1365,-12-13-5461</inkml:trace>
  <inkml:trace contextRef="#ctx0" brushRef="#br0" timeOffset="5">8564 7904 24575,'59'-82'0,"-2"19"0,1 2 0,4 4 0,3 1 0,0 4 0,126-73 0,-104 72 0,73-39 0,-113 64 92,-37 21-456,0-1 0,1 2-1,16-5 1,-14 6-6462</inkml:trace>
  <inkml:trace contextRef="#ctx0" brushRef="#br0" timeOffset="6">3545 3031 24575,'-48'-37'0,"4"-3"0,-80-85 0,38 36 0,-854-777-885,710 687 930,186 139 109,2-2-1,2 0 1,-63-91 0,-10-5 71,98 120-225,-16-21 0,-2 3 0,-2 2 0,-38-31 0,-188-133 0,14 6 0,222 170 0,2-2 0,0 1 0,-19-30 0,-5-3 0,37 42 0,1 1 0,-11-19 0,12 20 0,-1-3 0,-12-14 0,15 24 0,-1 1 0,0 0 0,0 0 0,0-1 0,0 1 0,0 0 0,0 1 0,-1 0 0,0 1 0,1 1 0,-17-3 0,12 1 0,-2 0 0,-23-10 0,-3-6-1365,30 10-5461</inkml:trace>
  <inkml:trace contextRef="#ctx0" brushRef="#br0" timeOffset="7">576 323 24575,'-4'0'0,"-8"0"0,-10 4 0,-3 3 0,-8 6 0,-7 3 0,-2 0 0,-7 4 0,-1 4 0,2 3 0,3 1 0,3-6 0,6-6 0,4-5 0,2-5 0,4-2 0,6 0 0,7-1-8191</inkml:trace>
  <inkml:trace contextRef="#ctx0" brushRef="#br0" timeOffset="8">1 552 24575,'10'-2'0,"0"1"0,1-2 0,0 0 0,-2 1 0,3-1 0,-2-3 0,-1 2 0,16-11 0,5 0 0,49-24 0,-32 15 0,2 3 0,77-28 0,-64 37 0,-44 8 0,0 0 0,0-1 0,0-1 0,-1 1 0,-1-1 0,2-2 0,-4 0 0,24-14 0,-3-6 0,1 3 0,1-2 0,42-15 0,-71 37 9,1-2-1,-2 1 1,2 0-1,-2-1 0,1 1 1,-1-2-1,0-1 1,-2 2-1,1-2 1,8-12-1,27-36-1466,-27 43-5368</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5T09:05:41.461"/>
    </inkml:context>
    <inkml:brush xml:id="br0">
      <inkml:brushProperty name="width" value="0.05" units="cm"/>
      <inkml:brushProperty name="height" value="0.05" units="cm"/>
      <inkml:brushProperty name="color" value="#E71224"/>
    </inkml:brush>
  </inkml:definitions>
  <inkml:trace contextRef="#ctx0" brushRef="#br0">43 1 24575,'-5'15'0,"1"5"0,1-5 0,-2 35 0,1-7 0,-2 3 0,-1 10 0,2-1 0,2 62 0,3-115 0,0 0 0,0 1 0,0-1 0,1 0 0,-1 0 0,0-1 0,1 1 0,0 0 0,-1-1 0,1 1 0,0-1 0,0 1 0,0-1 0,0 1 0,0 0 0,1-1 0,-1 1 0,0-1 0,1 0 0,-2 1 0,2-1 0,-1 0 0,1 0 0,0 1 0,-1-2 0,1 1 0,0 0 0,0-1 0,0 1 0,0 0 0,0-1 0,-1 0 0,1 1 0,0-1 0,3 0 0,7 0 0,1-1 0,0 0 0,0-1 0,18-5 0,4 0 0,137 1 0,-55 4 0,-49-9-1365,-50 6-5461</inkml:trace>
  <inkml:trace contextRef="#ctx0" brushRef="#br0" timeOffset="1">4860 3441 24575,'-23'174'0,"13"-78"0,-42 433 0,48-503 0,3-22 0,0 0 0,0 0 0,0-1 0,1 1 0,-1 2 0,1-2 0,0-1 0,0 0 0,1 2 0,-1 0 0,1-2 0,2 6 0,-3-9 0,1 1 0,-1-1 0,1 0 0,0 1 0,-1-1 0,1 0 0,0 0 0,-1 1 0,1-1 0,0 0 0,-1 0 0,1 0 0,0 0 0,-1 0 0,1 0 0,0 0 0,-1 0 0,1 0 0,0 0 0,-1 0 0,1 0 0,0-1 0,-1 1 0,1 0 0,0 0 0,-1-1 0,2 0 0,21-10 0,-18 9 0,14-10 0,0 1 0,3 2 0,-2 0 0,2 1 0,-1 0 0,3 1 0,-2 2 0,0 2 0,0 0 0,39-1 0,34 7-1365,-77-3-5461</inkml:trace>
  <inkml:trace contextRef="#ctx0" brushRef="#br0" timeOffset="2">5454 4235 24575,'-59'-17'0,"35"14"0,1 2 0,0 1 0,-28 1 0,44-1 0,0 1 0,-1 0 0,0 1 0,0-1 0,1 2 0,0-1 0,-1 1 0,1 0 0,1 0 0,-1 1 0,0-1 0,2 2 0,-11 8 0,15-11 0,-1 0 0,0 0 0,1 1 0,-1-2 0,1 1 0,0 0 0,0 0 0,0 0 0,0 0 0,0-1 0,0 2 0,0-1 0,1 1 0,-1 0 0,1-1 0,0 0 0,0 0 0,0 1 0,0 3 0,1-2 0,0-2 0,0 2 0,0 0 0,1-1 0,-1 0 0,1 0 0,0 2 0,0-2 0,0 1 0,1-1 0,3 3 0,3 2 0,-1 1 0,3-1 0,-2-1 0,2 0 0,0 1 0,18 4 0,133 59 0,-160-71 0,0 1 0,0 0 0,0 0 0,0 0 0,-1 1 0,1-1 0,0 0 0,-1 1 0,0-2 0,0 2 0,1-1 0,-1 1 0,0 0 0,1-1 0,-1 1 0,0 0 0,0 0 0,0 1 0,-1-2 0,1 1 0,0-1 0,-1 1 0,1 0 0,-1 0 0,0 0 0,0 1 0,0-1 0,0 0 0,0 0 0,0-1 0,0 3 0,-1-1 0,0 0 0,0 1 0,-1-1 0,1 0 0,-1 2 0,0-2 0,0 1 0,0-1 0,1 1 0,-2-1 0,1-1 0,-1 0 0,0 1 0,0 0 0,0 0 0,0 1 0,0-2 0,-6 5 0,0-3 14,0-2 1,-1 0-1,1 0 0,-1 1 0,0-2 1,-14 2-1,-60-4-959,72 1 425,-10-1-6306</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5T09:05:41.464"/>
    </inkml:context>
    <inkml:brush xml:id="br0">
      <inkml:brushProperty name="width" value="0.05" units="cm"/>
      <inkml:brushProperty name="height" value="0.05" units="cm"/>
      <inkml:brushProperty name="color" value="#E71224"/>
    </inkml:brush>
  </inkml:definitions>
  <inkml:trace contextRef="#ctx0" brushRef="#br0">1 99 24575,'19'-20'0,"-14"15"0,0 0 0,1-1 0,0 1 0,0 0 0,0 0 0,8-2 0,-2 0 0,1 2 0,-1-1 0,2 2 0,0 0 0,-1 1 0,1-1 0,22 0 0,8 1 0,50 4 0,-48 0 0,-40-1 0,0 0 0,0 1 0,-2-1 0,2 1 0,0 0 0,-1 1 0,1-2 0,-2 2 0,2 1 0,-1-1 0,0 0 0,0 0 0,0 0 0,-1 2 0,0-1 0,1 1 0,-1-1 0,0 1 0,5 5 0,-5-3 0,0 1 0,0-1 0,0 0 0,-1 1 0,0 0 0,0 1 0,-1-2 0,0 2 0,-1-1 0,0 1 0,0-2 0,0 16 0,-1-2 0,1-9 0,-1 1 0,0 0 0,-1 1 0,0-1 0,-1-1 0,-3 12 0,1-17 0,1-2 0,-1 0 0,-1 1 0,1-3 0,0 3 0,0-1 0,-1 0 0,0-2 0,-1 1 0,1 1 0,0-1 0,-6 0 0,-12 9 0,7-3 0,0-3 0,0 1 0,-1-1 0,-1 0 0,2-1 0,-36 3 0,14-2 0,-49-1 0,602-5 0,-509 0-227,1 0-1,-1 0 1,1 1-1,-1 1 1,13 2-1,2 3-6598</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5T09:05:41.465"/>
    </inkml:context>
    <inkml:brush xml:id="br0">
      <inkml:brushProperty name="width" value="0.05" units="cm"/>
      <inkml:brushProperty name="height" value="0.05" units="cm"/>
      <inkml:brushProperty name="color" value="#E71224"/>
    </inkml:brush>
  </inkml:definitions>
  <inkml:trace contextRef="#ctx0" brushRef="#br0">1 1 24575,'-1'446'0,"1"-443"0,0 1 0,0-2 0,0 2 0,1-1 0,-1 1 0,1-1 0,-1 1 0,1-1 0,1 1 0,-1-1 0,0-1 0,1 2 0,-1-1 0,4 5 0,-3-6 0,0 0 0,1-1 0,-1 1 0,1 0 0,0-1 0,0 1 0,0-1 0,0 0 0,0-1 0,-1 1 0,1 0 0,0-1 0,0 1 0,0-1 0,0 0 0,6 0 0,145-3-1365,-133 3-5461</inkml:trace>
  <inkml:trace contextRef="#ctx0" brushRef="#br0" timeOffset="1">370 350 24575,'3'0'0,"1"0"0,-1 1 0,1 0 0,-1 0 0,1 0 0,-1 0 0,0 1 0,0-1 0,0 1 0,1 0 0,-1 0 0,0 0 0,0 0 0,-1-1 0,1 2 0,0-1 0,-1 1 0,0 0 0,0 0 0,0 0 0,0 0 0,0 0 0,-1 0 0,1 0 0,-1 0 0,1 0 0,0 7 0,2 1 0,-2-1 0,0 0 0,0 1 0,-1-1 0,-1 1 0,1-1 0,-2 1 0,1 11 0,-1-18 0,0 0 0,0 1 0,-1-1 0,1 0 0,-1-1 0,0 1 0,0 0 0,0-1 0,0 1 0,-1-1 0,1 1 0,-1-1 0,-5 4 0,-3 3 0,0-1 0,-22 12 0,-9 8 0,41-29 0,0 0 0,1 1 0,-1-1 0,1 0 0,-1 1 0,1-1 0,-1 1 0,1-1 0,-1 1 0,1-1 0,-1 1 0,1-1 0,-1 1 0,1 0 0,0-1 0,-1 1 0,1-1 0,0 1 0,0 0 0,-1-1 0,1 1 0,0 0 0,0-1 0,0 1 0,0 0 0,0 0 0,0-1 0,0 1 0,0 0 0,0-1 0,0 1 0,0-1 0,1 1 0,0 0 0,0 0 0,1 1 0,-1-1 0,0-1 0,1 1 0,-1 0 0,1 0 0,-1 0 0,1-1 0,-1 1 0,1-1 0,-1 1 0,2-1 0,55 6 0,-58-6 0,67 4 0,0 3 0,90 21 0,-154-28 0,0 1 0,0 0 0,0 0 0,1 0 0,-1 1 0,0 0 0,0-1 0,0 1 0,2 3 0,-4-4 0,-1-1 0,0 0 0,1 1 0,-1-1 0,0 0 0,0 1 0,1-1 0,-1 0 0,0 1 0,0-1 0,1 0 0,-1 1 0,0-1 0,0 1 0,0-1 0,0 0 0,0 1 0,0-1 0,0 1 0,0-1 0,0 1 0,0-1 0,0 0 0,0 1 0,0-1 0,0 1 0,0-1 0,0 1 0,0 0 0,-1-1 0,0 1 0,0 0 0,0-1 0,0 1 0,0 0 0,0-1 0,0 1 0,0 0 0,0-1 0,-1 1 0,1-1 0,0 0 0,0 1 0,-1-1 0,-1 0 0,-18 3 22,-1-1 0,0-1-1,-42-3 1,48 0-204,-1 1 1,-1 0-1,1 2 1,-1 0-1,1 1 1,0 1-1,-21 6 1,17-1-6645</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5T09:05:41.467"/>
    </inkml:context>
    <inkml:brush xml:id="br0">
      <inkml:brushProperty name="width" value="0.05" units="cm"/>
      <inkml:brushProperty name="height" value="0.05" units="cm"/>
    </inkml:brush>
  </inkml:definitions>
  <inkml:trace contextRef="#ctx0" brushRef="#br0">2069 622 24575,'1'113'0,"-3"127"0,-7-155 0,-2 36 0,12 789-1365,-1-888-5461</inkml:trace>
  <inkml:trace contextRef="#ctx0" brushRef="#br0" timeOffset="1">1988 583 24575,'-2'0'0,"1"0"0,0 0 0,-1 1 0,1-1 0,0 1 0,0-1 0,0 1 0,-1-1 0,1 1 0,0 0 0,0-1 0,1 1 0,-1 0 0,0 0 0,0-1 0,0 1 0,1 0 0,-1 0 0,0 0 0,0 0 0,1 0 0,-1 0 0,0 2 0,-13 35 0,8-18 0,-5 0 0,-21 34 0,20-37 0,1 2 0,-14 31 0,3 7 0,-35 81 0,53-128 0,1-7 0,4-5 0,8-28 0,-5 6 0,1 3 0,1 0 0,0 0 0,13-24 0,2-11 0,-15 42 0,1 0 0,-1 0 0,15-17 0,-15 20 0,2-2 0,-2 3 0,1-3 0,8-23 0,-7 2 0,-5 22 0,-1 1 0,2 0 0,0 0 0,-1 1 0,2-2 0,11-15 0,7-10 0,30-58 0,-52 93 0,1-1 0,0-1 0,0 1 0,0 1 0,0-3 0,0 2 0,1 1 0,-1-1 0,1 0 0,3-1 0,-5 3 0,-1 1 0,1-1 0,0 1 0,0 0 0,-1-1 0,1 1 0,0 0 0,0 0 0,0 0 0,-1 0 0,1 0 0,0-1 0,0 1 0,0 1 0,0-1 0,-1 0 0,1 0 0,0 0 0,0 0 0,0 1 0,1 0 0,-1-1 0,0 1 0,1 0 0,-1 0 0,-1 0 0,1 0 0,0 1 0,0-1 0,0-1 0,0 2 0,0-1 0,0 0 0,0 1 0,0 1 0,26 62 0,27 98 0,-43-125 0,21 110 0,-26-115 0,-6-28-151,1-1-1,1 0 0,-1 0 0,1 1 1,-1-1-1,1 0 0,-1 0 1,7 9-1,6 1-6674</inkml:trace>
  <inkml:trace contextRef="#ctx0" brushRef="#br0" timeOffset="2">1926 1868 24575,'-1'0'0,"1"-1"0,-1 1 0,1 0 0,0 0 0,-1 0 0,1 0 0,-1 0 0,1 0 0,-1 0 0,1 0 0,0 0 0,-1 0 0,1 0 0,-1 0 0,1 0 0,0 0 0,-1 1 0,1-1 0,-1 0 0,1 0 0,0 0 0,-1 1 0,1-1 0,0 0 0,-1 0 0,1 1 0,0-1 0,0 0 0,-1 2 0,1-2 0,0 0 0,0 1 0,0-1 0,0 0 0,0 3 0,8 8 0,23 11 0,-11-13 0,2 3 0,-2 2 0,-1-2 0,1 2 0,-2 0 0,0 1 0,19 25 0,-24-27 0,0-2 0,1 1 0,0 1 0,18 8 0,-14-10 0,-2 1 0,29 27 0,-30-25 0,1-1 0,0-1 0,1 1 0,0-1 0,28 12 0,-22-12 0,2 4 0,0 1 0,-1 1 0,25 25 0,-29-25 0,2 1 0,0-3 0,48 30 0,-27-20 0,-1 0 0,48 41 0,-61-44 0,-3-2 0,-19-15 0,-1-1 0,1 1 0,-1-1 0,2 0 0,-1 0 0,1-1 0,-1-1 0,16 5 0,127 40 0,-43 8 0,-93-50 0,-1 2 0,18 10 0,-19-10 0,-1 0 0,2 0 0,20 5 0,-15-7-115,2 2-301,0-2-1,20 12 0,-16-4-6409</inkml:trace>
  <inkml:trace contextRef="#ctx0" brushRef="#br0" timeOffset="3">3400 2659 24575,'7'1'0,"0"0"0,0 0 0,0 1 0,10 3 0,0 0 0,-5 0 0,0 0 0,-1 2 0,0 0 0,-1-1 0,1 2 0,-1-1 0,-1 1 0,1 0 0,-1 1 0,13 17 0,-9-12 0,0 0 0,1-1 0,27 20 0,-17-17 0,0 0 0,-2 0 0,0 3 0,-1 1 0,30 33 0,-50-52 0,0 1 0,0-1 0,0 0 0,0 0 0,-1 0 0,1 0 0,0 1 0,-1-1 0,1 0 0,-1 0 0,0 0 0,0 1 0,0-1 0,1 0 0,-1 1 0,0-1 0,0 0 0,0 1 0,0-1 0,0 0 0,0-1 0,0 1 0,-1 0 0,1 2 0,0-2 0,-1 0 0,0 0 0,-1 1 0,1-1 0,0 0 0,0 0 0,0 0 0,-1 0 0,1-1 0,-1 1 0,1 0 0,0 0 0,-1-1 0,1 2 0,-1-2 0,-2 1 0,-8 0 0,-1 3 0,1-3 0,-22-1 0,28-1 0,-548-3-461,463 4-443,70 0-5922</inkml:trace>
  <inkml:trace contextRef="#ctx0" brushRef="#br0" timeOffset="4">4097 3199 24575,'0'7'0,"7"-1"0,1-6 0,5-2 0,1-1 0,5-3 0,3-9 0,3-4 0,0-3 0,0 0 0,2-6 0,0 1 0,-1 0 0,-5 3-8191</inkml:trace>
  <inkml:trace contextRef="#ctx0" brushRef="#br0" timeOffset="5">4077 2907 24575,'0'5'0,"1"1"0,0 0 0,-1-3 0,1 2 0,1-1 0,0 1 0,0 0 0,0-1 0,6 8 0,29 38 0,-31-42 0,36 40 0,-32-38 0,-1 0 0,1-1 0,-1 4 0,-1-1 0,12 20 0,12 30 0,41 58 0,16 3 0,-71-102 0,-14-16-227,-2 1-1,1-1 1,0 0-1,0 0 1,3 12-1,0 3-6598</inkml:trace>
  <inkml:trace contextRef="#ctx0" brushRef="#br0" timeOffset="6">2561 1 24575,'-1'220'0,"2"-213"0,0 1 0,1-1 0,0-1 0,-1 1 0,1-1 0,1 1 0,-1-2 0,2 0 0,-1 3 0,1-2 0,7 11 0,17 27 0,2 31 0,-21-48 0,26 52 0,-16-46 0,22 39 0,-36-62 0,1-5 0,-1 1 0,0 0 0,1 0 0,0-1 0,1 1 0,7 6 0,-12-10 0,0-1 0,0 0 0,1 1 0,-1-1 0,0 0 0,1-1 0,-1 1 0,1-1 0,-1 0 0,0 1 0,1-1 0,-1 0 0,1 0 0,0 0 0,-1 0 0,1-1 0,-1 1 0,1 0 0,0 0 0,-1-1 0,0 0 0,0 0 0,0 0 0,1 0 0,-1 0 0,0-1 0,0 1 0,0-1 0,1 1 0,-2-1 0,4-4 0,4-4 0,1-2 0,-1 1 0,-2-1 0,12-21 0,-2 3 0,-6 16 0,-2-3 0,-1 2 0,1-2 0,-2-1 0,0 1 0,-2 0 0,0 1 0,0-5 0,-2 4 0,3-27 0,-6 43 0,4-29 0,-4 29 0,1 0 0,-1 0 0,0 0 0,1 0 0,-1 0 0,0-1 0,0 1 0,0 0 0,1 0 0,0 1 0,-1-1 0,1 0 0,0 0 0,0 0 0,-1 0 0,1 1 0,0-1 0,0 0 0,0 0 0,2-1 0,-3 2 0,1 0 0,-1 0 0,0 0 0,0 0 0,1 0 0,-1 0 0,0 0 0,1 0 0,-1 0 0,0 0 0,0 0 0,1 0 0,-1 0 0,0 0 0,0 0 0,1 0 0,-1 0 0,0 0 0,0 0 0,1 0 0,-1 1 0,0-1 0,0 0 0,0 0 0,1 0 0,-1 0 0,0 1 0,0-1 0,0 0 0,1 0 0,-1 0 0,0 1 0,0-1 0,0 0 0,0 0 0,0 0 0,1 1 0,-1-1 0,0 0 0,0 0 0,0 1 0,0-1 0,0 0 0,0 1 0,0-1 0,0 0 0,0 0 0,0 1 0,0-1 0,0 0 0,0 0 0,0 1 0,0-1 0,0 0 0,-1 0 0,1 1 0,0-1 0,-7 14 0,-4 1 0,1-1 0,0 3 0,1-2 0,2 1 0,-1 1 0,1 1 0,0-3 0,3 2 0,-1 1 0,-2 20 0,4-28 0,0 3 0,-1-1 0,0 0 0,0-1 0,-1 0 0,-8 12 0,-3 5 0,-26 29 0,15-24 0,20-27 0,1 2 0,0-1 0,0 1 0,1 0 0,-1 1 0,1-3 0,2 3 0,-2 0 0,1 0 0,-3 12 0,5-10 0,0 1 0,-1-3 0,0 2 0,-1-1 0,1 0 0,-2 0 0,0 0 0,-1-1 0,-10 16 0,9-16 0,0 4 0,0-1 0,2-1 0,0 3 0,0-3 0,1 2 0,0-3 0,1 6 0,-3 23 0,-7 31 0,5-50-1365,0-3-5461</inkml:trace>
  <inkml:trace contextRef="#ctx0" brushRef="#br0" timeOffset="7">882 2577 24575,'0'1'0,"0"0"0,1-1 0,-1 2 0,1-1 0,0 0 0,-1-1 0,1 1 0,0 0 0,0 0 0,0 0 0,-1 0 0,1 0 0,0 0 0,1 0 0,-1 0 0,0 1 0,0-2 0,0 1 0,0-1 0,0 1 0,1-1 0,-1 1 0,0-1 0,1 1 0,-1-1 0,-1 0 0,1 0 0,1 0 0,-1 0 0,0 0 0,1 0 0,-1 0 0,0 0 0,1-1 0,-1 1 0,0 0 0,1-1 0,-1 1 0,0-1 0,0 1 0,0-1 0,1-1 0,-1 2 0,2-3 0,4-3 0,1 1 0,0-4 0,-1 2 0,10-15 0,-5 7 0,-1 4 0,2 0 0,-1 1 0,27-17 0,5-5 0,65-41 0,-37 25 0,-51 33 0,-1-1 0,0-2 0,36-38 0,-50 50 0,1-1 0,1 1 0,0 0 0,-1 1 0,2 1 0,-1-1 0,12-5 0,-9 6 0,-1-1 0,1-1 0,-1-1 0,9-9 0,-1 1 0,17-16 0,52-35 0,-72 56 0,-2 1 0,2 3 0,0-1 0,1 1 0,-2 1 0,3 0 0,23-5 0,-28 7 0,0 0 0,-2 0 0,1-1 0,0-2 0,-1 0 0,18-10 0,33-16 0,-35 19 0,0 5 0,2-1 0,-1 2 0,45-5 0,-46 8 0,0-2 0,0 1 0,-1-5 0,0 3 0,24-14 0,56-19 0,-89 35-455,1 0 0,24-13 0,-20 7-6371</inkml:trace>
  <inkml:trace contextRef="#ctx0" brushRef="#br0" timeOffset="8">903 2721 24575,'-1'-58'0,"0"-16"0,14-126 0,-10 170 0,-3 22 0,0 3 0,0-2 0,1 1 0,-1 0 0,1 0 0,1 1 0,-1-1 0,1 0 0,0 0 0,1 1 0,-1 0 0,6-10 0,-8 15 0,0-1 0,0 1 0,1 0 0,-1-1 0,0 1 0,0 0 0,1 0 0,-1 0 0,0-1 0,0 1 0,1 0 0,-1 0 0,0 0 0,1 0 0,-1 0 0,0-1 0,0 1 0,1 0 0,-1 0 0,0 0 0,1 0 0,-1 0 0,0 0 0,1 0 0,-1 0 0,0 0 0,1 0 0,-1 0 0,0 0 0,1 0 0,-1 1 0,0-1 0,1 0 0,-1 0 0,0 0 0,1 1 0,5 11 0,-3 19 0,-8-12 0,-1 2 0,-10 26 0,9-33 0,2 4 0,-1-2 0,2 1 0,-3 23 0,4 26 0,3-44 0,-1-1 0,-1 0 0,-6 26 0,8-46 0,-1 0 0,1-1 0,0 2 0,0-1 0,-1 0 0,1-1 0,0 1 0,0 0 0,0 2 0,0-3 0,0 0 0,0 0 0,0 1 0,0 0 0,0 0 0,0-1 0,1 1 0,-1 1 0,13-3 0,-6-2 0,33-5-25,-1 1 0,0 2 0,1 3 0,76 4 1,-34 0-1217,-60-2-5585</inkml:trace>
  <inkml:trace contextRef="#ctx0" brushRef="#br0" timeOffset="9">1 1931 24575,'0'-2'0,"0"0"0,1 1 0,-1-1 0,1 0 0,0 1 0,0-1 0,-1 1 0,1-1 0,0 2 0,0-1 0,1-1 0,-1 1 0,0 0 0,0 0 0,0-1 0,1 1 0,-2 0 0,2 0 0,-1 1 0,1-1 0,-1 0 0,1 0 0,0 1 0,-1-1 0,1 1 0,2 0 0,45-9 0,212 4 0,-134 9 0,-104-5 0,-13 0 0,0 1 0,-2 0 0,2 0 0,17 4 0,-25-4 0,0 1 0,0 0 0,0-1 0,0 1 0,0 0 0,0 0 0,0 0 0,0 0 0,0 0 0,-1 0 0,0 0 0,1 1 0,0-1 0,-1 1 0,0 0 0,1 0 0,-1-1 0,0 1 0,0-1 0,0 1 0,0 0 0,0 0 0,0 0 0,-1 0 0,1 0 0,0 4 0,1 5 0,-1-1 0,0 0 0,-1 0 0,0 0 0,-1 0 0,0 1 0,0 0 0,-1-1 0,-1-2 0,1 2 0,-2 0 0,-4 11 0,1-7 0,-1-2 0,0 0 0,0 0 0,-1 1 0,-1-2 0,1-1 0,-23 17 0,22-18 0,-1-1 0,3 2 0,-17 18 0,24-27 0,1 0 0,0 0 0,-1 0 0,1 0 0,0 0 0,0 0 0,0 0 0,-1 0 0,1 0 0,0 0 0,0 0 0,1 0 0,-1 0 0,0 0 0,0 0 0,0 0 0,1 0 0,-1 0 0,0-1 0,1 1 0,-1 0 0,1 0 0,-1 1 0,1-2 0,-1 1 0,1 0 0,0 0 0,-1 0 0,1-1 0,0 1 0,0 0 0,0-1 0,-1 1 0,1-1 0,0 1 0,0-1 0,0 1 0,2 0 0,37 15 0,-11-9-9,3-2-1,-2-1 1,1-2-1,0-1 1,49-5-1,1 2-1298,-58 2-5518</inkml:trace>
  <inkml:trace contextRef="#ctx0" brushRef="#br0" timeOffset="10">309 2035 24575,'0'-2'0,"0"0"0,1 2 0,-1-2 0,1 1 0,0 0 0,-1-1 0,0 1 0,1-1 0,0 1 0,0-1 0,1 1 0,-1 0 0,0 0 0,0-1 0,1 1 0,-1 1 0,0-3 0,1 2 0,-1 0 0,1 1 0,-1-1 0,1 0 0,0 1 0,-1-1 0,1 1 0,2-1 0,3-2 0,1 1 0,0 0 0,0 1 0,9-1 0,3 3 0,0 1 0,-1 2 0,1 0 0,-1 1 0,24 10 0,26 3 0,-5-6 0,-40-8 0,0 0 0,43 16 0,-42-10-1365,-2 0-5461</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5T09:05:41.478"/>
    </inkml:context>
    <inkml:brush xml:id="br0">
      <inkml:brushProperty name="width" value="0.05" units="cm"/>
      <inkml:brushProperty name="height" value="0.05" units="cm"/>
      <inkml:brushProperty name="color" value="#E71224"/>
    </inkml:brush>
  </inkml:definitions>
  <inkml:trace contextRef="#ctx0" brushRef="#br0">246 1943 24575,'1'-4'0,"0"0"0,0 0 0,0 0 0,0 0 0,0 0 0,1 0 0,0 1 0,0-1 0,0 1 0,0-1 0,0 1 0,1 0 0,-1 0 0,1 0 0,0 0 0,0 0 0,0 1 0,0 0 0,0-1 0,1 1 0,3-2 0,8-5 0,1 1 0,0 1 0,24-8 0,27-1 0,-47 12 0,39-13 0,-13 2 0,-32 11 0,-1 0 0,1-1 0,14-8 0,47-24-1365,-51 26-5461</inkml:trace>
  <inkml:trace contextRef="#ctx0" brushRef="#br0" timeOffset="1">308 1796 24575,'0'0'0,"0"1"0,0-1 0,0 0 0,0 2 0,0-2 0,0 0 0,0 0 0,0 0 0,0 1 0,0-1 0,0 1 0,0-1 0,0 0 0,1 1 0,-1-1 0,0 0 0,0 1 0,0-1 0,0 0 0,1 1 0,-1-1 0,0 0 0,0 1 0,1-1 0,-1 0 0,0 0 0,0 1 0,1-1 0,-1 0 0,0 0 0,1 0 0,-1 1 0,0-1 0,1 0 0,-1 0 0,1 0 0,0 0 0,14-7 0,-14 6 0,0 1 0,1-2 0,-1 1 0,0 0 0,0 0 0,0-1 0,0 1 0,0 0 0,0-1 0,0 1 0,0 0 0,-1-1 0,1 1 0,-1-1 0,1 1 0,-1-1 0,1 0 0,-1 1 0,0-1 0,0 2 0,1-6 0,-1 6 0,0-1 0,-1 1 0,1 0 0,0 0 0,0-1 0,0 1 0,0 0 0,0 0 0,0 0 0,0-1 0,0 1 0,-1 0 0,1 0 0,0 0 0,0 0 0,0-1 0,0 1 0,-1 0 0,1 0 0,0 0 0,0 0 0,0 0 0,-1-1 0,1 1 0,0 0 0,0 0 0,0 0 0,-1 0 0,1 0 0,0 0 0,0 0 0,-1 0 0,1 0 0,0 0 0,0 0 0,-1 0 0,1 0 0,0 0 0,0 0 0,0 0 0,-1 0 0,1 1 0,0-1 0,-10 11 0,-2 16 0,-11 74 0,22-99 0,1 0 0,0 0 0,0 1 0,0-1 0,0 0 0,0 0 0,0 0 0,1 0 0,-1 0 0,0 0 0,1 1 0,0-2 0,0 2 0,0-1 0,0-1 0,0 1 0,0 0 0,0 0 0,0 0 0,1-1 0,-1 1 0,0-1 0,1 1 0,0-1 0,-1 1 0,1-1 0,0 0 0,0 0 0,0-1 0,-1 2 0,1-1 0,0 0 0,0-1 0,0 1 0,0-1 0,4 1 0,8 2 0,0-1 0,1-1 0,0 0 0,17-2 0,-23 1 0,276-4-1365,-262 4-5461</inkml:trace>
  <inkml:trace contextRef="#ctx0" brushRef="#br0" timeOffset="2">164 1670 24575,'0'-1085'0,"-1"1052"0,-8-43 0,-2-25 0,3 23-1365,4 55-5461</inkml:trace>
  <inkml:trace contextRef="#ctx0" brushRef="#br0" timeOffset="3">123 244 24575,'-1'3'0,"0"0"0,0 1 0,0-1 0,-1 0 0,1 0 0,-1 1 0,0-1 0,0-1 0,0 1 0,-1 0 0,-2 2 0,-12 20 0,10-7 0,0 1 0,1 1 0,1-1 0,-4 35 0,0 81 0,7-73 0,-3 0 0,-16 75 0,15-114 0,3-20 0,1-14 0,2-2 0,1 1 0,0-1 0,1 1 0,0-1 0,1 2 0,0-2 0,1 1 0,1 0 0,0 0 0,7-12 0,15-39 0,-22 44 0,0 0 0,3-20 0,-7 26 0,2 0 0,-1 0 0,2 0 0,0 0 0,0 1 0,10-18 0,1 1 0,-2-1 0,0 0 0,-2 0 0,-1-1 0,-2 0 0,8-52 0,-14 19 0,-3 51 0,1 1 0,1 0 0,0 0 0,0-1 0,4-16 0,-4 27 0,0 0 0,0 0 0,0-1 0,0 1 0,1 0 0,-1 0 0,0 0 0,1 0 0,-1 0 0,1 1 0,0-1 0,0 0 0,-1 1 0,1-1 0,0 1 0,0 0 0,4-2 0,-5 3 0,0-1 0,0 1 0,1 0 0,-1-1 0,0 1 0,0 0 0,0 0 0,1 0 0,-1 0 0,0 0 0,0 1 0,0-1 0,0 0 0,1 0 0,-1 1 0,0-1 0,0 1 0,0-1 0,0 1 0,0-1 0,0 1 0,0 0 0,0-1 0,0 1 0,0 0 0,0 0 0,-1 0 0,1 0 0,0 0 0,0 1 0,-1-2 0,1 1 0,-1 0 0,1 0 0,0 2 0,8 23 0,-1 0 0,-1 0 0,-2 1 0,4 40 0,-3-27 0,-3-9 0,-1 61 0,-3-59 0,5 47 0,-1-68 11,0 0 0,1-1 0,1 0 0,-1 0-1,2 0 1,-1 0 0,13 15 0,11 25-1463,-18-27-5374</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5T09:05:41.482"/>
    </inkml:context>
    <inkml:brush xml:id="br0">
      <inkml:brushProperty name="width" value="0.05" units="cm"/>
      <inkml:brushProperty name="height" value="0.05" units="cm"/>
      <inkml:brushProperty name="color" value="#E71224"/>
    </inkml:brush>
  </inkml:definitions>
  <inkml:trace contextRef="#ctx0" brushRef="#br0">84 1920 24575,'0'-1688'0,"-1"1701"0,0-1 0,-1 1 0,-1-2 0,0 2 0,0-1 0,-1 0 0,-8 17 0,-3 11 0,-18 83 0,33-123 0,0 0 0,0 0 0,0 0 0,0 0 0,0 0 0,0 0 0,0 0 0,0 0 0,-1 0 0,1 0 0,0 0 0,0 0 0,0 0 0,0 0 0,0 0 0,0 0 0,0 0 0,0 0 0,-1 0 0,1 0 0,0 0 0,0 0 0,0 0 0,0 0 0,0 0 0,0 0 0,0 0 0,0 0 0,0 0 0,0 0 0,-1 0 0,1 0 0,0 0 0,0 1 0,0-1 0,0 0 0,0 0 0,0 0 0,0 0 0,0 0 0,0 0 0,0 0 0,0 0 0,0 0 0,0 0 0,0 1 0,0-1 0,0 0 0,0 0 0,0 0 0,0 0 0,0 0 0,0 0 0,0 0 0,0 1 0,-3-15 0,2-23 0,2-285 0,0 312 0,0-3 0,1 2 0,0-1 0,1 1 0,0-1 0,1 1 0,0 1 0,1-1 0,6-12 0,-10 23 0,-1-1 0,0 0 0,1 0 0,-1-1 0,1 2 0,-1-1 0,1 0 0,-1 0 0,1 1 0,0-1 0,-1 0 0,1 1 0,0-1 0,-1 1 0,1-1 0,0 1 0,0-1 0,-1 1 0,1 0 0,0-1 0,0 1 0,0 0 0,0 0 0,1-1 0,-1 1 0,0 1 0,-1-1 0,1 1 0,0-1 0,0 1 0,-1-1 0,1 1 0,0 0 0,0-1 0,-1 1 0,1 0 0,-1-1 0,1 1 0,-1 0 0,1 0 0,-1-1 0,1 2 0,0 1 0,12 46 0,-12-46 0,3 16 0,2 0 0,0-1 0,1 0 0,0 1 0,17 25 0,-12-19 43,12 36 0,-7-16-1494,-9-25-5375</inkml:trace>
  <inkml:trace contextRef="#ctx0" brushRef="#br0" timeOffset="1">309 1774 24575,'0'-20'0,"-1"-1"0,1 1 0,2-1 0,0 1 0,4-21 0,-4 35 0,0 0 0,0 0 0,0 0 0,1 0 0,0 1 0,0-2 0,0 2 0,1 0 0,-1 0 0,1 1 0,1-2 0,-1 2 0,1 0 0,-1 0 0,1 0 0,0-1 0,8-2 0,12-9 0,32-25 0,-42 28 0,1 2 0,0-1 0,1 2 0,0-1 0,29-10 0,-28 13 0,-1 1 0,0-4 0,0 1 0,-1-2 0,0 2 0,18-21 0,-20 20 0,1-2 0,0 1 0,0 2 0,1 0 0,1-1 0,-1 4 0,22-11 0,-28 16 0,-2 0 0,0-1 0,0 1 0,0-1 0,0-1 0,0 2 0,-1-3 0,1 0 0,-1 1 0,7-8 0,45-39-1365,-43 35-5461</inkml:trace>
  <inkml:trace contextRef="#ctx0" brushRef="#br0" timeOffset="2">309 1399 24575,'0'21'0,"-1"-2"0,0 2 0,-6 25 0,4-37 0,1 0 0,-1 0 0,-1-2 0,1 3 0,-1-2 0,-1 0 0,0-1 0,0 1 0,-9 10 0,2-1 0,1-1 0,1 1 0,0 2 0,-10 24 0,6-13 0,13-28 0,0 0 0,0 0 0,0 0 0,1 1 0,-1-1 0,0-1 0,1 1 0,-1 0 0,1 1 0,0-1 0,0 0 0,0 0 0,0 1 0,0 0 0,0-1 0,2 4 0,-2-4 0,1-1 0,0 0 0,0 0 0,0 0 0,0 0 0,0 0 0,0-1 0,0 1 0,0-1 0,0 1 0,0-1 0,1 1 0,-1 0 0,0-1 0,0 2 0,1-2 0,-1 0 0,0 1 0,1-1 0,-1 0 0,0 0 0,1 0 0,-1 0 0,0 0 0,1 0 0,-1 0 0,0-1 0,3-1 0,11-1 0,0 1 0,0-3 0,0 1 0,18-11 0,-19 8 0,0 2 0,1-1 0,0 2 0,22-5 0,-6 6 0,-20 3 0,-1-1 0,0 0 0,0-2 0,1 1 0,-1 0 0,-1-1 0,1 0 0,0-1 0,-1 0 0,15-10 0,-18 10-85,7-6-171,0 1 0,0 1 0,1-1 0,28-9 0,-20 11-6570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8T06:57:06.758"/>
    </inkml:context>
    <inkml:brush xml:id="br0">
      <inkml:brushProperty name="width" value="0.05" units="cm"/>
      <inkml:brushProperty name="height" value="0.05" units="cm"/>
    </inkml:brush>
  </inkml:definitions>
  <inkml:trace contextRef="#ctx0" brushRef="#br0">275 20 24575,'-8'41'0,"-2"-1"0,-1 0 0,-27 60 0,-62 103 0,98-200 0,-19 36 0,-2-2 0,-35 49 0,58-86 0,0 0 0,-1 0 0,1 0 0,-1 0 0,1 0 0,0 1 0,-1-1 0,1 0 0,0 1 0,0-1 0,0 1 0,0-1 0,0 0 0,0 0 0,0 0 0,-1 0 0,1 0 0,0 1 0,0-1 0,0 1 0,0-1 0,0 1 0,0-1 0,0 0 0,0 0 0,0 1 0,0-1 0,0 1 0,0-1 0,1 1 0,-1-1 0,0 0 0,0 0 0,11 4 0,25-9 0,-32 4 0,23-3 0,1 2 0,0 1 0,-1 1 0,1 1 0,0 1 0,0 1 0,42 13 0,447 112 0,-510-127 0,-2-1 0,0 2 0,0-1 0,1 1 0,-1-2 0,9 0 0,-14 0 0,1 0 0,-1 0 0,0 0 0,0 0 0,1 0 0,0 0 0,-1 0 0,0 0 0,0 0 0,1 0 0,-1 0 0,0 0 0,1-1 0,-1 1 0,0 0 0,0-1 0,1 1 0,-1 0 0,0-1 0,0 1 0,0 0 0,0 0 0,1 0 0,-1-2 0,0 2 0,0 0 0,1 0 0,-1 0 0,0 0 0,0-1 0,0 1 0,-2-14 0,-14-13 0,5 14 0,-3 2 0,2 0 0,-27-19 0,9 8 0,-120-83 0,138 96 0,2-2 0,-1 1 0,2 0 0,0-1 0,0-1 0,-10-18 0,-36-84 0,36 75 0,-101-228-1365,115 255-5461</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8T06:57:06.759"/>
    </inkml:context>
    <inkml:brush xml:id="br0">
      <inkml:brushProperty name="width" value="0.1" units="cm"/>
      <inkml:brushProperty name="height" value="0.1" units="cm"/>
      <inkml:brushProperty name="color" value="#004F8B"/>
    </inkml:brush>
  </inkml:definitions>
  <inkml:trace contextRef="#ctx0" brushRef="#br0">166 1 24575,'0'926'0,"-1"-939"0,-1 1 0,1 0 0,-2 0 0,-8-20 0,-1-8 0,12 36 0,-1-1 0,-1 2 0,0-2 0,1 0 0,-1 2 0,-1-1 0,1 0 0,-1 0 0,2 0 0,-2 0 0,-1 2 0,1-3 0,0 2 0,-6-5 0,3 4 0,-1-3 0,-1 1 0,1 1 0,-14-9 0,16 11 0,0 0 0,1 0 0,0 0 0,-5-6 0,-5-4 0,8 12 0,7 7 0,10 15 0,-11-21 0,14 25 0,-9-15 0,0 1 0,1-1 0,1 0 0,14 17 0,-13-18 0,0 1 0,8 13 0,1 3 0,-9-17 0,-2 2 0,8 16 0,-4-11 0,-10-16 0,0 0 0,0 0 0,0 0 0,0 1 0,0-1 0,0 0 0,0 1 0,0-1 0,0 0 0,0 0 0,1 0 0,-1 0 0,0 0 0,0 0 0,1 1 0,-1-1 0,0 0 0,0 0 0,0 0 0,0 1 0,0-1 0,0 0 0,1 0 0,-1 0 0,0 0 0,1 0 0,-1 0 0,0 1 0,1-1 0,-1 0 0,0 0 0,0 0 0,0 0 0,0 0 0,6-6 0,1-14 0,-1 0 0,0 0 0,2 0 0,0 0 0,1 2 0,24-35 0,-32 49 0,1 1 0,0-1 0,0 0 0,-1 0 0,2-7 0,-2 8 0,-1 1 0,1-1 0,0 0 0,0 1 0,-1-1 0,2 1 0,-1-1 0,0 2 0,0-1 0,1-1 0,-1 1 0,1 0 0,-1 0 0,2 0 0,-1 0 0,3-2 0,8-3 0,-12 7 0,-1 0 0,0 0 0,0 0 0,0 0 0,0 0 0,0 0 0,0 0 0,0 0 0,0 0 0,0 0 0,1 0 0,-1 0 0,0 0 0,0 0 0,0 1 0,0-1 0,0 0 0,1 0 0,-1 0 0,0 0 0,0 0 0,0 1 0,0-1 0,0 0 0,0 0 0,0 0 0,0 0 0,1 0 0,-1 0 0,0 0 0,0 0 0,0 0 0,0 1 0,0-1 0,0 0 0,0 0 0,0 0 0,0 0 0,0 1 0,0-1 0,0 0 0,0 0 0,0 0 0,-1 1 0,1-1 0,0 0 0,0 0 0,-12 25 0,6-11 0,-5 11 0,3 1 0,0 1 0,-4 27 0,5-30-1365</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8T06:57:06.760"/>
    </inkml:context>
    <inkml:brush xml:id="br0">
      <inkml:brushProperty name="width" value="0.1" units="cm"/>
      <inkml:brushProperty name="height" value="0.1" units="cm"/>
      <inkml:brushProperty name="color" value="#004F8B"/>
    </inkml:brush>
  </inkml:definitions>
  <inkml:trace contextRef="#ctx0" brushRef="#br0">1 987 24575,'4'0'0,"-1"-1"0,1 0 0,0 1 0,-1-2 0,1 1 0,-1-1 0,5-2 0,9-4 0,199-75 0,140-101 0,-69 18 0,-259 154 0,-3 1 0,44-13 0,9-3 0,159-60 0,-137 53 0,158-43 0,-215 65 0,61-24 0,-87 28 0,0-2 0,-1-1 0,0 1 0,16-15 0,-15 12 0,-11 10 0,0-1 0,-2 0 0,1 0 0,0 0 0,0-1 0,0 0 0,-1 0 0,2 0 0,2-9 0,-8 13 0,1-1 0,-1 2 0,0-1 0,1 0 0,-1 0 0,0 0 0,0 0 0,0 1 0,0-1 0,-1-1 0,1 2 0,0-1 0,0-1 0,-1 2 0,1-1 0,0 0 0,0 0 0,-1 0 0,1 0 0,-1 1 0,0-2 0,1 1 0,-1 1 0,1-1 0,0 0 0,-1 1 0,0 0 0,1-1 0,-1 0 0,1 0 0,-1 1 0,-1 0 0,1-1 0,1 1 0,-2-1 0,1 0 0,-6 0 0,0-2 0,1 1 0,-12-3 0,15 5 0,-93-17 0,2 3 0,-2 6 0,-108 4 0,239 14 0,139 11 0,-1 0 0,-17 16 0,-92-20 0,87 13 0,-134-27 0,-25 1 0,-28 2 0,32-5 0,-5 0 0,-2 1 0,0 0 0,2 1 0,-3 0 0,4 0 0,-3 1 0,3 0 0,-2 2 0,1-1 0,0 0 0,0 2 0,1-1 0,-15 14 0,-29 35 0,-23 26 0,26-26-1365,38-42-5461</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8T06:57:06.761"/>
    </inkml:context>
    <inkml:brush xml:id="br0">
      <inkml:brushProperty name="width" value="0.05" units="cm"/>
      <inkml:brushProperty name="height" value="0.05" units="cm"/>
    </inkml:brush>
  </inkml:definitions>
  <inkml:trace contextRef="#ctx0" brushRef="#br0">1 1 24575,'21'12'0,"94"58"0,42 41 0,60 52-1324,62 39-3971,1369 963 3532,-496-459 922,-661-469 2123,-4-3-9,-26 50-1273,-17 29 0,-411-290 0,516 338 0,-131-124 5600,-398-226-5053,30 25 1,-47-34-575,5 4 27,-2 0 0,2-2 0,8 4 0,18 8 0,86 72 0,9 4 0,29 19 0,-127-88 0,145 81 0,-121-78-1365,-41-18-5461</inkml:trace>
  <inkml:trace contextRef="#ctx0" brushRef="#br0" timeOffset="1">2152 1606 24575,'-40'215'0,"21"-130"0,-8 46-66,-103 424-561,130-550 631,-1-2 27,0-2 0,0 3 0,0-1 0,0 1 0,1 2 1,0 0-1,0-6-25,0 0 0,0 0 0,0 0 0,0 2 1,0-2-1,0 1 0,0-1 0,0 0 0,0 0 1,0 0-1,1 0 0,-1 1 0,0-1 0,0 0 0,1 1 1,-1-1-1,0 0 0,0 0 0,0 0 0,0 0 0,1 0 1,-1 0-1,0 0 0,1 0 0,-1 0 0,1 0 0,-1 0 1,0 0-1,15-2 171,4-5-156,2 0 0,-2 1 0,2 0 0,-1 5 0,29-5 1,106 3-44,-105 4 32,42-1-10,293 12 0,-378-12 0,17 2 0,-24-2 0,0 0 0,0 0 0,1 0 0,-1 0 0,0 0 0,0 0 0,0 0 0,0 0 0,0-1 0,0 1 0,0 0 0,0 0 0,0 0 0,2 0 0,-2 0 0,0 0 0,0 0 0,0 0 0,0-1 0,0 1 0,0 0 0,1 0 0,-1 0 0,0 0 0,0 0 0,0 0 0,0 0 0,0 0 0,0 0 0,0 0 0,0 0 0,0-1 0,0 1 0,0 0 0,0 0 0,0 0 0,0 0 0,0-1 0,0 1 0,0 0 0,0 0 0,0 0 0,0 0 0,0-1 0,-11-7 0,-5-6 0,1 2 0,0-2 0,3 0 0,-23-31 0,-44-72 0,-17-67 0,41 73 0,-18-22 0,68 128 0,1-5 0,-1 3 0,-2 2 0,2-3 0,-1 1 0,1 2 0,0 0 0,-3 0 0,-13-9 0,13 9 0,0-4 0,0 3 0,0-4 0,2 3 0,-12-17 0,11 14 0,-72-103-1365,74 105-5461</inkml:trace>
  <inkml:trace contextRef="#ctx0" brushRef="#br0" timeOffset="2">3810 2196 24575,'98'27'0,"-4"-3"0,-18 2 0,84 46 0,-107-43 0,48 36 0,8 2 0,-69-46 0,72 24 0,-99-42 0,23 10 0,1-1 0,51 2 0,2 4 0,-79-14-341,-3 1 0,3-4-1,12 11 1,-11-7-6485</inkml:trace>
  <inkml:trace contextRef="#ctx0" brushRef="#br0" timeOffset="3">3795 2211 24575,'7'22'0,"-4"-10"0,1-3 0,0 3 0,0-4 0,9 20 0,-9-14 0,-3-12 0,-1-1 0,2 2 0,-1 0 0,1-1 0,-1 0 0,1 1 0,0 0 0,-1 0 0,2-2 0,-1 1 0,4 2 0,-6-4 0,0 0 0,0 0 0,0 0 0,1 0 0,-1 0 0,0 0 0,0 0 0,1 0 0,-1 0 0,0 0 0,0 0 0,0 0 0,1 0 0,-1 0 0,0 0 0,0 0 0,0 0 0,0 0 0,0-1 0,0 1 0,0 0 0,0 0 0,0 0 0,1 0 0,-1 0 0,0 0 0,0 0 0,0 0 0,0 0 0,0 0 0,0 0 0,0-1 0,1 1 0,-1 0 0,0 0 0,0 0 0,0 0 0,0 0 0,0 0 0,0 0 0,0 0 0,0 0 0,0-11 0,-4-10 0,-20-68 0,-48-109 0,27 88 0,38 93 0,-2-7 0,9 24 0,0 0 0,0-1 0,0 1 0,0 0 0,0-1 0,0 1 0,0-1 0,0 1 0,0 0 0,0-2 0,0 2 0,1 0 0,-1 0 0,0 0 0,0 0 0,1-1 0,-1 1 0,0 0 0,0 0 0,1-2 0,-1 2 0,0 0 0,0 0 0,0 0 0,0 0 0,1 0 0,-1 0 0,1 0 0,-1 0 0,0 0 0,1 0 0,-1 0 0,0 0 0,0 0 0,0 0 0,0 0 0,0 0 0,0 0 0,1 0 0,-1 0 0,1 0 0,-1 0 0,0 0 0,0 0 0,15 5 0,110 33-16,8 4 108,-105-31-572,4-6-1,42 6 1,-55-10-6346</inkml:trace>
  <inkml:trace contextRef="#ctx0" brushRef="#br0" timeOffset="4">4094 2239 24575,'0'14'0,"2"0"0,1 1 0,0-3 0,1 4 0,0-5 0,1 3 0,6 11 0,-10-25 0,-1 0 0,0 1 0,0 0 0,0-1 0,0 1 0,1-1 0,-1 0 0,0 1 0,1-1 0,-1 1 0,0-1 0,0 0 0,0 1 0,1-1 0,-1 2 0,1-2 0,-1 0 0,1 0 0,-1 0 0,0 1 0,1-1 0,-1 0 0,1 0 0,3-9 0,-4-19 0,-7-21 0,-3-1 0,0 1 0,-27-70 0,29 102 0,6 11 0,0 4 0,1-3 0,-1 1 0,1-1 0,0 0 0,-1 1 0,2-7 0,35 46 0,-25-26 0,0-2 0,-1-2 0,1 2 0,1-1 0,0-1 0,-1 2 0,1-5 0,18 7 0,15 6 0,-2-1 0,-28-9 0,-1 0 0,0-1 0,0 1 0,21 13 0,-25-7-1365,-2-5-5461</inkml:trace>
  <inkml:trace contextRef="#ctx0" brushRef="#br0" timeOffset="5">4517 2166 24575,'0'15'0,"0"1"0,3-2 0,-1 2 0,1-4 0,6 22 0,-9-33 0,0 0 0,0-1 0,0 1 0,1 2 0,-1-2 0,0-1 0,1 1 0,-1 0 0,1-1 0,-1 1 0,0 0 0,0-1 0,1 1 0,0-1 0,-1 1 0,0-1 0,1 1 0,-1-1 0,1 0 0,0 1 0,-1-1 0,0 0 0,1 0 0,0 0 0,0 0 0,-1 0 0,0 2 0,1-2 0,0 0 0,0 0 0,-1 0 0,0 1 0,1-1 0,0 0 0,-1-1 0,1 1 0,0 0 0,0 0 0,-1 0 0,1 0 0,0-2 0,0 2 0,0 0 0,4-1 0,-3-1 0,1-1 0,-1 1 0,2-3 0,-1 2 0,6-4 0,4-8 0,0-2 0,-1 1 0,-1 0 0,12-26 0,30-77 0,-36 74 0,38-61 0,-55 105 0,0 0 0,0 0 0,0 1 0,0 0 0,1-2 0,0 0 0,-1 2 0,1 0 0,-1-1 0,0 1 0,1 0 0,-1 0 0,0-1 0,1 0 0,0 1 0,-1-1 0,1 1 0,-1 0 0,1 0 0,0 0 0,-1 0 0,2 0 0,-1-1 0,-1 1 0,1 0 0,1 0 0,-1 0 0,0 1 0,0-1 0,-1 0 0,1 0 0,0 1 0,0 0 0,-1 0 0,1-1 0,0 0 0,-1 1 0,0-1 0,1 2 0,0 0 0,-1-2 0,1 1 0,-1 0 0,0 1 0,2 6 0,1 1 0,2 18 0,-4-24 0,10 130 0,-10-102 0,1 1 0,2-2 0,0 3 0,12 34 0,-11-47 0,-5-16 0,1 1 0,1-1 0,-1 0 0,1 1 0,-1 0 0,1-2 0,0 1 0,0-1 0,1 1 0,3 6 0,-5-10 0,-1 1 0,1-1 0,0 0 0,-1 0 0,1 1 0,-1-1 0,1 0 0,0 1 0,-1-1 0,1 0 0,0 0 0,0 0 0,-1 0 0,0 0 0,1 0 0,0 0 0,-1 0 0,1 0 0,-1 0 0,1 0 0,0-1 0,-1 1 0,0 0 0,1-1 0,-1 1 0,1 0 0,0 0 0,-1-1 0,1 1 0,-1-1 0,1 1 0,0-1 0,-1 1 0,0 0 0,1-3 0,15-16 0,-7-3-227,2 0-1,-1 0 1,-2 0-1,0-1 1,4-30-1,-10 44-6598</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8T06:57:06.767"/>
    </inkml:context>
    <inkml:brush xml:id="br0">
      <inkml:brushProperty name="width" value="0.1" units="cm"/>
      <inkml:brushProperty name="height" value="0.1" units="cm"/>
      <inkml:brushProperty name="color" value="#004F8B"/>
    </inkml:brush>
  </inkml:definitions>
  <inkml:trace contextRef="#ctx0" brushRef="#br0">557 1 24575,'1'9'0,"0"0"0,0 0 0,1-1 0,1 1 0,2 10 0,8 26 0,10 63 0,-1-3 0,-20-86 0,0 0 0,-1 2 0,-2 28 0,-1-41-97,1-1-1,-1 0 1,0 1-1,-1 0 1,0-1-1,0 0 1,-1 0-1,0-1 1,1 2-1,-2-2 1,0 0-1,0 0 0,-6 6 1</inkml:trace>
  <inkml:trace contextRef="#ctx0" brushRef="#br0" timeOffset="1">407 797 24575,'-1'3'0,"0"0"0,0 0 0,-1-1 0,2 1 0,-3 0 0,2 0 0,-1-1 0,1 1 0,-1 0 0,0-1 0,-3 3 0,-1 3 0,-13 15 0,-1 1 0,-1-2 0,-1-1 0,-43 32 0,59-49 0,2-1 0,-2 0 0,0 0 0,1-1 0,-1 0 0,1 0 0,-1-1 0,-1 0 0,2 0 0,-2 1 0,1-2 0,1 0 0,-2 0 0,1 0 0,0 0 0,0-1 0,0-1 0,-1 2 0,2-2 0,-1 1 0,1-1 0,-1-1 0,1 0 0,-1 1 0,1-1 0,-1-1 0,1 1 0,0-1 0,1 1 0,-1-2 0,0 1 0,2 0 0,-1-1 0,0 0 0,0 0 0,1 0 0,0 0 0,0 0 0,1-1 0,-1 0 0,-1-7 0,-2-6 0,2-1 0,1 1 0,0 0 0,-1-22 0,5-79 0,1 45 0,-2 64 0,1 0 0,-1 0 0,3 1 0,-1-1 0,0 0 0,0 0 0,2 0 0,0 2 0,1-2 0,0 1 0,10-16 0,19-32 0,29-44 0,-56 93 0,0 1 0,1 1 0,10-10 0,10-9 0,-21 19-120,-4 3 24,-1 1 1,0 1-1,1-1 0,0 0 0,0 0 0,0 1 1,1 0-1,-1 0 0,-1 0 0,2-1 1,0 2-1,6-2 0,3 0-6730</inkml:trace>
  <inkml:trace contextRef="#ctx0" brushRef="#br0" timeOffset="2">108 182 24575,'0'-3'0,"1"2"0,0 0 0,-1-2 0,0 2 0,1-1 0,1 1 0,-2-1 0,1 1 0,1 0 0,-2-1 0,2 1 0,-2 0 0,1-1 0,1 2 0,-1-2 0,3 0 0,24-16 0,-5 8 0,1-1 0,0 3 0,39-9 0,-50 12 0,25-9 0,-27 9 0,-2 1 0,1 0 0,20-4 0,-30 8 0,1 0 0,-1 0 0,0 0 0,1 0 0,-1 0 0,0 0 0,1 1 0,-1-1 0,0 0 0,0 0 0,0 0 0,0 1 0,0-1 0,1 0 0,-1 0 0,0 0 0,0 0 0,1 0 0,-1 0 0,0 0 0,0 0 0,0 1 0,0-1 0,0 0 0,0 1 0,0-1 0,0 0 0,0 1 0,0-1 0,0 0 0,0 0 0,0 0 0,0 1 0,0-1 0,0 0 0,0 1 0,0-1 0,0 0 0,0 1 0,0-1 0,0 0 0,-2 14 0,1-13 0,-4 16 0,0 0 0,-11 21 0,9-22 0,0 0 0,1-1 0,-2 18 0,-5 24-1365,11-44-5461</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8T06:57:06.770"/>
    </inkml:context>
    <inkml:brush xml:id="br0">
      <inkml:brushProperty name="width" value="0.1" units="cm"/>
      <inkml:brushProperty name="height" value="0.1" units="cm"/>
      <inkml:brushProperty name="color" value="#004F8B"/>
    </inkml:brush>
  </inkml:definitions>
  <inkml:trace contextRef="#ctx0" brushRef="#br0">205 1 24575,'-4'67'0,"-11"69"0,4-45 0,7-53 0,-9 135 0,13-101 0,2 106 0,5-105 0,1 29 0,-8 228 0,-1-327 0,1 0 0,0 1 0,0-1 0,0 0 0,-1-1 0,-2 6 0,3-8 0,0 0 0,0 0 0,0 0 0,0 1 0,0-1 0,-1 0 0,1 0 0,0 1 0,0-1 0,0 0 0,0 0 0,0 1 0,-1-1 0,1 0 0,0 0 0,0 0 0,0 0 0,0 0 0,0 0 0,0 0 0,0 0 0,-1 0 0,1 0 0,0 0 0,0 0 0,-1 0 0,1 0 0,0 1 0,0-1 0,0 0 0,0 0 0,0 0 0,-1 0 0,1 0 0,0-1 0,-1 1 0,-6-11 0,3-1 0,1 1 0,0-1 0,0-11 0,-6-24 0,-8-18 0,9 31 0,-15-39 0,18 62 0,1 0 0,-1 2 0,0-2 0,-2 2 0,0-1 0,1 1 0,-14-14 0,-5 1 0,25 22 0,0 0 0,0 0 0,-1 0 0,1 0 0,0 0 0,0 0 0,0 0 0,0 0 0,0 0 0,0 1 0,0-1 0,0 0 0,-1 0 0,1 0 0,0 1 0,0-1 0,0 0 0,0 1 0,0-1 0,0 0 0,0 0 0,0 0 0,0 0 0,0 0 0,0 1 0,0-1 0,0 0 0,0 0 0,0 1 0,0-1 0,0 0 0,0 1 0,0-1 0,0 0 0,0 0 0,0 0 0,1 0 0,-1 13 0,1-11 0,4 21 0,0 0 0,2 0 0,1-1 0,0 0 0,19 34 0,10 25 0,-19-44 0,-14-30 0,0 0 0,0 0 0,-1 1 0,0 0 0,-1-1 0,4 17 0,-1-3 0,-5-21 0,0 0 0,0 0 0,0 1 0,0-1 0,0 0 0,0 0 0,0 0 0,0 0 0,0 0 0,1 0 0,-1 0 0,0 0 0,0 1 0,1-1 0,-1 0 0,0 0 0,0 0 0,1 0 0,-1 0 0,0 0 0,0 0 0,0 0 0,0 1 0,0-1 0,0 0 0,1 0 0,-1 0 0,0 0 0,1 0 0,-1-1 0,0 1 0,1 0 0,7-8 0,62-122 0,-13 22 0,-22 37 0,-14 26 0,-13 35-1365</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8T06:57:06.771"/>
    </inkml:context>
    <inkml:brush xml:id="br0">
      <inkml:brushProperty name="width" value="0.1" units="cm"/>
      <inkml:brushProperty name="height" value="0.1" units="cm"/>
      <inkml:brushProperty name="color" value="#004F8B"/>
    </inkml:brush>
  </inkml:definitions>
  <inkml:trace contextRef="#ctx0" brushRef="#br0">1 1 24575,'7'1'0,"-2"0"0,2 1 0,1 1 0,-3-1 0,1 0 0,1 0 0,-1 2 0,-1-1 0,1 1 0,9 6 0,7 5 0,-14-11 0,1 3 0,-1-1 0,0 1 0,0-1 0,-2 2 0,10 9 0,-8-9 0,-2-2 0,3 2 0,-1-3 0,0 2 0,18 7 0,-14-7 0,0-1 0,14 13 0,146 117 0,-137-110 0,113 98 0,-130-113 0,2 1 0,-1-2 0,25 10 0,24 14 0,-49-24 0,2-1 0,-1-1 0,-1-3 0,24 8 0,12 3 0,-36-9 0,25 6 0,-29-8 0,1 0 0,-2 1 0,2 1 0,-2 0 0,0 1 0,21 15 0,-3-3 0,-16-5 0,-2-3 0,-13-12 0,-7-9 0,-5-3 0,0 0 0,0 1 0,-1 1 0,-16-12 0,-18-16 0,21 19 0,18 13 0,-1 0 0,1-1 0,-9-8 0,-6-12 0,-29-24 0,37 39 0,13 11 0,1-1 0,-2 2 0,1-2 0,1 2 0,0-2 0,-1 1 0,0 0 0,1 0 0,-2 1 0,1-1 0,0 0 0,1-1 0,0 1 0,-1-2 0,1 3 0,0 0 0,0-1 0,0 1 0,0 0 0,0 0 0,1-1 0,-1 1 0,0 0 0,0 0 0,0 0 0,0-1 0,0 1 0,0 0 0,0 0 0,0 0 0,0 0 0,0 0 0,0 0 0,0 0 0,0 0 0,0 0 0,1 0 0,-1 0 0,0-1 0,0 1 0,0 0 0,0 0 0,1 0 0,-1 0 0,0 0 0,0 0 0,2 0 0,-2 0 0,0 0 0,0 0 0,0 0 0,0 0 0,12 4 0,1 4 0,-3 1 0,1 0 0,0 1 0,-1 0 0,-1 0 0,13 19 0,21 21 0,-18-25 0,-16-14 0,0-1 0,1-1 0,0 0 0,19 12 0,-28-20 0,0-1 0,0 0 0,0 1 0,0 0 0,1-1 0,-2 0 0,1 1 0,0 0 0,0 0 0,0-1 0,0 2 0,0-1 0,-1-1 0,0 2 0,1-2 0,-1 2 0,1-1 0,1 0 0,-2 0 0,0 0 0,1 1 0,-1-2 0,1 3 0,-2-2 0,0 0 0,1 0 0,-2-1 0,1 2 0,0-1 0,1-1 0,0 1 0,-1 0 0,0-1 0,1 1 0,-2 0 0,1 0 0,1-1 0,-1 0 0,-1 1 0,1-1 0,0 1 0,0-1 0,0 1 0,0-1 0,0 0 0,-1 0 0,2 0 0,-2 0 0,-1 0 0,-26 1 0,-1 0 0,0-3 0,1 0 0,-50-11 0,43 7 0,0 1 0,-52 0 0,83 5-1365</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8T06:57:06.772"/>
    </inkml:context>
    <inkml:brush xml:id="br0">
      <inkml:brushProperty name="width" value="0.1" units="cm"/>
      <inkml:brushProperty name="height" value="0.1" units="cm"/>
      <inkml:brushProperty name="color" value="#004F8B"/>
    </inkml:brush>
  </inkml:definitions>
  <inkml:trace contextRef="#ctx0" brushRef="#br0">13849 1972 24575,'2'-3'0,"1"2"0,-1-3 0,-1 0 0,2 0 0,-2 2 0,3-6 0,5-12 0,23-25 0,1 0 0,67-66 0,67-39 0,-142 132 0,39-21 0,7-6 0,-60 34 0,-10 7 0,-9 6 0,0 3 0,-1 0 0,1 2 0,-1-2 0,-1 2 0,3-2 0,0 2 0,-14 15 0,-4 5 0,-5 2 0,-50 70 0,-16 39 0,54-73 0,-79 93 0,98-137 0,18-18 0,16-18 0,-5 10 0,0 1 0,0-3 0,3 3 0,-2-1 0,-2 0 0,3 2 0,1-1 0,0 2 0,-3-1 0,1-1 0,2 2 0,-3 0 0,18-2 0,10 0 0,68 1 0,-89 3 0,347 1-1365,-345-1-5461</inkml:trace>
  <inkml:trace contextRef="#ctx0" brushRef="#br0" timeOffset="1">13603 2822 24575,'34'0'0,"33"1"0,1-2 0,111-19 0,-36-5 0,-42 5 0,-62 8 0,3-1 0,61-25 0,-66 24 0,-26 9 0,-2 0 0,2 0 0,-1-1 0,0 0 0,0 0 0,-1-1 0,0 0 0,1-1 0,-4 0 0,1-1 0,1-2 0,1 4 0,-3-1 0,-1-2 0,1-1 0,-1 1 0,0 0 0,-1 0 0,6-21 0,8-56 0,7-21 0,-25 106 0,3-6 0,-1 1 0,0-1 0,-1 0 0,1-12 0,-2 18 0,0 1 0,0-1 0,0 1 0,0-2 0,0 3 0,-1-2 0,1 1 0,-1-1 0,1 1 0,0 0 0,-1-1 0,0 0 0,1 1 0,-1-1 0,0 0 0,0 2 0,0-1 0,0 0 0,0 0 0,0-2 0,-2 3 0,3 0 0,-2-1 0,1-1 0,-1 2 0,2-1 0,-2 0 0,1 1 0,0 0 0,0 0 0,-1-1 0,-2 1 0,-40-9 0,0 6 0,-2-1 0,0 3 0,-47 5 0,78-3 0,-5 2 0,4 1 0,-3 1 0,-23 8 0,28-5 0,3-1 0,-3 1 0,-20 14 0,21-13 0,2 0 0,1 1 0,-1-1 0,0 2 0,3-2 0,-2 3 0,1 0 0,1 0 0,-10 20 0,-2-4 0,15-18 0,-1-3 0,2 2 0,-9 14 0,1 4 0,12-26 0,-1 0 0,1 1 0,-1-2 0,0 2 0,1-1 0,-1 0 0,1 0 0,-1-1 0,0 0 0,1 1 0,-1 0 0,-1-1 0,1 1 0,-1 1 0,2-1 0,-2-1 0,1 1 0,-1 0 0,2-1 0,-2 0 0,1-1 0,0 1 0,1-1 0,-1 1 0,0 0 0,1 0 0,0-1 0,-1-1 0,0 2 0,1-1 0,0 1 0,0-1 0,-1 0 0,1 1 0,-1 0 0,1 0 0,0 0 0,-2-1 0,2 0 0,0 1 0,-1-1 0,1-1 0,0 2 0,-1 0 0,1-2 0,0 1 0,0 0 0,0 1 0,0-1 0,0 0 0,0 1 0,1-2 0,2-30 0,2 12 0,11-25 0,-2 2 0,16-19 0,-30 62 0,0 0 0,0 0 0,0-1 0,0 1 0,0 0 0,0 0 0,0 0 0,0-1 0,0 1 0,0 0 0,0 0 0,1 0 0,-1 0 0,0-1 0,0 1 0,0-1 0,0 1 0,-1 0 0,1 0 0,0 0 0,0 0 0,0-1 0,0 1 0,0 0 0,0-1 0,0 1 0,0 0 0,0-1 0,0 1 0,0 0 0,-1 0 0,1 0 0,0-1 0,-10 4 0,-9 11 0,8-1 0,0-1 0,3 1 0,-1 2 0,1-1 0,-1-1 0,1 2 0,2-2 0,1 3 0,-2-1 0,3 0 0,-2 0 0,3 1 0,0 0 0,0 29 0,3-44 0,0 1 0,0 0 0,0-1 0,0 2 0,0-2 0,0 0 0,0 2 0,0-1 0,1-1 0,-1 2 0,1-2 0,0 0 0,-1 0 0,3 3 0,-3-3 0,0-1 0,1 0 0,-1 0 0,1 0 0,-1 0 0,0 0 0,0 2 0,0-2 0,1 0 0,-1 0 0,1 0 0,-1 0 0,1 0 0,-1 0 0,0 0 0,1 0 0,-1 0 0,1 0 0,1 0 0,-2 0 0,1-2 0,14-5 0,11-13 0,-4 3 0,37-16 0,-47 29-143,-3 1-1,3 0 1,-2 1 0,1 0-1,1 0 1,-1 2 0,2 0-1,20 0 1,-32 1 68,12-1-6751</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8T06:57:06.774"/>
    </inkml:context>
    <inkml:brush xml:id="br0">
      <inkml:brushProperty name="width" value="0.05" units="cm"/>
      <inkml:brushProperty name="height" value="0.05" units="cm"/>
      <inkml:brushProperty name="color" value="#E71224"/>
    </inkml:brush>
  </inkml:definitions>
  <inkml:trace contextRef="#ctx0" brushRef="#br0">7367 3673 24575,'-79'92'0,"28"-34"0,37-42 0,-220 220 0,57-100 0,160-126-13,-3-1-1,-27 15 1,15-12-1312,22-7-5501</inkml:trace>
  <inkml:trace contextRef="#ctx0" brushRef="#br0" timeOffset="1">6978 4041 24575,'8'2'0,"21"14"0,16 15 0,14 13 0,8 3 0,-6 3 0,-5-2 0,-11-4 0,-7-11 0,-7-7 0,-9-10 0,-9-3 0,-1-5 0,-8 1 0</inkml:trace>
  <inkml:trace contextRef="#ctx0" brushRef="#br0" timeOffset="2">7233 4748 24575,'284'-199'0,"-180"124"0,139-126 0,-204 169 0,-29 27 0,-2-1 0,2-1 0,-1 2 0,-3-2 0,12-12 0,-6 3-1365,-8 9-5461</inkml:trace>
  <inkml:trace contextRef="#ctx0" brushRef="#br0" timeOffset="3">2245 2422 24575,'5'0'0,"5"-6"0,24-4 0,11-9 0,6-5 0,3-8 0,5 1 0,2-6 0,4 0 0,-6-1 0,-2-1 0,-5 5 0,-9 3 0,-10 8 0,-8 6 0,-5 4 0,-5 3 0,-9 3-8191</inkml:trace>
  <inkml:trace contextRef="#ctx0" brushRef="#br0" timeOffset="4">2623 2187 24575,'27'28'0,"59"55"0,657 529-3594,-528-465 3555,-21-8 775,-115-77 63,80 82 0,-159-141-762,75 74 741,-18-21-536,75 63 0,19-12-242,74 61 0,-186-129 0,3 5 0,57 83 0,17 17 0,-88-116 0,-1 2 0,39 24 0,277 262 0,-332-304 0,79 68 0,-75-68 0,0-1 0,1-1 0,36 17 0,-37-20 0,2 3 0,-2-1 0,14 13 0,22 12 0,-43-28 0,1 0 0,-1 1 0,-2-1 0,14 14 0,11 10 0,-7-13 0,-1-1 0,52 24 0,-11-4 0,-24-13 0,-22-17 0,-2 2 0,27 22 0,113 106 0,-138-123-1365,-7-9-5461</inkml:trace>
  <inkml:trace contextRef="#ctx0" brushRef="#br0" timeOffset="5">6297 5587 24575,'44'-57'0,"-1"12"0,0 1 0,3 4 0,1 0 0,1 4 0,93-53 0,-78 52 0,56-28 0,-85 45 92,-27 16-456,0-2 0,0 1-1,14-2 1,-10 3-6462</inkml:trace>
  <inkml:trace contextRef="#ctx0" brushRef="#br0" timeOffset="6">2606 2143 24575,'-34'-26'0,"3"-3"0,-61-59 0,27 25 0,-624-549-885,519 486 930,136 98 109,4-3-1,1 2 1,-47-64 0,-7-7 71,73 88-225,-14-14 0,-2-1 0,3 4 0,-31-24 0,-138-92 0,10 2 0,163 123 0,4-4 0,-3 2 0,-15-20 0,2-5 0,24 31 0,-1 1 0,-6-12 0,7 11 0,1-1 0,-9-10 0,11 18 0,-1 0 0,0 0 0,-1 0 0,1 0 0,0-1 0,0 1 0,0 1 0,-2 1 0,1 0 0,1 0 0,-11-1 0,6 0 0,-1 0 0,-18-8 0,2-4-1365,18 8-5461</inkml:trace>
  <inkml:trace contextRef="#ctx0" brushRef="#br0" timeOffset="7">422 229 24575,'-3'0'0,"-5"0"0,-6 3 0,-5 1 0,-7 5 0,-3 3 0,-2 0 0,-5 0 0,-1 5 0,4 4 0,-3 0 0,7-7 0,2-4 0,4-1 0,-1-5 0,4-1 0,8 0 0,2 0-8191</inkml:trace>
  <inkml:trace contextRef="#ctx0" brushRef="#br0" timeOffset="8">1 391 24575,'7'-2'0,"1"2"0,0-3 0,-2 1 0,2 1 0,0-1 0,2-3 0,-4 2 0,12-7 0,4-1 0,35-16 0,-22 10 0,0 1 0,58-18 0,-45 27 0,-35 3 0,0 1 0,-2-1 0,2 0 0,2 1 0,-5-1 0,4-2 0,-5 0 0,20-9 0,-3-3 0,1-1 0,1-1 0,30-8 0,-52 24 9,1-2-1,-2 1 1,1 2-1,0-2 0,-1 0 1,-2-1-1,3 0 1,-3 1-1,2-1 1,5-9-1,21-24-1466,-21 28-5368</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8T06:57:06.783"/>
    </inkml:context>
    <inkml:brush xml:id="br0">
      <inkml:brushProperty name="width" value="0.05" units="cm"/>
      <inkml:brushProperty name="height" value="0.05" units="cm"/>
      <inkml:brushProperty name="color" value="#E71224"/>
    </inkml:brush>
  </inkml:definitions>
  <inkml:trace contextRef="#ctx0" brushRef="#br0">32 1 24575,'-5'12'0,"2"0"0,1-1 0,-1 25 0,0-5 0,-1-1 0,-1 10 0,1-1 0,2 44 0,2-82 0,0 2 0,0-1 0,0-1 0,1 1 0,-1-1 0,0 0 0,0 0 0,1 2 0,-1-2 0,1-1 0,0 1 0,-1 0 0,1 0 0,0 0 0,0 0 0,0 0 0,0 2 0,-1-2 0,2-1 0,-2 1 0,1-1 0,0 0 0,1 1 0,-1 0 0,0-1 0,0 2 0,1-1 0,-1-1 0,0 0 0,0 1 0,0-1 0,0 0 0,2 0 0,-2 0 0,2 0 0,5 0 0,3 0 0,-2-1 0,0 0 0,16-3 0,-1-3 0,103 4 0,-42 2 0,-36-8-1365,-36 6-5461</inkml:trace>
  <inkml:trace contextRef="#ctx0" brushRef="#br0" timeOffset="1">3553 2432 24575,'-16'122'0,"7"-55"0,-30 308 0,36-357 0,3-16 0,-1 1 0,0 0 0,1 1 0,0-2 0,-1 2 0,1-1 0,0 0 0,0-3 0,1 4 0,-1 0 0,0-2 0,2 6 0,-2-8 0,1 0 0,-1 0 0,1 0 0,0 1 0,-1-1 0,0 0 0,2 0 0,-2 0 0,1 0 0,0 0 0,-1 0 0,0 0 0,1 0 0,-1 0 0,1 0 0,-1 0 0,0 0 0,1 0 0,0 0 0,-1 0 0,1 0 0,-1 0 0,0 0 0,1 0 0,0 0 0,-1-1 0,0 1 0,18-9 0,-15 7 0,13-5 0,-3-2 0,3 2 0,-1 0 0,2 4 0,-2-3 0,1-1 0,1 5 0,-1 0 0,-1-1 0,30 1 0,25 4-1365,-57-2-5461</inkml:trace>
  <inkml:trace contextRef="#ctx0" brushRef="#br0" timeOffset="2">3987 2992 24575,'-42'-12'0,"24"9"0,2 2 0,-3 1 0,-18 1 0,31-1 0,1 1 0,0-1 0,-1 3 0,1-2 0,0 1 0,0-1 0,-1 2 0,1-1 0,1 0 0,-2 1 0,1-1 0,2 0 0,-9 9 0,11-9 0,0-1 0,-1 0 0,2 0 0,-2-1 0,2 1 0,-1 2 0,1-2 0,-1 1 0,1-1 0,-1 1 0,-1 0 0,1-1 0,1 1 0,0 0 0,0-1 0,0 1 0,0 0 0,0-1 0,0 3 0,0-1 0,1-1 0,1 1 0,-1 1 0,0-2 0,-1-1 0,1 1 0,1 0 0,-1-1 0,1 3 0,0-2 0,3 4 0,1-2 0,0 4 0,2-3 0,-2 1 0,2 0 0,0 0 0,12-1 0,101 45 0,-120-50 0,0 1 0,0 0 0,1-1 0,-1 1 0,0 3 0,0-4 0,1 1 0,-2 0 0,1-1 0,0 0 0,0 1 0,0 0 0,0 1 0,0-2 0,0 2 0,0-2 0,-1 2 0,1 0 0,-1-1 0,1 1 0,0-2 0,-1 2 0,0-1 0,0 1 0,0-1 0,0 1 0,0-1 0,0 1 0,0-1 0,0 0 0,0 1 0,0 1 0,-1-1 0,0 2 0,0-2 0,0 0 0,-1 2 0,1-2 0,0 1 0,-1-1 0,1 0 0,-1 1 0,1-2 0,-1 0 0,-1 1 0,2 0 0,-1 0 0,0 1 0,-1-2 0,-3 4 0,0-3 14,-2 0 1,1 0-1,0-1 0,2 2 0,-3-3 1,-12 2-1,-41-2-959,53 0 425,-8-1-6306</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8T06:57:06.786"/>
    </inkml:context>
    <inkml:brush xml:id="br0">
      <inkml:brushProperty name="width" value="0.05" units="cm"/>
      <inkml:brushProperty name="height" value="0.05" units="cm"/>
      <inkml:brushProperty name="color" value="#E71224"/>
    </inkml:brush>
  </inkml:definitions>
  <inkml:trace contextRef="#ctx0" brushRef="#br0">1 73 24575,'14'-15'0,"-10"11"0,-1 1 0,2-2 0,-1 2 0,0-1 0,1 0 0,5-1 0,-1 0 0,0 1 0,0 0 0,1 1 0,1 0 0,-2 1 0,1-1 0,17 0 0,5 1 0,37 3 0,-36-1 0,-28 0 0,-1 0 0,0 1 0,-1-1 0,2 1 0,-1 0 0,0 0 0,0-1 0,-1 2 0,1 0 0,0-1 0,0 1 0,-1-1 0,1 1 0,-1 1 0,0-1 0,1 1 0,-2-1 0,1 1 0,4 3 0,-4-1 0,0 0 0,0-1 0,0 1 0,-1 0 0,0 0 0,0 1 0,0-2 0,-1 2 0,0-1 0,0 1 0,-1-2 0,1 12 0,-1-1 0,1-7 0,-1 1 0,0 0 0,-1 0 0,0 0 0,0-1 0,-3 9 0,1-13 0,1-1 0,-1 0 0,0 1 0,0-3 0,0 3 0,0-1 0,-1 0 0,0-2 0,0 1 0,0 1 0,1-1 0,-5 1 0,-9 5 0,5-1 0,1-3 0,-1 2 0,-1-2 0,0 0 0,2 0 0,-28 2 0,12-2 0,-37 0 0,441-4 0,-373 0-227,1 0-1,0 0 1,0 1-1,-1 0 1,10 2-1,1 2-6598</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8T06:57:06.787"/>
    </inkml:context>
    <inkml:brush xml:id="br0">
      <inkml:brushProperty name="width" value="0.05" units="cm"/>
      <inkml:brushProperty name="height" value="0.05" units="cm"/>
      <inkml:brushProperty name="color" value="#E71224"/>
    </inkml:brush>
  </inkml:definitions>
  <inkml:trace contextRef="#ctx0" brushRef="#br0">1 1 24575,'-1'326'0,"1"-324"0,0 1 0,0-1 0,0 1 0,1-1 0,-1 1 0,0-1 0,0 1 0,1-1 0,1 1 0,-2-1 0,1 0 0,1 1 0,-2-1 0,4 4 0,-3-5 0,1 1 0,0-2 0,0 2 0,0-1 0,0 0 0,0 0 0,0 0 0,1 0 0,-1-1 0,-1 1 0,1-1 0,1 0 0,-1 1 0,0-1 0,0 0 0,5 0 0,105-2-1365,-96 2-5461</inkml:trace>
  <inkml:trace contextRef="#ctx0" brushRef="#br0" timeOffset="1">271 256 24575,'2'0'0,"1"0"0,-1 1 0,1 0 0,-1-1 0,1 1 0,-1 0 0,0 0 0,1 0 0,-1 1 0,1-1 0,-1 0 0,0 1 0,0-1 0,0 0 0,0 1 0,0 0 0,0 0 0,-1 0 0,0 0 0,1 1 0,-1-1 0,1 0 0,-1 0 0,0 0 0,0 1 0,0-1 0,1 5 0,1 1 0,-2-1 0,1 1 0,-1 0 0,0-1 0,-1 1 0,1-1 0,-2 1 0,1 9 0,-1-14 0,0-1 0,1 2 0,-2-1 0,1 0 0,0-1 0,-1 1 0,1 0 0,0-1 0,-1 1 0,0-1 0,0 1 0,0-1 0,-4 4 0,-2 1 0,0-1 0,-16 10 0,-7 5 0,31-21 0,-1 0 0,1 1 0,-1-1 0,1 0 0,0 0 0,0 0 0,-1 1 0,1-1 0,-1 1 0,1-1 0,-1 1 0,1-1 0,0 0 0,0 1 0,0-1 0,-1 1 0,1-1 0,0 1 0,0-1 0,-1 0 0,1 1 0,0 0 0,0-1 0,0 1 0,0-1 0,0 1 0,0-1 0,0 1 0,0-1 0,0 0 0,0 1 0,0-1 0,1 1 0,0 0 0,-1-1 0,2 2 0,-1-1 0,-1-1 0,2 0 0,-2 1 0,2 0 0,-1-1 0,0 0 0,0 1 0,0-1 0,0 1 0,1-1 0,41 4 0,-43-4 0,49 3 0,0 2 0,65 16 0,-111-21 0,-1 1 0,0-1 0,0 1 0,1 0 0,-1 0 0,1 1 0,-1-2 0,0 2 0,2 2 0,-4-4 0,0 0 0,0 0 0,1 1 0,-1-1 0,0 0 0,0 1 0,1-1 0,-1 0 0,0 0 0,0 0 0,1 0 0,-1 1 0,0-1 0,0 1 0,0-1 0,0 0 0,0 1 0,0-1 0,0 0 0,0 0 0,0 1 0,0-1 0,0 0 0,0 1 0,0-1 0,0 1 0,0-1 0,0 0 0,0 1 0,-1-1 0,0 1 0,0 0 0,1-1 0,-1 0 0,0 1 0,0-1 0,1 1 0,-1-1 0,0 0 0,0 1 0,0-1 0,0 0 0,1 1 0,-2-1 0,0 0 0,-13 2 22,-2 0 0,1-2-1,-30-1 1,34-1-204,-1 2 1,0-1-1,1 2 1,-1-1-1,0 2 1,1 0-1,-16 5 1,13-2-6645</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8T06:57:06.789"/>
    </inkml:context>
    <inkml:brush xml:id="br0">
      <inkml:brushProperty name="width" value="0.05" units="cm"/>
      <inkml:brushProperty name="height" value="0.05" units="cm"/>
    </inkml:brush>
  </inkml:definitions>
  <inkml:trace contextRef="#ctx0" brushRef="#br0">1534 436 24575,'1'79'0,"-2"91"0,-6-111 0,0 26 0,8 552-1365,-1-620-5461</inkml:trace>
  <inkml:trace contextRef="#ctx0" brushRef="#br0" timeOffset="1">1475 409 24575,'-1'0'0,"0"0"0,0 0 0,0 1 0,0-1 0,0 1 0,1-1 0,-1 0 0,-1 0 0,2 1 0,-1 0 0,0-1 0,1 1 0,0-1 0,-1 2 0,0-2 0,0 0 0,1 0 0,0 0 0,-1 1 0,-1 0 0,2-1 0,-1 1 0,1 2 0,-11 23 0,7-12 0,-3 1 0,-18 22 0,17-24 0,0 1 0,-12 21 0,4 6 0,-26 54 0,39-88 0,1-5 0,2-3 0,7-20 0,-4 3 0,0 3 0,1 0 0,0 1 0,12-18 0,0-7 0,-12 28 0,1 3 0,0-1 0,11-15 0,-11 17 0,0 0 0,-1-2 0,2-1 0,5-14 0,-5 0 0,-3 16 0,-2-1 0,2 2 0,-1 0 0,0 1 0,2-3 0,7-11 0,7-5 0,22-42 0,-39 65 0,0 0 0,1-1 0,-1 1 0,1 0 0,-1-1 0,1 1 0,-1 0 0,0 0 0,1 0 0,3-1 0,-5 3 0,0 0 0,1-2 0,0 2 0,0 0 0,-1 0 0,0 0 0,1 0 0,0 0 0,0 0 0,-1 0 0,0 0 0,2-1 0,-1 1 0,0 1 0,-1-1 0,0 0 0,1 0 0,0 0 0,-1 0 0,1 0 0,1 2 0,-2-2 0,1 0 0,1 1 0,-2 0 0,0-1 0,0 1 0,1 0 0,-1 0 0,1-1 0,0 1 0,1 0 0,-2 1 0,1-1 0,0 1 0,19 45 0,19 66 0,-30-87 0,16 76 0,-21-75 0,-4-25-151,1 1-1,0 0 0,0-1 0,0 1 1,0 0-1,1 0 0,-2-1 1,4 8-1,6 1-6674</inkml:trace>
  <inkml:trace contextRef="#ctx0" brushRef="#br0" timeOffset="2">1430 1311 24575,'-1'0'0,"1"-1"0,-1 1 0,1 0 0,0 0 0,0 0 0,0 0 0,-1 0 0,1 0 0,-1 0 0,1 0 0,0 0 0,-1 0 0,1 0 0,0 0 0,0 0 0,0 0 0,-1 1 0,1-1 0,-1 0 0,1 0 0,0 0 0,0 1 0,0-1 0,0 0 0,-1 0 0,1 0 0,0 0 0,0 0 0,-1 1 0,1-1 0,0 0 0,0 1 0,0-1 0,0 0 0,0 1 0,6 8 0,16 6 0,-7-9 0,1 4 0,-1-2 0,0 2 0,0-2 0,-3 3 0,2 2 0,13 12 0,-17-14 0,0-3 0,0-1 0,-1 0 0,17 9 0,-13-5 0,-3-4 0,23 20 0,-20-17 0,-3-1 0,2-2 0,0 2 0,2 1 0,20 7 0,-18-9 0,3 3 0,-1 1 0,0 2 0,18 15 0,-21-16 0,1 0 0,0-2 0,39 22 0,-25-15 0,2 1 0,33 28 0,-42-32 0,-4 0 0,-15-10 0,0-2 0,1 0 0,0 1 0,1 0 0,0-1 0,1-1 0,-2 0 0,10 4 0,98 28 0,-35 5 0,-66-35 0,-4 2 0,14 8 0,-12-8 0,-2 0 0,2-3 0,15 9 0,-10-8-115,-1 1-301,1-2-1,15 11 0,-12-5-6409</inkml:trace>
  <inkml:trace contextRef="#ctx0" brushRef="#br0" timeOffset="3">2522 1866 24575,'6'0'0,"-1"1"0,0-1 0,0 2 0,8 1 0,-2 1 0,0 1 0,-2-1 0,-1 1 0,0 0 0,0-1 0,0 0 0,-1 1 0,-1 0 0,0 2 0,2 0 0,9 9 0,-7-6 0,-2 1 0,1-1 0,23 12 0,-14-10 0,0-1 0,-2 0 0,1 2 0,-3 2 0,24 21 0,-37-36 0,0 1 0,0 0 0,-1 0 0,1-1 0,-1 1 0,1 0 0,-1 0 0,0 0 0,1 0 0,-1-1 0,0 2 0,0-1 0,0-1 0,0 1 0,0 1 0,0-2 0,0 1 0,0 0 0,0 0 0,0 0 0,0-1 0,0 2 0,0-2 0,0 3 0,0-3 0,-1 0 0,1 1 0,-2 1 0,2-1 0,-1 0 0,0-1 0,0 1 0,0 0 0,0-1 0,0 1 0,0-1 0,0 1 0,0-1 0,0 1 0,0-1 0,-2 1 0,-6 0 0,-2 0 0,3 0 0,-17-1 0,20-1 0,-405 0-461,343 1-443,52 0-5922</inkml:trace>
  <inkml:trace contextRef="#ctx0" brushRef="#br0" timeOffset="4">3038 2244 24575,'0'4'0,"5"1"0,1-5 0,4-2 0,1 0 0,4-1 0,0-6 0,5-5 0,-3-2 0,3 0 0,0-3 0,-1 1 0,-1-2 0,-1 3-8191</inkml:trace>
  <inkml:trace contextRef="#ctx0" brushRef="#br0" timeOffset="5">3023 2041 24575,'0'3'0,"1"2"0,0-1 0,-1-2 0,0 1 0,2-1 0,-1 2 0,1 1 0,-1-3 0,5 6 0,23 27 0,-25-29 0,27 28 0,-23-27 0,-1-1 0,0 1 0,0 1 0,-2 1 0,11 14 0,8 20 0,29 39 0,13 6 0,-55-74 0,-6-9-227,-3 0-1,0-2 1,0 0-1,0 1 1,3 7-1,-1 4-6598</inkml:trace>
  <inkml:trace contextRef="#ctx0" brushRef="#br0" timeOffset="6">1898 1 24575,'0'154'0,"0"-149"0,1 1 0,1-1 0,-1-2 0,0 2 0,0 0 0,1 1 0,0-3 0,2 1 0,-2 2 0,1-2 0,5 7 0,13 19 0,1 24 0,-14-35 0,19 37 0,-15-34 0,19 28 0,-27-43 0,0-4 0,0 1 0,-1 1 0,2-1 0,0 0 0,1-1 0,3 5 0,-8-6 0,1 0 0,-1-2 0,1 2 0,0-2 0,-1 1 0,2-1 0,-2 2 0,1-2 0,0 0 0,-1 1 0,1-1 0,1 0 0,-2 0 0,1 0 0,0 0 0,-1-1 0,1 1 0,1 0 0,-1 0 0,-1-2 0,1 1 0,-1 1 0,1-1 0,0 0 0,-1 1 0,1-3 0,-1 2 0,2 0 0,-1 0 0,-1 0 0,2-3 0,4-2 0,1-3 0,-1 2 0,-2-2 0,7-13 0,0 1 0,-3 11 0,-1-2 0,-2 1 0,0-2 0,-1 2 0,-1 0 0,0-2 0,2 2 0,-4-4 0,1 3 0,1-20 0,-4 31 0,3-17 0,-3 17 0,1 0 0,-1 1 0,0-2 0,0 1 0,0 0 0,0 0 0,0 0 0,0 0 0,1 1 0,0 0 0,-1-1 0,1 0 0,-1 0 0,1 1 0,-1-1 0,1 1 0,-1-1 0,1 1 0,0 0 0,1-2 0,-2 2 0,1 0 0,-1 0 0,0 0 0,0 0 0,1 0 0,-1 0 0,0 0 0,0 0 0,0 0 0,0 0 0,0 0 0,1 0 0,-1 0 0,0 0 0,0 0 0,1 0 0,-1 0 0,0 0 0,0 0 0,1 0 0,-1 1 0,0-1 0,0 0 0,0 0 0,0 0 0,0 0 0,0 1 0,0-1 0,0 0 0,1 0 0,-1 0 0,0 0 0,0 0 0,0 0 0,0 0 0,0 0 0,1 0 0,-1 0 0,0 0 0,0 0 0,0 1 0,0-1 0,0 0 0,0 1 0,0-1 0,0 0 0,0 0 0,0 0 0,0 0 0,0 0 0,0 0 0,0 1 0,0-1 0,0 0 0,-1 0 0,1 1 0,0-1 0,-5 11 0,-3-3 0,1 2 0,-1 3 0,1-3 0,1 2 0,2 0 0,-1 1 0,-1-3 0,3 3 0,0-1 0,-3 15 0,4-20 0,-2 2 0,1-2 0,0 1 0,1 0 0,-2 1 0,-5 6 0,-1 4 0,-23 23 0,13-20 0,15-17 0,1 0 0,-1 1 0,1 1 0,0-6 0,0 5 0,0 0 0,2 0 0,-1 0 0,-1 2 0,-1 5 0,4-6 0,-1 3 0,0-2 0,-1-2 0,1 2 0,0-2 0,-2 2 0,1-3 0,-2 3 0,-8 8 0,8-9 0,0 2 0,0 0 0,1-1 0,1 2 0,-1-3 0,2 3 0,-1-3 0,1 4 0,-2 16 0,-8 22 0,6-34-1365,1-5-5461</inkml:trace>
  <inkml:trace contextRef="#ctx0" brushRef="#br0" timeOffset="7">653 1810 24575,'0'0'0,"0"2"0,1-2 0,-1 0 0,1 1 0,0 0 0,-1-1 0,0 1 0,1-1 0,0 1 0,-1 0 0,0 0 0,1-1 0,0 1 0,0 0 0,0-1 0,0 1 0,0-1 0,-1 1 0,1-1 0,0 1 0,0-1 0,0 0 0,0 0 0,0 1 0,0-1 0,-1 0 0,1 0 0,0 0 0,0 0 0,0 0 0,0 0 0,0 0 0,-1 0 0,3-1 0,-2 1 0,-1 0 0,2 0 0,-1 0 0,-1-1 0,1 1 0,0-1 0,0 0 0,0 1 0,2-2 0,1-2 0,2 0 0,-1-3 0,0 3 0,9-13 0,-7 7 0,2 3 0,1-2 0,1 3 0,16-12 0,5-5 0,50-29 0,-28 19 0,-39 22 0,0 0 0,-1 0 0,29-31 0,-40 38 0,4 1 0,-1-1 0,0-2 0,-1 3 0,1 1 0,0-2 0,10-4 0,-9 5 0,0-1 0,1 1 0,0-2 0,7-5 0,-3-3 0,14-8 0,39-24 0,-54 39 0,-1-3 0,0 5 0,1-2 0,2 3 0,-3-2 0,2 3 0,19-5 0,-22 5 0,-1 0 0,1 0 0,-1-1 0,0-1 0,-1 0 0,14-8 0,24-11 0,-25 15 0,-1 2 0,1 0 0,0 0 0,34-2 0,-36 5 0,3-2 0,-2 1 0,-3 0 0,3-2 0,17-9 0,42-10 0,-66 21-455,0 0 0,19-10 0,-14 6-6371</inkml:trace>
  <inkml:trace contextRef="#ctx0" brushRef="#br0" timeOffset="8">669 1910 24575,'-1'-42'0,"0"-8"0,11-90 0,-7 117 0,-3 18 0,0 1 0,0-1 0,1 1 0,-1 1 0,0-1 0,2 0 0,-1-1 0,0 1 0,1 0 0,1 0 0,-2 1 0,4-8 0,-5 11 0,0-1 0,0 1 0,1 0 0,-1 0 0,0 0 0,0 0 0,0 0 0,0 0 0,0 0 0,0 0 0,1 0 0,-1 0 0,0 0 0,1 0 0,-1 0 0,0 0 0,0 0 0,1 0 0,-1 0 0,0 0 0,0 0 0,0 0 0,0 0 0,1 0 0,-1 0 0,0 0 0,1 0 0,-1 0 0,0 0 0,1 0 0,-1 0 0,0 0 0,0 0 0,0 0 0,0 0 0,1 0 0,2 8 0,0 15 0,-7-11 0,1 2 0,-8 20 0,5-24 0,2 4 0,-1-4 0,2 3 0,-2 13 0,3 21 0,2-31 0,-1-1 0,-1-1 0,-4 20 0,6-33 0,0-1 0,0 0 0,0 3 0,0-3 0,-1 1 0,1-1 0,0 1 0,0-1 0,0 2 0,0-2 0,0 0 0,0 0 0,0 1 0,0-1 0,0 1 0,0-1 0,1 1 0,-1 0 0,9-1 0,-4-3 0,26-2-25,-3-1 0,3 2 0,-3 2 0,59 4 1,-26 0-1217,-45-2-5585</inkml:trace>
  <inkml:trace contextRef="#ctx0" brushRef="#br0" timeOffset="9">1 1355 24575,'0'-1'0,"0"-1"0,1 2 0,-1-2 0,0 1 0,1 0 0,0-1 0,-1 1 0,1-1 0,-1 2 0,1 0 0,1-1 0,-2 0 0,1 1 0,0-1 0,0-1 0,0 2 0,-1 0 0,1-1 0,0 1 0,1 0 0,-2 0 0,2-1 0,-1 1 0,0-1 0,0 1 0,3 0 0,32-6 0,157 1 0,-96 9 0,-80-5 0,-11 1 0,1 0 0,-2 0 0,4 0 0,11 3 0,-18-3 0,-2 0 0,2 2 0,-1-2 0,2 0 0,-3 0 0,1 1 0,0 0 0,1 0 0,-1-1 0,0 1 0,-1 0 0,2-1 0,0 1 0,-1-1 0,0 2 0,0-1 0,0 0 0,0 0 0,0-1 0,-1 2 0,1-1 0,0 2 0,-1-2 0,0 1 0,1-1 0,0 3 0,0 4 0,0-1 0,0-1 0,-1 1 0,0 0 0,-1 2 0,0-1 0,1-2 0,-2 1 0,0-1 0,1 1 0,-2 2 0,-4 3 0,2-3 0,0 1 0,0-2 0,-1 2 0,-1-2 0,-1-1 0,1 0 0,-15 13 0,15-12 0,-2-4 0,3 1 0,-13 17 0,18-22 0,1 1 0,0 0 0,-1 0 0,1-1 0,0 1 0,0 0 0,0-1 0,-1 1 0,1 0 0,0 0 0,0-1 0,1 1 0,-1 0 0,0 0 0,0-1 0,0 1 0,1 0 0,-1 1 0,0-2 0,1 0 0,-1 1 0,0 0 0,0-1 0,1 0 0,-1 1 0,1 0 0,0 0 0,-1-1 0,0 0 0,2 0 0,-1 0 0,0 0 0,-1 1 0,0-1 0,1 0 0,0 0 0,-1 1 0,3 0 0,27 11 0,-10-7-9,5-2-1,-6-1 1,5 0-1,1 0 1,33-6-1,1 2-1298,-42 2-5518</inkml:trace>
  <inkml:trace contextRef="#ctx0" brushRef="#br0" timeOffset="10">229 1428 24575,'0'-1'0,"0"-1"0,1 2 0,-1-1 0,1 0 0,-1 0 0,0 0 0,0 0 0,1 0 0,0 1 0,0-2 0,0 2 0,0-2 0,0 1 0,-1 1 0,2-1 0,-1 1 0,-1-1 0,2 0 0,-2 0 0,2 1 0,-2-1 0,2 1 0,0 0 0,-2-1 0,2 1 0,1-1 0,2 1 0,1-2 0,0-1 0,0 2 0,8 0 0,0 2 0,1 0 0,-1 4 0,2-4 0,-2 3 0,17 5 0,19 4 0,-2-3 0,-30-8 0,0 1 0,31 9 0,-31-5-1365,-1 0-5461</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8T06:57:06.800"/>
    </inkml:context>
    <inkml:brush xml:id="br0">
      <inkml:brushProperty name="width" value="0.05" units="cm"/>
      <inkml:brushProperty name="height" value="0.05" units="cm"/>
      <inkml:brushProperty name="color" value="#E71224"/>
    </inkml:brush>
  </inkml:definitions>
  <inkml:trace contextRef="#ctx0" brushRef="#br0">180 1367 24575,'1'-2'0,"0"0"0,-1-1 0,1 0 0,0-2 0,0 3 0,0 0 0,0 0 0,1-1 0,-1 1 0,1-1 0,-1 2 0,2-2 0,-2 0 0,1 2 0,0-2 0,1 1 0,-1 1 0,0 0 0,0-1 0,1 1 0,2-2 0,6-4 0,1 1 0,0 1 0,17-6 0,20 1 0,-35 7 0,30-9 0,-11 1 0,-22 9 0,-2-2 0,1 1 0,11-5 0,34-19-1365,-38 19-5461</inkml:trace>
  <inkml:trace contextRef="#ctx0" brushRef="#br0" timeOffset="1">226 1265 24575,'0'0'0,"0"0"0,0 0 0,0 0 0,0 2 0,0-2 0,0 0 0,0 0 0,0 0 0,0 0 0,0 0 0,0 0 0,0 0 0,0 0 0,0 1 0,0-1 0,0 0 0,0 1 0,0-1 0,0 0 0,1 0 0,-1 0 0,0 0 0,0 1 0,1-1 0,-1 0 0,0 0 0,0 1 0,0-1 0,0 0 0,0 0 0,1 0 0,-1 1 0,0-1 0,1 0 0,-1 0 0,1 0 0,-1 0 0,11-5 0,-10 5 0,0 0 0,0-2 0,0 2 0,0-1 0,-1 0 0,1 0 0,0 0 0,0 0 0,-1 0 0,1 0 0,0 0 0,-1 0 0,1 0 0,-1 0 0,0 0 0,0-1 0,1 2 0,-1-1 0,0 0 0,0 1 0,1-6 0,-1 6 0,0 0 0,-1 0 0,1 0 0,0 0 0,0-1 0,0 1 0,0 0 0,0 0 0,0 0 0,0-1 0,0 1 0,-1 0 0,1 0 0,0 0 0,0 0 0,0-1 0,0 1 0,0 0 0,0 0 0,0 0 0,0 0 0,0 0 0,-1 0 0,1 0 0,0 0 0,0 0 0,0 0 0,-1 0 0,1 0 0,0 0 0,0 0 0,-1 0 0,1 0 0,0 0 0,0 0 0,0 0 0,0 0 0,0 0 0,0 0 0,0 0 0,-1 0 0,1 0 0,0 0 0,-7 9 0,-2 9 0,-8 54 0,16-71 0,1 1 0,0-1 0,0 2 0,0-3 0,0 2 0,0-1 0,0 0 0,1 0 0,-1 0 0,0 2 0,1 0 0,-1-2 0,1 1 0,0-1 0,0 0 0,-1 0 0,1 0 0,0 0 0,0 0 0,0 0 0,0 0 0,0 0 0,0 0 0,0 0 0,0 1 0,1-2 0,-1 1 0,1 2 0,-1-3 0,0 1 0,0-1 0,1 0 0,-1 0 0,1 0 0,-1 0 0,3 1 0,7 1 0,-1 0 0,1-1 0,0-1 0,12 0 0,-16 0 0,201-3-1365,-191 3-5461</inkml:trace>
  <inkml:trace contextRef="#ctx0" brushRef="#br0" timeOffset="2">120 1175 24575,'0'-764'0,"-1"742"0,-5-32 0,-2-18 0,2 18-1365,3 37-5461</inkml:trace>
  <inkml:trace contextRef="#ctx0" brushRef="#br0" timeOffset="3">90 171 24575,'-1'3'0,"1"-1"0,-1 1 0,0 0 0,0-1 0,0-1 0,0 1 0,-1 0 0,1 0 0,-1 0 0,0 1 0,-2 0 0,-8 14 0,7-4 0,0 1 0,0 0 0,2-1 0,-4 25 0,1 58 0,4-53 0,-2 1 0,-11 53 0,11-82 0,1-13 0,2-9 0,1-2 0,1 0 0,-1 0 0,2 0 0,-1 0 0,2 3 0,-1-6 0,1 6 0,0-3 0,1 0 0,5-9 0,11-25 0,-17 29 0,1 1 0,2-15 0,-6 20 0,3-1 0,-2-2 0,2 3 0,0-2 0,0 3 0,7-14 0,1 0 0,-1 0 0,-1 0 0,-1 0 0,-1-1 0,-1-1 0,6-34 0,-11 11 0,-1 37 0,0 1 0,0-1 0,1 2 0,0-3 0,3-12 0,-4 22 0,1-2 0,0 1 0,0 0 0,-1-1 0,2 1 0,-2-1 0,1 1 0,1-1 0,-2 1 0,2-2 0,-1 2 0,1 1 0,-2 0 0,2-2 0,-1 1 0,1 1 0,2-3 0,-3 3 0,0 0 0,-1 0 0,2 0 0,-1-1 0,-1 1 0,1 0 0,0 0 0,0 0 0,0 0 0,0 0 0,-1 1 0,1-1 0,0 0 0,0 0 0,0 0 0,0 0 0,0 1 0,-1-1 0,1 1 0,0-1 0,0 1 0,-1-1 0,1 0 0,0 1 0,-1 0 0,1 0 0,-1-1 0,1 0 0,0 0 0,-1 1 0,0-1 0,1 3 0,-1-2 0,1-1 0,0 3 0,5 16 0,0-2 0,-1 1 0,-1 1 0,2 28 0,-1-18 0,-3-8 0,-1 44 0,-1-42 0,3 32 0,-1-44 11,0-4 0,1 1 0,1 0 0,-1-1-1,1 2 1,0-2 0,9 12 0,8 16-1463,-13-19-5374</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28T06:57:06.804"/>
    </inkml:context>
    <inkml:brush xml:id="br0">
      <inkml:brushProperty name="width" value="0.05" units="cm"/>
      <inkml:brushProperty name="height" value="0.05" units="cm"/>
      <inkml:brushProperty name="color" value="#E71224"/>
    </inkml:brush>
  </inkml:definitions>
  <inkml:trace contextRef="#ctx0" brushRef="#br0">61 1373 24575,'0'-1207'0,"0"1217"0,-1-2 0,0 1 0,-2 0 0,1 0 0,0-2 0,-1 3 0,-6 10 0,-2 8 0,-13 61 0,24-89 0,0 0 0,0 0 0,0 0 0,0 0 0,0 0 0,0 0 0,0 0 0,0 0 0,-1 0 0,1 0 0,0 0 0,0 0 0,0 0 0,0 0 0,0 0 0,0 0 0,0 0 0,0 0 0,0 0 0,0 0 0,0 0 0,0 0 0,0 0 0,0 0 0,0 0 0,0 0 0,0 0 0,0 0 0,0 0 0,0 0 0,-1 0 0,1 0 0,0 0 0,0 1 0,0-1 0,0 0 0,0 0 0,0 0 0,0 0 0,0 0 0,0 0 0,0 0 0,0 0 0,0 0 0,0 0 0,0 1 0,0-1 0,0 0 0,0 0 0,0 0 0,0 0 0,0 0 0,0 0 0,0 0 0,0 1 0,-2-13 0,1-12 0,2-207 0,-1 222 0,1 0 0,1 2 0,-1-1 0,1-1 0,1 1 0,-1 0 0,1 0 0,1 1 0,4-10 0,-7 17 0,-1 0 0,0-1 0,1 0 0,-1 0 0,0 1 0,0 0 0,1-1 0,-1 0 0,1 1 0,-1-1 0,0 1 0,1 0 0,0-1 0,-1 1 0,1-1 0,-1 1 0,1-1 0,-1 1 0,1 0 0,0 0 0,-1 0 0,1 0 0,0 0 0,0-1 0,0 1 0,0 1 0,-1-1 0,0 0 0,1 0 0,0 1 0,-1-1 0,1 1 0,-1 0 0,1-1 0,-1 0 0,1 1 0,-1-1 0,1 1 0,-1 0 0,0-1 0,0 0 0,1 1 0,0 1 0,8 34 0,-8-34 0,2 10 0,1 3 0,1-3 0,0 3 0,0-3 0,12 21 0,-8-16 43,9 26 0,-6-10-1494,-6-19-5375</inkml:trace>
  <inkml:trace contextRef="#ctx0" brushRef="#br0" timeOffset="1">225 1269 24575,'0'-16'0,"-1"3"0,1-2 0,2 0 0,-1 1 0,4-16 0,-4 26 0,1 0 0,-1 0 0,0-1 0,2 0 0,-1 2 0,0-2 0,0 3 0,1-2 0,-1 0 0,1 0 0,1 0 0,-1 1 0,0 0 0,0 1 0,1-1 0,0 0 0,5-2 0,10-6 0,22-19 0,-30 21 0,1 0 0,0 1 0,0 1 0,0-1 0,22-7 0,-21 9 0,0 0 0,-1-1 0,1 0 0,-2 0 0,1-2 0,13-12 0,-15 12 0,1 1 0,0-1 0,-1 1 0,2 2 0,0-2 0,0 1 0,16-4 0,-21 9 0,-1 1 0,0-1 0,-1 0 0,1 0 0,0-1 0,0 1 0,-1-1 0,1-1 0,-1 2 0,5-7 0,34-28-1365,-33 26-5461</inkml:trace>
  <inkml:trace contextRef="#ctx0" brushRef="#br0" timeOffset="2">225 1001 24575,'0'14'0,"-1"0"0,1 0 0,-6 20 0,4-27 0,1-2 0,-1 1 0,-1 1 0,0 0 0,1-2 0,-2 1 0,0 0 0,1 0 0,-7 5 0,2 2 0,-1-2 0,2 2 0,0 0 0,-8 17 0,5-8 0,9-20 0,1-1 0,-1 0 0,0 0 0,1 1 0,-1-1 0,1 2 0,0-2 0,-1 1 0,1 0 0,0-1 0,0 1 0,0-1 0,0 1 0,0 0 0,0-1 0,1 3 0,-1-3 0,1 0 0,0 0 0,0-1 0,-1 1 0,1 0 0,0-1 0,-1 0 0,1 1 0,0 0 0,0 1 0,-1-2 0,2 0 0,-1 1 0,-1-1 0,1 1 0,0-1 0,0 0 0,0 1 0,0-1 0,0 0 0,0 0 0,0 0 0,0 0 0,0 0 0,0 0 0,0 0 0,0-1 0,2 0 0,8-2 0,0 1 0,0-2 0,-1 1 0,14-6 0,-14 4 0,0-1 0,1 3 0,0 1 0,16-5 0,-4 5 0,-15 2 0,-1-1 0,1 1 0,-1-2 0,1 1 0,-1-1 0,0 0 0,0-2 0,0 2 0,0-1 0,11-6 0,-14 6-85,5-5-171,1 2 0,-1 0 0,2 0 0,19-8 0,-14 10-6570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05T07:21:36.967"/>
    </inkml:context>
    <inkml:brush xml:id="br0">
      <inkml:brushProperty name="width" value="0.05" units="cm"/>
      <inkml:brushProperty name="height" value="0.05" units="cm"/>
    </inkml:brush>
  </inkml:definitions>
  <inkml:trace contextRef="#ctx0" brushRef="#br0">275 20 24575,'-8'41'0,"-2"-1"0,-1 0 0,-27 60 0,-62 103 0,98-200 0,-19 36 0,-2-2 0,-35 49 0,58-86 0,0 0 0,-1 0 0,1 0 0,-1 0 0,1 0 0,0 1 0,-1-1 0,1 0 0,0 1 0,0-1 0,0 1 0,0-1 0,0 0 0,0 0 0,0 0 0,-1 0 0,1 0 0,0 1 0,0-1 0,0 1 0,0-1 0,0 1 0,0-1 0,0 0 0,0 0 0,0 1 0,0-1 0,0 1 0,0-1 0,1 1 0,-1-1 0,0 0 0,0 0 0,11 4 0,25-9 0,-32 4 0,23-3 0,1 2 0,0 1 0,-1 1 0,1 1 0,0 1 0,0 1 0,42 13 0,447 112 0,-510-127 0,-2-1 0,0 2 0,0-1 0,1 1 0,-1-2 0,9 0 0,-14 0 0,1 0 0,-1 0 0,0 0 0,0 0 0,1 0 0,0 0 0,-1 0 0,0 0 0,0 0 0,1 0 0,-1 0 0,0 0 0,1-1 0,-1 1 0,0 0 0,0-1 0,1 1 0,-1 0 0,0-1 0,0 1 0,0 0 0,0 0 0,1 0 0,-1-2 0,0 2 0,0 0 0,1 0 0,-1 0 0,0 0 0,0-1 0,0 1 0,-2-14 0,-14-13 0,5 14 0,-3 2 0,2 0 0,-27-19 0,9 8 0,-120-83 0,138 96 0,2-2 0,-1 1 0,2 0 0,0-1 0,0-1 0,-10-18 0,-36-84 0,36 75 0,-101-228-1365,115 255-5461</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05T07:21:36.968"/>
    </inkml:context>
    <inkml:brush xml:id="br0">
      <inkml:brushProperty name="width" value="0.1" units="cm"/>
      <inkml:brushProperty name="height" value="0.1" units="cm"/>
      <inkml:brushProperty name="color" value="#004F8B"/>
    </inkml:brush>
  </inkml:definitions>
  <inkml:trace contextRef="#ctx0" brushRef="#br0">166 1 24575,'0'926'0,"-1"-939"0,-1 1 0,1 0 0,-2 0 0,-8-20 0,-1-8 0,12 36 0,-1-1 0,-1 2 0,0-2 0,1 0 0,-1 2 0,-1-1 0,1 0 0,-1 0 0,2 0 0,-2 0 0,-1 2 0,1-3 0,0 2 0,-6-5 0,3 4 0,-1-3 0,-1 1 0,1 1 0,-14-9 0,16 11 0,0 0 0,1 0 0,0 0 0,-5-6 0,-5-4 0,8 12 0,7 7 0,10 15 0,-11-21 0,14 25 0,-9-15 0,0 1 0,1-1 0,1 0 0,14 17 0,-13-18 0,0 1 0,8 13 0,1 3 0,-9-17 0,-2 2 0,8 16 0,-4-11 0,-10-16 0,0 0 0,0 0 0,0 0 0,0 1 0,0-1 0,0 0 0,0 1 0,0-1 0,0 0 0,0 0 0,1 0 0,-1 0 0,0 0 0,0 0 0,1 1 0,-1-1 0,0 0 0,0 0 0,0 0 0,0 1 0,0-1 0,0 0 0,1 0 0,-1 0 0,0 0 0,1 0 0,-1 0 0,0 1 0,1-1 0,-1 0 0,0 0 0,0 0 0,0 0 0,0 0 0,6-6 0,1-14 0,-1 0 0,0 0 0,2 0 0,0 0 0,1 2 0,24-35 0,-32 49 0,1 1 0,0-1 0,0 0 0,-1 0 0,2-7 0,-2 8 0,-1 1 0,1-1 0,0 0 0,0 1 0,-1-1 0,2 1 0,-1-1 0,0 2 0,0-1 0,1-1 0,-1 1 0,1 0 0,-1 0 0,2 0 0,-1 0 0,3-2 0,8-3 0,-12 7 0,-1 0 0,0 0 0,0 0 0,0 0 0,0 0 0,0 0 0,0 0 0,0 0 0,0 0 0,0 0 0,1 0 0,-1 0 0,0 0 0,0 0 0,0 1 0,0-1 0,0 0 0,1 0 0,-1 0 0,0 0 0,0 0 0,0 1 0,0-1 0,0 0 0,0 0 0,0 0 0,0 0 0,1 0 0,-1 0 0,0 0 0,0 0 0,0 0 0,0 1 0,0-1 0,0 0 0,0 0 0,0 0 0,0 0 0,0 1 0,0-1 0,0 0 0,0 0 0,0 0 0,-1 1 0,1-1 0,0 0 0,0 0 0,-12 25 0,6-11 0,-5 11 0,3 1 0,0 1 0,-4 27 0,5-30-1365</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05T07:21:36.969"/>
    </inkml:context>
    <inkml:brush xml:id="br0">
      <inkml:brushProperty name="width" value="0.1" units="cm"/>
      <inkml:brushProperty name="height" value="0.1" units="cm"/>
      <inkml:brushProperty name="color" value="#004F8B"/>
    </inkml:brush>
  </inkml:definitions>
  <inkml:trace contextRef="#ctx0" brushRef="#br0">1 974 24575,'4'0'0,"-1"-1"0,1 0 0,0 1 0,-1-2 0,1 1 0,0-1 0,3-2 0,10-4 0,201-74 0,139-99 0,-68 17 0,-262 152 0,-1 1 0,43-12 0,9-4 0,161-59 0,-139 53 0,159-43 0,-215 64 0,60-24 0,-87 28 0,0-2 0,0 0 0,-2 0 0,17-15 0,-14 12 0,-12 10 0,-1-1 0,0 0 0,0 0 0,0 0 0,0 0 0,0-1 0,-1 0 0,1 0 0,4-9 0,-9 13 0,1-1 0,-1 2 0,0-1 0,1 0 0,-1 0 0,0 0 0,0 0 0,0 1 0,0-1 0,-1-1 0,1 2 0,0-1 0,0-1 0,-1 2 0,1-1 0,0 0 0,0 0 0,-1 0 0,1 0 0,-1 1 0,0-2 0,1 1 0,-1 1 0,1-1 0,0 0 0,-1 1 0,0 0 0,1-1 0,-2 0 0,2 0 0,-1 1 0,0 0 0,0-1 0,1 1 0,-2-1 0,1 0 0,-6 0 0,0-2 0,1 1 0,-12-3 0,14 5 0,-91-16 0,0 2 0,-1 6 0,-110 4 0,241 14 0,140 11 0,-1-1 0,-17 17 0,-93-20 0,88 12 0,-135-26 0,-25 1 0,-28 2 0,32-5 0,-6 0 0,0 1 0,-1 0 0,1 1 0,-1 0 0,2 0 0,-2 1 0,3 0 0,-2 2 0,1-1 0,0 0 0,0 1 0,1 0 0,-15 14 0,-29 34 0,-23 26 0,25-25-1365,39-43-5461</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05T07:21:36.970"/>
    </inkml:context>
    <inkml:brush xml:id="br0">
      <inkml:brushProperty name="width" value="0.05" units="cm"/>
      <inkml:brushProperty name="height" value="0.05" units="cm"/>
    </inkml:brush>
  </inkml:definitions>
  <inkml:trace contextRef="#ctx0" brushRef="#br0">1 1 24575,'21'12'0,"94"61"0,42 42 0,60 54-1324,61 40-3971,1369 997 3532,-496-476 922,-660-484 2123,-5-4-9,-25 52-1273,-17 30 0,-412-300 0,517 350 0,-131-129 5600,-398-234-5053,30 27 1,-47-36-575,5 4 27,-2 0 0,2-2 0,8 4 0,18 9 0,85 74 0,10 4 0,29 20 0,-127-91 0,145 84 0,-121-81-1365,-41-19-5461</inkml:trace>
  <inkml:trace contextRef="#ctx0" brushRef="#br0" timeOffset="1">2150 1663 24575,'-40'222'0,"21"-134"0,-8 48-66,-103 438-561,130-569 631,-1-2 27,0-1 0,0 2 0,0-1 0,0 1 0,1 2 1,0 0-1,0-6-25,0 0 0,0 0 0,0 0 0,0 2 1,0-2-1,0 1 0,0-1 0,0 0 0,0 0 1,0 0-1,1 0 0,-1 1 0,0-1 0,0 0 0,1 1 1,-1-1-1,0 0 0,0 1 0,0-1 0,0 0 0,1 0 1,-1 0-1,0 0 0,1 0 0,-1 0 0,1 0 0,-1 0 1,0 0-1,15-3 171,4-4-156,2 0 0,-2 1 0,2 0 0,-1 4 0,29-4 1,106 3-44,-105 4 32,42-1-10,293 13 0,-378-13 0,17 2 0,-24-2 0,0 0 0,0 0 0,1 0 0,-1 0 0,0 0 0,0 0 0,0 0 0,0 0 0,0-1 0,0 1 0,0 0 0,0 0 0,0 0 0,2 0 0,-2 0 0,0 0 0,0 0 0,0 0 0,0-1 0,0 1 0,0 0 0,1 0 0,-1 0 0,0 0 0,0 0 0,0 0 0,0 0 0,0 0 0,0 0 0,0 0 0,0 0 0,0-1 0,0 1 0,0 0 0,0 0 0,0 0 0,0 0 0,0-1 0,0 1 0,0 0 0,0 0 0,0 0 0,0 0 0,0-1 0,-11-8 0,-5-5 0,1 1 0,0-1 0,3-1 0,-23-31 0,-44-75 0,-17-70 0,41 76 0,-18-22 0,68 131 0,1-4 0,-1 3 0,-2 2 0,2-3 0,-1 0 0,1 3 0,0 0 0,-3 0 0,-13-10 0,13 10 0,0-4 0,0 2 0,0-3 0,2 3 0,-12-18 0,11 15 0,-72-107-1365,74 108-5461</inkml:trace>
  <inkml:trace contextRef="#ctx0" brushRef="#br0" timeOffset="2">3807 2273 24575,'98'28'0,"-4"-2"0,-18 0 0,85 49 0,-110-45 0,50 37 0,8 2 0,-69-47 0,72 24 0,-99-42 0,23 9 0,1-1 0,50 3 0,4 4 0,-80-15-341,-3 1 0,3-4-1,12 11 1,-11-6-6485</inkml:trace>
  <inkml:trace contextRef="#ctx0" brushRef="#br0" timeOffset="3">3792 2289 24575,'7'23'0,"-4"-11"0,1-3 0,0 4 0,0-5 0,9 21 0,-9-15 0,-3-11 0,-1-2 0,2 2 0,-1 0 0,1-1 0,-1 0 0,1 1 0,0 0 0,-1 0 0,2-2 0,-1 1 0,4 2 0,-6-4 0,0 0 0,0 0 0,0 0 0,1 0 0,-1 0 0,0 0 0,0 0 0,1 0 0,-1 0 0,0 0 0,0 0 0,0 0 0,1 0 0,-1 0 0,0 0 0,0 0 0,0 0 0,0 0 0,0-1 0,0 1 0,0 0 0,0 0 0,0 0 0,1 0 0,-1 0 0,0 0 0,0 0 0,0 0 0,0 0 0,0 0 0,0 0 0,0-1 0,1 1 0,-1 0 0,0 0 0,0 0 0,0 0 0,0 0 0,0 0 0,0 0 0,0 0 0,0 0 0,0-11 0,-4-11 0,-20-70 0,-48-113 0,27 92 0,38 95 0,-2-7 0,9 25 0,0 0 0,0-1 0,0 1 0,0 0 0,0-1 0,0 1 0,0-1 0,0 1 0,0 0 0,0-2 0,0 2 0,1 0 0,-1 0 0,0 0 0,0 0 0,1-1 0,-1 1 0,0 0 0,0 0 0,1-2 0,-1 2 0,0 0 0,0 0 0,0 0 0,0 0 0,1 0 0,-1 0 0,1 0 0,-1 0 0,0 0 0,1 0 0,-1 0 0,0 0 0,0 0 0,0 0 0,0 0 0,0 0 0,0 0 0,1 0 0,-1 0 0,1 0 0,-1 0 0,0 0 0,0 0 0,15 5 0,110 34-16,8 5 108,-105-33-572,4-6-1,42 7 1,-55-11-6346</inkml:trace>
  <inkml:trace contextRef="#ctx0" brushRef="#br0" timeOffset="4">4091 2318 24575,'0'14'0,"2"1"0,1 0 0,0-2 0,1 3 0,0-4 0,1 2 0,6 12 0,-10-26 0,-1 0 0,0 1 0,0 0 0,0-1 0,0 1 0,1-1 0,-1 0 0,0 1 0,1-1 0,-1 1 0,0-1 0,0 0 0,0 1 0,1-1 0,-1 2 0,1-2 0,-1 0 0,1 0 0,-1 0 0,0 1 0,1-1 0,-1 0 0,1 0 0,3-9 0,-4-20 0,-7-22 0,-3 0 0,0 0 0,-27-72 0,29 105 0,6 12 0,0 4 0,1-3 0,-1 0 0,1 0 0,0 0 0,-1 1 0,2-7 0,35 47 0,-25-27 0,0-2 0,-1-1 0,1 1 0,1-1 0,0-1 0,-1 2 0,1-4 0,18 6 0,15 6 0,-3 0 0,-27-10 0,-1 0 0,0-1 0,0 2 0,21 12 0,-25-7-1365,-2-4-5461</inkml:trace>
  <inkml:trace contextRef="#ctx0" brushRef="#br0" timeOffset="5">4513 2242 24575,'0'16'0,"0"0"0,3-1 0,-1 1 0,1-3 0,6 22 0,-9-34 0,0 0 0,0-1 0,0 1 0,1 2 0,-1-2 0,0-1 0,1 1 0,-1 0 0,1-1 0,-1 1 0,0 0 0,0-1 0,1 1 0,0-1 0,-1 1 0,0-1 0,1 1 0,-1-1 0,1 0 0,0 1 0,-1-1 0,0 1 0,1-1 0,0 0 0,0 0 0,-1 0 0,0 2 0,1-2 0,0 0 0,0 0 0,-1 0 0,0 1 0,1-1 0,0 0 0,-1-1 0,1 1 0,0 0 0,0 0 0,-1 0 0,1 0 0,0-2 0,0 2 0,0 0 0,4-2 0,-3 0 0,1-1 0,-1 1 0,2-3 0,-1 2 0,6-4 0,4-9 0,0-1 0,-1 0 0,-1 0 0,12-26 0,30-80 0,-36 76 0,38-63 0,-55 109 0,0 0 0,0 0 0,0 1 0,0 0 0,1-2 0,0 0 0,-1 2 0,1 0 0,-1-1 0,0 1 0,1 0 0,-1 0 0,0-1 0,1 0 0,0 1 0,-1-1 0,1 1 0,-1 0 0,1 0 0,0 0 0,-1 0 0,2 0 0,-1-1 0,-1 1 0,1 0 0,1 0 0,-1 0 0,0 1 0,0-1 0,-1 0 0,1 0 0,0 1 0,0 0 0,-1 0 0,1-1 0,0 0 0,-1 1 0,0-1 0,1 2 0,0 0 0,-1-2 0,1 1 0,-1 0 0,0 1 0,2 7 0,1 0 0,2 19 0,-4-25 0,10 135 0,-10-106 0,1 1 0,2-2 0,0 3 0,12 36 0,-11-50 0,-5-16 0,1 2 0,1-2 0,-1 0 0,1 1 0,-1 0 0,1-2 0,0 2 0,0-2 0,1 1 0,3 6 0,-5-10 0,-1 1 0,1-1 0,0 0 0,-1 0 0,1 1 0,-1-1 0,1 0 0,0 1 0,-1-1 0,1 0 0,0 0 0,0 0 0,-1 0 0,0 0 0,1 0 0,0 0 0,-1 0 0,1 0 0,-1 0 0,1 0 0,0-1 0,-1 1 0,0 0 0,1-1 0,-1 1 0,1 0 0,0 0 0,-1-1 0,1 1 0,-1-1 0,1 1 0,0-1 0,-1 1 0,0 0 0,1-3 0,15-17 0,-7-3-227,2 1-1,-1-1 1,-2 0-1,0-1 1,4-30-1,-10 44-6598</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05T07:21:36.976"/>
    </inkml:context>
    <inkml:brush xml:id="br0">
      <inkml:brushProperty name="width" value="0.1" units="cm"/>
      <inkml:brushProperty name="height" value="0.1" units="cm"/>
      <inkml:brushProperty name="color" value="#004F8B"/>
    </inkml:brush>
  </inkml:definitions>
  <inkml:trace contextRef="#ctx0" brushRef="#br0">557 1 24575,'1'9'0,"0"0"0,0 0 0,1-1 0,1 1 0,2 10 0,8 26 0,10 63 0,-1-3 0,-20-86 0,0 0 0,-1 2 0,-2 28 0,-1-41-97,1-1-1,-1 0 1,0 1-1,-1 0 1,0-1-1,0 0 1,-1 0-1,0-1 1,1 2-1,-2-2 1,0 0-1,0 0 0,-6 6 1</inkml:trace>
  <inkml:trace contextRef="#ctx0" brushRef="#br0" timeOffset="1">407 797 24575,'-1'3'0,"0"0"0,0 0 0,-1-1 0,2 1 0,-3 0 0,2 0 0,-1-1 0,1 1 0,-1 0 0,0-1 0,-3 3 0,-1 3 0,-13 15 0,-1 1 0,-1-2 0,-1-1 0,-43 32 0,59-49 0,2-1 0,-2 0 0,0 0 0,1-1 0,-1 0 0,1 0 0,-1-1 0,-1 0 0,2 0 0,-2 1 0,1-2 0,1 0 0,-2 0 0,1 0 0,0 0 0,0-1 0,0-1 0,-1 2 0,2-2 0,-1 1 0,1-1 0,-1-1 0,1 0 0,-1 1 0,1-1 0,-1-1 0,1 1 0,0-1 0,1 1 0,-1-2 0,0 1 0,2 0 0,-1-1 0,0 0 0,0 0 0,1 0 0,0 0 0,0 0 0,1-1 0,-1 0 0,-1-7 0,-2-6 0,2-1 0,1 1 0,0 0 0,-1-22 0,5-79 0,1 45 0,-2 64 0,1 0 0,-1 0 0,3 1 0,-1-1 0,0 0 0,0 0 0,2 0 0,0 2 0,1-2 0,0 1 0,10-16 0,19-32 0,29-44 0,-56 93 0,0 1 0,1 1 0,10-10 0,10-9 0,-21 19-120,-4 3 24,-1 1 1,0 1-1,1-1 0,0 0 0,0 0 0,0 1 1,1 0-1,-1 0 0,-1 0 0,2-1 1,0 2-1,6-2 0,3 0-6730</inkml:trace>
  <inkml:trace contextRef="#ctx0" brushRef="#br0" timeOffset="2">108 182 24575,'0'-3'0,"1"2"0,0 0 0,-1-2 0,0 2 0,1-1 0,1 1 0,-2-1 0,1 1 0,1 0 0,-2-1 0,2 1 0,-2 0 0,1-1 0,1 2 0,-1-2 0,3 0 0,24-16 0,-5 8 0,1-1 0,0 3 0,39-9 0,-50 12 0,25-9 0,-27 9 0,-2 1 0,1 0 0,20-4 0,-30 8 0,1 0 0,-1 0 0,0 0 0,1 0 0,-1 0 0,0 0 0,1 1 0,-1-1 0,0 0 0,0 0 0,0 0 0,0 1 0,0-1 0,1 0 0,-1 0 0,0 0 0,0 0 0,1 0 0,-1 0 0,0 0 0,0 0 0,0 1 0,0-1 0,0 0 0,0 1 0,0-1 0,0 0 0,0 1 0,0-1 0,0 0 0,0 0 0,0 0 0,0 1 0,0-1 0,0 0 0,0 1 0,0-1 0,0 0 0,0 1 0,0-1 0,0 0 0,-2 14 0,1-13 0,-4 16 0,0 0 0,-11 21 0,9-22 0,0 0 0,1-1 0,-2 18 0,-5 24-1365,11-44-5461</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05T07:21:36.979"/>
    </inkml:context>
    <inkml:brush xml:id="br0">
      <inkml:brushProperty name="width" value="0.1" units="cm"/>
      <inkml:brushProperty name="height" value="0.1" units="cm"/>
      <inkml:brushProperty name="color" value="#004F8B"/>
    </inkml:brush>
  </inkml:definitions>
  <inkml:trace contextRef="#ctx0" brushRef="#br0">205 1 24575,'-4'67'0,"-11"69"0,4-45 0,7-53 0,-9 135 0,13-101 0,2 106 0,5-105 0,1 29 0,-8 228 0,-1-327 0,1 0 0,0 1 0,0-1 0,0 0 0,-1-1 0,-2 6 0,3-8 0,0 0 0,0 0 0,0 0 0,0 1 0,0-1 0,-1 0 0,1 0 0,0 1 0,0-1 0,0 0 0,0 0 0,0 1 0,-1-1 0,1 0 0,0 0 0,0 0 0,0 0 0,0 0 0,0 0 0,0 0 0,0 0 0,-1 0 0,1 0 0,0 0 0,0 0 0,-1 0 0,1 0 0,0 1 0,0-1 0,0 0 0,0 0 0,0 0 0,-1 0 0,1 0 0,0-1 0,-1 1 0,-6-11 0,3-1 0,1 1 0,0-1 0,0-11 0,-6-24 0,-8-18 0,9 31 0,-15-39 0,18 62 0,1 0 0,-1 2 0,0-2 0,-2 2 0,0-1 0,1 1 0,-14-14 0,-5 1 0,25 22 0,0 0 0,0 0 0,-1 0 0,1 0 0,0 0 0,0 0 0,0 0 0,0 0 0,0 0 0,0 1 0,0-1 0,0 0 0,-1 0 0,1 0 0,0 1 0,0-1 0,0 0 0,0 1 0,0-1 0,0 0 0,0 0 0,0 0 0,0 0 0,0 0 0,0 1 0,0-1 0,0 0 0,0 0 0,0 1 0,0-1 0,0 0 0,0 1 0,0-1 0,0 0 0,0 0 0,0 0 0,1 0 0,-1 13 0,1-11 0,4 21 0,0 0 0,2 0 0,1-1 0,0 0 0,19 34 0,10 25 0,-19-44 0,-14-30 0,0 0 0,0 0 0,-1 1 0,0 0 0,-1-1 0,4 17 0,-1-3 0,-5-21 0,0 0 0,0 0 0,0 1 0,0-1 0,0 0 0,0 0 0,0 0 0,0 0 0,0 0 0,1 0 0,-1 0 0,0 0 0,0 1 0,1-1 0,-1 0 0,0 0 0,0 0 0,1 0 0,-1 0 0,0 0 0,0 0 0,0 0 0,0 1 0,0-1 0,0 0 0,1 0 0,-1 0 0,0 0 0,1 0 0,-1-1 0,0 1 0,1 0 0,7-8 0,62-122 0,-13 22 0,-22 37 0,-14 26 0,-13 35-1365</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05T07:21:36.980"/>
    </inkml:context>
    <inkml:brush xml:id="br0">
      <inkml:brushProperty name="width" value="0.1" units="cm"/>
      <inkml:brushProperty name="height" value="0.1" units="cm"/>
      <inkml:brushProperty name="color" value="#004F8B"/>
    </inkml:brush>
  </inkml:definitions>
  <inkml:trace contextRef="#ctx0" brushRef="#br0">1 1 24575,'7'1'0,"-2"0"0,2 1 0,0 1 0,-1-1 0,-1 0 0,2 0 0,-1 2 0,-1-1 0,1 1 0,8 6 0,8 5 0,-14-10 0,1 2 0,-2-1 0,1 1 0,0-1 0,-2 2 0,10 9 0,-9-9 0,0-2 0,1 2 0,0-3 0,0 2 0,17 7 0,-13-7 0,0 0 0,13 12 0,144 118 0,-134-111 0,109 99 0,-126-113 0,1 0 0,0-2 0,24 10 0,24 14 0,-48-24 0,1-1 0,-1-1 0,0-2 0,23 7 0,12 3 0,-35-9 0,24 6 0,-28-8 0,0 0 0,-1 1 0,1 1 0,-1 0 0,0 1 0,21 16 0,-5-4 0,-13-5 0,-4-3 0,-12-12 0,-7-9 0,-4-3 0,-1 0 0,0 1 0,-1 0 0,-16-11 0,-17-16 0,21 19 0,17 13 0,-1 0 0,2-1 0,-10-9 0,-6-11 0,-28-24 0,37 39 0,12 11 0,1-1 0,-2 2 0,1-2 0,1 2 0,-1-2 0,0 1 0,0 0 0,1-1 0,-1 2 0,0-1 0,0 0 0,1-1 0,0 1 0,-1-2 0,1 3 0,0 0 0,0-1 0,0 1 0,0 0 0,0 0 0,1-1 0,-1 1 0,0 0 0,0 0 0,0 0 0,0-1 0,0 1 0,0 0 0,0 0 0,0 0 0,0 0 0,0 0 0,0 0 0,0 0 0,0 0 0,0 0 0,1 0 0,-1 0 0,0-1 0,0 1 0,0 0 0,0 0 0,1 0 0,-1 0 0,0 0 0,0 0 0,1 0 0,-1 0 0,0 0 0,0 0 0,0 0 0,0 0 0,12 4 0,1 4 0,-3 2 0,1-1 0,-1 1 0,0 0 0,-1 0 0,13 19 0,20 22 0,-18-26 0,-15-14 0,0-1 0,1-1 0,0 0 0,18 12 0,-27-20 0,0-1 0,0 0 0,0 1 0,0 0 0,0 0 0,0-1 0,0 1 0,0 0 0,0 0 0,0-1 0,0 2 0,0-1 0,-1-1 0,0 2 0,1-2 0,-1 2 0,1-1 0,0 0 0,-1 0 0,0 0 0,1 1 0,-1-2 0,1 3 0,-2-2 0,0 0 0,1 0 0,-1-1 0,0 2 0,0-1 0,1-1 0,0 1 0,-1 0 0,0-1 0,1 1 0,-2 0 0,1 0 0,1-1 0,-2 0 0,1 1 0,0-1 0,0 1 0,0-1 0,0 1 0,0-1 0,0 0 0,-1 0 0,2 0 0,-2 0 0,-1 0 0,-25 1 0,-2 0 0,1-3 0,0 0 0,-48-11 0,42 7 0,0 1 0,-52 0 0,83 5-1365</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05T07:21:36.981"/>
    </inkml:context>
    <inkml:brush xml:id="br0">
      <inkml:brushProperty name="width" value="0.1" units="cm"/>
      <inkml:brushProperty name="height" value="0.1" units="cm"/>
      <inkml:brushProperty name="color" value="#004F8B"/>
    </inkml:brush>
  </inkml:definitions>
  <inkml:trace contextRef="#ctx0" brushRef="#br0">13850 1976 24575,'2'-3'0,"0"2"0,0-3 0,0 0 0,1 0 0,-2 2 0,2-7 0,6-10 0,23-27 0,2 1 0,66-67 0,68-39 0,-144 133 0,40-21 0,7-7 0,-59 35 0,-11 7 0,-9 6 0,-1 3 0,0 0 0,1 2 0,-1-2 0,0 2 0,2-1 0,-1 1 0,-13 15 0,-3 4 0,-6 4 0,-51 69 0,-15 40 0,54-73 0,-79 94 0,97-139 0,20-18 0,15-18 0,-6 10 0,2 1 0,-1-3 0,2 3 0,-1-1 0,-1 0 0,1 2 0,2-1 0,0 1 0,-2 0 0,0-1 0,1 2 0,-1 0 0,16-2 0,12 0 0,67 1 0,-89 3 0,348 1-1365,-346-1-5461</inkml:trace>
  <inkml:trace contextRef="#ctx0" brushRef="#br0" timeOffset="1">13603 2833 24575,'34'0'0,"33"1"0,1-2 0,112-19 0,-37-6 0,-42 6 0,-62 9 0,4-2 0,60-26 0,-67 25 0,-24 9 0,-4 0 0,4 0 0,-2-2 0,0 1 0,0 0 0,-1-1 0,0 0 0,0-1 0,-2 1 0,0-2 0,1-2 0,0 3 0,-1 0 0,-2-2 0,1-1 0,-1 1 0,0 0 0,-1-1 0,6-20 0,8-56 0,7-22 0,-25 107 0,3-6 0,-1 1 0,0-1 0,-1 0 0,1-13 0,-2 19 0,0 1 0,0-1 0,0 1 0,0-2 0,0 3 0,-1-2 0,1 1 0,-1-1 0,1 1 0,0 0 0,-1-1 0,0 0 0,1 1 0,-1-1 0,0 0 0,0 2 0,0-1 0,0 0 0,0 0 0,0-2 0,-2 3 0,3 0 0,-2-1 0,1-1 0,-1 2 0,2-1 0,-2 0 0,1 1 0,0 0 0,0 0 0,-1-1 0,-2 1 0,-40-8 0,0 4 0,-2 0 0,0 3 0,-47 5 0,77-3 0,-4 2 0,4 1 0,-2 1 0,-25 8 0,29-5 0,3-1 0,-3 1 0,-20 15 0,21-14 0,2 0 0,1 1 0,-1-1 0,0 2 0,3-2 0,-3 4 0,3-2 0,0 1 0,-10 20 0,-2-3 0,15-19 0,-1-3 0,1 2 0,-7 15 0,0 2 0,12-25 0,-1 0 0,1 1 0,-1-2 0,0 2 0,1-1 0,-1 0 0,1 0 0,-1-1 0,-1 0 0,2 1 0,-1 0 0,0-1 0,0 1 0,-1 1 0,2-1 0,-2-1 0,1 1 0,-2 0 0,3-1 0,-1 0 0,0-1 0,0 1 0,1-1 0,-1 1 0,0 0 0,1 0 0,0-1 0,-1-1 0,0 2 0,0-1 0,1 1 0,0-1 0,-1 0 0,1 1 0,-1 0 0,1 0 0,0 0 0,-1-1 0,1 0 0,0 1 0,-1-1 0,1-1 0,0 2 0,-1 0 0,1-2 0,0 1 0,0 0 0,0 1 0,0-1 0,0 0 0,0 1 0,1-2 0,1-29 0,4 10 0,9-24 0,0 1 0,15-18 0,-30 62 0,0 0 0,0 0 0,0-1 0,0 1 0,0 0 0,0 0 0,0 0 0,0-1 0,0 1 0,0 0 0,0 0 0,1 0 0,-1 0 0,0-1 0,0 1 0,0-1 0,0 1 0,-1 0 0,1 0 0,0 0 0,0 0 0,0-1 0,0 1 0,0 0 0,0-1 0,0 1 0,0 0 0,0-1 0,0 1 0,0 0 0,-1 0 0,1 0 0,0-1 0,-10 4 0,-9 11 0,8-1 0,0-1 0,3 2 0,-1 0 0,1 0 0,-2-1 0,2 2 0,3-1 0,-1 2 0,0-1 0,1 0 0,0 1 0,1-1 0,2 1 0,-1 30 0,3-45 0,0 1 0,0 0 0,0-1 0,0 2 0,0-2 0,0 0 0,0 2 0,0-1 0,1-1 0,-1 2 0,1-2 0,0 0 0,-1 0 0,2 3 0,-2-3 0,0-1 0,1 0 0,-1 0 0,1 0 0,-1 0 0,1 0 0,-1 2 0,0-2 0,1 0 0,-1 0 0,1 0 0,-1 0 0,1 0 0,-1 0 0,0 0 0,1 0 0,-1 0 0,1 0 0,0 0 0,-1 0 0,1-2 0,15-5 0,9-13 0,-2 3 0,36-17 0,-47 30-143,-3 1-1,3 0 1,-2 1 0,1 0-1,1 0 1,-1 2 0,2 0-1,20 0 1,-32 1 68,12-1-6751</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05T07:21:36.983"/>
    </inkml:context>
    <inkml:brush xml:id="br0">
      <inkml:brushProperty name="width" value="0.05" units="cm"/>
      <inkml:brushProperty name="height" value="0.05" units="cm"/>
      <inkml:brushProperty name="color" value="#E71224"/>
    </inkml:brush>
  </inkml:definitions>
  <inkml:trace contextRef="#ctx0" brushRef="#br0">7360 3808 24575,'-79'95'0,"28"-35"0,37-43 0,-220 228 0,57-105 0,160-129-13,-3-2-1,-27 16 1,15-12-1312,22-8-5501</inkml:trace>
  <inkml:trace contextRef="#ctx0" brushRef="#br0" timeOffset="1">6970 4189 24575,'9'2'0,"20"15"0,16 15 0,14 14 0,7 2 0,-4 4 0,-6-2 0,-11-4 0,-6-12 0,-9-7 0,-8-11 0,-9-2 0,-1-6 0,-7 1 0</inkml:trace>
  <inkml:trace contextRef="#ctx0" brushRef="#br0" timeOffset="2">7226 4922 24575,'282'-206'0,"-178"128"0,140-130 0,-204 175 0,-31 27 0,0 0 0,-1-1 0,2 2 0,-4-3 0,12-11 0,-6 2-1365,-8 10-5461</inkml:trace>
  <inkml:trace contextRef="#ctx0" brushRef="#br0" timeOffset="3">2243 2511 24575,'5'0'0,"6"-6"0,22-5 0,12-8 0,6-6 0,3-8 0,4 0 0,3-5 0,4 0 0,-6-2 0,-2 0 0,-5 5 0,-9 2 0,-10 10 0,-8 5 0,-5 5 0,-6 2 0,-7 4-8191</inkml:trace>
  <inkml:trace contextRef="#ctx0" brushRef="#br0" timeOffset="4">2619 2267 24575,'28'29'0,"58"57"0,657 549-3594,-529-483 3555,-21-8 775,-112-80 63,77 86 0,-158-147-762,75 77 741,-18-22-536,75 65 0,18-12-242,74 63 0,-184-133 0,1 4 0,60 87 0,13 17 0,-85-120 0,-2 2 0,38 25 0,278 272 0,-332-316 0,79 71 0,-75-70 0,1-2 0,0 0 0,35 17 0,-36-21 0,2 3 0,-2-1 0,14 14 0,22 12 0,-43-28 0,1-1 0,-1 1 0,-1-1 0,13 15 0,10 10 0,-6-13 0,-1-2 0,52 26 0,-12-5 0,-22-13 0,-23-18 0,-2 3 0,27 22 0,113 110 0,-138-128-1365,-7-9-5461</inkml:trace>
  <inkml:trace contextRef="#ctx0" brushRef="#br0" timeOffset="5">6291 5792 24575,'44'-59'0,"-1"12"0,1 2 0,0 3 0,3 1 0,1 3 0,93-54 0,-78 54 0,55-30 0,-83 48 92,-28 15-456,0-1 0,1 1-1,13-2 1,-12 3-6462</inkml:trace>
  <inkml:trace contextRef="#ctx0" brushRef="#br0" timeOffset="6">2604 2222 24575,'-34'-27'0,"2"-3"0,-59-62 0,27 27 0,-626-569-885,520 503 930,137 102 109,3-3-1,1 2 1,-47-67 0,-7-6 71,72 90-225,-12-14 0,-2-1 0,1 4 0,-30-24 0,-138-96 0,10 2 0,163 127 0,4-4 0,-3 3 0,-14-22 0,0-4 0,25 32 0,-1 0 0,-7-12 0,9 12 0,0-1 0,-9-11 0,11 19 0,-1 0 0,0 0 0,0 0 0,-1-1 0,1 0 0,0 1 0,0 1 0,-2 1 0,1 0 0,1 0 0,-12-1 0,8 0 0,-2 0 0,-16-9 0,-1-3-1365,19 8-5461</inkml:trace>
  <inkml:trace contextRef="#ctx0" brushRef="#br0" timeOffset="7">422 237 24575,'-3'0'0,"-5"0"0,-6 3 0,-5 2 0,-7 4 0,-3 3 0,-2 1 0,-4-1 0,-3 6 0,5 4 0,-2-1 0,5-6 0,3-5 0,4 0 0,0-6 0,3-1 0,7 0 0,3 0-8191</inkml:trace>
  <inkml:trace contextRef="#ctx0" brushRef="#br0" timeOffset="8">1 405 24575,'7'-2'0,"1"2"0,0-3 0,-1 1 0,0 1 0,2-1 0,-1-3 0,-1 2 0,11-8 0,4 0 0,35-17 0,-22 10 0,0 2 0,58-20 0,-45 29 0,-35 3 0,0 1 0,-2-1 0,2 0 0,2 0 0,-4 0 0,2-2 0,-3 0 0,17-10 0,-1-3 0,2 0 0,-1-2 0,31-8 0,-52 25 9,1-2-1,-2 1 1,1 2-1,0-3 0,-2 1 1,1-1-1,0 0 1,-2 1-1,2-2 1,5-8-1,21-26-1466,-21 30-5368</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05T07:21:36.992"/>
    </inkml:context>
    <inkml:brush xml:id="br0">
      <inkml:brushProperty name="width" value="0.05" units="cm"/>
      <inkml:brushProperty name="height" value="0.05" units="cm"/>
      <inkml:brushProperty name="color" value="#E71224"/>
    </inkml:brush>
  </inkml:definitions>
  <inkml:trace contextRef="#ctx0" brushRef="#br0">31 1 24575,'-4'12'0,"1"1"0,1-2 0,-1 26 0,0-5 0,-1 0 0,-1 10 0,1-3 0,2 48 0,2-86 0,0 1 0,0 0 0,0-1 0,1 1 0,-1-1 0,0 0 0,0 0 0,1 2 0,-1-2 0,1 0 0,0 0 0,-1 0 0,1 0 0,0 0 0,0 0 0,0 0 0,0 1 0,-1-1 0,2-1 0,-2 1 0,1-1 0,0 1 0,1 0 0,-1 0 0,0-1 0,0 2 0,1 0 0,-1-2 0,0 0 0,0 1 0,0-1 0,0 0 0,1 0 0,-1 0 0,3 0 0,4 0 0,3 0 0,-2-1 0,0-1 0,15-3 0,1-1 0,101 3 0,-41 1 0,-36-7-1365,-36 6-5461</inkml:trace>
  <inkml:trace contextRef="#ctx0" brushRef="#br0" timeOffset="1">3540 2515 24575,'-16'127'0,"8"-58"0,-31 319 0,36-369 0,3-17 0,-1 1 0,0 0 0,1 0 0,0-1 0,-1 3 0,1-2 0,0 0 0,0-2 0,1 3 0,-1 0 0,0-2 0,2 6 0,-2-8 0,1 0 0,-1 0 0,1 0 0,0 1 0,-1-1 0,0 0 0,1 0 0,-1 0 0,1 0 0,0 0 0,-1 0 0,0 0 0,1 0 0,-1 0 0,1 0 0,-1 0 0,0 0 0,1 0 0,0 0 0,-1 0 0,1 0 0,-1 0 0,0 0 0,1 0 0,0 0 0,-1-1 0,0 1 0,18-9 0,-14 7 0,11-6 0,-2-1 0,3 2 0,-1 0 0,2 3 0,-2-2 0,1 0 0,0 3 0,1 1 0,-2-1 0,30 1 0,25 4-1365,-58-2-5461</inkml:trace>
  <inkml:trace contextRef="#ctx0" brushRef="#br0" timeOffset="2">3973 3095 24575,'-42'-13'0,"24"10"0,2 2 0,-3 1 0,-18 1 0,32-1 0,0 1 0,0-1 0,-1 3 0,0-2 0,1 1 0,0-1 0,-1 2 0,1 0 0,1-1 0,-1 1 0,0-1 0,2 1 0,-9 7 0,11-8 0,0-1 0,-1 1 0,2-1 0,-2-1 0,2 1 0,-1 2 0,0-2 0,0 1 0,1-1 0,-1 0 0,-1 1 0,1-1 0,1 2 0,0-1 0,0-1 0,0 1 0,0 0 0,0 0 0,0 2 0,0-1 0,1-1 0,1 1 0,-1 1 0,0-2 0,0-1 0,0 1 0,1 1 0,-1-2 0,1 2 0,0-1 0,3 4 0,1-1 0,0 2 0,1-1 0,-1 1 0,2-1 0,0-1 0,13 1 0,99 46 0,-119-52 0,0 1 0,0 0 0,1-1 0,-1 1 0,0 2 0,0-3 0,1 1 0,-2 0 0,1-1 0,0 1 0,0 0 0,0 0 0,0 1 0,0-2 0,0 2 0,0-2 0,-1 2 0,1 0 0,-1-1 0,1 1 0,0-1 0,-1 1 0,0-1 0,0 1 0,0-1 0,0 1 0,0-1 0,0 1 0,0-1 0,0 0 0,0 2 0,0 0 0,-1-1 0,0 1 0,0-1 0,0 0 0,-1 2 0,1-1 0,0 0 0,-1-1 0,1 0 0,-1 0 0,1-1 0,-1 0 0,-1 1 0,2 2 0,-1-2 0,0 1 0,0-2 0,-5 4 0,1-3 14,-2-1 1,1 2-1,0-2 0,2 2 0,-3-3 1,-12 2-1,-41-2-959,53 0 425,-8-1-6306</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05T07:21:36.995"/>
    </inkml:context>
    <inkml:brush xml:id="br0">
      <inkml:brushProperty name="width" value="0.05" units="cm"/>
      <inkml:brushProperty name="height" value="0.05" units="cm"/>
      <inkml:brushProperty name="color" value="#E71224"/>
    </inkml:brush>
  </inkml:definitions>
  <inkml:trace contextRef="#ctx0" brushRef="#br0">1 73 24575,'14'-15'0,"-10"11"0,-1 1 0,2-2 0,-1 2 0,0-1 0,1 0 0,5-1 0,-1 0 0,0 1 0,0 0 0,1 1 0,1 0 0,-2 1 0,1-1 0,17 0 0,5 1 0,37 3 0,-36-1 0,-28 0 0,-1 0 0,0 1 0,-1-1 0,2 1 0,-1 0 0,0 0 0,0-1 0,-1 2 0,1 0 0,0-1 0,0 1 0,-1-1 0,1 1 0,-1 1 0,0-1 0,1 1 0,-2-1 0,1 1 0,4 3 0,-4-1 0,0 0 0,0-1 0,0 1 0,-1 0 0,0 0 0,0 1 0,0-2 0,-1 2 0,0-1 0,0 1 0,-1-2 0,1 12 0,-1-1 0,1-7 0,-1 1 0,0 0 0,-1 0 0,0 0 0,0-1 0,-3 9 0,1-13 0,1-1 0,-1 0 0,0 1 0,0-3 0,0 3 0,0-1 0,-1 0 0,0-2 0,0 1 0,0 1 0,1-1 0,-5 1 0,-9 5 0,5-1 0,1-3 0,-1 2 0,-1-2 0,0 0 0,2 0 0,-28 2 0,12-2 0,-37 0 0,441-4 0,-373 0-227,1 0-1,0 0 1,0 1-1,-1 0 1,10 2-1,1 2-6598</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05T07:21:36.996"/>
    </inkml:context>
    <inkml:brush xml:id="br0">
      <inkml:brushProperty name="width" value="0.05" units="cm"/>
      <inkml:brushProperty name="height" value="0.05" units="cm"/>
      <inkml:brushProperty name="color" value="#E71224"/>
    </inkml:brush>
  </inkml:definitions>
  <inkml:trace contextRef="#ctx0" brushRef="#br0">1 1 24575,'-1'326'0,"1"-324"0,0 1 0,0-1 0,0 1 0,1-1 0,-1 1 0,0-1 0,0 1 0,1-1 0,1 1 0,-2-1 0,1 0 0,1 1 0,-2-1 0,4 4 0,-3-5 0,1 1 0,0-2 0,0 2 0,0-1 0,0 0 0,0 0 0,0 0 0,1 0 0,-1-1 0,-1 1 0,1-1 0,1 0 0,-1 1 0,0-1 0,0 0 0,5 0 0,105-2-1365,-96 2-5461</inkml:trace>
  <inkml:trace contextRef="#ctx0" brushRef="#br0" timeOffset="1">271 256 24575,'2'0'0,"1"0"0,-1 1 0,1 0 0,-1-1 0,1 1 0,-1 0 0,0 0 0,1 0 0,-1 1 0,1-1 0,-1 0 0,0 1 0,0-1 0,0 0 0,0 1 0,0 0 0,0 0 0,-1 0 0,0 0 0,1 1 0,-1-1 0,1 0 0,-1 0 0,0 0 0,0 1 0,0-1 0,1 5 0,1 1 0,-2-1 0,1 1 0,-1 0 0,0-1 0,-1 1 0,1-1 0,-2 1 0,1 9 0,-1-14 0,0-1 0,1 2 0,-2-1 0,1 0 0,0-1 0,-1 1 0,1 0 0,0-1 0,-1 1 0,0-1 0,0 1 0,0-1 0,-4 4 0,-2 1 0,0-1 0,-16 10 0,-7 5 0,31-21 0,-1 0 0,1 1 0,-1-1 0,1 0 0,0 0 0,0 0 0,-1 1 0,1-1 0,-1 1 0,1-1 0,-1 1 0,1-1 0,0 0 0,0 1 0,0-1 0,-1 1 0,1-1 0,0 1 0,0-1 0,-1 0 0,1 1 0,0 0 0,0-1 0,0 1 0,0-1 0,0 1 0,0-1 0,0 1 0,0-1 0,0 0 0,0 1 0,0-1 0,1 1 0,0 0 0,-1-1 0,2 2 0,-1-1 0,-1-1 0,2 0 0,-2 1 0,2 0 0,-1-1 0,0 0 0,0 1 0,0-1 0,0 1 0,1-1 0,41 4 0,-43-4 0,49 3 0,0 2 0,65 16 0,-111-21 0,-1 1 0,0-1 0,0 1 0,1 0 0,-1 0 0,1 1 0,-1-2 0,0 2 0,2 2 0,-4-4 0,0 0 0,0 0 0,1 1 0,-1-1 0,0 0 0,0 1 0,1-1 0,-1 0 0,0 0 0,0 0 0,1 0 0,-1 1 0,0-1 0,0 1 0,0-1 0,0 0 0,0 1 0,0-1 0,0 0 0,0 0 0,0 1 0,0-1 0,0 0 0,0 1 0,0-1 0,0 1 0,0-1 0,0 0 0,0 1 0,-1-1 0,0 1 0,0 0 0,1-1 0,-1 0 0,0 1 0,0-1 0,1 1 0,-1-1 0,0 0 0,0 1 0,0-1 0,0 0 0,1 1 0,-2-1 0,0 0 0,-13 2 22,-2 0 0,1-2-1,-30-1 1,34-1-204,-1 2 1,0-1-1,1 2 1,-1-1-1,0 2 1,1 0-1,-16 5 1,13-2-6645</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05T07:21:36.998"/>
    </inkml:context>
    <inkml:brush xml:id="br0">
      <inkml:brushProperty name="width" value="0.05" units="cm"/>
      <inkml:brushProperty name="height" value="0.05" units="cm"/>
    </inkml:brush>
  </inkml:definitions>
  <inkml:trace contextRef="#ctx0" brushRef="#br0">1540 446 24575,'1'81'0,"-2"93"0,-6-114 0,-1 27 0,9 565-1365,-1-635-5461</inkml:trace>
  <inkml:trace contextRef="#ctx0" brushRef="#br0" timeOffset="1">1480 418 24575,'-1'0'0,"0"0"0,0 0 0,0 1 0,0-1 0,0 1 0,1-1 0,-1 0 0,-1 0 0,2 1 0,-1 0 0,0-1 0,1 1 0,0-1 0,-1 1 0,0-1 0,0 1 0,1-1 0,0 1 0,-1 0 0,-1 0 0,2-1 0,-1 1 0,1 2 0,-11 23 0,7-11 0,-3 0 0,-18 23 0,17-25 0,0 1 0,-12 22 0,4 6 0,-26 55 0,39-90 0,1-5 0,2-3 0,7-20 0,-4 3 0,0 2 0,1 1 0,0 1 0,12-19 0,0-7 0,-12 29 0,1 3 0,0-2 0,11-14 0,-12 17 0,2-1 0,-2-1 0,2-1 0,5-15 0,-5 1 0,-3 16 0,-2-1 0,2 1 0,-1 1 0,0 1 0,2-3 0,7-12 0,7-4 0,22-44 0,-39 67 0,0 0 0,1-1 0,-1 1 0,1 0 0,-1-1 0,1 1 0,0 0 0,-1 0 0,1 0 0,3-1 0,-5 3 0,0 0 0,1-2 0,0 2 0,0 0 0,-1 0 0,0 0 0,1 0 0,0 0 0,0 0 0,-1 0 0,0 0 0,2-1 0,-1 1 0,0 1 0,-1-1 0,0 0 0,1 0 0,0 0 0,-1 0 0,1 0 0,1 2 0,-2-2 0,1 0 0,1 1 0,-2 0 0,0-1 0,0 1 0,1 0 0,-1 0 0,1-1 0,0 1 0,1 0 0,-2 1 0,1-1 0,0 1 0,19 46 0,19 68 0,-30-90 0,16 79 0,-21-78 0,-4-25-151,1 1-1,0 0 0,0-1 0,0 2 1,0-1-1,1 0 0,-2-1 1,4 8-1,6 1-6674</inkml:trace>
  <inkml:trace contextRef="#ctx0" brushRef="#br0" timeOffset="2">1435 1341 24575,'-1'0'0,"1"-1"0,-1 1 0,1 0 0,0 0 0,0 0 0,0 0 0,-1 0 0,1 0 0,-1 0 0,1 0 0,0 0 0,-1 0 0,1 0 0,0 0 0,0 0 0,0 0 0,-1 1 0,1-1 0,-1 0 0,1 0 0,0 0 0,0 1 0,0-1 0,0 0 0,-1 0 0,1 0 0,0 0 0,0 0 0,-1 1 0,1-1 0,0 0 0,0 1 0,0-1 0,0 0 0,0 1 0,6 8 0,16 7 0,-7-10 0,1 4 0,-1-2 0,0 2 0,0-1 0,-2 2 0,1 2 0,13 13 0,-17-15 0,0-3 0,0-1 0,-1 1 0,17 8 0,-13-5 0,-3-4 0,23 21 0,-20-18 0,-3-1 0,2-2 0,0 3 0,2 0 0,20 7 0,-17-9 0,2 4 0,-1 0 0,0 2 0,18 16 0,-21-17 0,1 1 0,0-3 0,39 23 0,-25-16 0,2 1 0,34 30 0,-43-34 0,-4 0 0,-15-10 0,0-2 0,1 1 0,0 0 0,1 0 0,0-1 0,1-1 0,-2 0 0,10 4 0,98 29 0,-34 5 0,-67-36 0,-4 2 0,15 8 0,-14-8 0,-1 0 0,2-2 0,15 8 0,-10-8-115,-1 1-301,1-2-1,15 11 0,-12-4-6409</inkml:trace>
  <inkml:trace contextRef="#ctx0" brushRef="#br0" timeOffset="3">2531 1909 24575,'6'0'0,"-1"1"0,0-1 0,0 2 0,8 1 0,-2 1 0,0 1 0,-2-1 0,-1 1 0,0 0 0,0-1 0,0 1 0,-1 0 0,-1 0 0,1 2 0,1 0 0,9 9 0,-7-5 0,-2 0 0,1-1 0,23 13 0,-14-11 0,0-1 0,-2 1 0,1 1 0,-3 2 0,24 22 0,-37-37 0,0 1 0,0 0 0,-1 0 0,1-1 0,-1 1 0,1 0 0,-1 0 0,0 0 0,1 0 0,-1-1 0,0 2 0,0-1 0,0-1 0,0 1 0,0 1 0,0-2 0,0 1 0,0 0 0,0 0 0,0 0 0,0-1 0,0 2 0,0-2 0,0 3 0,0-3 0,-1 1 0,1 0 0,-2 1 0,2-1 0,-1 0 0,0-1 0,0 1 0,0 0 0,0-1 0,0 1 0,0-1 0,0 1 0,0-1 0,0 1 0,0-1 0,-2 1 0,-6 0 0,-2 0 0,3 0 0,-17-1 0,20-1 0,-406 0-461,343 1-443,53 0-5922</inkml:trace>
  <inkml:trace contextRef="#ctx0" brushRef="#br0" timeOffset="4">3049 2295 24575,'0'5'0,"5"0"0,1-5 0,4-2 0,1 0 0,3-2 0,2-5 0,4-5 0,-3-2 0,3-1 0,0-2 0,0 0 0,-2-1 0,-1 3-8191</inkml:trace>
  <inkml:trace contextRef="#ctx0" brushRef="#br0" timeOffset="5">3034 2088 24575,'0'3'0,"1"2"0,0-1 0,-1-2 0,0 1 0,2-1 0,-1 2 0,1 1 0,-1-3 0,5 7 0,23 26 0,-25-28 0,27 27 0,-23-27 0,-1 0 0,0 0 0,0 1 0,-2 1 0,11 15 0,8 20 0,30 40 0,12 6 0,-54-76 0,-8-9-227,-2 0-1,0-2 1,0 0-1,0 1 1,3 8-1,-1 3-6598</inkml:trace>
  <inkml:trace contextRef="#ctx0" brushRef="#br0" timeOffset="6">1905 1 24575,'0'158'0,"0"-153"0,1 1 0,1-1 0,-1-2 0,0 2 0,0 0 0,1 1 0,0-3 0,2 1 0,-2 3 0,1-3 0,5 7 0,13 20 0,1 24 0,-15-36 0,21 39 0,-16-36 0,19 29 0,-27-44 0,0-3 0,0 0 0,-1 1 0,2-1 0,0 0 0,1-1 0,4 5 0,-9-6 0,1 0 0,-1-2 0,1 2 0,0-2 0,-1 1 0,2-1 0,-2 2 0,1-2 0,0 0 0,-1 1 0,1-1 0,0 0 0,0 0 0,0 0 0,0 0 0,-1-1 0,1 1 0,1 0 0,-1 0 0,-1-2 0,1 1 0,-1 1 0,1-1 0,0 0 0,-1 1 0,1-3 0,-1 2 0,2 0 0,-1 0 0,-1 0 0,2-3 0,4-2 0,1-3 0,-1 1 0,-2-1 0,7-13 0,0 0 0,-3 12 0,-1-2 0,-2 1 0,0-3 0,-1 3 0,-1 0 0,0-3 0,1 3 0,-2-4 0,0 3 0,1-21 0,-4 32 0,3-18 0,-3 18 0,1 0 0,-1 1 0,0-2 0,0 1 0,0 0 0,0 0 0,0 0 0,0 0 0,1 1 0,0 0 0,-1-1 0,1 0 0,-1 0 0,1 1 0,-1-1 0,1 1 0,-1-1 0,1 1 0,0 0 0,1-2 0,-2 2 0,1 0 0,-1 0 0,0 0 0,0 0 0,1 0 0,-1 0 0,0 0 0,0 0 0,0 0 0,0 0 0,0 0 0,1 0 0,-1 0 0,0 0 0,0 0 0,1 0 0,-1 0 0,0 0 0,0 0 0,1 0 0,-1 1 0,0-1 0,0 0 0,0 0 0,0 0 0,0 0 0,0 1 0,0-1 0,0 0 0,1 0 0,-1 0 0,0 0 0,0 0 0,0 0 0,0 0 0,0 0 0,1 0 0,-1 0 0,0 0 0,0 0 0,0 1 0,0-1 0,0 0 0,0 1 0,0-1 0,0 0 0,0 0 0,0 0 0,0 0 0,0 0 0,0 0 0,0 1 0,0-1 0,0 0 0,-1 0 0,1 1 0,0-1 0,-5 11 0,-3-2 0,1 1 0,-1 3 0,1-3 0,1 3 0,2-1 0,-1 1 0,-1-3 0,3 4 0,0-2 0,-3 16 0,4-21 0,-2 2 0,1-2 0,0 1 0,1 0 0,-2 2 0,-5 5 0,-1 5 0,-23 22 0,13-19 0,15-18 0,1 0 0,-1 1 0,1 1 0,0-5 0,0 4 0,0 0 0,2 0 0,-2 0 0,0 2 0,-1 6 0,4-7 0,-1 3 0,0-2 0,-1-2 0,1 2 0,0-1 0,-2 1 0,1-3 0,-2 3 0,-8 8 0,8-8 0,0 1 0,0 0 0,1-1 0,1 2 0,-1-2 0,2 2 0,-1-3 0,1 4 0,-2 17 0,-8 22 0,6-35-1365,1-4-5461</inkml:trace>
  <inkml:trace contextRef="#ctx0" brushRef="#br0" timeOffset="7">655 1851 24575,'0'0'0,"0"2"0,1-2 0,-1 1 0,1 0 0,0 0 0,-1-1 0,0 1 0,1-1 0,0 1 0,-1 0 0,0 0 0,1-1 0,0 1 0,0 0 0,0-1 0,0 1 0,0-1 0,-1 1 0,1-1 0,0 1 0,0-1 0,0 0 0,0 0 0,0 1 0,0-1 0,-1 0 0,1 0 0,0 0 0,0 0 0,0 0 0,0 0 0,0 0 0,-1 0 0,3-1 0,-2 1 0,-1 0 0,2 0 0,-1 0 0,-1-1 0,1 1 0,0-1 0,0 0 0,1 1 0,0-2 0,3-2 0,1-1 0,-1-2 0,0 3 0,9-13 0,-6 7 0,0 2 0,2-1 0,1 3 0,16-12 0,5-6 0,50-29 0,-28 19 0,-38 23 0,-1 0 0,-1-1 0,28-31 0,-38 39 0,3 1 0,-1-1 0,0-2 0,-1 3 0,1 1 0,0-2 0,10-4 0,-9 5 0,0-1 0,1 0 0,0-1 0,7-5 0,-3-3 0,14-9 0,39-24 0,-53 40 0,-2-3 0,0 5 0,1-2 0,2 3 0,-3-2 0,2 3 0,19-6 0,-22 6 0,-1 0 0,1 0 0,-1-1 0,0-1 0,-1 0 0,14-8 0,24-12 0,-25 16 0,-1 2 0,2 0 0,-1 0 0,34-3 0,-36 6 0,3-2 0,-2 1 0,-3 0 0,3-2 0,17-9 0,43-11 0,-67 22-455,0 0 0,19-11 0,-14 7-6371</inkml:trace>
  <inkml:trace contextRef="#ctx0" brushRef="#br0" timeOffset="8">671 1954 24575,'-1'-43'0,"0"-8"0,11-93 0,-7 121 0,-3 18 0,0 1 0,0-1 0,1 1 0,-1 0 0,0 0 0,2 0 0,-1-1 0,0 1 0,1 0 0,1 0 0,-2 1 0,5-8 0,-6 11 0,0-1 0,0 1 0,1 0 0,-1-1 0,0 1 0,0 0 0,0 0 0,0 0 0,0 0 0,0 0 0,1 0 0,-1 0 0,0 0 0,1 0 0,-1 0 0,0 0 0,0 0 0,1 0 0,-1 0 0,0 0 0,0 0 0,0 0 0,0 0 0,1 0 0,-1 0 0,0 0 0,1 0 0,-1 0 0,0 0 0,1 0 0,-1 0 0,0 0 0,0 0 0,0 0 0,0 0 0,1 0 0,2 9 0,0 14 0,-7-10 0,1 1 0,-9 21 0,6-25 0,2 4 0,-1-4 0,2 4 0,-2 12 0,3 22 0,2-31 0,-1-2 0,-1-1 0,-4 21 0,6-34 0,0-1 0,0 0 0,0 3 0,0-3 0,-1 1 0,1-1 0,0 1 0,0-1 0,0 2 0,0-2 0,0 0 0,0 0 0,0 1 0,0-1 0,0 1 0,0-1 0,1 1 0,-1 0 0,9-1 0,-4-3 0,27-2-25,-4-1 0,3 2 0,-3 2 0,59 4 1,-26 0-1217,-45-2-5585</inkml:trace>
  <inkml:trace contextRef="#ctx0" brushRef="#br0" timeOffset="9">1 1386 24575,'0'-1'0,"0"-1"0,1 2 0,-1-2 0,0 1 0,1 0 0,0-1 0,-1 1 0,1-1 0,-1 2 0,1 0 0,1-1 0,-2 0 0,1 1 0,0-1 0,0-1 0,0 2 0,-1 0 0,1-1 0,0 1 0,1 0 0,-2 0 0,2-1 0,-1 1 0,0-1 0,0 1 0,3 0 0,32-7 0,158 2 0,-97 9 0,-80-5 0,-11 1 0,1 0 0,-2 0 0,4 0 0,11 3 0,-18-3 0,-1 0 0,1 2 0,-1-2 0,1 1 0,-1-1 0,0 1 0,0 0 0,1 0 0,-1-1 0,0 1 0,-1 0 0,2-1 0,0 1 0,-1-1 0,0 2 0,0-1 0,0 0 0,0 0 0,0-1 0,-1 2 0,1-1 0,0 2 0,-1-2 0,0 1 0,1-1 0,0 3 0,0 4 0,0-1 0,0 0 0,-1 0 0,0 0 0,-1 2 0,0-1 0,1-2 0,-2 2 0,0-2 0,1 1 0,-2 2 0,-4 3 0,2-2 0,0 0 0,-1-2 0,0 2 0,-1-2 0,-1 0 0,1-1 0,-15 13 0,15-12 0,-2-4 0,3 2 0,-13 16 0,18-22 0,1 1 0,0 0 0,-1 0 0,1-1 0,0 1 0,0 0 0,0-1 0,-1 1 0,1 0 0,0 0 0,0-1 0,1 1 0,-1 0 0,0 0 0,0-1 0,0 1 0,1 0 0,-1 1 0,0-2 0,1 0 0,-1 1 0,0 0 0,0-1 0,1 0 0,-1 1 0,1 0 0,0 0 0,-1-1 0,0 0 0,2 0 0,-1 1 0,0-1 0,-1 1 0,0-1 0,1 0 0,0 0 0,-1 1 0,3 0 0,27 11 0,-10-7-9,5-2-1,-5-1 1,4 0-1,1 0 1,33-6-1,1 2-1298,-42 2-5518</inkml:trace>
  <inkml:trace contextRef="#ctx0" brushRef="#br0" timeOffset="10">230 1461 24575,'0'-1'0,"0"-1"0,1 2 0,-1-1 0,1 0 0,-1 0 0,0 0 0,0 0 0,1 0 0,0 0 0,0-1 0,0 2 0,0-2 0,0 1 0,-1 1 0,2-1 0,-1 1 0,-1-1 0,2 0 0,-2 0 0,2 1 0,-1-1 0,0 1 0,1 0 0,-2-1 0,2 1 0,1-1 0,2 1 0,1-2 0,0-1 0,0 2 0,8 0 0,0 2 0,1 0 0,0 4 0,0-4 0,-1 3 0,17 6 0,20 3 0,-3-3 0,-30-8 0,0 1 0,31 9 0,-31-4-1365,-1-1-5461</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05T07:21:37.009"/>
    </inkml:context>
    <inkml:brush xml:id="br0">
      <inkml:brushProperty name="width" value="0.05" units="cm"/>
      <inkml:brushProperty name="height" value="0.05" units="cm"/>
      <inkml:brushProperty name="color" value="#E71224"/>
    </inkml:brush>
  </inkml:definitions>
  <inkml:trace contextRef="#ctx0" brushRef="#br0">180 1402 24575,'1'-3'0,"0"1"0,-1-1 0,1 0 0,0-1 0,0 1 0,0 1 0,0 0 0,1-1 0,-1 1 0,1-1 0,-1 1 0,2-1 0,-2 1 0,1 1 0,0-2 0,1 1 0,-1 1 0,0-1 0,0 0 0,1 1 0,2-2 0,6-4 0,1 1 0,0 1 0,17-6 0,20 0 0,-35 8 0,30-9 0,-11 0 0,-22 10 0,-2-1 0,1 0 0,11-6 0,34-19-1365,-38 21-5461</inkml:trace>
  <inkml:trace contextRef="#ctx0" brushRef="#br0" timeOffset="1">226 1297 24575,'0'0'0,"0"0"0,0 0 0,0 0 0,0 2 0,0-2 0,0 0 0,0 0 0,0 0 0,0 0 0,0 0 0,0 0 0,0 0 0,0 0 0,0 1 0,0-1 0,0 0 0,0 1 0,0-1 0,0 0 0,1 0 0,-1 0 0,0 0 0,0 1 0,1-1 0,-1 0 0,0 0 0,0 1 0,0-1 0,0 0 0,0 0 0,1 0 0,-1 1 0,0-1 0,1 0 0,-1 0 0,1 0 0,-1 0 0,11-5 0,-10 5 0,0 0 0,0-2 0,0 2 0,0-1 0,-1 0 0,1 0 0,0 0 0,0 0 0,-1 0 0,1 0 0,0 0 0,-1 0 0,1 0 0,-1 0 0,0-1 0,0 0 0,1 2 0,-1-1 0,0 0 0,0 1 0,1-5 0,-1 5 0,0 0 0,-1 0 0,1 0 0,0 0 0,0-1 0,0 1 0,0 0 0,0 0 0,0 0 0,0-1 0,0 1 0,-1 0 0,1 0 0,0 0 0,0 0 0,0-1 0,0 1 0,0 0 0,0 0 0,0 0 0,0 0 0,0 0 0,-1 0 0,1 0 0,0 0 0,0 0 0,0 0 0,-1 0 0,1 0 0,0 0 0,0 0 0,-1 0 0,1 0 0,0 0 0,0 0 0,0 0 0,0 0 0,0 0 0,0 0 0,0 0 0,-1 0 0,1 0 0,0 0 0,-7 8 0,-2 11 0,-8 55 0,16-73 0,1 1 0,0-1 0,0 2 0,0-3 0,0 2 0,0-1 0,0 0 0,1 1 0,-1-1 0,0 1 0,1 1 0,-1-2 0,1 1 0,0-1 0,0 0 0,-1 0 0,1 0 0,0 1 0,0-1 0,0 0 0,0 0 0,0 0 0,0 0 0,0 0 0,0 1 0,1-2 0,-1 1 0,1 1 0,-1-2 0,0 1 0,0-1 0,1 1 0,-1-1 0,1 0 0,-1 0 0,3 1 0,7 1 0,-1 0 0,1-1 0,0-1 0,12 0 0,-16 0 0,201-3-1365,-191 3-5461</inkml:trace>
  <inkml:trace contextRef="#ctx0" brushRef="#br0" timeOffset="2">120 1205 24575,'0'-783'0,"-1"760"0,-5-33 0,-2-17 0,2 17-1365,3 39-5461</inkml:trace>
  <inkml:trace contextRef="#ctx0" brushRef="#br0" timeOffset="3">90 175 24575,'-1'4'0,"1"-2"0,-1 1 0,0-1 0,0 0 0,0-1 0,0 2 0,-1-1 0,1 0 0,-1 0 0,0 1 0,-2 0 0,-8 15 0,7-5 0,0 1 0,0 1 0,2-2 0,-4 26 0,1 59 0,4-54 0,-2 1 0,-11 54 0,11-82 0,1-15 0,2-10 0,1-2 0,1 2 0,-1-2 0,2 2 0,-1-2 0,2 3 0,-1-4 0,1 4 0,0-2 0,1 0 0,5-9 0,11-27 0,-17 31 0,1 1 0,2-16 0,-6 21 0,3-2 0,-2 0 0,2 1 0,0-1 0,0 3 0,7-15 0,1 1 0,-1-1 0,-1 1 0,-1-1 0,-1 0 0,-1-2 0,6-34 0,-11 10 0,-1 39 0,0 1 0,0-1 0,1 1 0,0-2 0,3-12 0,-4 22 0,1-2 0,0 1 0,0-1 0,-1 0 0,2 1 0,-2-1 0,1 1 0,1-1 0,-2 1 0,2-1 0,-1 1 0,1 0 0,-2 1 0,2-2 0,-1 1 0,1 1 0,2-3 0,-3 3 0,0 0 0,-1 0 0,2 0 0,-1-1 0,-1 1 0,1 0 0,0 0 0,0 0 0,0 0 0,0 0 0,-1 1 0,1-1 0,0 0 0,0 0 0,0 0 0,0 0 0,0 1 0,-1-1 0,1 1 0,0-1 0,0 1 0,-1-1 0,1 0 0,0 1 0,-1 0 0,1 0 0,-1-1 0,1 1 0,0-1 0,-1 1 0,0-1 0,1 2 0,-1-1 0,1-1 0,0 3 0,5 16 0,0 0 0,-1-1 0,-1 1 0,2 30 0,-1-20 0,-3-8 0,-1 46 0,-1-43 0,3 33 0,-1-47 11,0-2 0,1 0 0,1 0 0,-1 0-1,1 0 1,0 0 0,9 11 0,8 17-1463,-13-19-5374</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05T07:21:37.013"/>
    </inkml:context>
    <inkml:brush xml:id="br0">
      <inkml:brushProperty name="width" value="0.05" units="cm"/>
      <inkml:brushProperty name="height" value="0.05" units="cm"/>
      <inkml:brushProperty name="color" value="#E71224"/>
    </inkml:brush>
  </inkml:definitions>
  <inkml:trace contextRef="#ctx0" brushRef="#br0">61 1373 24575,'0'-1207'0,"0"1217"0,-1-2 0,0 1 0,-2 0 0,1 0 0,0-2 0,-1 3 0,-6 10 0,-2 8 0,-13 61 0,24-89 0,0 0 0,0 0 0,0 0 0,0 0 0,0 0 0,0 0 0,0 0 0,0 0 0,-1 0 0,1 0 0,0 0 0,0 0 0,0 0 0,0 0 0,0 0 0,0 0 0,0 0 0,0 0 0,0 0 0,0 0 0,0 0 0,0 0 0,0 0 0,0 0 0,0 0 0,0 0 0,0 0 0,0 0 0,0 0 0,0 0 0,-1 0 0,1 0 0,0 0 0,0 1 0,0-1 0,0 0 0,0 0 0,0 0 0,0 0 0,0 0 0,0 0 0,0 0 0,0 0 0,0 0 0,0 0 0,0 1 0,0-1 0,0 0 0,0 0 0,0 0 0,0 0 0,0 0 0,0 0 0,0 0 0,0 1 0,-2-13 0,1-12 0,2-207 0,-1 222 0,1 0 0,1 2 0,-1-1 0,1-1 0,1 1 0,-1 0 0,1 0 0,1 1 0,4-10 0,-7 17 0,-1 0 0,0-1 0,1 0 0,-1 0 0,0 1 0,0 0 0,1-1 0,-1 0 0,1 1 0,-1-1 0,0 1 0,1 0 0,0-1 0,-1 1 0,1-1 0,-1 1 0,1-1 0,-1 1 0,1 0 0,0 0 0,-1 0 0,1 0 0,0 0 0,0-1 0,0 1 0,0 1 0,-1-1 0,0 0 0,1 0 0,0 1 0,-1-1 0,1 1 0,-1 0 0,1-1 0,-1 0 0,1 1 0,-1-1 0,1 1 0,-1 0 0,0-1 0,0 0 0,1 1 0,0 1 0,8 34 0,-8-34 0,2 10 0,1 3 0,1-3 0,0 3 0,0-3 0,12 21 0,-8-16 43,9 26 0,-6-10-1494,-6-19-5375</inkml:trace>
  <inkml:trace contextRef="#ctx0" brushRef="#br0" timeOffset="1">225 1269 24575,'0'-16'0,"-1"3"0,1-2 0,2 0 0,-1 1 0,4-16 0,-4 26 0,1 0 0,-1 0 0,0-1 0,2 0 0,-1 2 0,0-2 0,0 3 0,1-2 0,-1 0 0,1 0 0,1 0 0,-1 1 0,0 0 0,0 1 0,1-1 0,0 0 0,5-2 0,10-6 0,22-19 0,-30 21 0,1 0 0,0 1 0,0 1 0,0-1 0,22-7 0,-21 9 0,0 0 0,-1-1 0,1 0 0,-2 0 0,1-2 0,13-12 0,-15 12 0,1 1 0,0-1 0,-1 1 0,2 2 0,0-2 0,0 1 0,16-4 0,-21 9 0,-1 1 0,0-1 0,-1 0 0,1 0 0,0-1 0,0 1 0,-1-1 0,1-1 0,-1 2 0,5-7 0,34-28-1365,-33 26-5461</inkml:trace>
  <inkml:trace contextRef="#ctx0" brushRef="#br0" timeOffset="2">225 1001 24575,'0'14'0,"-1"0"0,1 0 0,-6 20 0,4-27 0,1-2 0,-1 1 0,-1 1 0,0 0 0,1-2 0,-2 1 0,0 0 0,1 0 0,-7 5 0,2 2 0,-1-2 0,2 2 0,0 0 0,-8 17 0,5-8 0,9-20 0,1-1 0,-1 0 0,0 0 0,1 1 0,-1-1 0,1 2 0,0-2 0,-1 1 0,1 0 0,0-1 0,0 1 0,0-1 0,0 1 0,0 0 0,0-1 0,1 3 0,-1-3 0,1 0 0,0 0 0,0-1 0,-1 1 0,1 0 0,0-1 0,-1 0 0,1 1 0,0 0 0,0 1 0,-1-2 0,2 0 0,-1 1 0,-1-1 0,1 1 0,0-1 0,0 0 0,0 1 0,0-1 0,0 0 0,0 0 0,0 0 0,0 0 0,0 0 0,0 0 0,0 0 0,0-1 0,2 0 0,8-2 0,0 1 0,0-2 0,-1 1 0,14-6 0,-14 4 0,0-1 0,1 3 0,0 1 0,16-5 0,-4 5 0,-15 2 0,-1-1 0,1 1 0,-1-2 0,1 1 0,-1-1 0,0 0 0,0-2 0,0 2 0,0-1 0,11-6 0,-14 6-85,5-5-171,1 2 0,-1 0 0,2 0 0,19-8 0,-14 10-6570</inkml:trace>
</inkml:ink>
</file>

<file path=xl/persons/person.xml><?xml version="1.0" encoding="utf-8"?>
<personList xmlns="http://schemas.microsoft.com/office/spreadsheetml/2018/threadedcomments" xmlns:x="http://schemas.openxmlformats.org/spreadsheetml/2006/main">
  <person displayName="Leo De Luca" id="{DF95A3AC-CF88-4F88-A23E-E928AD39D34A}" userId="S::10694949@polimi.it::4801add9-af44-445e-ad1f-ecee54acb5df" providerId="AD"/>
  <person displayName="Davide Colombo" id="{269D4546-4E04-4C7D-B81F-958017394550}" userId="S::10707845@polimi.it::12d7f866-ccef-4647-af50-cb1758be7c7e" providerId="AD"/>
  <person displayName="Davide Ferrari" id="{87223F70-0D3B-470E-8183-2A685DAA7454}" userId="S::10717767@polimi.it::369800f6-bd17-4601-bdf1-bbdbbf3da2f1"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8" dT="2023-04-25T09:12:25.67" personId="{269D4546-4E04-4C7D-B81F-958017394550}" id="{F154E5F5-28CB-4119-A3A5-92AECA100271}">
    <text>Corretto con formula algebrica (alpha'_t, non alpha')</text>
  </threadedComment>
</ThreadedComments>
</file>

<file path=xl/threadedComments/threadedComment2.xml><?xml version="1.0" encoding="utf-8"?>
<ThreadedComments xmlns="http://schemas.microsoft.com/office/spreadsheetml/2018/threadedcomments" xmlns:x="http://schemas.openxmlformats.org/spreadsheetml/2006/main">
  <threadedComment ref="AJ2" dT="2023-05-11T20:22:16.19" personId="{269D4546-4E04-4C7D-B81F-958017394550}" id="{AED280EA-045E-40C9-9F44-E156AFD344CB}" done="1">
    <text>Invertito segno per coerenza con sdr nel disegno</text>
  </threadedComment>
  <threadedComment ref="M7" dT="2023-05-10T17:30:03.23" personId="{269D4546-4E04-4C7D-B81F-958017394550}" id="{CA77A5D8-8CF2-41F9-A52A-55A3B3C96DA7}">
    <text>Question: questi coefficienti da che grafici li abbiamo tirati fuori visto che sono sulla ruota dentata di pezzo?</text>
  </threadedComment>
  <threadedComment ref="M7" dT="2023-05-11T09:15:55.65" personId="{87223F70-0D3B-470E-8183-2A685DAA7454}" id="{F057FCDA-6A25-4627-B807-938066B37F91}" parentId="{CA77A5D8-8CF2-41F9-A52A-55A3B3C96DA7}">
    <text>Tutte le verifiche segnate con B+ sono verifiche effettuate sulla sezione con intaglio (lo spallamento) ma applicando i valori di sigma e tau corrispondenti alla sezione più sollecitata (che è la sezione sulla mezzeria della ruota di pezzo
ps i coeff li ho presi dalle slide di carboni, facevano riferimento alle tabelle del manuale di Matthews and Hooke, 1971. Non mi ero accorto che avessi già messo sotto le foto di altre tabelle!</text>
  </threadedComment>
  <threadedComment ref="M7" dT="2023-05-11T09:36:21.32" personId="{269D4546-4E04-4C7D-B81F-958017394550}" id="{27E75A45-B89C-4890-862F-D336BFC70B46}" parentId="{CA77A5D8-8CF2-41F9-A52A-55A3B3C96DA7}">
    <text>Ok, allora siamo tutti coerenti :)</text>
  </threadedComment>
  <threadedComment ref="M7" dT="2023-05-11T20:11:26.23" personId="{269D4546-4E04-4C7D-B81F-958017394550}" id="{58B10D6A-1D1A-4E00-9E37-5BF391721BA0}" parentId="{CA77A5D8-8CF2-41F9-A52A-55A3B3C96DA7}">
    <text>Wait, B+ è lo spallamento o il punto dove si scaricano le forze della ruota 5?</text>
  </threadedComment>
  <threadedComment ref="D10" dT="2023-06-10T19:54:42.01" personId="{269D4546-4E04-4C7D-B81F-958017394550}" id="{5B723E80-8DDF-4251-BBD0-9EBA37D10B86}">
    <text>Mi sono accorto di un piccolo errore qua perché d_medio era minore di 30mm. Mancavano i 2 mm di spallamento della ruota di pezzo</text>
  </threadedComment>
  <threadedComment ref="T13" dT="2023-05-10T17:39:04.83" personId="{269D4546-4E04-4C7D-B81F-958017394550}" id="{9DF7C671-0A74-443D-9B6C-0B43EFE25E78}">
    <text>Non credo che sia possibile utilizzarlo dato che r max per i cuscinetti che abbiamo su questo albero è 1mm</text>
  </threadedComment>
  <threadedComment ref="T13" dT="2023-05-11T09:13:18.84" personId="{87223F70-0D3B-470E-8183-2A685DAA7454}" id="{07805000-B1ED-4E33-ABE7-59C647FC9B79}" parentId="{9DF7C671-0A74-443D-9B6C-0B43EFE25E78}">
    <text>Hai ragione, non l'ho modificato dopo la scelta dei cuscinetti. Ho provato ora con r=1 e 0.5, dovremmo stare comunque con un eta intorno al 2 a fatica e 1.6 in statica. Prova pure a modificare tu i parametri di r e dei Kt</text>
  </threadedComment>
  <threadedComment ref="T13" dT="2023-05-11T09:34:27.50" personId="{269D4546-4E04-4C7D-B81F-958017394550}" id="{D269CDC4-159B-4272-8D0D-9A571CA15B93}" parentId="{9DF7C671-0A74-443D-9B6C-0B43EFE25E78}">
    <text>Perfetto allora</text>
  </threadedComment>
  <threadedComment ref="T17" dT="2023-06-30T13:00:50.67" personId="{DF95A3AC-CF88-4F88-A23E-E928AD39D34A}" id="{9A2D16E2-8C71-4DC6-8975-99C47BA844A3}">
    <text>Dalla tabella di b3, Rm=1030, Rt=6*0.8=4.8; quindi circa 0.9</text>
  </threadedComment>
  <threadedComment ref="T17" dT="2023-07-01T16:37:37.70" personId="{DF95A3AC-CF88-4F88-A23E-E928AD39D34A}" id="{8CFF2EBA-6A4B-4225-837C-6EDB599F29FE}" parentId="{9A2D16E2-8C71-4DC6-8975-99C47BA844A3}">
    <text>Ok, è 0.87</text>
  </threadedComment>
  <threadedComment ref="T18" dT="2023-05-10T17:40:59.20" personId="{269D4546-4E04-4C7D-B81F-958017394550}" id="{2BB66ACD-6389-4F8E-8AF8-F8DDDB423005}">
    <text>Aggiornata con formula di Neuber</text>
  </threadedComment>
</ThreadedComments>
</file>

<file path=xl/threadedComments/threadedComment3.xml><?xml version="1.0" encoding="utf-8"?>
<ThreadedComments xmlns="http://schemas.microsoft.com/office/spreadsheetml/2018/threadedcomments" xmlns:x="http://schemas.openxmlformats.org/spreadsheetml/2006/main">
  <threadedComment ref="AA58" dT="2023-04-25T09:10:34.81" personId="{269D4546-4E04-4C7D-B81F-958017394550}" id="{E804A111-CF7E-40AB-B3B2-A496135DD08C}">
    <text>Aggiungere al moto rigido (phi*L) lo spostamento verticale trave incastrata</text>
  </threadedComment>
</ThreadedComments>
</file>

<file path=xl/threadedComments/threadedComment4.xml><?xml version="1.0" encoding="utf-8"?>
<ThreadedComments xmlns="http://schemas.microsoft.com/office/spreadsheetml/2018/threadedcomments" xmlns:x="http://schemas.openxmlformats.org/spreadsheetml/2006/main">
  <threadedComment ref="C15" dT="2023-04-27T20:41:31.00" personId="{87223F70-0D3B-470E-8183-2A685DAA7454}" id="{F979D2ED-B1EB-4F70-9BFC-D31FFB33B8A0}">
    <text>Nelle casistiche 1b, 1c Ka è positivo verso dx nelle formule, quindi al nostro Ka (definito positivo verso sx) ho aggiunto un meno</text>
  </threadedComment>
  <threadedComment ref="C15" dT="2023-04-28T07:08:14.69" personId="{269D4546-4E04-4C7D-B81F-958017394550}" id="{E2E0CCA6-C268-4023-9FDA-A110018EB1A9}" parentId="{F979D2ED-B1EB-4F70-9BFC-D31FFB33B8A0}">
    <text>Foglio fantastico</text>
  </threadedComment>
  <threadedComment ref="J15" dT="2023-05-04T08:03:59.32" personId="{269D4546-4E04-4C7D-B81F-958017394550}" id="{A1567C90-04FD-4B3A-B8E6-EA9CCAA234E2}">
    <text>Valori da inserire manualmente guardando il grafico per rulli conici</text>
  </threadedComment>
  <threadedComment ref="L15" dT="2023-07-05T13:02:12.19" personId="{87223F70-0D3B-470E-8183-2A685DAA7454}" id="{02C0D87A-6CC2-4E84-96DB-B2425FA648DD}">
    <text>Ho sistemato le formule da utilizzare per il caso 2c. Cambia il P dei due cuscinetti, quindi bisogna ridefinire i coeff a23. Controllate anche voi se hanno senso questo 4 e 3,5</text>
  </threadedComment>
  <threadedComment ref="C32" dT="2023-04-27T20:42:37.28" personId="{87223F70-0D3B-470E-8183-2A685DAA7454}" id="{A4BD46C7-D572-407D-AC13-08AE773A4A2E}">
    <text>Formule in B32 e B33 da inserire manualmente dopo aver verificato in quale caso ci si trova
Tab pag 682 riportata qui sotto</text>
  </threadedComment>
</ThreadedComments>
</file>

<file path=xl/threadedComments/threadedComment5.xml><?xml version="1.0" encoding="utf-8"?>
<ThreadedComments xmlns="http://schemas.microsoft.com/office/spreadsheetml/2018/threadedcomments" xmlns:x="http://schemas.openxmlformats.org/spreadsheetml/2006/main">
  <threadedComment ref="F5" dT="2023-05-10T17:26:50.66" personId="{269D4546-4E04-4C7D-B81F-958017394550}" id="{5E2B3D72-4337-4902-8158-D8A73A6D258D}">
    <text>Forse bisogna utilizzare una linguetta leggermente più corta per via del raccordo alla base dei denti presente nelle tavole</text>
  </threadedComment>
</ThreadedComments>
</file>

<file path=xl/threadedComments/threadedComment6.xml><?xml version="1.0" encoding="utf-8"?>
<ThreadedComments xmlns="http://schemas.microsoft.com/office/spreadsheetml/2018/threadedcomments" xmlns:x="http://schemas.openxmlformats.org/spreadsheetml/2006/main">
  <threadedComment ref="C15" dT="2023-04-27T20:41:31.00" personId="{87223F70-0D3B-470E-8183-2A685DAA7454}" id="{ED20133C-9956-4F7E-80D2-4A64EFB5998A}">
    <text>Nelle casistiche 1b, 1c Ka è positivo verso dx nelle formule, quindi al nostro Ka (definito positivo verso sx) ho aggiunto un meno</text>
  </threadedComment>
  <threadedComment ref="C15" dT="2023-04-28T07:08:14.69" personId="{269D4546-4E04-4C7D-B81F-958017394550}" id="{40A72CC4-7A20-4E47-A9BC-64972EFDE4DB}" parentId="{ED20133C-9956-4F7E-80D2-4A64EFB5998A}">
    <text>Foglio fantastico</text>
  </threadedComment>
  <threadedComment ref="C32" dT="2023-04-27T20:42:37.28" personId="{87223F70-0D3B-470E-8183-2A685DAA7454}" id="{34361895-0CDD-4B56-BD99-111586DB7807}">
    <text>Formule in B32 e B33 da inserire manualmente dopo aver verificato in quale caso ci si trova
Tab pag 682 riportata qui sotto</text>
  </threadedComment>
</ThreadedComment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 Id="rId4" Type="http://schemas.microsoft.com/office/2017/10/relationships/threadedComment" Target="../threadedComments/threadedComment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9.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2.xml"/><Relationship Id="rId4" Type="http://schemas.microsoft.com/office/2017/10/relationships/threadedComment" Target="../threadedComments/threadedComment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0D1DA-71EB-4346-93B8-C8EC8B5574A0}">
  <dimension ref="C2:L6"/>
  <sheetViews>
    <sheetView workbookViewId="0">
      <selection activeCell="D3" sqref="D3"/>
    </sheetView>
  </sheetViews>
  <sheetFormatPr baseColWidth="10" defaultColWidth="8.83203125" defaultRowHeight="15" x14ac:dyDescent="0.2"/>
  <cols>
    <col min="3" max="3" width="16.5" bestFit="1" customWidth="1"/>
    <col min="4" max="4" width="8.5" bestFit="1" customWidth="1"/>
    <col min="5" max="5" width="19.83203125" bestFit="1" customWidth="1"/>
    <col min="10" max="10" width="11.5" customWidth="1"/>
  </cols>
  <sheetData>
    <row r="2" spans="3:12" x14ac:dyDescent="0.2">
      <c r="C2" t="s">
        <v>0</v>
      </c>
      <c r="F2" t="s">
        <v>1</v>
      </c>
      <c r="G2" t="s">
        <v>2</v>
      </c>
      <c r="H2" t="s">
        <v>3</v>
      </c>
      <c r="I2" s="1" t="s">
        <v>4</v>
      </c>
      <c r="J2" s="1" t="s">
        <v>5</v>
      </c>
      <c r="K2" s="1" t="s">
        <v>6</v>
      </c>
      <c r="L2" t="s">
        <v>7</v>
      </c>
    </row>
    <row r="3" spans="3:12" x14ac:dyDescent="0.2">
      <c r="C3" t="s">
        <v>8</v>
      </c>
      <c r="D3" t="s">
        <v>9</v>
      </c>
      <c r="E3" t="s">
        <v>10</v>
      </c>
      <c r="F3">
        <v>1030</v>
      </c>
      <c r="G3">
        <v>735</v>
      </c>
      <c r="H3">
        <v>8</v>
      </c>
      <c r="I3" s="248">
        <v>650</v>
      </c>
      <c r="J3" s="248">
        <v>61</v>
      </c>
      <c r="K3" s="248">
        <v>1650</v>
      </c>
      <c r="L3" s="248">
        <v>525</v>
      </c>
    </row>
    <row r="4" spans="3:12" x14ac:dyDescent="0.2">
      <c r="C4" t="s">
        <v>11</v>
      </c>
      <c r="D4" t="s">
        <v>12</v>
      </c>
      <c r="E4" t="s">
        <v>10</v>
      </c>
      <c r="F4">
        <v>1130</v>
      </c>
      <c r="G4">
        <v>590</v>
      </c>
      <c r="H4">
        <v>9</v>
      </c>
      <c r="I4" s="248"/>
      <c r="J4" s="248"/>
      <c r="K4" s="248"/>
      <c r="L4" s="248"/>
    </row>
    <row r="6" spans="3:12" ht="48" x14ac:dyDescent="0.2">
      <c r="J6" s="2" t="s">
        <v>13</v>
      </c>
    </row>
  </sheetData>
  <mergeCells count="4">
    <mergeCell ref="I3:I4"/>
    <mergeCell ref="J3:J4"/>
    <mergeCell ref="K3:K4"/>
    <mergeCell ref="L3:L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5CC3C-CCD9-4864-ADFD-62C75A119522}">
  <dimension ref="C1:N33"/>
  <sheetViews>
    <sheetView zoomScale="91" zoomScaleNormal="100" workbookViewId="0">
      <selection activeCell="G13" sqref="G13"/>
    </sheetView>
  </sheetViews>
  <sheetFormatPr baseColWidth="10" defaultColWidth="8.83203125" defaultRowHeight="15" x14ac:dyDescent="0.2"/>
  <cols>
    <col min="3" max="3" width="13.83203125" bestFit="1" customWidth="1"/>
    <col min="6" max="6" width="9.83203125" bestFit="1" customWidth="1"/>
    <col min="7" max="7" width="9.5" bestFit="1" customWidth="1"/>
    <col min="12" max="12" width="15.33203125" bestFit="1" customWidth="1"/>
  </cols>
  <sheetData>
    <row r="1" spans="3:14" x14ac:dyDescent="0.2">
      <c r="C1" t="s">
        <v>14</v>
      </c>
    </row>
    <row r="2" spans="3:14" ht="16" thickBot="1" x14ac:dyDescent="0.25">
      <c r="L2" t="s">
        <v>15</v>
      </c>
      <c r="M2">
        <f>70+142.5+100</f>
        <v>312.5</v>
      </c>
      <c r="N2" t="s">
        <v>16</v>
      </c>
    </row>
    <row r="3" spans="3:14" x14ac:dyDescent="0.2">
      <c r="C3" t="s">
        <v>17</v>
      </c>
      <c r="D3">
        <f>1+0.2*5</f>
        <v>2</v>
      </c>
      <c r="F3" s="6" t="s">
        <v>18</v>
      </c>
      <c r="G3" s="11">
        <f>D3*1000/(2*PI()*D4/60)</f>
        <v>751.91311696958439</v>
      </c>
      <c r="I3" s="6" t="s">
        <v>19</v>
      </c>
      <c r="J3" s="15">
        <f>D4</f>
        <v>25.4</v>
      </c>
      <c r="L3" t="s">
        <v>20</v>
      </c>
      <c r="M3">
        <v>135</v>
      </c>
      <c r="N3" t="s">
        <v>21</v>
      </c>
    </row>
    <row r="4" spans="3:14" x14ac:dyDescent="0.2">
      <c r="C4" s="133" t="s">
        <v>22</v>
      </c>
      <c r="D4">
        <f>25+0.2*2</f>
        <v>25.4</v>
      </c>
      <c r="F4" s="12" t="s">
        <v>23</v>
      </c>
      <c r="G4" s="8">
        <f>G3/D5</f>
        <v>195.30210830378815</v>
      </c>
      <c r="I4" s="12" t="s">
        <v>24</v>
      </c>
      <c r="J4" s="7">
        <f>J3*D5</f>
        <v>97.789999999999992</v>
      </c>
      <c r="L4" t="s">
        <v>25</v>
      </c>
      <c r="M4">
        <v>200</v>
      </c>
      <c r="N4" t="s">
        <v>26</v>
      </c>
    </row>
    <row r="5" spans="3:14" x14ac:dyDescent="0.2">
      <c r="C5" t="s">
        <v>27</v>
      </c>
      <c r="D5">
        <v>3.85</v>
      </c>
      <c r="F5" s="12" t="s">
        <v>28</v>
      </c>
      <c r="G5" s="8">
        <f>G4</f>
        <v>195.30210830378815</v>
      </c>
      <c r="I5" s="12" t="s">
        <v>29</v>
      </c>
      <c r="J5" s="7">
        <f>J4</f>
        <v>97.789999999999992</v>
      </c>
    </row>
    <row r="6" spans="3:14" x14ac:dyDescent="0.2">
      <c r="C6" t="s">
        <v>30</v>
      </c>
      <c r="D6">
        <f>D12/D5</f>
        <v>5.4155844155844157</v>
      </c>
      <c r="F6" s="12" t="s">
        <v>31</v>
      </c>
      <c r="G6" s="8">
        <f>G5/D6</f>
        <v>36.062979231155126</v>
      </c>
      <c r="I6" s="12" t="s">
        <v>32</v>
      </c>
      <c r="J6" s="7">
        <f>J5*D6</f>
        <v>529.58999999999992</v>
      </c>
      <c r="L6" t="s">
        <v>33</v>
      </c>
      <c r="M6">
        <v>120</v>
      </c>
    </row>
    <row r="7" spans="3:14" x14ac:dyDescent="0.2">
      <c r="C7" t="s">
        <v>34</v>
      </c>
      <c r="D7">
        <v>2</v>
      </c>
      <c r="F7" s="12" t="s">
        <v>35</v>
      </c>
      <c r="G7" s="8">
        <f>G6</f>
        <v>36.062979231155126</v>
      </c>
      <c r="I7" s="12" t="s">
        <v>36</v>
      </c>
      <c r="J7" s="7">
        <f>J6</f>
        <v>529.58999999999992</v>
      </c>
    </row>
    <row r="8" spans="3:14" ht="16" thickBot="1" x14ac:dyDescent="0.25">
      <c r="C8" t="s">
        <v>37</v>
      </c>
      <c r="D8">
        <v>41.7</v>
      </c>
      <c r="F8" s="13" t="s">
        <v>38</v>
      </c>
      <c r="G8" s="14">
        <f>G7/D7</f>
        <v>18.031489615577563</v>
      </c>
      <c r="I8" s="13" t="s">
        <v>39</v>
      </c>
      <c r="J8" s="10">
        <f>J7*D7</f>
        <v>1059.1799999999998</v>
      </c>
    </row>
    <row r="12" spans="3:14" x14ac:dyDescent="0.2">
      <c r="C12" t="s">
        <v>40</v>
      </c>
      <c r="D12">
        <f>41.7/2</f>
        <v>20.85</v>
      </c>
    </row>
    <row r="13" spans="3:14" x14ac:dyDescent="0.2">
      <c r="L13" s="16"/>
    </row>
    <row r="14" spans="3:14" ht="16" thickBot="1" x14ac:dyDescent="0.25"/>
    <row r="15" spans="3:14" ht="16" thickBot="1" x14ac:dyDescent="0.25">
      <c r="F15" s="249" t="s">
        <v>41</v>
      </c>
      <c r="G15" s="250"/>
      <c r="I15" s="249" t="s">
        <v>42</v>
      </c>
      <c r="J15" s="250"/>
    </row>
    <row r="16" spans="3:14" ht="16" thickBot="1" x14ac:dyDescent="0.25">
      <c r="F16" s="19" t="s">
        <v>43</v>
      </c>
      <c r="G16" s="75">
        <f>'Forze e verifica 5-6'!C10</f>
        <v>46</v>
      </c>
      <c r="I16" s="19" t="s">
        <v>43</v>
      </c>
      <c r="J16" s="75">
        <f>'Forze e verifica 5-6'!C9</f>
        <v>12</v>
      </c>
    </row>
    <row r="17" spans="3:10" ht="16" thickBot="1" x14ac:dyDescent="0.25">
      <c r="C17" s="249" t="s">
        <v>44</v>
      </c>
      <c r="D17" s="250"/>
      <c r="F17" s="12" t="s">
        <v>45</v>
      </c>
      <c r="G17" s="7">
        <f>'Forze e verifica 5-6'!C7</f>
        <v>147.3300921966453</v>
      </c>
      <c r="I17" s="12" t="s">
        <v>45</v>
      </c>
      <c r="J17" s="7">
        <f>'Forze e verifica 5-6'!C6</f>
        <v>38.433937094777029</v>
      </c>
    </row>
    <row r="18" spans="3:10" x14ac:dyDescent="0.2">
      <c r="C18" s="19" t="s">
        <v>46</v>
      </c>
      <c r="D18" s="75">
        <v>7.5</v>
      </c>
      <c r="F18" s="12" t="s">
        <v>47</v>
      </c>
      <c r="G18" s="7">
        <f>'Forze e verifica 5-6'!C17</f>
        <v>3</v>
      </c>
      <c r="I18" s="12" t="s">
        <v>47</v>
      </c>
      <c r="J18" s="7">
        <f>G18</f>
        <v>3</v>
      </c>
    </row>
    <row r="19" spans="3:10" ht="16" thickBot="1" x14ac:dyDescent="0.25">
      <c r="C19" s="13" t="s">
        <v>48</v>
      </c>
      <c r="D19" s="10">
        <v>80</v>
      </c>
      <c r="F19" s="12" t="s">
        <v>49</v>
      </c>
      <c r="G19" s="7">
        <f>'Forze e verifica 5-6'!C28</f>
        <v>-0.3</v>
      </c>
      <c r="I19" s="12" t="s">
        <v>49</v>
      </c>
      <c r="J19" s="7">
        <f>'Forze e verifica 5-6'!C27</f>
        <v>0.3</v>
      </c>
    </row>
    <row r="20" spans="3:10" x14ac:dyDescent="0.2">
      <c r="F20" s="12" t="s">
        <v>50</v>
      </c>
      <c r="G20" s="7">
        <f>'Forze e verifica 5-6'!C19</f>
        <v>37</v>
      </c>
      <c r="I20" s="12" t="s">
        <v>50</v>
      </c>
      <c r="J20" s="7">
        <f>G20</f>
        <v>37</v>
      </c>
    </row>
    <row r="21" spans="3:10" x14ac:dyDescent="0.2">
      <c r="F21" s="12" t="s">
        <v>51</v>
      </c>
      <c r="G21" s="7">
        <f>'Forze e verifica 5-6'!F18</f>
        <v>20</v>
      </c>
      <c r="I21" s="12" t="s">
        <v>51</v>
      </c>
      <c r="J21" s="7">
        <f>G21</f>
        <v>20</v>
      </c>
    </row>
    <row r="22" spans="3:10" x14ac:dyDescent="0.2">
      <c r="F22" s="12" t="s">
        <v>52</v>
      </c>
      <c r="G22" s="7">
        <f>'Forze e verifica 5-6'!F16</f>
        <v>20.5</v>
      </c>
      <c r="I22" s="12" t="s">
        <v>52</v>
      </c>
      <c r="J22" s="7">
        <f>G22</f>
        <v>20.5</v>
      </c>
    </row>
    <row r="23" spans="3:10" ht="16" thickBot="1" x14ac:dyDescent="0.25">
      <c r="F23" s="13" t="s">
        <v>53</v>
      </c>
      <c r="G23" s="10">
        <f>'Forze e verifica 5-6'!C8</f>
        <v>3.8333333333333335</v>
      </c>
      <c r="I23" s="13" t="s">
        <v>53</v>
      </c>
      <c r="J23" s="10">
        <f>G23</f>
        <v>3.8333333333333335</v>
      </c>
    </row>
    <row r="24" spans="3:10" ht="16" thickBot="1" x14ac:dyDescent="0.25"/>
    <row r="25" spans="3:10" ht="16" thickBot="1" x14ac:dyDescent="0.25">
      <c r="F25" s="249" t="s">
        <v>54</v>
      </c>
      <c r="G25" s="250"/>
      <c r="I25" s="249" t="s">
        <v>55</v>
      </c>
      <c r="J25" s="250"/>
    </row>
    <row r="26" spans="3:10" ht="16" thickBot="1" x14ac:dyDescent="0.25">
      <c r="F26" s="19" t="s">
        <v>43</v>
      </c>
      <c r="G26" s="75">
        <f>'Pre-dime 3-4'!D28</f>
        <v>14</v>
      </c>
      <c r="I26" s="19" t="s">
        <v>43</v>
      </c>
      <c r="J26" s="75">
        <f>'Pre-dime 3-4'!D29</f>
        <v>76</v>
      </c>
    </row>
    <row r="27" spans="3:10" ht="16" thickBot="1" x14ac:dyDescent="0.25">
      <c r="C27" s="249" t="s">
        <v>56</v>
      </c>
      <c r="D27" s="250"/>
      <c r="F27" s="12" t="s">
        <v>45</v>
      </c>
      <c r="G27" s="7">
        <f>'Pre-dime 5-6'!D31</f>
        <v>38.433937094777029</v>
      </c>
      <c r="I27" s="12" t="s">
        <v>45</v>
      </c>
      <c r="J27" s="7">
        <f>'Pre-dime 3-4'!D32</f>
        <v>110.59887701331002</v>
      </c>
    </row>
    <row r="28" spans="3:10" x14ac:dyDescent="0.2">
      <c r="C28" s="19" t="s">
        <v>46</v>
      </c>
      <c r="D28" s="75">
        <f>'Pre-dime 3-4'!D4</f>
        <v>7.5</v>
      </c>
      <c r="F28" s="12" t="s">
        <v>47</v>
      </c>
      <c r="G28" s="7">
        <f>'Pre-dime 3-4'!D18</f>
        <v>1.25</v>
      </c>
      <c r="I28" s="12" t="s">
        <v>47</v>
      </c>
      <c r="J28" s="7">
        <f>G28</f>
        <v>1.25</v>
      </c>
    </row>
    <row r="29" spans="3:10" ht="16" thickBot="1" x14ac:dyDescent="0.25">
      <c r="C29" s="13" t="s">
        <v>48</v>
      </c>
      <c r="D29" s="53">
        <f>'Pre-dime 3-4'!D5</f>
        <v>100</v>
      </c>
      <c r="F29" s="12" t="s">
        <v>49</v>
      </c>
      <c r="G29" s="7">
        <f>'Pre-dime 3-4'!G10</f>
        <v>0.2</v>
      </c>
      <c r="I29" s="12" t="s">
        <v>49</v>
      </c>
      <c r="J29" s="7">
        <f>'Pre-dime 3-4'!M31</f>
        <v>-0.50974586079777229</v>
      </c>
    </row>
    <row r="30" spans="3:10" x14ac:dyDescent="0.2">
      <c r="F30" s="12" t="s">
        <v>50</v>
      </c>
      <c r="G30" s="7">
        <f>'Pre-dime 3-4'!D9</f>
        <v>28</v>
      </c>
      <c r="I30" s="12" t="s">
        <v>50</v>
      </c>
      <c r="J30" s="7">
        <f>G30</f>
        <v>28</v>
      </c>
    </row>
    <row r="31" spans="3:10" x14ac:dyDescent="0.2">
      <c r="F31" s="12" t="s">
        <v>51</v>
      </c>
      <c r="G31" s="7">
        <f>20</f>
        <v>20</v>
      </c>
      <c r="I31" s="12" t="s">
        <v>51</v>
      </c>
      <c r="J31" s="7">
        <f>G31</f>
        <v>20</v>
      </c>
    </row>
    <row r="32" spans="3:10" x14ac:dyDescent="0.2">
      <c r="F32" s="12" t="s">
        <v>52</v>
      </c>
      <c r="G32" s="7">
        <f>'Pre-dime 3-4'!D12</f>
        <v>30.8</v>
      </c>
      <c r="I32" s="12" t="s">
        <v>52</v>
      </c>
      <c r="J32" s="7">
        <f>G32</f>
        <v>30.8</v>
      </c>
    </row>
    <row r="33" spans="6:10" ht="16" thickBot="1" x14ac:dyDescent="0.25">
      <c r="F33" s="13" t="s">
        <v>53</v>
      </c>
      <c r="G33" s="10">
        <f>'Pre-dime 3-4'!D30</f>
        <v>5.4285714285714288</v>
      </c>
      <c r="I33" s="13" t="s">
        <v>53</v>
      </c>
      <c r="J33" s="10">
        <f>G33</f>
        <v>5.4285714285714288</v>
      </c>
    </row>
  </sheetData>
  <mergeCells count="6">
    <mergeCell ref="C27:D27"/>
    <mergeCell ref="F15:G15"/>
    <mergeCell ref="I15:J15"/>
    <mergeCell ref="C17:D17"/>
    <mergeCell ref="F25:G25"/>
    <mergeCell ref="I25:J25"/>
  </mergeCells>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4B018-2007-4216-8F61-74F2CEF65F48}">
  <dimension ref="B4:U35"/>
  <sheetViews>
    <sheetView topLeftCell="A15" zoomScaleNormal="100" workbookViewId="0">
      <selection activeCell="D12" sqref="D12"/>
    </sheetView>
  </sheetViews>
  <sheetFormatPr baseColWidth="10" defaultColWidth="8.83203125" defaultRowHeight="15" x14ac:dyDescent="0.2"/>
  <cols>
    <col min="1" max="1" width="16.5" bestFit="1" customWidth="1"/>
    <col min="2" max="2" width="10.83203125" customWidth="1"/>
    <col min="3" max="3" width="13" customWidth="1"/>
    <col min="5" max="5" width="3.33203125" bestFit="1" customWidth="1"/>
    <col min="6" max="6" width="3.33203125" customWidth="1"/>
    <col min="7" max="7" width="9.6640625" bestFit="1" customWidth="1"/>
    <col min="8" max="8" width="12" bestFit="1" customWidth="1"/>
    <col min="9" max="9" width="9.6640625" bestFit="1" customWidth="1"/>
    <col min="21" max="21" width="10.83203125" bestFit="1" customWidth="1"/>
  </cols>
  <sheetData>
    <row r="4" spans="2:21" x14ac:dyDescent="0.2">
      <c r="C4" t="s">
        <v>57</v>
      </c>
      <c r="D4">
        <v>7.5</v>
      </c>
    </row>
    <row r="5" spans="2:21" x14ac:dyDescent="0.2">
      <c r="C5" t="s">
        <v>48</v>
      </c>
      <c r="D5">
        <v>80</v>
      </c>
    </row>
    <row r="7" spans="2:21" ht="16" thickBot="1" x14ac:dyDescent="0.25">
      <c r="R7" s="254" t="s">
        <v>58</v>
      </c>
      <c r="S7" s="254"/>
    </row>
    <row r="8" spans="2:21" x14ac:dyDescent="0.2">
      <c r="B8" s="6"/>
      <c r="C8" s="257" t="s">
        <v>59</v>
      </c>
      <c r="D8" s="258"/>
      <c r="R8" t="s">
        <v>60</v>
      </c>
      <c r="S8">
        <v>50</v>
      </c>
      <c r="U8" t="s">
        <v>61</v>
      </c>
    </row>
    <row r="9" spans="2:21" x14ac:dyDescent="0.2">
      <c r="B9" s="265"/>
      <c r="C9" s="3" t="s">
        <v>62</v>
      </c>
      <c r="D9" s="7">
        <v>37</v>
      </c>
      <c r="G9" s="4" t="s">
        <v>63</v>
      </c>
      <c r="H9" s="4">
        <f>2*(1-H10)/SIN(RADIANS($H$11))^2</f>
        <v>11.968085038578243</v>
      </c>
      <c r="R9" t="s">
        <v>64</v>
      </c>
      <c r="S9">
        <f>'Coppie e u'!D7</f>
        <v>2</v>
      </c>
    </row>
    <row r="10" spans="2:21" x14ac:dyDescent="0.2">
      <c r="B10" s="266"/>
      <c r="C10" s="3" t="s">
        <v>65</v>
      </c>
      <c r="D10" s="8">
        <f>'Coppie e u'!G4</f>
        <v>195.30210830378815</v>
      </c>
      <c r="G10" s="4" t="s">
        <v>49</v>
      </c>
      <c r="H10" s="4">
        <v>0.3</v>
      </c>
      <c r="R10" t="s">
        <v>66</v>
      </c>
      <c r="S10">
        <f>2*S8/(1+S9)</f>
        <v>33.333333333333336</v>
      </c>
    </row>
    <row r="11" spans="2:21" x14ac:dyDescent="0.2">
      <c r="B11" s="266"/>
      <c r="C11" s="3" t="s">
        <v>53</v>
      </c>
      <c r="D11" s="7">
        <f>'Coppie e u'!D5</f>
        <v>3.85</v>
      </c>
      <c r="G11" s="4" t="s">
        <v>67</v>
      </c>
      <c r="H11" s="4">
        <v>20</v>
      </c>
      <c r="R11" t="s">
        <v>68</v>
      </c>
      <c r="S11">
        <f>S10*S9</f>
        <v>66.666666666666671</v>
      </c>
    </row>
    <row r="12" spans="2:21" x14ac:dyDescent="0.2">
      <c r="B12" s="267"/>
      <c r="C12" s="3" t="s">
        <v>69</v>
      </c>
      <c r="D12" s="7">
        <f>20+0.5</f>
        <v>20.5</v>
      </c>
    </row>
    <row r="13" spans="2:21" x14ac:dyDescent="0.2">
      <c r="B13" s="259"/>
      <c r="C13" s="260"/>
      <c r="D13" s="261"/>
    </row>
    <row r="14" spans="2:21" x14ac:dyDescent="0.2">
      <c r="B14" s="262" t="s">
        <v>70</v>
      </c>
      <c r="C14" s="3" t="s">
        <v>71</v>
      </c>
      <c r="D14" s="7">
        <f>SQRT(2*(D10*1000)/($D$4*D9)*(D11+1)/D11)</f>
        <v>42.109246904930849</v>
      </c>
    </row>
    <row r="15" spans="2:21" x14ac:dyDescent="0.2">
      <c r="B15" s="263"/>
      <c r="C15" s="3" t="s">
        <v>72</v>
      </c>
      <c r="D15" s="7">
        <f>(2*1000*D10/D14)/(D9*$D$5)</f>
        <v>3.1337744958244285</v>
      </c>
    </row>
    <row r="16" spans="2:21" x14ac:dyDescent="0.2">
      <c r="B16" s="264"/>
      <c r="C16" s="3" t="s">
        <v>73</v>
      </c>
      <c r="D16" s="7">
        <f>D15/COS(RADIANS(D12))</f>
        <v>3.3456469956036861</v>
      </c>
    </row>
    <row r="17" spans="2:17" x14ac:dyDescent="0.2">
      <c r="B17" s="259"/>
      <c r="C17" s="260"/>
      <c r="D17" s="261"/>
    </row>
    <row r="18" spans="2:17" x14ac:dyDescent="0.2">
      <c r="B18" s="255" t="s">
        <v>74</v>
      </c>
      <c r="C18" s="3" t="s">
        <v>72</v>
      </c>
      <c r="D18" s="7">
        <v>3</v>
      </c>
    </row>
    <row r="19" spans="2:17" x14ac:dyDescent="0.2">
      <c r="B19" s="255"/>
      <c r="C19" s="3" t="s">
        <v>75</v>
      </c>
      <c r="D19" s="7">
        <f>ROUND(D14*COS(RADIANS(D12))/D18,0)</f>
        <v>13</v>
      </c>
      <c r="E19" s="5" t="str">
        <f>IF(D19&gt;H9,"OK","NOT OK")</f>
        <v>OK</v>
      </c>
      <c r="F19" s="5"/>
      <c r="G19" s="254" t="s">
        <v>76</v>
      </c>
      <c r="H19" s="254"/>
    </row>
    <row r="20" spans="2:17" x14ac:dyDescent="0.2">
      <c r="B20" s="255"/>
      <c r="C20" s="3" t="s">
        <v>77</v>
      </c>
      <c r="D20" s="7">
        <f>ROUND(D19*D11,0)</f>
        <v>50</v>
      </c>
      <c r="E20" s="5" t="str">
        <f>IF(D20/D19=QUOTIENT(D20,D19),"NOT OK","OK")</f>
        <v>OK</v>
      </c>
      <c r="F20" s="5"/>
      <c r="G20" s="254" t="s">
        <v>78</v>
      </c>
      <c r="H20" s="254"/>
    </row>
    <row r="21" spans="2:17" x14ac:dyDescent="0.2">
      <c r="B21" s="259"/>
      <c r="C21" s="260"/>
      <c r="D21" s="261"/>
    </row>
    <row r="22" spans="2:17" x14ac:dyDescent="0.2">
      <c r="B22" s="255" t="s">
        <v>79</v>
      </c>
      <c r="C22" s="3" t="s">
        <v>53</v>
      </c>
      <c r="D22" s="7">
        <f>D20/D19</f>
        <v>3.8461538461538463</v>
      </c>
    </row>
    <row r="23" spans="2:17" x14ac:dyDescent="0.2">
      <c r="B23" s="255"/>
      <c r="C23" s="3" t="s">
        <v>80</v>
      </c>
      <c r="D23" s="7">
        <f>D19*D18/COS(RADIANS(D12))</f>
        <v>41.636765186008454</v>
      </c>
      <c r="G23" s="47"/>
      <c r="H23" s="54"/>
    </row>
    <row r="24" spans="2:17" x14ac:dyDescent="0.2">
      <c r="B24" s="255"/>
      <c r="C24" s="3" t="s">
        <v>81</v>
      </c>
      <c r="D24" s="7">
        <f>D23*D22</f>
        <v>160.14140456157097</v>
      </c>
      <c r="G24" s="55"/>
      <c r="H24" s="56"/>
    </row>
    <row r="25" spans="2:17" ht="16" thickBot="1" x14ac:dyDescent="0.25">
      <c r="B25" s="256"/>
      <c r="C25" s="9" t="s">
        <v>82</v>
      </c>
      <c r="D25" s="10">
        <f>(D24+D23)/2</f>
        <v>100.88908487378971</v>
      </c>
    </row>
    <row r="27" spans="2:17" ht="16" thickBot="1" x14ac:dyDescent="0.25"/>
    <row r="28" spans="2:17" x14ac:dyDescent="0.2">
      <c r="B28" s="251" t="s">
        <v>83</v>
      </c>
      <c r="C28" s="57" t="s">
        <v>75</v>
      </c>
      <c r="D28" s="58">
        <v>12</v>
      </c>
      <c r="E28" s="5" t="str">
        <f>IF(D28&gt;H28,"OK","NOT OK")</f>
        <v>OK</v>
      </c>
      <c r="G28" s="4" t="s">
        <v>63</v>
      </c>
      <c r="H28" s="4">
        <f>2*(1-H29)/SIN(RADIANS($H$11))^2</f>
        <v>11.968085038578243</v>
      </c>
    </row>
    <row r="29" spans="2:17" x14ac:dyDescent="0.2">
      <c r="B29" s="252"/>
      <c r="C29" t="s">
        <v>77</v>
      </c>
      <c r="D29" s="29">
        <v>46</v>
      </c>
      <c r="E29" s="5" t="str">
        <f>IF(D29/D28=QUOTIENT(D29,D28),"NOT OK","OK")</f>
        <v>OK</v>
      </c>
      <c r="G29" s="4" t="s">
        <v>49</v>
      </c>
      <c r="H29" s="4">
        <v>0.3</v>
      </c>
      <c r="J29" t="s">
        <v>84</v>
      </c>
      <c r="K29" t="s">
        <v>85</v>
      </c>
      <c r="M29" t="s">
        <v>86</v>
      </c>
      <c r="P29" t="s">
        <v>87</v>
      </c>
      <c r="Q29" t="s">
        <v>88</v>
      </c>
    </row>
    <row r="30" spans="2:17" x14ac:dyDescent="0.2">
      <c r="B30" s="252"/>
      <c r="C30" t="s">
        <v>53</v>
      </c>
      <c r="D30" s="29">
        <f>D29/D28</f>
        <v>3.8333333333333335</v>
      </c>
      <c r="J30">
        <f>142.5+100-10</f>
        <v>232.5</v>
      </c>
      <c r="K30">
        <f>D32+D31/2</f>
        <v>166.54706074403381</v>
      </c>
      <c r="M30">
        <f>J30-K30</f>
        <v>65.952939255966186</v>
      </c>
      <c r="P30">
        <f>M30/6*2</f>
        <v>21.984313085322061</v>
      </c>
      <c r="Q30">
        <f>P30*5</f>
        <v>109.9215654266103</v>
      </c>
    </row>
    <row r="31" spans="2:17" x14ac:dyDescent="0.2">
      <c r="B31" s="252"/>
      <c r="C31" t="s">
        <v>89</v>
      </c>
      <c r="D31" s="29">
        <f>D28*$D$18/COS(RADIANS($D$12))</f>
        <v>38.433937094777029</v>
      </c>
      <c r="J31" t="s">
        <v>90</v>
      </c>
    </row>
    <row r="32" spans="2:17" ht="16" thickBot="1" x14ac:dyDescent="0.25">
      <c r="B32" s="253"/>
      <c r="C32" s="59" t="s">
        <v>91</v>
      </c>
      <c r="D32" s="60">
        <f>D29*$D$18/COS(RADIANS($D$12))</f>
        <v>147.3300921966453</v>
      </c>
    </row>
    <row r="33" spans="3:12" x14ac:dyDescent="0.2">
      <c r="C33" t="s">
        <v>92</v>
      </c>
      <c r="D33">
        <f>SUM(D31:D32)/2</f>
        <v>92.882014645711166</v>
      </c>
    </row>
    <row r="34" spans="3:12" x14ac:dyDescent="0.2">
      <c r="I34" t="s">
        <v>93</v>
      </c>
      <c r="J34">
        <f>'Forze e verifica 3-4'!C6/2+'Forze e verifica 3-4'!C7/2+'Forze e verifica 5-6'!C6/2+'Forze e verifica 5-6'!C7+'Forze e verifica 5-6'!C17</f>
        <v>235.03323792296737</v>
      </c>
      <c r="L34">
        <f>D32+D18+D31/2+'Pre-dime 3-4'!D33</f>
        <v>235.03323792296737</v>
      </c>
    </row>
    <row r="35" spans="3:12" x14ac:dyDescent="0.2">
      <c r="I35" t="s">
        <v>94</v>
      </c>
      <c r="J35">
        <f>J30+3</f>
        <v>235.5</v>
      </c>
    </row>
  </sheetData>
  <mergeCells count="12">
    <mergeCell ref="B28:B32"/>
    <mergeCell ref="R7:S7"/>
    <mergeCell ref="G19:H19"/>
    <mergeCell ref="G20:H20"/>
    <mergeCell ref="B18:B20"/>
    <mergeCell ref="B22:B25"/>
    <mergeCell ref="C8:D8"/>
    <mergeCell ref="B13:D13"/>
    <mergeCell ref="B17:D17"/>
    <mergeCell ref="B14:B16"/>
    <mergeCell ref="B21:D21"/>
    <mergeCell ref="B9:B1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198BB-C082-45C9-8C4F-16C86FB0677F}">
  <dimension ref="B1:AB33"/>
  <sheetViews>
    <sheetView zoomScaleNormal="100" workbookViewId="0">
      <selection activeCell="D23" sqref="D23"/>
    </sheetView>
  </sheetViews>
  <sheetFormatPr baseColWidth="10" defaultColWidth="8.83203125" defaultRowHeight="15" x14ac:dyDescent="0.2"/>
  <cols>
    <col min="6" max="6" width="10" bestFit="1" customWidth="1"/>
    <col min="9" max="9" width="8.1640625" customWidth="1"/>
    <col min="10" max="10" width="9" customWidth="1"/>
    <col min="11" max="11" width="9.6640625" customWidth="1"/>
    <col min="15" max="15" width="12" bestFit="1" customWidth="1"/>
    <col min="16" max="16" width="9.5" customWidth="1"/>
  </cols>
  <sheetData>
    <row r="1" spans="2:22" ht="16" thickBot="1" x14ac:dyDescent="0.25"/>
    <row r="2" spans="2:22" ht="16" thickBot="1" x14ac:dyDescent="0.25">
      <c r="B2" s="268" t="s">
        <v>95</v>
      </c>
      <c r="C2" s="269"/>
      <c r="D2" s="269"/>
      <c r="E2" s="269"/>
      <c r="F2" s="269"/>
      <c r="G2" s="270"/>
      <c r="I2" s="271" t="s">
        <v>96</v>
      </c>
      <c r="J2" s="258"/>
      <c r="K2">
        <v>6</v>
      </c>
      <c r="P2" s="272" t="s">
        <v>97</v>
      </c>
      <c r="Q2" s="273"/>
      <c r="R2" s="40">
        <v>6</v>
      </c>
      <c r="U2" s="26" t="s">
        <v>98</v>
      </c>
      <c r="V2" s="26" t="s">
        <v>49</v>
      </c>
    </row>
    <row r="3" spans="2:22" x14ac:dyDescent="0.2">
      <c r="F3" t="s">
        <v>99</v>
      </c>
      <c r="I3" s="44" t="s">
        <v>100</v>
      </c>
      <c r="J3" s="61">
        <v>1.5</v>
      </c>
      <c r="K3" s="138">
        <v>1.5</v>
      </c>
      <c r="M3">
        <v>5</v>
      </c>
      <c r="N3">
        <v>6</v>
      </c>
      <c r="P3" s="6" t="s">
        <v>101</v>
      </c>
      <c r="Q3" s="30">
        <v>2.75</v>
      </c>
      <c r="R3" s="36">
        <v>2.5</v>
      </c>
      <c r="T3">
        <v>5</v>
      </c>
      <c r="U3" s="4">
        <f>C9/((COS(RADIANS(F17)))^2*COS(RADIANS(F16)))</f>
        <v>14.367264813141658</v>
      </c>
      <c r="V3" s="4">
        <f>C27</f>
        <v>0.3</v>
      </c>
    </row>
    <row r="4" spans="2:22" ht="16" thickBot="1" x14ac:dyDescent="0.25">
      <c r="I4" s="45" t="s">
        <v>102</v>
      </c>
      <c r="J4" s="7">
        <v>1</v>
      </c>
      <c r="K4">
        <v>1</v>
      </c>
      <c r="M4" s="17">
        <f>(C11/60*2*PI())*(C6/1000/2)*C9/100</f>
        <v>2.3512837673122532E-2</v>
      </c>
      <c r="N4">
        <f>(C12/60*2*PI())*(C7/1000/2)*C10/100</f>
        <v>9.0132544413636412E-2</v>
      </c>
      <c r="P4" s="12" t="s">
        <v>103</v>
      </c>
      <c r="Q4" s="31">
        <v>1.68</v>
      </c>
      <c r="R4" s="37">
        <v>1.73</v>
      </c>
      <c r="T4">
        <v>6</v>
      </c>
      <c r="U4" s="4">
        <f>C10/((COS(RADIANS(F17)))^2*COS(RADIANS(F16)))</f>
        <v>55.07451511704302</v>
      </c>
      <c r="V4" s="4">
        <v>-0.25</v>
      </c>
    </row>
    <row r="5" spans="2:22" x14ac:dyDescent="0.2">
      <c r="B5" s="271" t="s">
        <v>104</v>
      </c>
      <c r="C5" s="258"/>
      <c r="E5" s="274" t="s">
        <v>105</v>
      </c>
      <c r="F5" s="275"/>
      <c r="I5" s="44" t="s">
        <v>106</v>
      </c>
      <c r="J5" s="61">
        <v>1</v>
      </c>
      <c r="K5" s="138">
        <v>1</v>
      </c>
      <c r="P5" s="12" t="s">
        <v>107</v>
      </c>
      <c r="Q5" s="32">
        <f>IF(C24&lt;2,0.25+0.75/C24,0.5)</f>
        <v>0.73859912410932937</v>
      </c>
      <c r="R5" s="41">
        <f>Q5</f>
        <v>0.73859912410932937</v>
      </c>
    </row>
    <row r="6" spans="2:22" x14ac:dyDescent="0.2">
      <c r="B6" s="12" t="s">
        <v>80</v>
      </c>
      <c r="C6" s="7">
        <f>'Pre-dime 5-6'!D31</f>
        <v>38.433937094777029</v>
      </c>
      <c r="E6" s="6" t="s">
        <v>108</v>
      </c>
      <c r="F6" s="15">
        <f>2*$F12*1000/$C6</f>
        <v>10207.18993328242</v>
      </c>
      <c r="I6" s="46" t="s">
        <v>109</v>
      </c>
      <c r="J6" s="62">
        <v>1.4</v>
      </c>
      <c r="K6" s="138">
        <v>1.4</v>
      </c>
      <c r="P6" s="13" t="s">
        <v>110</v>
      </c>
      <c r="Q6" s="33">
        <v>0.87</v>
      </c>
      <c r="R6" s="38">
        <f>Q6</f>
        <v>0.87</v>
      </c>
    </row>
    <row r="7" spans="2:22" x14ac:dyDescent="0.2">
      <c r="B7" s="12" t="s">
        <v>81</v>
      </c>
      <c r="C7" s="7">
        <f>'Pre-dime 5-6'!D32</f>
        <v>147.3300921966453</v>
      </c>
      <c r="E7" s="12" t="s">
        <v>111</v>
      </c>
      <c r="F7" s="7">
        <f>F$6*TAN(RADIANS($F$19))</f>
        <v>3966.2897584239131</v>
      </c>
      <c r="I7" s="6" t="s">
        <v>112</v>
      </c>
      <c r="J7" s="28">
        <f>SQRT(1/(PI()*(2*(1-0.3^2)/210000)))</f>
        <v>191.64567250641844</v>
      </c>
      <c r="K7" s="139">
        <f>J7</f>
        <v>191.64567250641844</v>
      </c>
      <c r="P7" s="6" t="s">
        <v>100</v>
      </c>
      <c r="Q7" s="30" cm="1">
        <f t="array" ref="Q7:Q9">J3:J5</f>
        <v>1.5</v>
      </c>
      <c r="R7" s="36" cm="1">
        <f t="array" ref="R7:R9">J3:J5</f>
        <v>1.5</v>
      </c>
    </row>
    <row r="8" spans="2:22" ht="16" thickBot="1" x14ac:dyDescent="0.25">
      <c r="B8" s="12" t="s">
        <v>53</v>
      </c>
      <c r="C8" s="7">
        <f>'Pre-dime 5-6'!D30</f>
        <v>3.8333333333333335</v>
      </c>
      <c r="E8" s="13" t="s">
        <v>113</v>
      </c>
      <c r="F8" s="10">
        <f>F$6*TAN(RADIANS($F$16))</f>
        <v>3816.3119366458222</v>
      </c>
      <c r="I8" s="18" t="s">
        <v>114</v>
      </c>
      <c r="J8" s="24">
        <f>SQRT(2*COS(RADIANS($F$17))/(COS(RADIANS($F$19))*SIN(RADIANS($F$19))))</f>
        <v>2.3651956802310297</v>
      </c>
      <c r="K8" s="17">
        <f>J8</f>
        <v>2.3651956802310297</v>
      </c>
      <c r="P8" s="12" t="s">
        <v>102</v>
      </c>
      <c r="Q8" s="31">
        <v>1</v>
      </c>
      <c r="R8" s="37">
        <v>1</v>
      </c>
    </row>
    <row r="9" spans="2:22" x14ac:dyDescent="0.2">
      <c r="B9" s="12" t="s">
        <v>75</v>
      </c>
      <c r="C9" s="7">
        <f>'Pre-dime 5-6'!D28</f>
        <v>12</v>
      </c>
      <c r="E9" s="267"/>
      <c r="F9" s="276"/>
      <c r="I9" s="12" t="s">
        <v>115</v>
      </c>
      <c r="J9" s="24">
        <f>IF(C25&gt;=1,SQRT(1/C24),SQRT((4-C24)/3*(1-C25)+C25/C24))</f>
        <v>0.80713412690360153</v>
      </c>
      <c r="K9" s="17">
        <f>J9</f>
        <v>0.80713412690360153</v>
      </c>
      <c r="P9" s="12" t="s">
        <v>116</v>
      </c>
      <c r="Q9" s="31">
        <v>1</v>
      </c>
      <c r="R9" s="37">
        <v>1</v>
      </c>
      <c r="U9" s="279" t="s">
        <v>117</v>
      </c>
      <c r="V9" s="280"/>
    </row>
    <row r="10" spans="2:22" ht="16" thickBot="1" x14ac:dyDescent="0.25">
      <c r="B10" s="12" t="s">
        <v>77</v>
      </c>
      <c r="C10" s="7">
        <f>'Pre-dime 5-6'!D29</f>
        <v>46</v>
      </c>
      <c r="E10" s="12" t="s">
        <v>118</v>
      </c>
      <c r="F10" s="7">
        <f>SQRT(F6^2+F7^2+F8^2)</f>
        <v>11596.655448001626</v>
      </c>
      <c r="I10" s="13" t="s">
        <v>119</v>
      </c>
      <c r="J10" s="25">
        <f>1/SQRT(COS(RADIANS(F16)))</f>
        <v>1.0332518394582255</v>
      </c>
      <c r="K10" s="17">
        <f>J10</f>
        <v>1.0332518394582255</v>
      </c>
      <c r="P10" s="13" t="s">
        <v>120</v>
      </c>
      <c r="Q10" s="34">
        <f>J6^((U10^2)/(1+U10+U10^2))</f>
        <v>1.3188619843774265</v>
      </c>
      <c r="R10" s="42">
        <f>Q10</f>
        <v>1.3188619843774265</v>
      </c>
      <c r="U10" s="26">
        <f>C19/C26</f>
        <v>5.4814814814814818</v>
      </c>
      <c r="V10" s="26" t="str">
        <f>IF(U10&lt;=3,"NOT OK","OK")</f>
        <v>OK</v>
      </c>
    </row>
    <row r="11" spans="2:22" x14ac:dyDescent="0.2">
      <c r="B11" s="12" t="s">
        <v>121</v>
      </c>
      <c r="C11" s="7">
        <f>C12*C8</f>
        <v>97.36666666666666</v>
      </c>
      <c r="E11" s="281"/>
      <c r="F11" s="282"/>
      <c r="I11" s="6" t="s">
        <v>122</v>
      </c>
      <c r="J11" s="63">
        <v>1.1499999999999999</v>
      </c>
      <c r="K11">
        <v>1.25</v>
      </c>
      <c r="P11" s="19" t="s">
        <v>123</v>
      </c>
      <c r="Q11" s="35">
        <v>2</v>
      </c>
      <c r="R11" s="39">
        <f>Q11</f>
        <v>2</v>
      </c>
    </row>
    <row r="12" spans="2:22" ht="16" thickBot="1" x14ac:dyDescent="0.25">
      <c r="B12" s="13" t="s">
        <v>124</v>
      </c>
      <c r="C12" s="10">
        <v>25.4</v>
      </c>
      <c r="E12" s="12" t="s">
        <v>65</v>
      </c>
      <c r="F12" s="8">
        <f>F13/(C7/C6)</f>
        <v>196.15124790510893</v>
      </c>
      <c r="I12" s="12" t="s">
        <v>125</v>
      </c>
      <c r="J12" s="193">
        <f>(3/(0.035*6))^0.08</f>
        <v>1.2370639663600851</v>
      </c>
      <c r="K12" s="17">
        <f>J12</f>
        <v>1.2370639663600851</v>
      </c>
      <c r="P12" s="12" t="s">
        <v>126</v>
      </c>
      <c r="Q12" s="31">
        <v>1</v>
      </c>
      <c r="R12" s="39">
        <f>Q12</f>
        <v>1</v>
      </c>
    </row>
    <row r="13" spans="2:22" ht="16" thickBot="1" x14ac:dyDescent="0.25">
      <c r="E13" s="13" t="s">
        <v>127</v>
      </c>
      <c r="F13" s="14">
        <f>'Coppie e u'!G3</f>
        <v>751.91311696958439</v>
      </c>
      <c r="I13" s="12" t="s">
        <v>128</v>
      </c>
      <c r="J13" s="24">
        <f>(0.91+0.02)+(2*(1-(0.91+0.02)))/(SQRT(0.8+32/M13))</f>
        <v>0.94092833112744823</v>
      </c>
      <c r="K13" s="17">
        <f>J13</f>
        <v>0.94092833112744823</v>
      </c>
      <c r="M13">
        <f>2*PI()*C11/60*C6/2000</f>
        <v>0.19594031394268779</v>
      </c>
      <c r="P13" s="12" t="s">
        <v>129</v>
      </c>
      <c r="Q13" s="31">
        <v>0.98</v>
      </c>
      <c r="R13" s="37">
        <f>0.99</f>
        <v>0.99</v>
      </c>
    </row>
    <row r="14" spans="2:22" ht="16" thickBot="1" x14ac:dyDescent="0.25">
      <c r="I14" s="12" t="s">
        <v>130</v>
      </c>
      <c r="J14" s="24">
        <f>0.91+0.36/(1.2 + 134/1500 )^2</f>
        <v>1.1265569266668736</v>
      </c>
      <c r="K14" s="17">
        <f>J14</f>
        <v>1.1265569266668736</v>
      </c>
      <c r="P14" s="12" t="s">
        <v>131</v>
      </c>
      <c r="Q14" s="31">
        <v>1.07</v>
      </c>
      <c r="R14" s="37">
        <v>1.07</v>
      </c>
      <c r="U14" s="27"/>
    </row>
    <row r="15" spans="2:22" ht="16" thickBot="1" x14ac:dyDescent="0.25">
      <c r="B15" s="274" t="s">
        <v>132</v>
      </c>
      <c r="C15" s="275"/>
      <c r="E15" s="277" t="s">
        <v>133</v>
      </c>
      <c r="F15" s="278"/>
      <c r="I15" s="12" t="s">
        <v>134</v>
      </c>
      <c r="J15" s="61">
        <v>1</v>
      </c>
      <c r="K15" s="161">
        <f>J15</f>
        <v>1</v>
      </c>
      <c r="P15" s="12" t="s">
        <v>135</v>
      </c>
      <c r="Q15" s="31">
        <v>1</v>
      </c>
      <c r="R15" s="37">
        <v>1</v>
      </c>
    </row>
    <row r="16" spans="2:22" ht="16" thickBot="1" x14ac:dyDescent="0.25">
      <c r="B16" s="6" t="s">
        <v>73</v>
      </c>
      <c r="C16" s="15">
        <f>C17/COS(RADIANS(F16))</f>
        <v>3.2028280912314195</v>
      </c>
      <c r="E16" s="12" t="s">
        <v>136</v>
      </c>
      <c r="F16" s="7">
        <f>'Pre-dime 5-6'!D12</f>
        <v>20.5</v>
      </c>
      <c r="I16" s="13" t="s">
        <v>137</v>
      </c>
      <c r="J16" s="62">
        <f>1</f>
        <v>1</v>
      </c>
      <c r="K16" s="161">
        <f>J16</f>
        <v>1</v>
      </c>
      <c r="P16" s="259"/>
      <c r="Q16" s="260"/>
      <c r="R16" s="37"/>
    </row>
    <row r="17" spans="2:28" ht="16" thickBot="1" x14ac:dyDescent="0.25">
      <c r="B17" s="12" t="s">
        <v>72</v>
      </c>
      <c r="C17" s="7">
        <f>'Pre-dime 5-6'!D18</f>
        <v>3</v>
      </c>
      <c r="E17" s="12" t="s">
        <v>138</v>
      </c>
      <c r="F17" s="7">
        <f>DEGREES(ASIN(SIN(RADIANS(F16))*COS(RADIANS(F18))))</f>
        <v>19.213387196234674</v>
      </c>
      <c r="I17" s="20" t="s">
        <v>139</v>
      </c>
      <c r="J17" s="21">
        <v>1.5</v>
      </c>
      <c r="K17">
        <v>1.5</v>
      </c>
      <c r="P17" s="13" t="s">
        <v>140</v>
      </c>
      <c r="Q17" s="33">
        <v>1.75</v>
      </c>
      <c r="R17" s="38">
        <f>Q17</f>
        <v>1.75</v>
      </c>
    </row>
    <row r="18" spans="2:28" ht="16" thickBot="1" x14ac:dyDescent="0.25">
      <c r="B18" s="12" t="s">
        <v>141</v>
      </c>
      <c r="C18" s="7">
        <f>C6*COS(RADIANS(F19))</f>
        <v>35.824369477222191</v>
      </c>
      <c r="E18" s="12" t="s">
        <v>67</v>
      </c>
      <c r="F18" s="7">
        <f>'Pre-dime 5-6'!H11</f>
        <v>20</v>
      </c>
    </row>
    <row r="19" spans="2:28" ht="16" thickBot="1" x14ac:dyDescent="0.25">
      <c r="B19" s="12" t="s">
        <v>62</v>
      </c>
      <c r="C19" s="7">
        <f>'Pre-dime 5-6'!D9</f>
        <v>37</v>
      </c>
      <c r="E19" s="13" t="s">
        <v>142</v>
      </c>
      <c r="F19" s="10">
        <f>DEGREES(ATAN(TAN(RADIANS(F18))/COS(RADIANS(F16))))</f>
        <v>21.235032761674866</v>
      </c>
      <c r="H19" s="29"/>
      <c r="I19" s="50" t="s">
        <v>143</v>
      </c>
      <c r="J19" s="49" t="s">
        <v>144</v>
      </c>
      <c r="K19" s="5" t="s">
        <v>145</v>
      </c>
      <c r="P19" s="22" t="s">
        <v>146</v>
      </c>
      <c r="Q19" s="23" t="s">
        <v>147</v>
      </c>
      <c r="R19" s="5" t="s">
        <v>145</v>
      </c>
    </row>
    <row r="20" spans="2:28" ht="16" thickBot="1" x14ac:dyDescent="0.25">
      <c r="B20" s="12" t="s">
        <v>148</v>
      </c>
      <c r="C20" s="7">
        <f>PI()*C17</f>
        <v>9.4247779607693793</v>
      </c>
      <c r="H20" s="29">
        <v>5</v>
      </c>
      <c r="I20" s="51">
        <f>$J$8*$J$7*$J$9*$J$10*SQRT($F$6/(C6*$C$19)*($C$8+1)/$C$8)*SQRT($J$3*$J$4*$J$5*$J$6)</f>
        <v>1648.0011805205374</v>
      </c>
      <c r="J20" s="134">
        <f>Materiali!K3/J17*J11*J12*J14*J15*J16*J13</f>
        <v>1658.79367120143</v>
      </c>
      <c r="K20" s="17">
        <f>J20/I20</f>
        <v>1.0065488367414177</v>
      </c>
      <c r="O20">
        <v>5</v>
      </c>
      <c r="P20" s="194">
        <f>$Q$3*$Q$4*$Q$5*$Q$6*($F$6/($C$19*$C$17))*$Q$7*$Q$8*$Q$9*$Q$10</f>
        <v>540.06227672791329</v>
      </c>
      <c r="Q20" s="10">
        <f>Materiali!L3*Q11*Q12*Q13*Q14*Q15/Q17</f>
        <v>629.16</v>
      </c>
      <c r="R20" s="17">
        <f>Q20/P20</f>
        <v>1.1649767575174941</v>
      </c>
    </row>
    <row r="21" spans="2:28" ht="16" thickBot="1" x14ac:dyDescent="0.25">
      <c r="B21" s="12" t="s">
        <v>149</v>
      </c>
      <c r="C21" s="7">
        <f>C16*PI()</f>
        <v>10.061981202123647</v>
      </c>
      <c r="H21">
        <v>6</v>
      </c>
      <c r="I21" s="48">
        <f>$K$8*$K$7*$K$9*$K$10*SQRT($F$6/(C6*$C$19)*($C$8+1)/$C$8)*SQRT($K$3*$K$4*$K$5*$K$6)</f>
        <v>1648.0011805205374</v>
      </c>
      <c r="J21" s="135">
        <f>Materiali!K3/K17*K11*K12*K14*K15*K16*K13</f>
        <v>1803.0365991319891</v>
      </c>
      <c r="K21" s="17">
        <f>J21/I21</f>
        <v>1.0940748225450192</v>
      </c>
      <c r="O21">
        <v>6</v>
      </c>
      <c r="P21" s="195">
        <f>$R$3*$R$4*$R$5*$R$6*($F$6/($C$19*$C$17))*$R$7*$R8*$R$9*$R$10</f>
        <v>505.57778070307899</v>
      </c>
      <c r="Q21" s="43">
        <f>Materiali!L3*R11*R12*R13*R14*R15/R17</f>
        <v>635.58000000000004</v>
      </c>
      <c r="R21" s="17">
        <f>Q21/P21</f>
        <v>1.2571359427942703</v>
      </c>
    </row>
    <row r="22" spans="2:28" x14ac:dyDescent="0.2">
      <c r="B22" s="12" t="s">
        <v>150</v>
      </c>
      <c r="C22" s="7">
        <f>C20*COS(RADIANS(F18))</f>
        <v>8.8563943022806484</v>
      </c>
    </row>
    <row r="23" spans="2:28" x14ac:dyDescent="0.2">
      <c r="B23" s="12" t="s">
        <v>151</v>
      </c>
      <c r="C23" s="7">
        <f>C22/COS(RADIANS(F17))</f>
        <v>9.3787979974273057</v>
      </c>
      <c r="M23" s="180" t="s">
        <v>152</v>
      </c>
      <c r="N23" s="180"/>
      <c r="O23" s="180"/>
      <c r="P23" s="180"/>
      <c r="Q23" s="180"/>
      <c r="R23" s="180"/>
      <c r="S23" s="180"/>
      <c r="T23" s="180"/>
      <c r="U23" s="180"/>
      <c r="V23" s="180"/>
      <c r="W23" s="180"/>
      <c r="X23" s="180"/>
      <c r="Y23" s="180"/>
      <c r="Z23" s="180"/>
      <c r="AA23" s="180"/>
      <c r="AB23" s="180"/>
    </row>
    <row r="24" spans="2:28" x14ac:dyDescent="0.2">
      <c r="B24" s="12" t="s">
        <v>153</v>
      </c>
      <c r="C24" s="7">
        <f>(0.5*C16*(SQRT((C9+2)^2-(C9*COS(RADIANS(F19)))^2) + SQRT((C10+2)^2-(C10*COS(RADIANS(F19)))^2) - (C9+C10)*SIN(RADIANS(F19))))/C23</f>
        <v>1.5350007050609844</v>
      </c>
      <c r="M24" s="180" t="s">
        <v>154</v>
      </c>
      <c r="N24" s="180"/>
      <c r="O24" s="180"/>
      <c r="P24" s="180"/>
      <c r="Q24" s="180"/>
      <c r="R24" s="180"/>
      <c r="S24" s="180"/>
      <c r="T24" s="180"/>
      <c r="U24" s="180"/>
      <c r="V24" s="180"/>
      <c r="W24" s="180"/>
      <c r="X24" s="180"/>
      <c r="Y24" s="180"/>
      <c r="Z24" s="180"/>
      <c r="AA24" s="180"/>
      <c r="AB24" s="180"/>
    </row>
    <row r="25" spans="2:28" x14ac:dyDescent="0.2">
      <c r="B25" s="12" t="s">
        <v>155</v>
      </c>
      <c r="C25" s="7">
        <f>C19*TAN(RADIANS(F16))/C21</f>
        <v>1.3748518172562352</v>
      </c>
      <c r="F25" t="s">
        <v>156</v>
      </c>
      <c r="G25">
        <f>C6-1.25*C17*2</f>
        <v>30.933937094777029</v>
      </c>
      <c r="M25" s="180" t="s">
        <v>157</v>
      </c>
      <c r="N25" s="180"/>
      <c r="O25" s="180"/>
      <c r="P25" s="180"/>
      <c r="Q25" s="180"/>
      <c r="R25" s="180"/>
      <c r="S25" s="180"/>
      <c r="T25" s="180"/>
      <c r="U25" s="180"/>
      <c r="V25" s="180"/>
      <c r="W25" s="180"/>
      <c r="X25" s="180"/>
      <c r="Y25" s="180"/>
      <c r="Z25" s="180"/>
      <c r="AA25" s="180"/>
      <c r="AB25" s="180"/>
    </row>
    <row r="26" spans="2:28" x14ac:dyDescent="0.2">
      <c r="B26" s="12" t="s">
        <v>158</v>
      </c>
      <c r="C26" s="7">
        <f>2.25*C17</f>
        <v>6.75</v>
      </c>
      <c r="H26" s="16"/>
      <c r="M26" s="180"/>
      <c r="N26" s="180"/>
      <c r="O26" s="180" t="s">
        <v>159</v>
      </c>
      <c r="P26" s="180"/>
      <c r="Q26" s="180"/>
      <c r="R26" s="180"/>
      <c r="S26" s="180" t="s">
        <v>160</v>
      </c>
      <c r="T26" s="180"/>
      <c r="U26" s="180"/>
      <c r="V26" s="180"/>
      <c r="W26" s="180"/>
      <c r="X26" s="180"/>
      <c r="Y26" s="180"/>
      <c r="Z26" s="180"/>
      <c r="AA26" s="180"/>
      <c r="AB26" s="180"/>
    </row>
    <row r="27" spans="2:28" ht="16" thickBot="1" x14ac:dyDescent="0.25">
      <c r="B27" s="13" t="s">
        <v>161</v>
      </c>
      <c r="C27" s="10">
        <f>'Pre-dime 5-6'!H29</f>
        <v>0.3</v>
      </c>
      <c r="M27" s="180"/>
      <c r="N27" s="180"/>
      <c r="O27" s="180"/>
      <c r="P27" s="180"/>
      <c r="Q27" s="180"/>
      <c r="R27" s="180"/>
      <c r="S27" s="180" t="s">
        <v>162</v>
      </c>
      <c r="T27" s="180"/>
      <c r="U27" s="180"/>
      <c r="V27" s="180"/>
      <c r="W27" s="180"/>
      <c r="X27" s="180"/>
      <c r="Y27" s="180"/>
      <c r="Z27" s="180"/>
      <c r="AA27" s="180"/>
      <c r="AB27" s="180"/>
    </row>
    <row r="28" spans="2:28" ht="16" thickBot="1" x14ac:dyDescent="0.25">
      <c r="B28" s="52" t="s">
        <v>163</v>
      </c>
      <c r="C28" s="53">
        <f>-C27</f>
        <v>-0.3</v>
      </c>
      <c r="D28" s="27"/>
      <c r="M28" s="180"/>
      <c r="N28" s="180"/>
      <c r="O28" s="180"/>
      <c r="P28" s="180"/>
      <c r="Q28" s="180"/>
      <c r="R28" s="180"/>
      <c r="S28" s="180"/>
      <c r="T28" s="180"/>
      <c r="U28" s="180"/>
      <c r="V28" s="180" t="s">
        <v>164</v>
      </c>
      <c r="W28" s="180"/>
      <c r="X28" s="180"/>
      <c r="Y28" s="180"/>
      <c r="Z28" s="180"/>
      <c r="AA28" s="180"/>
      <c r="AB28" s="180"/>
    </row>
    <row r="29" spans="2:28" x14ac:dyDescent="0.2">
      <c r="M29" s="180"/>
      <c r="N29" s="180"/>
      <c r="O29" s="180"/>
      <c r="P29" s="180"/>
      <c r="Q29" s="180" t="s">
        <v>165</v>
      </c>
      <c r="R29" s="180"/>
      <c r="S29" s="180"/>
      <c r="T29" s="180"/>
      <c r="U29" s="180"/>
      <c r="V29" s="180"/>
      <c r="W29" s="180"/>
      <c r="X29" s="180"/>
      <c r="Y29" s="180"/>
      <c r="Z29" s="180"/>
      <c r="AA29" s="180"/>
      <c r="AB29" s="180"/>
    </row>
    <row r="30" spans="2:28" x14ac:dyDescent="0.2">
      <c r="M30" s="180"/>
      <c r="N30" s="180"/>
      <c r="O30" s="180"/>
      <c r="P30" s="180"/>
      <c r="Q30" s="180" t="s">
        <v>166</v>
      </c>
      <c r="R30" s="180"/>
      <c r="S30" s="180"/>
      <c r="T30" s="180"/>
      <c r="U30" s="180"/>
      <c r="V30" s="180"/>
      <c r="W30" s="180"/>
      <c r="X30" s="180"/>
      <c r="Y30" s="180"/>
      <c r="Z30" s="180"/>
      <c r="AA30" s="180"/>
      <c r="AB30" s="180"/>
    </row>
    <row r="31" spans="2:28" x14ac:dyDescent="0.2">
      <c r="M31" s="180"/>
      <c r="N31" s="180"/>
      <c r="O31" s="180"/>
      <c r="P31" s="180"/>
      <c r="Q31" s="180"/>
      <c r="R31" s="180"/>
      <c r="S31" s="180" t="s">
        <v>167</v>
      </c>
      <c r="T31" s="180"/>
      <c r="U31" s="180"/>
      <c r="V31" s="180"/>
      <c r="W31" s="180"/>
      <c r="X31" s="180" t="s">
        <v>168</v>
      </c>
      <c r="Y31" s="180"/>
      <c r="Z31" s="180"/>
      <c r="AA31" s="180"/>
      <c r="AB31" s="180"/>
    </row>
    <row r="32" spans="2:28" x14ac:dyDescent="0.2">
      <c r="M32" s="180"/>
      <c r="N32" s="180"/>
      <c r="O32" s="180"/>
      <c r="P32" s="180"/>
      <c r="Q32" s="180"/>
      <c r="R32" s="180"/>
      <c r="S32" s="180"/>
      <c r="T32" s="180"/>
      <c r="U32" s="180"/>
      <c r="V32" s="180"/>
      <c r="W32" s="180"/>
      <c r="X32" s="180"/>
      <c r="Y32" s="180"/>
      <c r="Z32" s="180"/>
      <c r="AA32" s="180"/>
      <c r="AB32" s="180"/>
    </row>
    <row r="33" spans="13:28" x14ac:dyDescent="0.2">
      <c r="M33" s="180"/>
      <c r="N33" s="180"/>
      <c r="O33" s="180"/>
      <c r="P33" s="180"/>
      <c r="Q33" s="180" t="s">
        <v>169</v>
      </c>
      <c r="R33" s="180"/>
      <c r="S33" s="180" t="s">
        <v>170</v>
      </c>
      <c r="T33" s="180"/>
      <c r="U33" s="180"/>
      <c r="V33" s="180"/>
      <c r="W33" s="180"/>
      <c r="X33" s="180"/>
      <c r="Y33" s="180"/>
      <c r="Z33" s="180"/>
      <c r="AA33" s="180"/>
      <c r="AB33" s="180"/>
    </row>
  </sheetData>
  <mergeCells count="11">
    <mergeCell ref="B15:C15"/>
    <mergeCell ref="E15:F15"/>
    <mergeCell ref="P16:Q16"/>
    <mergeCell ref="U9:V9"/>
    <mergeCell ref="E11:F11"/>
    <mergeCell ref="B2:G2"/>
    <mergeCell ref="I2:J2"/>
    <mergeCell ref="P2:Q2"/>
    <mergeCell ref="E5:F5"/>
    <mergeCell ref="E9:F9"/>
    <mergeCell ref="B5:C5"/>
  </mergeCells>
  <conditionalFormatting sqref="I20">
    <cfRule type="cellIs" dxfId="90" priority="3" operator="greaterThan">
      <formula>$J$20</formula>
    </cfRule>
    <cfRule type="cellIs" dxfId="89" priority="4" operator="lessThan">
      <formula>$J$20</formula>
    </cfRule>
  </conditionalFormatting>
  <conditionalFormatting sqref="I21">
    <cfRule type="cellIs" dxfId="88" priority="1" operator="greaterThan">
      <formula>$J$21</formula>
    </cfRule>
    <cfRule type="cellIs" dxfId="87" priority="2" operator="lessThan">
      <formula>$J$21</formula>
    </cfRule>
  </conditionalFormatting>
  <conditionalFormatting sqref="P20">
    <cfRule type="cellIs" dxfId="86" priority="12" operator="greaterThan">
      <formula>$Q$20</formula>
    </cfRule>
    <cfRule type="cellIs" dxfId="85" priority="10" operator="lessThan">
      <formula>$Q$20</formula>
    </cfRule>
  </conditionalFormatting>
  <conditionalFormatting sqref="P21">
    <cfRule type="cellIs" dxfId="84" priority="6" operator="greaterThan">
      <formula>$Q$21</formula>
    </cfRule>
    <cfRule type="cellIs" dxfId="83" priority="5" operator="lessThan">
      <formula>$Q$21</formula>
    </cfRule>
  </conditionalFormatting>
  <pageMargins left="0.7" right="0.7" top="0.75" bottom="0.75" header="0.3" footer="0.3"/>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A613F-39CA-48C3-903D-9A64469C202E}">
  <dimension ref="B4:R37"/>
  <sheetViews>
    <sheetView topLeftCell="A20" zoomScaleNormal="100" workbookViewId="0">
      <selection activeCell="I30" sqref="I30"/>
    </sheetView>
  </sheetViews>
  <sheetFormatPr baseColWidth="10" defaultColWidth="8.83203125" defaultRowHeight="15" x14ac:dyDescent="0.2"/>
  <cols>
    <col min="1" max="1" width="16.5" bestFit="1" customWidth="1"/>
    <col min="3" max="3" width="13" customWidth="1"/>
    <col min="5" max="5" width="8.33203125" customWidth="1"/>
    <col min="6" max="6" width="9.6640625" bestFit="1" customWidth="1"/>
    <col min="7" max="7" width="12" bestFit="1" customWidth="1"/>
    <col min="8" max="8" width="9.6640625" bestFit="1" customWidth="1"/>
    <col min="10" max="10" width="12.33203125" bestFit="1" customWidth="1"/>
    <col min="11" max="11" width="13.1640625" bestFit="1" customWidth="1"/>
    <col min="12" max="12" width="12.33203125" customWidth="1"/>
    <col min="13" max="13" width="17.6640625" bestFit="1" customWidth="1"/>
    <col min="20" max="20" width="10.83203125" bestFit="1" customWidth="1"/>
  </cols>
  <sheetData>
    <row r="4" spans="2:18" x14ac:dyDescent="0.2">
      <c r="C4" t="s">
        <v>57</v>
      </c>
      <c r="D4">
        <v>7.5</v>
      </c>
    </row>
    <row r="5" spans="2:18" x14ac:dyDescent="0.2">
      <c r="C5" t="s">
        <v>48</v>
      </c>
      <c r="D5">
        <v>100</v>
      </c>
    </row>
    <row r="7" spans="2:18" ht="16" thickBot="1" x14ac:dyDescent="0.25">
      <c r="Q7" s="254"/>
      <c r="R7" s="254"/>
    </row>
    <row r="8" spans="2:18" x14ac:dyDescent="0.2">
      <c r="B8" s="6"/>
      <c r="C8" s="257" t="s">
        <v>54</v>
      </c>
      <c r="D8" s="258"/>
    </row>
    <row r="9" spans="2:18" x14ac:dyDescent="0.2">
      <c r="B9" s="265"/>
      <c r="C9" s="3" t="s">
        <v>62</v>
      </c>
      <c r="D9" s="7">
        <v>28</v>
      </c>
      <c r="F9" s="4" t="s">
        <v>63</v>
      </c>
      <c r="G9" s="4">
        <f>2*(1-G10)/SIN(RADIANS(G11))^2</f>
        <v>13.677811472660851</v>
      </c>
    </row>
    <row r="10" spans="2:18" x14ac:dyDescent="0.2">
      <c r="B10" s="266"/>
      <c r="C10" s="3" t="s">
        <v>171</v>
      </c>
      <c r="D10" s="8">
        <f>'Coppie e u'!G7</f>
        <v>36.062979231155126</v>
      </c>
      <c r="F10" s="4" t="s">
        <v>172</v>
      </c>
      <c r="G10" s="4">
        <v>0.2</v>
      </c>
    </row>
    <row r="11" spans="2:18" x14ac:dyDescent="0.2">
      <c r="B11" s="266"/>
      <c r="C11" s="3" t="s">
        <v>53</v>
      </c>
      <c r="D11" s="7">
        <f>'Coppie e u'!D6</f>
        <v>5.4155844155844157</v>
      </c>
      <c r="F11" s="4" t="s">
        <v>67</v>
      </c>
      <c r="G11" s="4">
        <v>20</v>
      </c>
    </row>
    <row r="12" spans="2:18" x14ac:dyDescent="0.2">
      <c r="B12" s="267"/>
      <c r="C12" s="3" t="s">
        <v>69</v>
      </c>
      <c r="D12" s="7">
        <v>30.8</v>
      </c>
    </row>
    <row r="13" spans="2:18" x14ac:dyDescent="0.2">
      <c r="B13" s="259"/>
      <c r="C13" s="260"/>
      <c r="D13" s="261"/>
    </row>
    <row r="14" spans="2:18" x14ac:dyDescent="0.2">
      <c r="B14" s="262" t="s">
        <v>70</v>
      </c>
      <c r="C14" s="3" t="s">
        <v>71</v>
      </c>
      <c r="D14" s="7">
        <f>SQRT(2*(D10*1000)/($D$4*D9)*(D11+1)/D11)</f>
        <v>20.171193629023655</v>
      </c>
    </row>
    <row r="15" spans="2:18" x14ac:dyDescent="0.2">
      <c r="B15" s="263"/>
      <c r="C15" s="3" t="s">
        <v>72</v>
      </c>
      <c r="D15" s="7">
        <f>(2*1000*D10/D14)/(D9*$D$5)</f>
        <v>1.2770325521208803</v>
      </c>
    </row>
    <row r="16" spans="2:18" x14ac:dyDescent="0.2">
      <c r="B16" s="264"/>
      <c r="C16" s="3" t="s">
        <v>73</v>
      </c>
      <c r="D16" s="7">
        <f>D15/COS(RADIANS(D12))</f>
        <v>1.4867196439369541</v>
      </c>
      <c r="J16" t="s">
        <v>173</v>
      </c>
      <c r="K16" t="s">
        <v>174</v>
      </c>
      <c r="M16" t="s">
        <v>175</v>
      </c>
    </row>
    <row r="17" spans="2:18" x14ac:dyDescent="0.2">
      <c r="B17" s="259"/>
      <c r="C17" s="260"/>
      <c r="D17" s="261"/>
      <c r="J17">
        <f>142.5+100-10</f>
        <v>232.5</v>
      </c>
      <c r="K17">
        <f>'Pre-dime 5-6'!D31/2+'Pre-dime 5-6'!D32</f>
        <v>166.54706074403381</v>
      </c>
      <c r="M17">
        <f>J17-K17</f>
        <v>65.952939255966186</v>
      </c>
      <c r="O17">
        <f>M17-D25</f>
        <v>0.46676207703262662</v>
      </c>
    </row>
    <row r="18" spans="2:18" x14ac:dyDescent="0.2">
      <c r="B18" s="255" t="s">
        <v>74</v>
      </c>
      <c r="C18" s="3" t="s">
        <v>72</v>
      </c>
      <c r="D18" s="7">
        <v>1.25</v>
      </c>
    </row>
    <row r="19" spans="2:18" x14ac:dyDescent="0.2">
      <c r="B19" s="255"/>
      <c r="C19" s="3" t="s">
        <v>75</v>
      </c>
      <c r="D19" s="7">
        <f>ROUND(D14*COS(RADIANS(D12))/D18,0)</f>
        <v>14</v>
      </c>
      <c r="E19" s="5" t="str">
        <f>IF(D19&gt;G9,"OK","NOT OK")</f>
        <v>OK</v>
      </c>
      <c r="F19" s="254" t="s">
        <v>76</v>
      </c>
      <c r="G19" s="254"/>
      <c r="L19" t="s">
        <v>87</v>
      </c>
      <c r="M19">
        <f>M17/(D22+1)*2</f>
        <v>20.518692212967256</v>
      </c>
      <c r="N19">
        <f>M19*D30</f>
        <v>111.3871862989651</v>
      </c>
    </row>
    <row r="20" spans="2:18" x14ac:dyDescent="0.2">
      <c r="B20" s="255"/>
      <c r="C20" s="3" t="s">
        <v>77</v>
      </c>
      <c r="D20" s="7">
        <f>ROUND(D19*D11,0)</f>
        <v>76</v>
      </c>
      <c r="E20" s="5" t="str">
        <f>IF(D20/D19=QUOTIENT(D20,D19),"NOT OK","OK")</f>
        <v>OK</v>
      </c>
      <c r="F20" s="254" t="s">
        <v>78</v>
      </c>
      <c r="G20" s="254"/>
      <c r="L20" t="s">
        <v>176</v>
      </c>
      <c r="M20">
        <f>M19/12</f>
        <v>1.7098910177472713</v>
      </c>
    </row>
    <row r="21" spans="2:18" x14ac:dyDescent="0.2">
      <c r="B21" s="259"/>
      <c r="C21" s="260"/>
      <c r="D21" s="261"/>
      <c r="L21" t="s">
        <v>177</v>
      </c>
      <c r="M21">
        <f>1.25/M20</f>
        <v>0.73104074296316057</v>
      </c>
    </row>
    <row r="22" spans="2:18" x14ac:dyDescent="0.2">
      <c r="B22" s="255" t="s">
        <v>178</v>
      </c>
      <c r="C22" s="3" t="s">
        <v>53</v>
      </c>
      <c r="D22" s="7">
        <f>D20/D19</f>
        <v>5.4285714285714288</v>
      </c>
      <c r="L22" t="s">
        <v>179</v>
      </c>
      <c r="M22">
        <f>DEGREES(ACOS(M21))</f>
        <v>43.026285695218881</v>
      </c>
    </row>
    <row r="23" spans="2:18" x14ac:dyDescent="0.2">
      <c r="B23" s="255"/>
      <c r="C23" s="3" t="s">
        <v>180</v>
      </c>
      <c r="D23" s="7">
        <f>D19*D18/COS(RADIANS(D12))</f>
        <v>20.373477344557106</v>
      </c>
    </row>
    <row r="24" spans="2:18" x14ac:dyDescent="0.2">
      <c r="B24" s="255"/>
      <c r="C24" s="3" t="s">
        <v>181</v>
      </c>
      <c r="D24" s="7">
        <f>D23*D22</f>
        <v>110.59887701331</v>
      </c>
    </row>
    <row r="25" spans="2:18" ht="16" thickBot="1" x14ac:dyDescent="0.25">
      <c r="B25" s="256"/>
      <c r="C25" s="9" t="s">
        <v>82</v>
      </c>
      <c r="D25" s="10">
        <f>(D24+D23)/2</f>
        <v>65.486177178933559</v>
      </c>
    </row>
    <row r="27" spans="2:18" ht="16" thickBot="1" x14ac:dyDescent="0.25">
      <c r="L27" t="s">
        <v>182</v>
      </c>
      <c r="M27">
        <f>(M17/D33)*COS(RADIANS(G11))</f>
        <v>0.94639041409657609</v>
      </c>
      <c r="O27" t="s">
        <v>183</v>
      </c>
      <c r="P27">
        <f>ACOS(M27)</f>
        <v>0.32892416101100541</v>
      </c>
      <c r="R27">
        <f>DEGREES(P27)</f>
        <v>18.845966205812154</v>
      </c>
    </row>
    <row r="28" spans="2:18" x14ac:dyDescent="0.2">
      <c r="B28" s="251" t="s">
        <v>83</v>
      </c>
      <c r="C28" s="57" t="s">
        <v>184</v>
      </c>
      <c r="D28" s="58">
        <v>14</v>
      </c>
      <c r="F28" t="s">
        <v>185</v>
      </c>
      <c r="G28">
        <f>(1+G10)*D18</f>
        <v>1.5</v>
      </c>
      <c r="L28" t="s">
        <v>186</v>
      </c>
      <c r="M28">
        <f>TAN(RADIANS(R27))-RADIANS(R27)</f>
        <v>1.2399088900279742E-2</v>
      </c>
    </row>
    <row r="29" spans="2:18" x14ac:dyDescent="0.2">
      <c r="B29" s="252"/>
      <c r="C29" t="s">
        <v>187</v>
      </c>
      <c r="D29" s="29">
        <v>76</v>
      </c>
      <c r="F29" t="s">
        <v>188</v>
      </c>
      <c r="G29">
        <f>1.25*D18*(1-G10)</f>
        <v>1.25</v>
      </c>
      <c r="L29" t="s">
        <v>189</v>
      </c>
      <c r="M29">
        <f>TAN(RADIANS(G11))-RADIANS(G11)</f>
        <v>1.4904383867336446E-2</v>
      </c>
    </row>
    <row r="30" spans="2:18" x14ac:dyDescent="0.2">
      <c r="B30" s="252"/>
      <c r="C30" t="s">
        <v>53</v>
      </c>
      <c r="D30" s="29">
        <f>D29/D28</f>
        <v>5.4285714285714288</v>
      </c>
      <c r="F30" t="s">
        <v>190</v>
      </c>
      <c r="G30">
        <f>(1+M31)*D18</f>
        <v>0.61281767400278464</v>
      </c>
    </row>
    <row r="31" spans="2:18" x14ac:dyDescent="0.2">
      <c r="B31" s="252"/>
      <c r="C31" t="s">
        <v>191</v>
      </c>
      <c r="D31" s="29">
        <f>D28*$D$18/COS(RADIANS($D$12))</f>
        <v>20.373477344557106</v>
      </c>
      <c r="F31" t="s">
        <v>192</v>
      </c>
      <c r="G31">
        <f>1.25*D18*(1-M31)</f>
        <v>2.3589779074965191</v>
      </c>
      <c r="K31">
        <f>(G10+M31)/(D28+D29)</f>
        <v>-3.441620675530803E-3</v>
      </c>
      <c r="M31">
        <f>(M28-M29)/(2*TAN(RADIANS(G11)))*(D28+D29)-G10</f>
        <v>-0.50974586079777229</v>
      </c>
      <c r="N31" t="s">
        <v>193</v>
      </c>
    </row>
    <row r="32" spans="2:18" ht="16" thickBot="1" x14ac:dyDescent="0.25">
      <c r="B32" s="253"/>
      <c r="C32" s="59" t="s">
        <v>194</v>
      </c>
      <c r="D32" s="60">
        <f>D29*$D$18/COS(RADIANS($D$12))</f>
        <v>110.59887701331002</v>
      </c>
    </row>
    <row r="33" spans="3:4" x14ac:dyDescent="0.2">
      <c r="C33" t="s">
        <v>92</v>
      </c>
      <c r="D33">
        <f>SUM(D31:D32)/2</f>
        <v>65.486177178933559</v>
      </c>
    </row>
    <row r="36" spans="3:4" x14ac:dyDescent="0.2">
      <c r="C36" t="s">
        <v>195</v>
      </c>
    </row>
    <row r="37" spans="3:4" x14ac:dyDescent="0.2">
      <c r="C37" s="67">
        <f>D30*'Pre-dime 5-6'!D30*2</f>
        <v>41.61904761904762</v>
      </c>
      <c r="D37" s="66">
        <f>(C37-41.7)/41.7</f>
        <v>-1.9413040995775164E-3</v>
      </c>
    </row>
  </sheetData>
  <mergeCells count="12">
    <mergeCell ref="B28:B32"/>
    <mergeCell ref="B17:D17"/>
    <mergeCell ref="Q7:R7"/>
    <mergeCell ref="C8:D8"/>
    <mergeCell ref="B9:B12"/>
    <mergeCell ref="B13:D13"/>
    <mergeCell ref="B14:B16"/>
    <mergeCell ref="B18:B20"/>
    <mergeCell ref="F19:G19"/>
    <mergeCell ref="F20:G20"/>
    <mergeCell ref="B21:D21"/>
    <mergeCell ref="B22:B25"/>
  </mergeCells>
  <conditionalFormatting sqref="D28">
    <cfRule type="cellIs" dxfId="82" priority="1" operator="greaterThan">
      <formula>$G$9</formula>
    </cfRule>
  </conditionalFormatting>
  <conditionalFormatting sqref="G30">
    <cfRule type="cellIs" dxfId="81" priority="3" operator="lessThan">
      <formula>$G$29</formula>
    </cfRule>
  </conditionalFormatting>
  <conditionalFormatting sqref="G31">
    <cfRule type="cellIs" dxfId="80" priority="2" operator="greaterThan">
      <formula>$G$28</formula>
    </cfRule>
  </conditionalFormatting>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D0BE1-1655-490A-8667-E6AB5CB98AE9}">
  <dimension ref="B1:V28"/>
  <sheetViews>
    <sheetView topLeftCell="K6" zoomScaleNormal="100" workbookViewId="0">
      <selection activeCell="L6" sqref="L6"/>
    </sheetView>
  </sheetViews>
  <sheetFormatPr baseColWidth="10" defaultColWidth="8.83203125" defaultRowHeight="15" x14ac:dyDescent="0.2"/>
  <cols>
    <col min="6" max="6" width="10" bestFit="1" customWidth="1"/>
    <col min="9" max="9" width="8.1640625" customWidth="1"/>
    <col min="10" max="10" width="9" customWidth="1"/>
    <col min="11" max="11" width="9.6640625" customWidth="1"/>
    <col min="15" max="15" width="12" bestFit="1" customWidth="1"/>
    <col min="16" max="16" width="9.5" customWidth="1"/>
    <col min="22" max="22" width="13" customWidth="1"/>
  </cols>
  <sheetData>
    <row r="1" spans="2:22" ht="16" thickBot="1" x14ac:dyDescent="0.25"/>
    <row r="2" spans="2:22" ht="16" thickBot="1" x14ac:dyDescent="0.25">
      <c r="B2" s="268" t="s">
        <v>95</v>
      </c>
      <c r="C2" s="269"/>
      <c r="D2" s="269"/>
      <c r="E2" s="269"/>
      <c r="F2" s="269"/>
      <c r="G2" s="270"/>
      <c r="I2" s="274" t="s">
        <v>196</v>
      </c>
      <c r="J2" s="275"/>
      <c r="K2" s="43">
        <v>4</v>
      </c>
      <c r="P2" s="272" t="s">
        <v>197</v>
      </c>
      <c r="Q2" s="273"/>
      <c r="R2" s="40">
        <v>4</v>
      </c>
      <c r="U2" s="26" t="s">
        <v>98</v>
      </c>
      <c r="V2" s="26" t="s">
        <v>49</v>
      </c>
    </row>
    <row r="3" spans="2:22" x14ac:dyDescent="0.2">
      <c r="G3" t="s">
        <v>198</v>
      </c>
      <c r="I3" s="183" t="s">
        <v>100</v>
      </c>
      <c r="J3" s="184">
        <v>1.5</v>
      </c>
      <c r="K3" s="36">
        <f>J3</f>
        <v>1.5</v>
      </c>
      <c r="P3" s="6" t="s">
        <v>101</v>
      </c>
      <c r="Q3" s="30">
        <v>2.5</v>
      </c>
      <c r="R3" s="36">
        <v>2.5</v>
      </c>
      <c r="T3">
        <v>3</v>
      </c>
      <c r="U3" s="4">
        <f>C9/((COS(RADIANS(F17)))^2*COS(RADIANS(F16)))</f>
        <v>21.209054105579366</v>
      </c>
      <c r="V3" s="4">
        <f>C27</f>
        <v>0.2</v>
      </c>
    </row>
    <row r="4" spans="2:22" ht="16" thickBot="1" x14ac:dyDescent="0.25">
      <c r="I4" s="45" t="s">
        <v>102</v>
      </c>
      <c r="J4" s="7">
        <v>1</v>
      </c>
      <c r="K4" s="37">
        <v>1</v>
      </c>
      <c r="M4" s="17">
        <f>(C11/60*2*PI())*(C6/1000/2)*C9/100</f>
        <v>7.9091824609262437E-2</v>
      </c>
      <c r="N4">
        <f>(C12/60*2*PI())*(C7/1000/2)*C10/100</f>
        <v>0.43038524908993642</v>
      </c>
      <c r="P4" s="12" t="s">
        <v>103</v>
      </c>
      <c r="Q4" s="31">
        <v>1.68</v>
      </c>
      <c r="R4" s="37">
        <v>1.73</v>
      </c>
      <c r="T4">
        <v>4</v>
      </c>
      <c r="U4" s="4">
        <f>C10/((COS(RADIANS(F17)))^2*COS(RADIANS(F16)))</f>
        <v>115.13486514457371</v>
      </c>
      <c r="V4" s="4">
        <f>C28</f>
        <v>-0.50974586079777229</v>
      </c>
    </row>
    <row r="5" spans="2:22" ht="16" thickBot="1" x14ac:dyDescent="0.25">
      <c r="B5" s="271" t="s">
        <v>199</v>
      </c>
      <c r="C5" s="258"/>
      <c r="E5" s="274" t="s">
        <v>200</v>
      </c>
      <c r="F5" s="275"/>
      <c r="I5" s="44" t="s">
        <v>106</v>
      </c>
      <c r="J5" s="61">
        <v>1</v>
      </c>
      <c r="K5" s="37">
        <f t="shared" ref="K5:K10" si="0">J5</f>
        <v>1</v>
      </c>
      <c r="P5" s="12" t="s">
        <v>107</v>
      </c>
      <c r="Q5" s="32">
        <f>IF(C24&lt;2,0.25+0.75/C24,0.5)</f>
        <v>0.74191959282940356</v>
      </c>
      <c r="R5" s="41">
        <f>Q5</f>
        <v>0.74191959282940356</v>
      </c>
    </row>
    <row r="6" spans="2:22" ht="16" thickBot="1" x14ac:dyDescent="0.25">
      <c r="B6" s="12" t="s">
        <v>180</v>
      </c>
      <c r="C6" s="7">
        <f>'Pre-dime 3-4'!D31</f>
        <v>20.373477344557106</v>
      </c>
      <c r="E6" s="6" t="s">
        <v>108</v>
      </c>
      <c r="F6" s="15">
        <f>2*$F12*1000/$C6</f>
        <v>3547.0748564924966</v>
      </c>
      <c r="I6" s="46" t="s">
        <v>109</v>
      </c>
      <c r="J6" s="62">
        <v>1.4</v>
      </c>
      <c r="K6" s="60">
        <f t="shared" si="0"/>
        <v>1.4</v>
      </c>
      <c r="P6" s="13" t="s">
        <v>110</v>
      </c>
      <c r="Q6" s="33">
        <v>0.87</v>
      </c>
      <c r="R6" s="38">
        <f>Q6</f>
        <v>0.87</v>
      </c>
    </row>
    <row r="7" spans="2:22" x14ac:dyDescent="0.2">
      <c r="B7" s="12" t="s">
        <v>181</v>
      </c>
      <c r="C7" s="7">
        <f>'Pre-dime 3-4'!D32</f>
        <v>110.59887701331002</v>
      </c>
      <c r="E7" s="12" t="s">
        <v>111</v>
      </c>
      <c r="F7" s="7">
        <f>F$6*TAN(RADIANS($F$19))</f>
        <v>1503.0150663501142</v>
      </c>
      <c r="I7" s="19" t="s">
        <v>112</v>
      </c>
      <c r="J7" s="191">
        <f>SQRT(1/(2*PI()*(1-0.3^2)/210000))</f>
        <v>191.64567250641841</v>
      </c>
      <c r="K7" s="192">
        <f t="shared" si="0"/>
        <v>191.64567250641841</v>
      </c>
      <c r="P7" s="6" t="s">
        <v>100</v>
      </c>
      <c r="Q7" s="30" cm="1">
        <f t="array" ref="Q7:Q9">J3:J5</f>
        <v>1.5</v>
      </c>
      <c r="R7" s="36" cm="1">
        <f t="array" ref="R7:R9">J3:J5</f>
        <v>1.5</v>
      </c>
    </row>
    <row r="8" spans="2:22" ht="16" thickBot="1" x14ac:dyDescent="0.25">
      <c r="B8" s="12" t="s">
        <v>53</v>
      </c>
      <c r="C8" s="7">
        <f>'Pre-dime 3-4'!D30</f>
        <v>5.4285714285714288</v>
      </c>
      <c r="E8" s="13" t="s">
        <v>113</v>
      </c>
      <c r="F8" s="10">
        <f>F$6*TAN(RADIANS($F$16))</f>
        <v>2114.4809879004142</v>
      </c>
      <c r="I8" s="18" t="s">
        <v>114</v>
      </c>
      <c r="J8" s="24">
        <f>SQRT((2*COS(RADIANS(F17))*'Pre-dime 3-4'!M27)/(((COS(RADIANS(F19)))^2*(SQRT(1-COS(RADIANS(F22))^2)))))</f>
        <v>2.2886984900048741</v>
      </c>
      <c r="K8" s="190">
        <f t="shared" si="0"/>
        <v>2.2886984900048741</v>
      </c>
      <c r="P8" s="12" t="s">
        <v>102</v>
      </c>
      <c r="Q8" s="31">
        <v>1</v>
      </c>
      <c r="R8" s="37">
        <v>1</v>
      </c>
    </row>
    <row r="9" spans="2:22" x14ac:dyDescent="0.2">
      <c r="B9" s="12" t="s">
        <v>184</v>
      </c>
      <c r="C9" s="7">
        <f>'Pre-dime 3-4'!D28</f>
        <v>14</v>
      </c>
      <c r="E9" s="267"/>
      <c r="F9" s="276"/>
      <c r="I9" s="12" t="s">
        <v>115</v>
      </c>
      <c r="J9" s="24">
        <f>IF(C25&gt;=1,SQRT(1/C24),SQRT((4-C24)/3*(1-C25)+C25/C24))</f>
        <v>0.80987208276320077</v>
      </c>
      <c r="K9" s="190">
        <f t="shared" si="0"/>
        <v>0.80987208276320077</v>
      </c>
      <c r="P9" s="12" t="s">
        <v>116</v>
      </c>
      <c r="Q9" s="31">
        <v>1</v>
      </c>
      <c r="R9" s="37">
        <v>1</v>
      </c>
      <c r="U9" s="279" t="s">
        <v>117</v>
      </c>
      <c r="V9" s="280"/>
    </row>
    <row r="10" spans="2:22" ht="16" thickBot="1" x14ac:dyDescent="0.25">
      <c r="B10" s="12" t="s">
        <v>187</v>
      </c>
      <c r="C10" s="7">
        <f>'Pre-dime 3-4'!D29</f>
        <v>76</v>
      </c>
      <c r="E10" s="12" t="s">
        <v>118</v>
      </c>
      <c r="F10" s="7">
        <f>SQRT(F6^2+F7^2+F8^2)</f>
        <v>4394.5220645058798</v>
      </c>
      <c r="I10" s="96" t="s">
        <v>119</v>
      </c>
      <c r="J10" s="182">
        <f>1/SQRT(COS(RADIANS(F16)))</f>
        <v>1.0789804008429733</v>
      </c>
      <c r="K10" s="181">
        <f t="shared" si="0"/>
        <v>1.0789804008429733</v>
      </c>
      <c r="P10" s="13" t="s">
        <v>120</v>
      </c>
      <c r="Q10" s="34">
        <f>J6^((U10^2)/(1+U10+U10^2))</f>
        <v>1.3538899045672717</v>
      </c>
      <c r="R10" s="42">
        <f>Q10</f>
        <v>1.3538899045672717</v>
      </c>
      <c r="U10" s="26">
        <f>C19/C26</f>
        <v>9.9555555555555557</v>
      </c>
      <c r="V10" s="26" t="str">
        <f>IF(U10&lt;=3,"NOT OK","OK")</f>
        <v>OK</v>
      </c>
    </row>
    <row r="11" spans="2:22" x14ac:dyDescent="0.2">
      <c r="B11" s="12" t="s">
        <v>201</v>
      </c>
      <c r="C11" s="7">
        <f>'Coppie e u'!J6</f>
        <v>529.58999999999992</v>
      </c>
      <c r="E11" s="281"/>
      <c r="F11" s="282"/>
      <c r="I11" s="6" t="s">
        <v>122</v>
      </c>
      <c r="J11" s="15">
        <v>1.1499999999999999</v>
      </c>
      <c r="K11" s="36">
        <v>1.075</v>
      </c>
      <c r="P11" s="19" t="s">
        <v>123</v>
      </c>
      <c r="Q11" s="35">
        <v>2</v>
      </c>
      <c r="R11" s="39">
        <f>Q11</f>
        <v>2</v>
      </c>
    </row>
    <row r="12" spans="2:22" ht="16" thickBot="1" x14ac:dyDescent="0.25">
      <c r="B12" s="13" t="s">
        <v>202</v>
      </c>
      <c r="C12" s="10">
        <f>'Coppie e u'!J5</f>
        <v>97.789999999999992</v>
      </c>
      <c r="E12" s="12" t="s">
        <v>171</v>
      </c>
      <c r="F12" s="8">
        <f>F13/(C7/C6)</f>
        <v>36.13312461409901</v>
      </c>
      <c r="I12" s="12" t="s">
        <v>125</v>
      </c>
      <c r="J12" s="24">
        <f>(3/(0.035*6))^0.08</f>
        <v>1.2370639663600851</v>
      </c>
      <c r="K12" s="190">
        <f>J12</f>
        <v>1.2370639663600851</v>
      </c>
      <c r="P12" s="12" t="s">
        <v>126</v>
      </c>
      <c r="Q12" s="31">
        <v>1</v>
      </c>
      <c r="R12" s="39">
        <f>Q12</f>
        <v>1</v>
      </c>
    </row>
    <row r="13" spans="2:22" ht="16" thickBot="1" x14ac:dyDescent="0.25">
      <c r="E13" s="13" t="s">
        <v>203</v>
      </c>
      <c r="F13" s="14">
        <f>'Forze e verifica 5-6'!F12</f>
        <v>196.15124790510893</v>
      </c>
      <c r="I13" s="12" t="s">
        <v>128</v>
      </c>
      <c r="J13" s="24">
        <f>(0.91+0.02)+(2*(1-(0.91+0.02)))/(SQRT(0.8+32/M13))</f>
        <v>0.94847180750275106</v>
      </c>
      <c r="K13" s="190">
        <f>J13</f>
        <v>0.94847180750275106</v>
      </c>
      <c r="M13">
        <f>2*PI()*C11/60*C6/2000</f>
        <v>0.56494160435187446</v>
      </c>
      <c r="P13" s="12" t="s">
        <v>129</v>
      </c>
      <c r="Q13" s="31">
        <v>0.98</v>
      </c>
      <c r="R13" s="37">
        <f>0.99</f>
        <v>0.99</v>
      </c>
    </row>
    <row r="14" spans="2:22" ht="16" thickBot="1" x14ac:dyDescent="0.25">
      <c r="I14" s="12" t="s">
        <v>130</v>
      </c>
      <c r="J14" s="24">
        <f>0.91+0.36/(1.2 + 134/1500 )^2</f>
        <v>1.1265569266668736</v>
      </c>
      <c r="K14" s="190">
        <f>J14</f>
        <v>1.1265569266668736</v>
      </c>
      <c r="P14" s="12" t="s">
        <v>131</v>
      </c>
      <c r="Q14" s="31">
        <v>1.07</v>
      </c>
      <c r="R14" s="37">
        <v>1.07</v>
      </c>
      <c r="U14" s="27"/>
    </row>
    <row r="15" spans="2:22" ht="16" thickBot="1" x14ac:dyDescent="0.25">
      <c r="B15" s="274" t="s">
        <v>204</v>
      </c>
      <c r="C15" s="275"/>
      <c r="E15" s="277" t="s">
        <v>205</v>
      </c>
      <c r="F15" s="278"/>
      <c r="I15" s="12" t="s">
        <v>134</v>
      </c>
      <c r="J15" s="61">
        <v>1</v>
      </c>
      <c r="K15" s="37">
        <v>1</v>
      </c>
      <c r="P15" s="12" t="s">
        <v>135</v>
      </c>
      <c r="Q15" s="31">
        <v>1</v>
      </c>
      <c r="R15" s="37">
        <v>1</v>
      </c>
    </row>
    <row r="16" spans="2:22" ht="16" thickBot="1" x14ac:dyDescent="0.25">
      <c r="B16" s="6" t="s">
        <v>73</v>
      </c>
      <c r="C16" s="15">
        <f>C17/COS(RADIANS(F16))</f>
        <v>1.4552483817540791</v>
      </c>
      <c r="E16" s="12" t="s">
        <v>136</v>
      </c>
      <c r="F16" s="7">
        <f>'Pre-dime 3-4'!D12</f>
        <v>30.8</v>
      </c>
      <c r="I16" s="13" t="s">
        <v>137</v>
      </c>
      <c r="J16" s="62">
        <f>1</f>
        <v>1</v>
      </c>
      <c r="K16" s="29">
        <v>1</v>
      </c>
      <c r="P16" s="259"/>
      <c r="Q16" s="260"/>
      <c r="R16" s="37"/>
    </row>
    <row r="17" spans="2:18" ht="16" thickBot="1" x14ac:dyDescent="0.25">
      <c r="B17" s="12" t="s">
        <v>72</v>
      </c>
      <c r="C17" s="7">
        <f>'Pre-dime 3-4'!D18</f>
        <v>1.25</v>
      </c>
      <c r="E17" s="12" t="s">
        <v>138</v>
      </c>
      <c r="F17" s="7">
        <f>DEGREES(ASIN(SIN(RADIANS(F16))*COS(RADIANS(F18))))</f>
        <v>28.761380528637133</v>
      </c>
      <c r="I17" s="20" t="s">
        <v>139</v>
      </c>
      <c r="J17" s="21">
        <v>1.5</v>
      </c>
      <c r="K17" s="40">
        <v>1.5</v>
      </c>
      <c r="P17" s="13" t="s">
        <v>140</v>
      </c>
      <c r="Q17" s="33">
        <v>1.75</v>
      </c>
      <c r="R17" s="38">
        <f>Q17</f>
        <v>1.75</v>
      </c>
    </row>
    <row r="18" spans="2:18" ht="16" thickBot="1" x14ac:dyDescent="0.25">
      <c r="B18" s="12" t="s">
        <v>141</v>
      </c>
      <c r="C18" s="7">
        <f>C6*COS(RADIANS(F19))</f>
        <v>18.758881557256249</v>
      </c>
      <c r="E18" s="12" t="s">
        <v>67</v>
      </c>
      <c r="F18" s="7">
        <f>'Pre-dime 5-6'!H11</f>
        <v>20</v>
      </c>
    </row>
    <row r="19" spans="2:18" x14ac:dyDescent="0.2">
      <c r="B19" s="12" t="s">
        <v>62</v>
      </c>
      <c r="C19" s="7">
        <v>28</v>
      </c>
      <c r="E19" s="13" t="s">
        <v>142</v>
      </c>
      <c r="F19" s="10">
        <f>DEGREES(ATAN(TAN(RADIANS(F18))/COS(RADIANS(F16))))</f>
        <v>22.964009227285434</v>
      </c>
      <c r="I19" s="145" t="s">
        <v>143</v>
      </c>
      <c r="J19" s="146" t="s">
        <v>144</v>
      </c>
      <c r="K19" s="137" t="s">
        <v>145</v>
      </c>
      <c r="P19" s="145" t="s">
        <v>146</v>
      </c>
      <c r="Q19" s="146" t="s">
        <v>147</v>
      </c>
      <c r="R19" s="137" t="s">
        <v>145</v>
      </c>
    </row>
    <row r="20" spans="2:18" x14ac:dyDescent="0.2">
      <c r="B20" s="12" t="s">
        <v>148</v>
      </c>
      <c r="C20" s="7">
        <f>PI()*C17</f>
        <v>3.9269908169872414</v>
      </c>
      <c r="H20">
        <v>3</v>
      </c>
      <c r="I20" s="142">
        <f>$J$8*$J$7*$J$9*$J$10*SQRT($F$6/($C$6*$C$19)*($C$8+1)/$C$8)*SQRT($J$3*$J$4*$J$5*$J$6)</f>
        <v>1507.1805172647908</v>
      </c>
      <c r="J20" s="143">
        <f>Materiali!K3/J17*J11*J12*J14*J15*J16*J13</f>
        <v>1672.0923151642667</v>
      </c>
      <c r="K20" s="144">
        <f>J20/I20</f>
        <v>1.10941741616907</v>
      </c>
      <c r="O20">
        <v>3</v>
      </c>
      <c r="P20" s="19">
        <f>$Q$3*$Q$4*$Q$5*$Q$6*($F$6/($C$19*$C$17))*$Q$7*$Q$8*$Q$9*$Q$10</f>
        <v>557.95901847117671</v>
      </c>
      <c r="Q20" s="95">
        <f>Materiali!L3*Q11*Q12*Q13*Q14*Q15/Q17</f>
        <v>629.16</v>
      </c>
      <c r="R20" s="144">
        <f>Q20/P20</f>
        <v>1.1276096974360517</v>
      </c>
    </row>
    <row r="21" spans="2:18" x14ac:dyDescent="0.2">
      <c r="B21" s="12" t="s">
        <v>149</v>
      </c>
      <c r="C21" s="7">
        <f>C16*PI()</f>
        <v>4.5717976252670498</v>
      </c>
      <c r="E21" t="s">
        <v>206</v>
      </c>
      <c r="F21">
        <f>'Pre-dime 3-4'!R27</f>
        <v>18.845966205812154</v>
      </c>
      <c r="H21">
        <v>4</v>
      </c>
      <c r="I21" s="140">
        <f>$K$8*$K$7*$K$9*$K$10*SQRT($F$6/($C$6*$C$19)*($C$8+1)/$C$8)*SQRT($K$3*$K$4*$K$5*$K$6)</f>
        <v>1507.1805172647908</v>
      </c>
      <c r="J21" s="141">
        <f>Materiali!K3/K17*K11*K12*K14*K15*K16*K13</f>
        <v>1563.0428163492056</v>
      </c>
      <c r="K21" s="25">
        <f>J21/I21</f>
        <v>1.0370641064189132</v>
      </c>
      <c r="O21">
        <v>4</v>
      </c>
      <c r="P21" s="13">
        <f>$R$3*$R$4*$R$5*$R$6*($F$6/($C$19*$C$17))*$R$7*$R8*$R$9*$R$10</f>
        <v>574.56494163996183</v>
      </c>
      <c r="Q21" s="9">
        <f>Materiali!L3*R11*R12*R13*R14*R15/R17</f>
        <v>635.58000000000004</v>
      </c>
      <c r="R21" s="25">
        <f>Q21/P21</f>
        <v>1.1061934934385049</v>
      </c>
    </row>
    <row r="22" spans="2:18" x14ac:dyDescent="0.2">
      <c r="B22" s="12" t="s">
        <v>150</v>
      </c>
      <c r="C22" s="7">
        <f>C20*COS(RADIANS(F18))</f>
        <v>3.6901642926169367</v>
      </c>
      <c r="E22" t="s">
        <v>207</v>
      </c>
      <c r="F22">
        <f>DEGREES(ATAN(TAN(RADIANS(F21)/COS(RADIANS(F16)))))</f>
        <v>21.94044945888016</v>
      </c>
    </row>
    <row r="23" spans="2:18" x14ac:dyDescent="0.2">
      <c r="B23" s="12" t="s">
        <v>151</v>
      </c>
      <c r="C23" s="7">
        <f>C22/COS(RADIANS(F17))</f>
        <v>4.209483177845522</v>
      </c>
    </row>
    <row r="24" spans="2:18" x14ac:dyDescent="0.2">
      <c r="B24" s="12" t="s">
        <v>153</v>
      </c>
      <c r="C24" s="7">
        <f>(0.5*C16*(SQRT((C9+2)^2-(C9*COS(RADIANS(F19)))^2) + SQRT((C10+2)^2-(C10*COS(RADIANS(F19)))^2) - (C9+C10)*SIN(RADIANS(F19))))/C23</f>
        <v>1.5246394145152458</v>
      </c>
    </row>
    <row r="25" spans="2:18" x14ac:dyDescent="0.2">
      <c r="B25" s="12" t="s">
        <v>155</v>
      </c>
      <c r="C25" s="7">
        <f>C19*TAN(RADIANS(F16))/C21</f>
        <v>3.6509380552550916</v>
      </c>
    </row>
    <row r="26" spans="2:18" x14ac:dyDescent="0.2">
      <c r="B26" s="12" t="s">
        <v>158</v>
      </c>
      <c r="C26" s="7">
        <f>2.25*C17</f>
        <v>2.8125</v>
      </c>
      <c r="F26" t="s">
        <v>156</v>
      </c>
      <c r="G26">
        <f>C6-1.25*C17*2</f>
        <v>17.248477344557106</v>
      </c>
      <c r="H26" s="16"/>
    </row>
    <row r="27" spans="2:18" ht="16" thickBot="1" x14ac:dyDescent="0.25">
      <c r="B27" s="13" t="s">
        <v>172</v>
      </c>
      <c r="C27" s="10">
        <f>'Pre-dime 3-4'!G10</f>
        <v>0.2</v>
      </c>
    </row>
    <row r="28" spans="2:18" ht="16" thickBot="1" x14ac:dyDescent="0.25">
      <c r="B28" s="52" t="s">
        <v>193</v>
      </c>
      <c r="C28" s="53">
        <f>'Pre-dime 3-4'!M31</f>
        <v>-0.50974586079777229</v>
      </c>
      <c r="D28" s="27"/>
    </row>
  </sheetData>
  <mergeCells count="11">
    <mergeCell ref="B2:G2"/>
    <mergeCell ref="I2:J2"/>
    <mergeCell ref="P2:Q2"/>
    <mergeCell ref="B5:C5"/>
    <mergeCell ref="E5:F5"/>
    <mergeCell ref="U9:V9"/>
    <mergeCell ref="E11:F11"/>
    <mergeCell ref="B15:C15"/>
    <mergeCell ref="E15:F15"/>
    <mergeCell ref="P16:Q16"/>
    <mergeCell ref="E9:F9"/>
  </mergeCells>
  <conditionalFormatting sqref="I20:I21">
    <cfRule type="cellIs" dxfId="79" priority="5" operator="greaterThan">
      <formula>$J$20</formula>
    </cfRule>
    <cfRule type="cellIs" dxfId="78" priority="6" operator="lessThan">
      <formula>$J$20</formula>
    </cfRule>
  </conditionalFormatting>
  <conditionalFormatting sqref="P20">
    <cfRule type="cellIs" dxfId="77" priority="3" operator="lessThan">
      <formula>$Q$20</formula>
    </cfRule>
    <cfRule type="cellIs" dxfId="76" priority="4" operator="greaterThan">
      <formula>$Q$20</formula>
    </cfRule>
  </conditionalFormatting>
  <conditionalFormatting sqref="P21">
    <cfRule type="cellIs" dxfId="75" priority="1" operator="lessThan">
      <formula>$Q$21</formula>
    </cfRule>
    <cfRule type="cellIs" dxfId="74" priority="2" operator="greaterThan">
      <formula>$Q$21</formula>
    </cfRule>
  </conditionalFormatting>
  <pageMargins left="0.7" right="0.7" top="0.75" bottom="0.75" header="0.3" footer="0.3"/>
  <pageSetup paperSize="9" orientation="portrait" horizontalDpi="4294967293" verticalDpi="0"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CDE07-1D6D-490D-B09D-71F6DF0308C0}">
  <dimension ref="C1:CM88"/>
  <sheetViews>
    <sheetView topLeftCell="A33" zoomScale="84" zoomScaleNormal="57" workbookViewId="0">
      <selection activeCell="K56" sqref="K56"/>
    </sheetView>
  </sheetViews>
  <sheetFormatPr baseColWidth="10" defaultColWidth="8.83203125" defaultRowHeight="15" x14ac:dyDescent="0.2"/>
  <cols>
    <col min="2" max="3" width="13.1640625" customWidth="1"/>
    <col min="4" max="4" width="10.33203125" bestFit="1" customWidth="1"/>
    <col min="6" max="6" width="11.1640625" customWidth="1"/>
    <col min="7" max="7" width="9.6640625" bestFit="1" customWidth="1"/>
    <col min="9" max="9" width="11" customWidth="1"/>
    <col min="10" max="10" width="16.83203125" customWidth="1"/>
    <col min="11" max="11" width="15.1640625" customWidth="1"/>
    <col min="13" max="13" width="18.6640625" customWidth="1"/>
    <col min="14" max="14" width="15.1640625" customWidth="1"/>
    <col min="16" max="16" width="18.1640625" customWidth="1"/>
    <col min="17" max="17" width="9.33203125" bestFit="1" customWidth="1"/>
    <col min="20" max="20" width="12" customWidth="1"/>
    <col min="21" max="21" width="18.6640625" customWidth="1"/>
    <col min="23" max="23" width="27.1640625" customWidth="1"/>
    <col min="24" max="26" width="9.5" bestFit="1" customWidth="1"/>
    <col min="27" max="27" width="15.5" bestFit="1" customWidth="1"/>
    <col min="28" max="28" width="11.5" customWidth="1"/>
    <col min="29" max="29" width="11" customWidth="1"/>
    <col min="30" max="30" width="12.6640625" customWidth="1"/>
    <col min="33" max="34" width="9.33203125" bestFit="1" customWidth="1"/>
    <col min="35" max="36" width="9.5" bestFit="1" customWidth="1"/>
    <col min="38" max="38" width="12" bestFit="1" customWidth="1"/>
    <col min="43" max="44" width="9.1640625" bestFit="1" customWidth="1"/>
  </cols>
  <sheetData>
    <row r="1" spans="3:91" ht="16" thickBot="1" x14ac:dyDescent="0.25">
      <c r="AH1" s="296" t="s">
        <v>208</v>
      </c>
      <c r="AI1" s="296"/>
      <c r="AJ1" s="296"/>
      <c r="AK1" s="296"/>
      <c r="AL1" s="296"/>
      <c r="AM1" s="296"/>
      <c r="AN1" s="296"/>
    </row>
    <row r="2" spans="3:91" ht="14.5" customHeight="1" x14ac:dyDescent="0.2">
      <c r="C2" s="297" t="s">
        <v>209</v>
      </c>
      <c r="D2" s="298"/>
      <c r="F2" s="297" t="s">
        <v>210</v>
      </c>
      <c r="G2" s="298"/>
      <c r="I2" s="297" t="s">
        <v>211</v>
      </c>
      <c r="J2" s="298"/>
      <c r="M2" s="217" t="s">
        <v>212</v>
      </c>
      <c r="N2" s="218" t="s">
        <v>213</v>
      </c>
      <c r="P2" s="293" t="s">
        <v>214</v>
      </c>
      <c r="Q2" s="294"/>
      <c r="R2" s="294"/>
      <c r="S2" s="294"/>
      <c r="T2" s="295"/>
      <c r="U2" s="162"/>
      <c r="W2" s="300" t="s">
        <v>215</v>
      </c>
      <c r="X2" s="301"/>
      <c r="Y2" s="301"/>
      <c r="Z2" s="301"/>
      <c r="AA2" s="301"/>
      <c r="AB2" s="301"/>
      <c r="AC2" s="301"/>
      <c r="AD2" s="302"/>
      <c r="AH2" s="127" t="s">
        <v>216</v>
      </c>
      <c r="AI2" s="128" t="s">
        <v>217</v>
      </c>
      <c r="AJ2" s="128" t="s">
        <v>218</v>
      </c>
      <c r="AK2" s="128" t="s">
        <v>219</v>
      </c>
      <c r="AL2" s="128" t="s">
        <v>220</v>
      </c>
      <c r="AM2" s="130" t="s">
        <v>221</v>
      </c>
      <c r="AN2" s="127" t="s">
        <v>222</v>
      </c>
      <c r="AO2" s="129"/>
      <c r="AP2" s="99"/>
      <c r="AQ2" s="99"/>
    </row>
    <row r="3" spans="3:91" x14ac:dyDescent="0.2">
      <c r="C3" s="69" t="s">
        <v>223</v>
      </c>
      <c r="D3" s="70">
        <f>'Cuscinetti 1'!G10</f>
        <v>21.25</v>
      </c>
      <c r="F3" s="69" t="s">
        <v>89</v>
      </c>
      <c r="G3" s="70">
        <f>'Pre-dime 5-6'!D31</f>
        <v>38.433937094777029</v>
      </c>
      <c r="I3" s="69" t="s">
        <v>194</v>
      </c>
      <c r="J3" s="70">
        <f>'Pre-dime 3-4'!D32</f>
        <v>110.59887701331002</v>
      </c>
      <c r="M3" s="219"/>
      <c r="N3" s="187"/>
      <c r="P3" s="163"/>
      <c r="Q3" s="162"/>
      <c r="R3" s="162"/>
      <c r="S3" s="162"/>
      <c r="T3" s="164"/>
      <c r="U3" s="165"/>
      <c r="V3" s="80"/>
      <c r="W3" s="122"/>
      <c r="AD3" s="29"/>
      <c r="AG3">
        <v>0</v>
      </c>
      <c r="AH3">
        <f>(+$G$6*SUM(D$12:D$13)*AG3^3-$G$6*SUM($D$12:D$13)*($D$14^2-SUM($D$12:$D$13)^2)*AG3)/(6*$D$14*$D$16*$D$15)</f>
        <v>0</v>
      </c>
      <c r="AI3">
        <f t="shared" ref="AI3:AI34" si="0">(J$6*D$13*AG3^3-J$6*D$13*(D$14^2-D$13^2)*AG3)/(6*D$14*D$16*D$15)</f>
        <v>0</v>
      </c>
      <c r="AJ3">
        <f t="shared" ref="AJ3:AJ16" si="1">-(-G$7*SUM(D$12:D$13)*AG3^3+G$7*SUM(D$12:D$13)*(D$14^2-SUM(D$12:D$13)^2)*AG3)/(6*D$14*D$16*D$15)</f>
        <v>0</v>
      </c>
      <c r="AK3">
        <f>G$9*AG3*(AG3^2+3*42^2-6*42*D$14+2*D$14^2)/(6*D$14*D$16*D$15)</f>
        <v>0</v>
      </c>
      <c r="AL3">
        <f t="shared" ref="AL3:AL34" si="2">-(J$7*D$13*AG3^3-J$7*D$13*(D$14^2-D$13^2)*AG3)/(6*D$14*D$16*D$15)</f>
        <v>0</v>
      </c>
      <c r="AM3">
        <f t="shared" ref="AM3:AM34" si="3">J$9*AG3*(AG3^2+3*SUM(D$11:D$12)^2-6*SUM(D$11:D$12)*D$14+2*D$14^2)/(6*D$14*D$16*D$15)</f>
        <v>0</v>
      </c>
      <c r="AN3">
        <f>SQRT(SUMSQ(SUM(AH3:AI3),SUM(AJ3:AM3)))</f>
        <v>0</v>
      </c>
      <c r="AP3" s="149"/>
      <c r="AT3">
        <v>0</v>
      </c>
      <c r="AU3">
        <v>2</v>
      </c>
      <c r="AV3">
        <v>4</v>
      </c>
      <c r="AW3">
        <v>6</v>
      </c>
      <c r="AX3">
        <v>8</v>
      </c>
      <c r="AY3">
        <v>10</v>
      </c>
      <c r="AZ3">
        <v>12</v>
      </c>
      <c r="BA3">
        <v>14</v>
      </c>
      <c r="BB3">
        <v>16</v>
      </c>
      <c r="BC3">
        <v>18</v>
      </c>
      <c r="BD3">
        <v>20</v>
      </c>
      <c r="BE3">
        <v>22</v>
      </c>
      <c r="BF3">
        <v>24</v>
      </c>
      <c r="BG3">
        <v>25</v>
      </c>
      <c r="BH3">
        <v>26</v>
      </c>
      <c r="BI3">
        <v>28</v>
      </c>
      <c r="BJ3">
        <v>30</v>
      </c>
      <c r="BK3">
        <v>32</v>
      </c>
      <c r="BL3">
        <v>34</v>
      </c>
      <c r="BM3">
        <v>36</v>
      </c>
      <c r="BN3">
        <v>38</v>
      </c>
      <c r="BO3">
        <v>40</v>
      </c>
      <c r="BP3">
        <v>42</v>
      </c>
      <c r="BQ3">
        <v>44</v>
      </c>
      <c r="BR3">
        <v>46</v>
      </c>
      <c r="BS3">
        <v>48</v>
      </c>
      <c r="BT3">
        <v>50</v>
      </c>
      <c r="BU3">
        <v>52</v>
      </c>
      <c r="BV3">
        <v>54</v>
      </c>
      <c r="BW3">
        <v>56</v>
      </c>
      <c r="BX3">
        <v>58</v>
      </c>
      <c r="BY3">
        <v>59</v>
      </c>
      <c r="BZ3">
        <v>60</v>
      </c>
      <c r="CA3">
        <v>62</v>
      </c>
      <c r="CB3">
        <v>64</v>
      </c>
      <c r="CC3">
        <v>66</v>
      </c>
      <c r="CD3">
        <v>68</v>
      </c>
      <c r="CE3">
        <v>70</v>
      </c>
      <c r="CF3">
        <v>72</v>
      </c>
      <c r="CG3">
        <v>74</v>
      </c>
      <c r="CH3">
        <v>76</v>
      </c>
      <c r="CI3">
        <v>78</v>
      </c>
      <c r="CJ3">
        <v>80</v>
      </c>
      <c r="CK3">
        <v>82</v>
      </c>
      <c r="CL3">
        <v>84</v>
      </c>
      <c r="CM3">
        <v>84.5</v>
      </c>
    </row>
    <row r="4" spans="3:91" x14ac:dyDescent="0.2">
      <c r="C4" s="69" t="s">
        <v>224</v>
      </c>
      <c r="D4" s="70">
        <f>'Cuscinetti 1'!G7</f>
        <v>30</v>
      </c>
      <c r="F4" s="69" t="s">
        <v>225</v>
      </c>
      <c r="G4" s="70">
        <f>'Forze e verifica 5-6'!C19</f>
        <v>37</v>
      </c>
      <c r="I4" s="69" t="s">
        <v>226</v>
      </c>
      <c r="J4" s="70">
        <f>'Forze e verifica 3-4'!C19</f>
        <v>28</v>
      </c>
      <c r="M4" s="219" t="s">
        <v>227</v>
      </c>
      <c r="N4" s="187"/>
      <c r="P4" s="284" t="s">
        <v>228</v>
      </c>
      <c r="Q4" s="285"/>
      <c r="R4" s="285"/>
      <c r="S4" s="285"/>
      <c r="T4" s="286"/>
      <c r="U4" s="166"/>
      <c r="V4" s="80"/>
      <c r="W4" s="122" t="s">
        <v>229</v>
      </c>
      <c r="X4">
        <f>D14/4000</f>
        <v>2.1125000000000001E-2</v>
      </c>
      <c r="Z4" t="s">
        <v>145</v>
      </c>
      <c r="AD4" s="29"/>
      <c r="AG4">
        <v>2</v>
      </c>
      <c r="AH4">
        <f>(+$G$6*SUM(D$12:D$13)*AG4^3-$G$6*SUM($D$12:D$13)*($D$14^2-SUM($D$12:$D$13)^2)*AG4)/(6*$D$14*$D$16*$D$15)</f>
        <v>-1.0110374760337801E-3</v>
      </c>
      <c r="AI4">
        <f t="shared" si="0"/>
        <v>-2.6632376127571912E-4</v>
      </c>
      <c r="AJ4">
        <f t="shared" si="1"/>
        <v>-3.9286695092250428E-4</v>
      </c>
      <c r="AK4">
        <f>G$9*AG4*(AG4^2+3*D$11^2-6*D$11*D$14+2*D$14^2)/(6*D$14*D$16*D$15)</f>
        <v>1.0800064535800717E-4</v>
      </c>
      <c r="AL4">
        <f>-(J$7*D$13*AG4^3-J$7*D$13*(D$14^2-D$13^2)*AG4)/(6*D$14*D$16*D$15)</f>
        <v>1.1285034624847472E-4</v>
      </c>
      <c r="AM4">
        <f t="shared" si="3"/>
        <v>-2.7947555507198995E-4</v>
      </c>
      <c r="AN4">
        <f>SQRT(SUMSQ(SUM(AH4:AI4),SUM(AJ4:AM4)))</f>
        <v>1.3548049003990336E-3</v>
      </c>
      <c r="AP4" s="149"/>
      <c r="AS4" t="s">
        <v>216</v>
      </c>
      <c r="AT4">
        <f>(+$G$6*SUM(D$12:D$13)*AT3^3-$G$6*SUM($D$12:D$13)*($D$14^2-SUM($D$12:$D$13)^2)*AT3)/(6*$D$14*$D$16*$D$15)</f>
        <v>0</v>
      </c>
      <c r="AU4">
        <f>(+$G$6*SUM(D$12:D$13)*AU3^3-$G$6*SUM($D$12:D$13)*($D$14^2-SUM($D$12:$D$13)^2)*AU3)/(6*$D$14*$D$16*$D$15)</f>
        <v>-1.0110374760337801E-3</v>
      </c>
      <c r="AV4">
        <f>(+$G$6*SUM(D$12:D$13)*AV3^3-$G$6*SUM($D$12:D$13)*($D$14^2-SUM($D$12:$D$13)^2)*AV3)/(6*$D$14*$D$16*$D$15)</f>
        <v>-2.0154896176464428E-3</v>
      </c>
      <c r="AW4">
        <f>(+$G$6*SUM(D$12:D$13)*AW3^3-$G$6*SUM($D$12:D$13)*($D$14^2-SUM($D$12:$D$13)^2)*AW3)/(6*$D$14*$D$16*$D$15)</f>
        <v>-3.0067710904168711E-3</v>
      </c>
      <c r="AX4">
        <f>(+$G$6*SUM(D$12:D$13)*AX3^3-$G$6*SUM($D$12:D$13)*($D$14^2-SUM($D$12:$D$13)^2)*AX3)/(6*$D$14*$D$16*$D$15)</f>
        <v>-3.9782965599239467E-3</v>
      </c>
      <c r="AY4">
        <f>(+$G$6*SUM(D$12:D$13)*AY3^3-$G$6*SUM($D$12:D$13)*($D$14^2-SUM($D$12:$D$13)^2)*AY3)/(6*$D$14*$D$16*$D$15)</f>
        <v>-4.9234806917465533E-3</v>
      </c>
      <c r="AZ4">
        <f>(+$G$6*SUM(D$12:D$13)*AZ3^3-$G$6*SUM($D$12:D$13)*($D$14^2-SUM($D$12:$D$13)^2)*AZ3)/(6*$D$14*$D$16*$D$15)</f>
        <v>-5.8357381514635735E-3</v>
      </c>
      <c r="BA4">
        <f>(+$G$6*SUM(D$12:D$13)*BA3^3-$G$6*SUM($D$12:D$13)*($D$14^2-SUM($D$12:$D$13)^2)*BA3)/(6*$D$14*$D$16*$D$15)</f>
        <v>-6.7084836046538898E-3</v>
      </c>
      <c r="BB4">
        <f>(+$G$6*SUM(D$12:D$13)*BB3^3-$G$6*SUM($D$12:D$13)*($D$14^2-SUM($D$12:$D$13)^2)*BB3)/(6*$D$14*$D$16*$D$15)</f>
        <v>-7.5351317168963847E-3</v>
      </c>
      <c r="BC4">
        <f>(+$G$6*SUM(D$12:D$13)*BC3^3-$G$6*SUM($D$12:D$13)*($D$14^2-SUM($D$12:$D$13)^2)*BC3)/(6*$D$14*$D$16*$D$15)</f>
        <v>-8.3090971537699426E-3</v>
      </c>
      <c r="BD4">
        <f>(+$G$6*SUM(D$12:D$13)*BD3^3-$G$6*SUM($D$12:D$13)*($D$14^2-SUM($D$12:$D$13)^2)*BD3)/(6*$D$14*$D$16*$D$15)</f>
        <v>-9.0237945808534416E-3</v>
      </c>
      <c r="BE4">
        <f>(+$G$6*SUM(D$12:D$13)*BE3^3-$G$6*SUM($D$12:D$13)*($D$14^2-SUM($D$12:$D$13)^2)*BE3)/(6*$D$14*$D$16*$D$15)</f>
        <v>-9.6726386637257696E-3</v>
      </c>
      <c r="BF4">
        <f>(+$G$6*SUM(D$12:D$13)*BF3^3-$G$6*SUM($D$12:D$13)*($D$14^2-SUM($D$12:$D$13)^2)*BF3)/(6*$D$14*$D$16*$D$15)</f>
        <v>-1.0249044067965807E-2</v>
      </c>
      <c r="BG4">
        <f>(+$G$6*SUM(D$12:D$13)*BG3^3-$G$6*SUM($D$12:D$13)*($D$14^2-SUM($D$12:$D$13)^2)*BG3)/(6*$D$14*$D$16*$D$15)</f>
        <v>-1.0508024348592116E-2</v>
      </c>
      <c r="BH4">
        <f t="shared" ref="BH4:CM4" si="4">($G$6*$D$11*($D$14-BH3)^3-$G$6*$D$11*($D$14^2-$D$11^2)*($D$14-BH3))/(6*$D$14*$D$15*$D$16)</f>
        <v>-1.074642854237916E-2</v>
      </c>
      <c r="BI4">
        <f t="shared" si="4"/>
        <v>-1.1160445175144062E-2</v>
      </c>
      <c r="BJ4">
        <f t="shared" si="4"/>
        <v>-1.1492922757560687E-2</v>
      </c>
      <c r="BK4">
        <f t="shared" si="4"/>
        <v>-1.1746747627694454E-2</v>
      </c>
      <c r="BL4">
        <f t="shared" si="4"/>
        <v>-1.1924806123610793E-2</v>
      </c>
      <c r="BM4">
        <f t="shared" si="4"/>
        <v>-1.2029984583375125E-2</v>
      </c>
      <c r="BN4">
        <f t="shared" si="4"/>
        <v>-1.2065169345052884E-2</v>
      </c>
      <c r="BO4">
        <f t="shared" si="4"/>
        <v>-1.2033246746709487E-2</v>
      </c>
      <c r="BP4">
        <f t="shared" si="4"/>
        <v>-1.1937103126410368E-2</v>
      </c>
      <c r="BQ4">
        <f t="shared" si="4"/>
        <v>-1.1779624822220945E-2</v>
      </c>
      <c r="BR4">
        <f t="shared" si="4"/>
        <v>-1.1563698172206649E-2</v>
      </c>
      <c r="BS4">
        <f t="shared" si="4"/>
        <v>-1.1292209514432905E-2</v>
      </c>
      <c r="BT4">
        <f t="shared" si="4"/>
        <v>-1.0968045186965139E-2</v>
      </c>
      <c r="BU4">
        <f t="shared" si="4"/>
        <v>-1.0594091527868775E-2</v>
      </c>
      <c r="BV4">
        <f t="shared" si="4"/>
        <v>-1.0173234875209243E-2</v>
      </c>
      <c r="BW4">
        <f t="shared" si="4"/>
        <v>-9.7083615670519631E-3</v>
      </c>
      <c r="BX4">
        <f t="shared" si="4"/>
        <v>-9.202357941462366E-3</v>
      </c>
      <c r="BY4">
        <f t="shared" si="4"/>
        <v>-8.9348342402758938E-3</v>
      </c>
      <c r="BZ4">
        <f t="shared" si="4"/>
        <v>-8.6581103365058754E-3</v>
      </c>
      <c r="CA4">
        <f t="shared" si="4"/>
        <v>-8.0785050902479182E-3</v>
      </c>
      <c r="CB4">
        <f t="shared" si="4"/>
        <v>-7.4664285407539189E-3</v>
      </c>
      <c r="CC4">
        <f t="shared" si="4"/>
        <v>-6.824767026089305E-3</v>
      </c>
      <c r="CD4">
        <f t="shared" si="4"/>
        <v>-6.156406884319501E-3</v>
      </c>
      <c r="CE4">
        <f t="shared" si="4"/>
        <v>-5.4642344535099337E-3</v>
      </c>
      <c r="CF4">
        <f t="shared" si="4"/>
        <v>-4.7511360717260292E-3</v>
      </c>
      <c r="CG4">
        <f t="shared" si="4"/>
        <v>-4.0199980770332117E-3</v>
      </c>
      <c r="CH4">
        <f t="shared" si="4"/>
        <v>-3.27370680749691E-3</v>
      </c>
      <c r="CI4">
        <f t="shared" si="4"/>
        <v>-2.5151486011825478E-3</v>
      </c>
      <c r="CJ4">
        <f t="shared" si="4"/>
        <v>-1.7472097961555506E-3</v>
      </c>
      <c r="CK4">
        <f t="shared" si="4"/>
        <v>-9.7277673048134573E-4</v>
      </c>
      <c r="CL4">
        <f t="shared" si="4"/>
        <v>-1.9473574222535824E-4</v>
      </c>
      <c r="CM4">
        <f t="shared" si="4"/>
        <v>0</v>
      </c>
    </row>
    <row r="5" spans="3:91" x14ac:dyDescent="0.2">
      <c r="C5" s="69" t="s">
        <v>230</v>
      </c>
      <c r="D5" s="70">
        <f>'Cuscinetti 1'!G8</f>
        <v>62</v>
      </c>
      <c r="F5" s="69" t="s">
        <v>231</v>
      </c>
      <c r="G5" s="70">
        <f>G3-2*1.25*'Forze e verifica 5-6'!C17</f>
        <v>30.933937094777029</v>
      </c>
      <c r="I5" s="69"/>
      <c r="J5" s="70"/>
      <c r="M5" s="219" t="s">
        <v>232</v>
      </c>
      <c r="N5" s="187">
        <v>30</v>
      </c>
      <c r="P5" s="163" t="s">
        <v>232</v>
      </c>
      <c r="Q5" s="162">
        <v>30</v>
      </c>
      <c r="R5" s="162"/>
      <c r="S5" s="162"/>
      <c r="T5" s="164"/>
      <c r="U5" s="162"/>
      <c r="V5" s="80"/>
      <c r="W5" s="122" t="s">
        <v>233</v>
      </c>
      <c r="X5">
        <f>MAX(AN3:AN50)</f>
        <v>1.6667051478983765E-2</v>
      </c>
      <c r="Z5">
        <f>X4/X5</f>
        <v>1.2674707356989605</v>
      </c>
      <c r="AD5" s="29"/>
      <c r="AG5">
        <v>4</v>
      </c>
      <c r="AH5">
        <f>(+$G$6*SUM(D$12:D$13)*AG5^3-$G$6*SUM($D$12:D$13)*($D$14^2-SUM($D$12:$D$13)^2)*AG5)/(6*$D$14*$D$16*$D$15)</f>
        <v>-2.0154896176464428E-3</v>
      </c>
      <c r="AI5">
        <f t="shared" si="0"/>
        <v>-5.3166397467802268E-4</v>
      </c>
      <c r="AJ5">
        <f t="shared" si="1"/>
        <v>-7.8317498556726721E-4</v>
      </c>
      <c r="AK5">
        <f t="shared" ref="AK5:AK16" si="5">G$9*AG5*(AG5^2+3*D$11^2-6*D$11*D$14+2*D$14^2)/(6*D$14*D$16*D$15)</f>
        <v>2.1680665527213578E-4</v>
      </c>
      <c r="AL5">
        <f t="shared" si="2"/>
        <v>2.2528393014147947E-4</v>
      </c>
      <c r="AM5">
        <f t="shared" si="3"/>
        <v>-5.5766704140320625E-4</v>
      </c>
      <c r="AN5">
        <f t="shared" ref="AN5:AN53" si="6">SQRT(SUMSQ(SUM(AH5:AI5),SUM(AJ5:AM5)))</f>
        <v>2.7010637861020538E-3</v>
      </c>
      <c r="AP5" s="149"/>
      <c r="AS5" t="s">
        <v>217</v>
      </c>
      <c r="AT5">
        <f>(J$6*D$13*AT3^3-J$6*D$13*(D$14^2-D$13^2)*AT3)/(6*D$14*D$16*D$15)</f>
        <v>0</v>
      </c>
      <c r="AU5">
        <f>(J$6*D$13*AU3^3-J$6*D$13*(D$14^2-D$13^2)*AU3)/(6*D$14*D$16*D$15)</f>
        <v>-2.6632376127571912E-4</v>
      </c>
      <c r="AV5">
        <f>(J$6*D$13*AV3^3-J$6*D$13*(D$14^2-D$13^2)*AV3)/(6*D$14*D$16*D$15)</f>
        <v>-5.3166397467802268E-4</v>
      </c>
      <c r="AW5">
        <f>(J$6*D$13*AW3^3-J$6*D$13*(D$14^2-D$13^2)*AW3)/(6*D$14*D$16*D$15)</f>
        <v>-7.9503709233349508E-4</v>
      </c>
      <c r="AX5">
        <f>(J$6*D$13*AX3^3-J$6*D$13*(D$14^2-D$13^2)*AX3)/(6*D$14*D$16*D$15)</f>
        <v>-1.0554595663687209E-3</v>
      </c>
      <c r="AY5">
        <f>(J$6*D$13*AY3^3-J$6*D$13*(D$14^2-D$13^2)*AY3)/(6*D$14*D$16*D$15)</f>
        <v>-1.3119478489102845E-3</v>
      </c>
      <c r="AZ5">
        <f>(J$6*D$13*AZ3^3-J$6*D$13*(D$14^2-D$13^2)*AZ3)/(6*D$14*D$16*D$15)</f>
        <v>-1.5635183920847703E-3</v>
      </c>
      <c r="BA5">
        <f>(J$6*D$13*BA3^3-J$6*D$13*(D$14^2-D$13^2)*BA3)/(6*D$14*D$16*D$15)</f>
        <v>-1.8091876480187629E-3</v>
      </c>
      <c r="BB5">
        <f>(J$6*D$13*BB3^3-J$6*D$13*(D$14^2-D$13^2)*BB3)/(6*D$14*D$16*D$15)</f>
        <v>-2.0479720688388464E-3</v>
      </c>
      <c r="BC5">
        <f>(J$6*D$13*BC3^3-J$6*D$13*(D$14^2-D$13^2)*BC3)/(6*D$14*D$16*D$15)</f>
        <v>-2.2788881066716049E-3</v>
      </c>
      <c r="BD5">
        <f>(J$6*D$13*BD3^3-J$6*D$13*(D$14^2-D$13^2)*BD3)/(6*D$14*D$16*D$15)</f>
        <v>-2.5009522136436244E-3</v>
      </c>
      <c r="BE5">
        <f>(J$6*D$13*BE3^3-J$6*D$13*(D$14^2-D$13^2)*BE3)/(6*D$14*D$16*D$15)</f>
        <v>-2.7131808418814881E-3</v>
      </c>
      <c r="BF5">
        <f>(J$6*D$13*BF3^3-J$6*D$13*(D$14^2-D$13^2)*BF3)/(6*D$14*D$16*D$15)</f>
        <v>-2.9145904435117801E-3</v>
      </c>
      <c r="BG5">
        <f>(J$6*D$13*BG3^3-J$6*D$13*(D$14^2-D$13^2)*BG3)/(6*D$14*D$16*D$15)</f>
        <v>-3.0109307506386452E-3</v>
      </c>
      <c r="BH5">
        <f>(J$6*D$13*BH3^3-J$6*D$13*(D$14^2-D$13^2)*BH3)/(6*D$14*D$16*D$15)</f>
        <v>-3.104197470661086E-3</v>
      </c>
      <c r="BI5">
        <f>(J$6*D$13*BI3^3-J$6*D$13*(D$14^2-D$13^2)*BI3)/(6*D$14*D$16*D$15)</f>
        <v>-3.2810183754559898E-3</v>
      </c>
      <c r="BJ5">
        <f>(J$6*D$13*BJ3^3-J$6*D$13*(D$14^2-D$13^2)*BJ3)/(6*D$14*D$16*D$15)</f>
        <v>-3.4440696100230747E-3</v>
      </c>
      <c r="BK5">
        <f>(J$6*D$13*BK3^3-J$6*D$13*(D$14^2-D$13^2)*BK3)/(6*D$14*D$16*D$15)</f>
        <v>-3.5923676264889275E-3</v>
      </c>
      <c r="BL5">
        <f>(J$6*D$13*BL3^3-J$6*D$13*(D$14^2-D$13^2)*BL3)/(6*D$14*D$16*D$15)</f>
        <v>-3.7249288769801311E-3</v>
      </c>
      <c r="BM5">
        <f>(J$6*D$13*BM3^3-J$6*D$13*(D$14^2-D$13^2)*BM3)/(6*D$14*D$16*D$15)</f>
        <v>-3.8407698136232698E-3</v>
      </c>
      <c r="BN5">
        <f>(J$6*D$13*BN3^3-J$6*D$13*(D$14^2-D$13^2)*BN3)/(6*D$14*D$16*D$15)</f>
        <v>-3.9389068885449284E-3</v>
      </c>
      <c r="BO5">
        <f>(J$6*D$13*BO3^3-J$6*D$13*(D$14^2-D$13^2)*BO3)/(6*D$14*D$16*D$15)</f>
        <v>-4.0183565538716923E-3</v>
      </c>
      <c r="BP5">
        <f>(J$6*D$13*BP3^3-J$6*D$13*(D$14^2-D$13^2)*BP3)/(6*D$14*D$16*D$15)</f>
        <v>-4.0781352617301446E-3</v>
      </c>
      <c r="BQ5">
        <f>(J$6*D$13*BQ3^3-J$6*D$13*(D$14^2-D$13^2)*BQ3)/(6*D$14*D$16*D$15)</f>
        <v>-4.11725946424687E-3</v>
      </c>
      <c r="BR5">
        <f>(J$6*D$13*BR3^3-J$6*D$13*(D$14^2-D$13^2)*BR3)/(6*D$14*D$16*D$15)</f>
        <v>-4.1347456135484529E-3</v>
      </c>
      <c r="BS5">
        <f>(J$6*D$13*BS3^3-J$6*D$13*(D$14^2-D$13^2)*BS3)/(6*D$14*D$16*D$15)</f>
        <v>-4.1296101617614789E-3</v>
      </c>
      <c r="BT5">
        <f>(J$6*D$13*BT3^3-J$6*D$13*(D$14^2-D$13^2)*BT3)/(6*D$14*D$16*D$15)</f>
        <v>-4.1008695610125325E-3</v>
      </c>
      <c r="BU5">
        <f>(J$6*D$13*BU3^3-J$6*D$13*(D$14^2-D$13^2)*BU3)/(6*D$14*D$16*D$15)</f>
        <v>-4.0475402634281938E-3</v>
      </c>
      <c r="BV5">
        <f>(J$6*D$13*BV3^3-J$6*D$13*(D$14^2-D$13^2)*BV3)/(6*D$14*D$16*D$15)</f>
        <v>-3.9686387211350536E-3</v>
      </c>
      <c r="BW5">
        <f>(J$6*D$13*BW3^3-J$6*D$13*(D$14^2-D$13^2)*BW3)/(6*D$14*D$16*D$15)</f>
        <v>-3.8631813862596925E-3</v>
      </c>
      <c r="BX5">
        <f>(J$6*D$13*BX3^3-J$6*D$13*(D$14^2-D$13^2)*BX3)/(6*D$14*D$16*D$15)</f>
        <v>-3.7301847109286949E-3</v>
      </c>
      <c r="BY5">
        <f>(J$6*D$13*BY3^3-J$6*D$13*(D$14^2-D$13^2)*BY3)/(6*D$14*D$16*D$15)</f>
        <v>-3.6530517618818914E-3</v>
      </c>
      <c r="BZ5">
        <f>(J$6*(D$11+D$12)*(D$14-BZ3)^3 -J$6*(D$11+D$12)*(D$14^2-(D$11+D$12)^2)*(D$14-BZ3))/(6*D$14*D$16*D$15)</f>
        <v>-3.5686940762660845E-3</v>
      </c>
      <c r="CA5">
        <f>(J$6*(D$11+D$12)*(D$14-CA3)^3 -J$6*(D$11+D$12)*(D$14^2-(D$11+D$12)^2)*(D$14-CA3))/(6*D$14*D$16*D$15)</f>
        <v>-3.3790652398353453E-3</v>
      </c>
      <c r="CB5">
        <f>(J$6*(D$11+D$12)*(D$14-CB3)^3 -J$6*(D$11+D$12)*(D$14^2-(D$11+D$12)^2)*(D$14-CB3))/(6*D$14*D$16*D$15)</f>
        <v>-3.1634722002610977E-3</v>
      </c>
      <c r="CC5">
        <f>(J$6*(D$11+D$12)*(D$14-CC3)^3 -J$6*(D$11+D$12)*(D$14^2-(D$11+D$12)^2)*(D$14-CC3))/(6*D$14*D$16*D$15)</f>
        <v>-2.9242228867116557E-3</v>
      </c>
      <c r="CD5">
        <f>(J$6*(D$11+D$12)*(D$14-CD3)^3 -J$6*(D$11+D$12)*(D$14^2-(D$11+D$12)^2)*(D$14-CD3))/(6*D$14*D$16*D$15)</f>
        <v>-2.6636252283553296E-3</v>
      </c>
      <c r="CE5">
        <f>(J$6*(D$11+D$12)*(D$14-CE3)^3 -J$6*(D$11+D$12)*(D$14^2-(D$11+D$12)^2)*(D$14-CE3))/(6*D$14*D$16*D$15)</f>
        <v>-2.3839871543604313E-3</v>
      </c>
      <c r="CF5">
        <f>(J$6*(D$11+D$12)*(D$14-CF3)^3 -J$6*(D$11+D$12)*(D$14^2-(D$11+D$12)^2)*(D$14-CF3))/(6*D$14*D$16*D$15)</f>
        <v>-2.0876165938952728E-3</v>
      </c>
      <c r="CG5">
        <f>(J$6*(D$11+D$12)*(D$14-CG3)^3 -J$6*(D$11+D$12)*(D$14^2-(D$11+D$12)^2)*(D$14-CG3))/(6*D$14*D$16*D$15)</f>
        <v>-1.7768214761281667E-3</v>
      </c>
      <c r="CH5">
        <f>(J$6*(D$11+D$12)*(D$14-CH3)^3 -J$6*(D$11+D$12)*(D$14^2-(D$11+D$12)^2)*(D$14-CH3))/(6*D$14*D$16*D$15)</f>
        <v>-1.453909730227423E-3</v>
      </c>
      <c r="CI5">
        <f>(J$6*(D$11+D$12)*(D$14-CI3)^3 -J$6*(D$11+D$12)*(D$14^2-(D$11+D$12)^2)*(D$14-CI3))/(6*D$14*D$16*D$15)</f>
        <v>-1.1211892853613549E-3</v>
      </c>
      <c r="CJ5">
        <f>(J$6*(D$11+D$12)*(D$14-CJ3)^3 -J$6*(D$11+D$12)*(D$14^2-(D$11+D$12)^2)*(D$14-CJ3))/(6*D$14*D$16*D$15)</f>
        <v>-7.8096807069827324E-4</v>
      </c>
      <c r="CK5">
        <f>(J$6*(D$11+D$12)*(D$14-CK3)^3 -J$6*(D$11+D$12)*(D$14^2-(D$11+D$12)^2)*(D$14-CK3))/(6*D$14*D$16*D$15)</f>
        <v>-4.3555401540649021E-4</v>
      </c>
      <c r="CL5">
        <f>(J$6*(D$11+D$12)*(D$14-CL3)^3 -J$6*(D$11+D$12)*(D$14^2-(D$11+D$12)^2)*(D$14-CL3))/(6*D$14*D$16*D$15)</f>
        <v>-8.7255048654317531E-5</v>
      </c>
      <c r="CM5">
        <f>(J$6*(D$11+D$12)*(D$14-CM3)^3 -J$6*(D$11+D$12)*(D$14^2-(D$11+D$12)^2)*(D$14-CM3))/(6*D$14*D$16*D$15)</f>
        <v>0</v>
      </c>
    </row>
    <row r="6" spans="3:91" x14ac:dyDescent="0.2">
      <c r="C6" s="69" t="s">
        <v>92</v>
      </c>
      <c r="D6" s="70">
        <f>'Cuscinetti 1'!G14</f>
        <v>15</v>
      </c>
      <c r="F6" s="69" t="s">
        <v>234</v>
      </c>
      <c r="G6" s="246">
        <f>'Forze e verifica 5-6'!F6</f>
        <v>10207.18993328242</v>
      </c>
      <c r="I6" s="69" t="s">
        <v>217</v>
      </c>
      <c r="J6" s="246">
        <f>'Forze e verifica 3-4'!F6</f>
        <v>3547.0748564924966</v>
      </c>
      <c r="M6" s="219" t="s">
        <v>235</v>
      </c>
      <c r="N6" s="187">
        <f>G30</f>
        <v>222955.68342103955</v>
      </c>
      <c r="P6" s="163" t="s">
        <v>236</v>
      </c>
      <c r="Q6" s="162">
        <f>32*G30/(PI()*Q5^3)</f>
        <v>84.111405290406353</v>
      </c>
      <c r="R6" s="162"/>
      <c r="S6" s="162"/>
      <c r="T6" s="164"/>
      <c r="U6" s="162"/>
      <c r="W6" s="122"/>
      <c r="AD6" s="29"/>
      <c r="AG6">
        <v>6</v>
      </c>
      <c r="AH6">
        <f>(+$G$6*SUM(D$12:D$13)*AG6^3-$G$6*SUM($D$12:D$13)*($D$14^2-SUM($D$12:$D$13)^2)*AG6)/(6*$D$14*$D$16*$D$15)</f>
        <v>-3.0067710904168711E-3</v>
      </c>
      <c r="AI6">
        <f t="shared" si="0"/>
        <v>-7.9503709233349508E-4</v>
      </c>
      <c r="AJ6">
        <f t="shared" si="1"/>
        <v>-1.1683651876565476E-3</v>
      </c>
      <c r="AK6">
        <f t="shared" si="5"/>
        <v>3.2722339429850739E-4</v>
      </c>
      <c r="AL6">
        <f t="shared" si="2"/>
        <v>3.3688398932354421E-4</v>
      </c>
      <c r="AM6">
        <f t="shared" si="3"/>
        <v>-8.3329039025287503E-4</v>
      </c>
      <c r="AN6">
        <f t="shared" si="6"/>
        <v>4.0302333220880709E-3</v>
      </c>
      <c r="AP6" s="149"/>
      <c r="AS6" t="s">
        <v>218</v>
      </c>
      <c r="AT6">
        <f>-(-G$7*SUM(D$12:D$13)*AT3^3+G$7*SUM(D$12:D$13)*(D$14^2-SUM(D$12:D$13)^2)*AT3)/(6*D$14*D$16*D$15)</f>
        <v>0</v>
      </c>
      <c r="AU6">
        <f>-(-G$7*SUM(D$12:D$13)*AU3^3+G$7*SUM(D$12:D$13)*(D$14^2-SUM(D$12:D$13)^2)*AU3)/(6*D$14*D$16*D$15)</f>
        <v>-3.9286695092250428E-4</v>
      </c>
      <c r="AV6">
        <f>-(-G$7*SUM(D$12:D$13)*AV3^3+G$7*SUM(D$12:D$13)*(D$14^2-SUM(D$12:D$13)^2)*AV3)/(6*D$14*D$16*D$15)</f>
        <v>-7.8317498556726721E-4</v>
      </c>
      <c r="AW6">
        <f>-(-G$7*SUM(D$12:D$13)*AW3^3+G$7*SUM(D$12:D$13)*(D$14^2-SUM(D$12:D$13)^2)*AW3)/(6*D$14*D$16*D$15)</f>
        <v>-1.1683651876565476E-3</v>
      </c>
      <c r="AX6">
        <f>-(-G$7*SUM(D$12:D$13)*AX3^3+G$7*SUM(D$12:D$13)*(D$14^2-SUM(D$12:D$13)^2)*AX3)/(6*D$14*D$16*D$15)</f>
        <v>-1.5458786409126035E-3</v>
      </c>
      <c r="AY6">
        <f>-(-G$7*SUM(D$12:D$13)*AY3^3+G$7*SUM(D$12:D$13)*(D$14^2-SUM(D$12:D$13)^2)*AY3)/(6*D$14*D$16*D$15)</f>
        <v>-1.9131564290576946E-3</v>
      </c>
      <c r="AZ6">
        <f>-(-G$7*SUM(D$12:D$13)*AZ3^3+G$7*SUM(D$12:D$13)*(D$14^2-SUM(D$12:D$13)^2)*AZ3)/(6*D$14*D$16*D$15)</f>
        <v>-2.2676396358140781E-3</v>
      </c>
      <c r="BA6">
        <f>-(-G$7*SUM(D$12:D$13)*BA3^3+G$7*SUM(D$12:D$13)*(D$14^2-SUM(D$12:D$13)^2)*BA3)/(6*D$14*D$16*D$15)</f>
        <v>-2.6067693449040143E-3</v>
      </c>
      <c r="BB6">
        <f>-(-G$7*SUM(D$12:D$13)*BB3^3+G$7*SUM(D$12:D$13)*(D$14^2-SUM(D$12:D$13)^2)*BB3)/(6*D$14*D$16*D$15)</f>
        <v>-2.9279866400497602E-3</v>
      </c>
      <c r="BC6">
        <f>-(-G$7*SUM(D$12:D$13)*BC3^3+G$7*SUM(D$12:D$13)*(D$14^2-SUM(D$12:D$13)^2)*BC3)/(6*D$14*D$16*D$15)</f>
        <v>-3.2287326049735758E-3</v>
      </c>
      <c r="BD6">
        <f>-(-G$7*SUM(D$12:D$13)*BD3^3+G$7*SUM(D$12:D$13)*(D$14^2-SUM(D$12:D$13)^2)*BD3)/(6*D$14*D$16*D$15)</f>
        <v>-3.5064483233977193E-3</v>
      </c>
      <c r="BE6">
        <f>-(-G$7*SUM(D$12:D$13)*BE3^3+G$7*SUM(D$12:D$13)*(D$14^2-SUM(D$12:D$13)^2)*BE3)/(6*D$14*D$16*D$15)</f>
        <v>-3.758574879044449E-3</v>
      </c>
      <c r="BF6">
        <f>-(-G$7*SUM(D$12:D$13)*BF3^3+G$7*SUM(D$12:D$13)*(D$14^2-SUM(D$12:D$13)^2)*BF3)/(6*D$14*D$16*D$15)</f>
        <v>-3.9825533556360239E-3</v>
      </c>
      <c r="BG6">
        <f>-(-G$7*SUM(D$12:D$13)*BG3^3+G$7*SUM(D$12:D$13)*(D$14^2-SUM(D$12:D$13)^2)*BG3)/(6*D$14*D$16*D$15)</f>
        <v>-4.0831874029493339E-3</v>
      </c>
      <c r="BH6">
        <f>-(-G$7*D$11*(D$14-BH3)^3+G$7*D$11*(D$14^2-D$11^2)*(D$14-BH3))/(6*D$14*D$15*D$16)</f>
        <v>-4.1758260349688669E-3</v>
      </c>
      <c r="BI6">
        <f>-(-G$7*D$11*(D$14-BI3)^3+G$7*D$11*(D$14^2-D$11^2)*(D$14-BI3))/(6*D$14*D$15*D$16)</f>
        <v>-4.336703802609713E-3</v>
      </c>
      <c r="BJ6">
        <f>-(-G$7*D$11*(D$14-BJ3)^3+G$7*D$11*(D$14^2-D$11^2)*(D$14-BJ3))/(6*D$14*D$15*D$16)</f>
        <v>-4.4658972866796738E-3</v>
      </c>
      <c r="BK6">
        <f>-(-G$7*D$11*(D$14-BK3)^3+G$7*D$11*(D$14^2-D$11^2)*(D$14-BK3))/(6*D$14*D$15*D$16)</f>
        <v>-4.5645280547387821E-3</v>
      </c>
      <c r="BL6">
        <f>-(-G$7*D$11*(D$14-BL3)^3+G$7*D$11*(D$14^2-D$11^2)*(D$14-BL3))/(6*D$14*D$15*D$16)</f>
        <v>-4.6337176743470685E-3</v>
      </c>
      <c r="BM6">
        <f>-(-G$7*D$11*(D$14-BM3)^3+G$7*D$11*(D$14^2-D$11^2)*(D$14-BM3))/(6*D$14*D$15*D$16)</f>
        <v>-4.674587713064564E-3</v>
      </c>
      <c r="BN6">
        <f>-(-G$7*D$11*(D$14-BN3)^3+G$7*D$11*(D$14^2-D$11^2)*(D$14-BN3))/(6*D$14*D$15*D$16)</f>
        <v>-4.6882597384513003E-3</v>
      </c>
      <c r="BO6">
        <f>-(-G$7*D$11*(D$14-BO3)^3+G$7*D$11*(D$14^2-D$11^2)*(D$14-BO3))/(6*D$14*D$15*D$16)</f>
        <v>-4.6758553180673082E-3</v>
      </c>
      <c r="BP6">
        <f>-(-G$7*D$11*(D$14-BP3)^3+G$7*D$11*(D$14^2-D$11^2)*(D$14-BP3))/(6*D$14*D$15*D$16)</f>
        <v>-4.6384960194726195E-3</v>
      </c>
      <c r="BQ6">
        <f>-(-G$7*D$11*(D$14-BQ3)^3+G$7*D$11*(D$14^2-D$11^2)*(D$14-BQ3))/(6*D$14*D$15*D$16)</f>
        <v>-4.5773034102272658E-3</v>
      </c>
      <c r="BR6">
        <f>-(-G$7*D$11*(D$14-BR3)^3+G$7*D$11*(D$14^2-D$11^2)*(D$14-BR3))/(6*D$14*D$15*D$16)</f>
        <v>-4.4933990578912763E-3</v>
      </c>
      <c r="BS6">
        <f>-(-G$7*D$11*(D$14-BS3)^3+G$7*D$11*(D$14^2-D$11^2)*(D$14-BS3))/(6*D$14*D$15*D$16)</f>
        <v>-4.3879045300246845E-3</v>
      </c>
      <c r="BT6">
        <f>-(-G$7*D$11*(D$14-BT3)^3+G$7*D$11*(D$14^2-D$11^2)*(D$14-BT3))/(6*D$14*D$15*D$16)</f>
        <v>-4.261941394187522E-3</v>
      </c>
      <c r="BU6">
        <f>-(-G$7*D$11*(D$14-BU3)^3+G$7*D$11*(D$14^2-D$11^2)*(D$14-BU3))/(6*D$14*D$15*D$16)</f>
        <v>-4.116631217939818E-3</v>
      </c>
      <c r="BV6">
        <f>-(-G$7*D$11*(D$14-BV3)^3+G$7*D$11*(D$14^2-D$11^2)*(D$14-BV3))/(6*D$14*D$15*D$16)</f>
        <v>-3.953095568841606E-3</v>
      </c>
      <c r="BW6">
        <f>-(-G$7*D$11*(D$14-BW3)^3+G$7*D$11*(D$14^2-D$11^2)*(D$14-BW3))/(6*D$14*D$15*D$16)</f>
        <v>-3.7724560144529167E-3</v>
      </c>
      <c r="BX6">
        <f>-(-G$7*D$11*(D$14-BX3)^3+G$7*D$11*(D$14^2-D$11^2)*(D$14-BX3))/(6*D$14*D$15*D$16)</f>
        <v>-3.5758341223337802E-3</v>
      </c>
      <c r="BY6">
        <f>-(-G$7*D$11*(D$14-BY3)^3+G$7*D$11*(D$14^2-D$11^2)*(D$14-BY3))/(6*D$14*D$15*D$16)</f>
        <v>-3.4718802894878045E-3</v>
      </c>
      <c r="BZ6">
        <f>-(-G$7*D$11*(D$14-BZ3)^3+G$7*D$11*(D$14^2-D$11^2)*(D$14-BZ3))/(6*D$14*D$15*D$16)</f>
        <v>-3.3643514600442291E-3</v>
      </c>
      <c r="CA6">
        <f>-(-G$7*D$11*(D$14-CA3)^3+G$7*D$11*(D$14^2-D$11^2)*(D$14-CA3))/(6*D$14*D$15*D$16)</f>
        <v>-3.1391295951442946E-3</v>
      </c>
      <c r="CB6">
        <f>-(-G$7*D$11*(D$14-CB3)^3+G$7*D$11*(D$14^2-D$11^2)*(D$14-CB3))/(6*D$14*D$15*D$16)</f>
        <v>-2.9012900951940076E-3</v>
      </c>
      <c r="CC6">
        <f>-(-G$7*D$11*(D$14-CC3)^3+G$7*D$11*(D$14^2-D$11^2)*(D$14-CC3))/(6*D$14*D$15*D$16)</f>
        <v>-2.6519545277533993E-3</v>
      </c>
      <c r="CD6">
        <f>-(-G$7*D$11*(D$14-CD3)^3+G$7*D$11*(D$14^2-D$11^2)*(D$14-CD3))/(6*D$14*D$15*D$16)</f>
        <v>-2.3922444603825016E-3</v>
      </c>
      <c r="CE6">
        <f>-(-G$7*D$11*(D$14-CE3)^3+G$7*D$11*(D$14^2-D$11^2)*(D$14-CE3))/(6*D$14*D$15*D$16)</f>
        <v>-2.1232814606413452E-3</v>
      </c>
      <c r="CF6">
        <f>-(-G$7*D$11*(D$14-CF3)^3+G$7*D$11*(D$14^2-D$11^2)*(D$14-CF3))/(6*D$14*D$15*D$16)</f>
        <v>-1.8461870960899626E-3</v>
      </c>
      <c r="CG6">
        <f>-(-G$7*D$11*(D$14-CG3)^3+G$7*D$11*(D$14^2-D$11^2)*(D$14-CG3))/(6*D$14*D$15*D$16)</f>
        <v>-1.5620829342883834E-3</v>
      </c>
      <c r="CH6">
        <f>-(-G$7*D$11*(D$14-CH3)^3+G$7*D$11*(D$14^2-D$11^2)*(D$14-CH3))/(6*D$14*D$15*D$16)</f>
        <v>-1.2720905427966403E-3</v>
      </c>
      <c r="CI6">
        <f>-(-G$7*D$11*(D$14-CI3)^3+G$7*D$11*(D$14^2-D$11^2)*(D$14-CI3))/(6*D$14*D$15*D$16)</f>
        <v>-9.7733148917476397E-4</v>
      </c>
      <c r="CJ6">
        <f>-(-G$7*D$11*(D$14-CJ3)^3+G$7*D$11*(D$14^2-D$11^2)*(D$14-CJ3))/(6*D$14*D$15*D$16)</f>
        <v>-6.789273409827858E-4</v>
      </c>
      <c r="CK6">
        <f>-(-G$7*D$11*(D$14-CK3)^3+G$7*D$11*(D$14^2-D$11^2)*(D$14-CK3))/(6*D$14*D$15*D$16)</f>
        <v>-3.7799966578073714E-4</v>
      </c>
      <c r="CL6">
        <f>-(-G$7*D$11*(D$14-CL3)^3+G$7*D$11*(D$14^2-D$11^2)*(D$14-CL3))/(6*D$14*D$15*D$16)</f>
        <v>-7.5670031128649394E-5</v>
      </c>
      <c r="CM6">
        <f>-(-G$7*D$11*(D$14-CM3)^3+G$7*D$11*(D$14^2-D$11^2)*(D$14-CM3))/(6*D$14*D$15*D$16)</f>
        <v>0</v>
      </c>
    </row>
    <row r="7" spans="3:91" ht="14.5" customHeight="1" x14ac:dyDescent="0.2">
      <c r="C7" s="69"/>
      <c r="D7" s="70"/>
      <c r="F7" s="69" t="s">
        <v>218</v>
      </c>
      <c r="G7" s="196">
        <f>'Forze e verifica 5-6'!F7</f>
        <v>3966.2897584239131</v>
      </c>
      <c r="I7" s="69" t="s">
        <v>220</v>
      </c>
      <c r="J7" s="196">
        <f>'Forze e verifica 3-4'!F7</f>
        <v>1503.0150663501142</v>
      </c>
      <c r="M7" s="219" t="s">
        <v>237</v>
      </c>
      <c r="N7" s="187">
        <v>2.2999999999999998</v>
      </c>
      <c r="P7" s="163" t="s">
        <v>238</v>
      </c>
      <c r="Q7" s="162">
        <f>-G8/(PI()*G5^2/4)</f>
        <v>-5.0778935025177914</v>
      </c>
      <c r="R7" s="162"/>
      <c r="S7" s="162"/>
      <c r="T7" s="164"/>
      <c r="U7" s="162"/>
      <c r="W7" s="150" t="s">
        <v>239</v>
      </c>
      <c r="X7" s="303" t="s">
        <v>240</v>
      </c>
      <c r="Y7" s="303"/>
      <c r="Z7" s="303" t="s">
        <v>241</v>
      </c>
      <c r="AA7" s="303"/>
      <c r="AB7" s="303"/>
      <c r="AC7" s="303"/>
      <c r="AD7" s="287" t="s">
        <v>222</v>
      </c>
      <c r="AG7">
        <v>8</v>
      </c>
      <c r="AH7">
        <f>(+$G$6*SUM(D$12:D$13)*AG7^3-$G$6*SUM($D$12:D$13)*($D$14^2-SUM($D$12:$D$13)^2)*AG7)/(6*$D$14*$D$16*$D$15)</f>
        <v>-3.9782965599239467E-3</v>
      </c>
      <c r="AI7">
        <f t="shared" si="0"/>
        <v>-1.0554595663687209E-3</v>
      </c>
      <c r="AJ7">
        <f t="shared" si="1"/>
        <v>-1.5458786409126035E-3</v>
      </c>
      <c r="AK7">
        <f t="shared" si="5"/>
        <v>4.400562269932433E-4</v>
      </c>
      <c r="AL7">
        <f t="shared" si="2"/>
        <v>4.4723376143919892E-4</v>
      </c>
      <c r="AM7">
        <f t="shared" si="3"/>
        <v>-1.1050615328802227E-3</v>
      </c>
      <c r="AN7">
        <f t="shared" si="6"/>
        <v>5.3337756528851754E-3</v>
      </c>
      <c r="AP7" s="149"/>
      <c r="AS7" t="s">
        <v>219</v>
      </c>
      <c r="AT7">
        <f>G$9*AT3*(AT3^2+3*42^2-6*42*D$14+2*D$14^2)/(6*D$14*D$16*D$15)</f>
        <v>0</v>
      </c>
      <c r="AU7">
        <f>G$9*AU3*(AU3^2+3*D$11^2-6*D$11*D$14+2*D$14^2)/(6*D$14*D$16*D$15)</f>
        <v>1.0800064535800717E-4</v>
      </c>
      <c r="AV7">
        <f>G$9*AV3*(AV3^2+3*D$11^2-6*D$11*D$14+2*D$14^2)/(6*D$14*D$16*D$15)</f>
        <v>2.1680665527213578E-4</v>
      </c>
      <c r="AW7">
        <f>G$9*AW3*(AW3^2+3*D$11^2-6*D$11*D$14+2*D$14^2)/(6*D$14*D$16*D$15)</f>
        <v>3.2722339429850739E-4</v>
      </c>
      <c r="AX7">
        <f>G$9*AX3*(AX3^2+3*D$11^2-6*D$11*D$14+2*D$14^2)/(6*D$14*D$16*D$15)</f>
        <v>4.400562269932433E-4</v>
      </c>
      <c r="AY7">
        <f>G$9*AY3*(AY3^2+3*D$11^2-6*D$11*D$14+2*D$14^2)/(6*D$14*D$16*D$15)</f>
        <v>5.5611051791246504E-4</v>
      </c>
      <c r="AZ7">
        <f>G$9*AZ3*(AZ3^2+3*D$11^2-6*D$11*D$14+2*D$14^2)/(6*D$14*D$16*D$15)</f>
        <v>6.7619163161229418E-4</v>
      </c>
      <c r="BA7">
        <f>G$9*BA3*(BA3^2+3*D$11^2-6*D$11*D$14+2*D$14^2)/(6*D$14*D$16*D$15)</f>
        <v>8.011049326488521E-4</v>
      </c>
      <c r="BB7">
        <f>G$9*BB3*(BB3^2+3*D$11^2-6*D$11*D$14+2*D$14^2)/(6*D$14*D$16*D$15)</f>
        <v>9.316557855782602E-4</v>
      </c>
      <c r="BC7">
        <f>G$9*BC3*(BC3^2+3*D$11^2-6*D$11*D$14+2*D$14^2)/(6*D$14*D$16*D$15)</f>
        <v>1.0686495549566402E-3</v>
      </c>
      <c r="BD7">
        <f>G$9*BD3*(BD3^2+3*D$11^2-6*D$11*D$14+2*D$14^2)/(6*D$14*D$16*D$15)</f>
        <v>1.2128916053401131E-3</v>
      </c>
      <c r="BE7">
        <f>G$9*BE3*(BE3^2+3*D$11^2-6*D$11*D$14+2*D$14^2)/(6*D$14*D$16*D$15)</f>
        <v>1.3651873012848008E-3</v>
      </c>
      <c r="BF7">
        <f>G$9*BF3*(BF3^2+3*D$11^2-6*D$11*D$14+2*D$14^2)/(6*D$14*D$16*D$15)</f>
        <v>1.5263420073468245E-3</v>
      </c>
      <c r="BG7">
        <f>G$9*BG3*(BG3^2+3*D$11^2-6*D$11*D$14+2*D$14^2)/(6*D$14*D$16*D$15)</f>
        <v>1.6104931655956255E-3</v>
      </c>
      <c r="BH7">
        <f>-G$9*(D$14-BH3)*((D$14-BH3)^2+3*SUM(D$12:D$13)^2-6*SUM(D$12:D$13)*D$14+2*D$14^2)/(6*D$14*D$15*D$16)</f>
        <v>1.6968952548596797E-3</v>
      </c>
      <c r="BI7">
        <f>-G$9*(D$14-BI3)*((D$14-BI3)^2+3*SUM(D$12:D$13)^2-6*SUM(D$12:D$13)*D$14+2*D$14^2)/(6*D$14*D$15*D$16)</f>
        <v>1.8569174170146574E-3</v>
      </c>
      <c r="BJ7">
        <f>-G$9*(D$14-BJ3)*((D$14-BJ3)^2+3*SUM(D$12:D$13)^2-6*SUM(D$12:D$13)*D$14+2*D$14^2)/(6*D$14*D$15*D$16)</f>
        <v>1.9941880304592038E-3</v>
      </c>
      <c r="BK7">
        <f>-G$9*(D$14-BK3)*((D$14-BK3)^2+3*SUM(D$12:D$13)^2-6*SUM(D$12:D$13)*D$14+2*D$14^2)/(6*D$14*D$15*D$16)</f>
        <v>2.1095124597494408E-3</v>
      </c>
      <c r="BL7">
        <f>-G$9*(D$14-BL3)*((D$14-BL3)^2+3*SUM(D$12:D$13)^2-6*SUM(D$12:D$13)*D$14+2*D$14^2)/(6*D$14*D$15*D$16)</f>
        <v>2.2036960694414892E-3</v>
      </c>
      <c r="BM7">
        <f>-G$9*(D$14-BM3)*((D$14-BM3)^2+3*SUM(D$12:D$13)^2-6*SUM(D$12:D$13)*D$14+2*D$14^2)/(6*D$14*D$15*D$16)</f>
        <v>2.2775442240914705E-3</v>
      </c>
      <c r="BN7">
        <f>-G$9*(D$14-BN3)*((D$14-BN3)^2+3*SUM(D$12:D$13)^2-6*SUM(D$12:D$13)*D$14+2*D$14^2)/(6*D$14*D$15*D$16)</f>
        <v>2.3318622882555064E-3</v>
      </c>
      <c r="BO7">
        <f>-G$9*(D$14-BO3)*((D$14-BO3)^2+3*SUM(D$12:D$13)^2-6*SUM(D$12:D$13)*D$14+2*D$14^2)/(6*D$14*D$15*D$16)</f>
        <v>2.3674556264897183E-3</v>
      </c>
      <c r="BP7">
        <f>-G$9*(D$14-BP3)*((D$14-BP3)^2+3*SUM(D$12:D$13)^2-6*SUM(D$12:D$13)*D$14+2*D$14^2)/(6*D$14*D$15*D$16)</f>
        <v>2.3851296033502276E-3</v>
      </c>
      <c r="BQ7">
        <f>-G$9*(D$14-BQ3)*((D$14-BQ3)^2+3*SUM(D$12:D$13)^2-6*SUM(D$12:D$13)*D$14+2*D$14^2)/(6*D$14*D$15*D$16)</f>
        <v>2.3856895833931557E-3</v>
      </c>
      <c r="BR7">
        <f>-G$9*(D$14-BR3)*((D$14-BR3)^2+3*SUM(D$12:D$13)^2-6*SUM(D$12:D$13)*D$14+2*D$14^2)/(6*D$14*D$15*D$16)</f>
        <v>2.369940931174624E-3</v>
      </c>
      <c r="BS7">
        <f>-G$9*(D$14-BS3)*((D$14-BS3)^2+3*SUM(D$12:D$13)^2-6*SUM(D$12:D$13)*D$14+2*D$14^2)/(6*D$14*D$15*D$16)</f>
        <v>2.3386890112507544E-3</v>
      </c>
      <c r="BT7">
        <f>-G$9*(D$14-BT3)*((D$14-BT3)^2+3*SUM(D$12:D$13)^2-6*SUM(D$12:D$13)*D$14+2*D$14^2)/(6*D$14*D$15*D$16)</f>
        <v>2.2927391881776681E-3</v>
      </c>
      <c r="BU7">
        <f>-G$9*(D$14-BU3)*((D$14-BU3)^2+3*SUM(D$12:D$13)^2-6*SUM(D$12:D$13)*D$14+2*D$14^2)/(6*D$14*D$15*D$16)</f>
        <v>2.2328968265114871E-3</v>
      </c>
      <c r="BV7">
        <f>-G$9*(D$14-BV3)*((D$14-BV3)^2+3*SUM(D$12:D$13)^2-6*SUM(D$12:D$13)*D$14+2*D$14^2)/(6*D$14*D$15*D$16)</f>
        <v>2.1599672908083315E-3</v>
      </c>
      <c r="BW7">
        <f>-G$9*(D$14-BW3)*((D$14-BW3)^2+3*SUM(D$12:D$13)^2-6*SUM(D$12:D$13)*D$14+2*D$14^2)/(6*D$14*D$15*D$16)</f>
        <v>2.0747559456243242E-3</v>
      </c>
      <c r="BX7">
        <f>-G$9*(D$14-BX3)*((D$14-BX3)^2+3*SUM(D$12:D$13)^2-6*SUM(D$12:D$13)*D$14+2*D$14^2)/(6*D$14*D$15*D$16)</f>
        <v>1.9780681555155851E-3</v>
      </c>
      <c r="BY7">
        <f>-G$9*(D$14-BY3)*((D$14-BY3)^2+3*SUM(D$12:D$13)^2-6*SUM(D$12:D$13)*D$14+2*D$14^2)/(6*D$14*D$15*D$16)</f>
        <v>1.9256722700382301E-3</v>
      </c>
      <c r="BZ7">
        <f>-G$9*(D$14-BZ3)*((D$14-BZ3)^2+3*SUM(D$12:D$13)^2-6*SUM(D$12:D$13)*D$14+2*D$14^2)/(6*D$14*D$15*D$16)</f>
        <v>1.8707092850382375E-3</v>
      </c>
      <c r="CA7">
        <f>-G$9*(D$14-CA3)*((D$14-CA3)^2+3*SUM(D$12:D$13)^2-6*SUM(D$12:D$13)*D$14+2*D$14^2)/(6*D$14*D$15*D$16)</f>
        <v>1.7534846987484016E-3</v>
      </c>
      <c r="CB7">
        <f>-G$9*(D$14-CB3)*((D$14-CB3)^2+3*SUM(D$12:D$13)^2-6*SUM(D$12:D$13)*D$14+2*D$14^2)/(6*D$14*D$15*D$16)</f>
        <v>1.6271997612021995E-3</v>
      </c>
      <c r="CC7">
        <f>-G$9*(D$14-CC3)*((D$14-CC3)^2+3*SUM(D$12:D$13)^2-6*SUM(D$12:D$13)*D$14+2*D$14^2)/(6*D$14*D$15*D$16)</f>
        <v>1.492659836955752E-3</v>
      </c>
      <c r="CD7">
        <f>-G$9*(D$14-CD3)*((D$14-CD3)^2+3*SUM(D$12:D$13)^2-6*SUM(D$12:D$13)*D$14+2*D$14^2)/(6*D$14*D$15*D$16)</f>
        <v>1.3506702905651815E-3</v>
      </c>
      <c r="CE7">
        <f>-G$9*(D$14-CE3)*((D$14-CE3)^2+3*SUM(D$12:D$13)^2-6*SUM(D$12:D$13)*D$14+2*D$14^2)/(6*D$14*D$15*D$16)</f>
        <v>1.2020364865866085E-3</v>
      </c>
      <c r="CF7">
        <f>-G$9*(D$14-CF3)*((D$14-CF3)^2+3*SUM(D$12:D$13)^2-6*SUM(D$12:D$13)*D$14+2*D$14^2)/(6*D$14*D$15*D$16)</f>
        <v>1.0475637895761554E-3</v>
      </c>
      <c r="CG7">
        <f>-G$9*(D$14-CG3)*((D$14-CG3)^2+3*SUM(D$12:D$13)^2-6*SUM(D$12:D$13)*D$14+2*D$14^2)/(6*D$14*D$15*D$16)</f>
        <v>8.8805756408994266E-4</v>
      </c>
      <c r="CH7">
        <f>-G$9*(D$14-CH3)*((D$14-CH3)^2+3*SUM(D$12:D$13)^2-6*SUM(D$12:D$13)*D$14+2*D$14^2)/(6*D$14*D$15*D$16)</f>
        <v>7.243231746840923E-4</v>
      </c>
      <c r="CI7">
        <f>-G$9*(D$14-CI3)*((D$14-CI3)^2+3*SUM(D$12:D$13)^2-6*SUM(D$12:D$13)*D$14+2*D$14^2)/(6*D$14*D$15*D$16)</f>
        <v>5.5716598591472582E-4</v>
      </c>
      <c r="CJ7">
        <f>-G$9*(D$14-CJ3)*((D$14-CJ3)^2+3*SUM(D$12:D$13)^2-6*SUM(D$12:D$13)*D$14+2*D$14^2)/(6*D$14*D$15*D$16)</f>
        <v>3.873913623379646E-4</v>
      </c>
      <c r="CK7">
        <f>-G$9*(D$14-CK3)*((D$14-CK3)^2+3*SUM(D$12:D$13)^2-6*SUM(D$12:D$13)*D$14+2*D$14^2)/(6*D$14*D$15*D$16)</f>
        <v>2.1580466850992997E-4</v>
      </c>
      <c r="CL7">
        <f>-G$9*(D$14-CL3)*((D$14-CL3)^2+3*SUM(D$12:D$13)^2-6*SUM(D$12:D$13)*D$14+2*D$14^2)/(6*D$14*D$15*D$16)</f>
        <v>4.3211268986743581E-5</v>
      </c>
      <c r="CM7">
        <f>-G$9*(D$14-CM3)*((D$14-CM3)^2+3*SUM(D$12:D$13)^2-6*SUM(D$12:D$13)*D$14+2*D$14^2)/(6*D$14*D$15*D$16)</f>
        <v>0</v>
      </c>
    </row>
    <row r="8" spans="3:91" x14ac:dyDescent="0.2">
      <c r="C8" s="69"/>
      <c r="D8" s="70"/>
      <c r="F8" s="69" t="s">
        <v>242</v>
      </c>
      <c r="G8" s="196">
        <f>'Forze e verifica 5-6'!F8</f>
        <v>3816.3119366458222</v>
      </c>
      <c r="I8" s="69" t="s">
        <v>243</v>
      </c>
      <c r="J8" s="196">
        <f>'Forze e verifica 3-4'!F8</f>
        <v>2114.4809879004142</v>
      </c>
      <c r="M8" s="219" t="s">
        <v>244</v>
      </c>
      <c r="N8" s="187">
        <v>1.75</v>
      </c>
      <c r="P8" s="163" t="s">
        <v>245</v>
      </c>
      <c r="Q8" s="162">
        <v>0</v>
      </c>
      <c r="R8" s="162"/>
      <c r="S8" s="162"/>
      <c r="T8" s="164"/>
      <c r="U8" s="162"/>
      <c r="W8" s="151"/>
      <c r="X8" s="79" t="s">
        <v>216</v>
      </c>
      <c r="Y8" s="79" t="s">
        <v>217</v>
      </c>
      <c r="Z8" s="79" t="s">
        <v>218</v>
      </c>
      <c r="AA8" s="79" t="s">
        <v>219</v>
      </c>
      <c r="AB8" s="79" t="s">
        <v>220</v>
      </c>
      <c r="AC8" s="79" t="s">
        <v>221</v>
      </c>
      <c r="AD8" s="287"/>
      <c r="AG8">
        <v>10</v>
      </c>
      <c r="AH8">
        <f>(+$G$6*SUM(D$12:D$13)*AG8^3-$G$6*SUM($D$12:D$13)*($D$14^2-SUM($D$12:$D$13)^2)*AG8)/(6*$D$14*$D$16*$D$15)</f>
        <v>-4.9234806917465533E-3</v>
      </c>
      <c r="AI8">
        <f t="shared" si="0"/>
        <v>-1.3119478489102845E-3</v>
      </c>
      <c r="AJ8">
        <f t="shared" si="1"/>
        <v>-1.9131564290576946E-3</v>
      </c>
      <c r="AK8">
        <f t="shared" si="5"/>
        <v>5.5611051791246504E-4</v>
      </c>
      <c r="AL8">
        <f t="shared" si="2"/>
        <v>5.5591648413297378E-4</v>
      </c>
      <c r="AM8">
        <f t="shared" si="3"/>
        <v>-1.3716964005444758E-3</v>
      </c>
      <c r="AN8">
        <f t="shared" si="6"/>
        <v>6.6031614521027326E-3</v>
      </c>
      <c r="AP8" s="149"/>
      <c r="AS8" t="s">
        <v>220</v>
      </c>
      <c r="AT8">
        <f>-(J$7*D$13*AT3^3-J$7*D$13*(D$14^2-D$13^2)*AT3)/(6*D$14*D$16*D$15)</f>
        <v>0</v>
      </c>
      <c r="AU8">
        <f>-(J$7*D$13*AU3^3-J$7*D$13*(D$14^2-D$13^2)*AU3)/(6*D$14*D$16*D$15)</f>
        <v>1.1285034624847472E-4</v>
      </c>
      <c r="AV8">
        <f>-(J$7*D$13*AV3^3-J$7*D$13*(D$14^2-D$13^2)*AV3)/(6*D$14*D$16*D$15)</f>
        <v>2.2528393014147947E-4</v>
      </c>
      <c r="AW8">
        <f>-(J$7*D$13*AW3^3-J$7*D$13*(D$14^2-D$13^2)*AW3)/(6*D$14*D$16*D$15)</f>
        <v>3.3688398932354421E-4</v>
      </c>
      <c r="AX8">
        <f>-(J$7*D$13*AX3^3-J$7*D$13*(D$14^2-D$13^2)*AX3)/(6*D$14*D$16*D$15)</f>
        <v>4.4723376143919892E-4</v>
      </c>
      <c r="AY8">
        <f>-(J$7*D$13*AY3^3-J$7*D$13*(D$14^2-D$13^2)*AY3)/(6*D$14*D$16*D$15)</f>
        <v>5.5591648413297378E-4</v>
      </c>
      <c r="AZ8">
        <f>-(J$7*D$13*AZ3^3-J$7*D$13*(D$14^2-D$13^2)*AZ3)/(6*D$14*D$16*D$15)</f>
        <v>6.6251539504939871E-4</v>
      </c>
      <c r="BA8">
        <f>-(J$7*D$13*BA3^3-J$7*D$13*(D$14^2-D$13^2)*BA3)/(6*D$14*D$16*D$15)</f>
        <v>7.6661373183300346E-4</v>
      </c>
      <c r="BB8">
        <f>-(J$7*D$13*BB3^3-J$7*D$13*(D$14^2-D$13^2)*BB3)/(6*D$14*D$16*D$15)</f>
        <v>8.6779473212831844E-4</v>
      </c>
      <c r="BC8">
        <f>-(J$7*D$13*BC3^3-J$7*D$13*(D$14^2-D$13^2)*BC3)/(6*D$14*D$16*D$15)</f>
        <v>9.656416335798734E-4</v>
      </c>
      <c r="BD8">
        <f>-(J$7*D$13*BD3^3-J$7*D$13*(D$14^2-D$13^2)*BD3)/(6*D$14*D$16*D$15)</f>
        <v>1.0597376738321984E-3</v>
      </c>
      <c r="BE8">
        <f>-(J$7*D$13*BE3^3-J$7*D$13*(D$14^2-D$13^2)*BE3)/(6*D$14*D$16*D$15)</f>
        <v>1.1496660905298236E-3</v>
      </c>
      <c r="BF8">
        <f>-(J$7*D$13*BF3^3-J$7*D$13*(D$14^2-D$13^2)*BF3)/(6*D$14*D$16*D$15)</f>
        <v>1.2350101213172791E-3</v>
      </c>
      <c r="BG8">
        <f>-(J$7*D$13*BG3^3-J$7*D$13*(D$14^2-D$13^2)*BG3)/(6*D$14*D$16*D$15)</f>
        <v>1.2758327537586084E-3</v>
      </c>
      <c r="BH8">
        <f>-(J$7*D$13*BH3^3-J$7*D$13*(D$14^2-D$13^2)*BH3)/(6*D$14*D$16*D$15)</f>
        <v>1.3153530038390944E-3</v>
      </c>
      <c r="BI8">
        <f>-(J$7*D$13*BI3^3-J$7*D$13*(D$14^2-D$13^2)*BI3)/(6*D$14*D$16*D$15)</f>
        <v>1.3902779757397996E-3</v>
      </c>
      <c r="BJ8">
        <f>-(J$7*D$13*BJ3^3-J$7*D$13*(D$14^2-D$13^2)*BJ3)/(6*D$14*D$16*D$15)</f>
        <v>1.4593682746639255E-3</v>
      </c>
      <c r="BK8">
        <f>-(J$7*D$13*BK3^3-J$7*D$13*(D$14^2-D$13^2)*BK3)/(6*D$14*D$16*D$15)</f>
        <v>1.5222071382560011E-3</v>
      </c>
      <c r="BL8">
        <f>-(J$7*D$13*BL3^3-J$7*D$13*(D$14^2-D$13^2)*BL3)/(6*D$14*D$16*D$15)</f>
        <v>1.5783778041605569E-3</v>
      </c>
      <c r="BM8">
        <f>-(J$7*D$13*BM3^3-J$7*D$13*(D$14^2-D$13^2)*BM3)/(6*D$14*D$16*D$15)</f>
        <v>1.6274635100221226E-3</v>
      </c>
      <c r="BN8">
        <f>-(J$7*D$13*BN3^3-J$7*D$13*(D$14^2-D$13^2)*BN3)/(6*D$14*D$16*D$15)</f>
        <v>1.6690474934852287E-3</v>
      </c>
      <c r="BO8">
        <f>-(J$7*D$13*BO3^3-J$7*D$13*(D$14^2-D$13^2)*BO3)/(6*D$14*D$16*D$15)</f>
        <v>1.7027129921944051E-3</v>
      </c>
      <c r="BP8">
        <f>-(J$7*D$13*BP3^3-J$7*D$13*(D$14^2-D$13^2)*BP3)/(6*D$14*D$16*D$15)</f>
        <v>1.7280432437941813E-3</v>
      </c>
      <c r="BQ8">
        <f>-(J$7*D$13*BQ3^3-J$7*D$13*(D$14^2-D$13^2)*BQ3)/(6*D$14*D$16*D$15)</f>
        <v>1.744621485929088E-3</v>
      </c>
      <c r="BR8">
        <f>-(J$7*D$13*BR3^3-J$7*D$13*(D$14^2-D$13^2)*BR3)/(6*D$14*D$16*D$15)</f>
        <v>1.7520309562436547E-3</v>
      </c>
      <c r="BS8">
        <f>-(J$7*D$13*BS3^3-J$7*D$13*(D$14^2-D$13^2)*BS3)/(6*D$14*D$16*D$15)</f>
        <v>1.7498548923824118E-3</v>
      </c>
      <c r="BT8">
        <f>-(J$7*D$13*BT3^3-J$7*D$13*(D$14^2-D$13^2)*BT3)/(6*D$14*D$16*D$15)</f>
        <v>1.7376765319898891E-3</v>
      </c>
      <c r="BU8">
        <f>-(J$7*D$13*BU3^3-J$7*D$13*(D$14^2-D$13^2)*BU3)/(6*D$14*D$16*D$15)</f>
        <v>1.7150791127106164E-3</v>
      </c>
      <c r="BV8">
        <f>-(J$7*D$13*BV3^3-J$7*D$13*(D$14^2-D$13^2)*BV3)/(6*D$14*D$16*D$15)</f>
        <v>1.6816458721891239E-3</v>
      </c>
      <c r="BW8">
        <f>-(J$7*D$13*BW3^3-J$7*D$13*(D$14^2-D$13^2)*BW3)/(6*D$14*D$16*D$15)</f>
        <v>1.6369600480699417E-3</v>
      </c>
      <c r="BX8">
        <f>-(J$7*D$13*BX3^3-J$7*D$13*(D$14^2-D$13^2)*BX3)/(6*D$14*D$16*D$15)</f>
        <v>1.5806048779975997E-3</v>
      </c>
      <c r="BY8">
        <f>-(J$7*D$13*BY3^3-J$7*D$13*(D$14^2-D$13^2)*BY3)/(6*D$14*D$16*D$15)</f>
        <v>1.5479210499929094E-3</v>
      </c>
      <c r="BZ8">
        <f>-(J$7*(D$11+D$12)*(D$14-BZ3)^3 -J$7*(D$11+D$12)*(D$14^2-(D$11+D$12)^2)*(D$14-BZ3))/(6*D$14*D$16*D$15)</f>
        <v>1.512175857807041E-3</v>
      </c>
      <c r="CA8">
        <f>-(J$7*(D$11+D$12)*(D$14-CA3)^3 -J$7*(D$11+D$12)*(D$14^2-(D$11+D$12)^2)*(D$14-CA3))/(6*D$14*D$16*D$15)</f>
        <v>1.4318237339582432E-3</v>
      </c>
      <c r="CB8">
        <f>-(J$7*(D$11+D$12)*(D$14-CB3)^3 -J$7*(D$11+D$12)*(D$14^2-(D$11+D$12)^2)*(D$14-CB3))/(6*D$14*D$16*D$15)</f>
        <v>1.3404697028790301E-3</v>
      </c>
      <c r="CC8">
        <f>-(J$7*(D$11+D$12)*(D$14-CC3)^3 -J$7*(D$11+D$12)*(D$14^2-(D$11+D$12)^2)*(D$14-CC3))/(6*D$14*D$16*D$15)</f>
        <v>1.2390917118787733E-3</v>
      </c>
      <c r="CD8">
        <f>-(J$7*(D$11+D$12)*(D$14-CD3)^3 -J$7*(D$11+D$12)*(D$14^2-(D$11+D$12)^2)*(D$14-CD3))/(6*D$14*D$16*D$15)</f>
        <v>1.128667708266842E-3</v>
      </c>
      <c r="CE8">
        <f>-(J$7*(D$11+D$12)*(D$14-CE3)^3 -J$7*(D$11+D$12)*(D$14^2-(D$11+D$12)^2)*(D$14-CE3))/(6*D$14*D$16*D$15)</f>
        <v>1.0101756393526068E-3</v>
      </c>
      <c r="CF8">
        <f>-(J$7*(D$11+D$12)*(D$14-CF3)^3 -J$7*(D$11+D$12)*(D$14^2-(D$11+D$12)^2)*(D$14-CF3))/(6*D$14*D$16*D$15)</f>
        <v>8.8459345244543781E-4</v>
      </c>
      <c r="CG8">
        <f>-(J$7*(D$11+D$12)*(D$14-CG3)^3 -J$7*(D$11+D$12)*(D$14^2-(D$11+D$12)^2)*(D$14-CG3))/(6*D$14*D$16*D$15)</f>
        <v>7.5289909485470516E-4</v>
      </c>
      <c r="CH8">
        <f>-(J$7*(D$11+D$12)*(D$14-CH3)^3 -J$7*(D$11+D$12)*(D$14^2-(D$11+D$12)^2)*(D$14-CH3))/(6*D$14*D$16*D$15)</f>
        <v>6.1607051388977907E-4</v>
      </c>
      <c r="CI8">
        <f>-(J$7*(D$11+D$12)*(D$14-CI3)^3 -J$7*(D$11+D$12)*(D$14^2-(D$11+D$12)^2)*(D$14-CI3))/(6*D$14*D$16*D$15)</f>
        <v>4.7508565686002978E-4</v>
      </c>
      <c r="CJ8">
        <f>-(J$7*(D$11+D$12)*(D$14-CJ3)^3 -J$7*(D$11+D$12)*(D$14^2-(D$11+D$12)^2)*(D$14-CJ3))/(6*D$14*D$16*D$15)</f>
        <v>3.3092247107482735E-4</v>
      </c>
      <c r="CK8">
        <f>-(J$7*(D$11+D$12)*(D$14-CK3)^3 -J$7*(D$11+D$12)*(D$14^2-(D$11+D$12)^2)*(D$14-CK3))/(6*D$14*D$16*D$15)</f>
        <v>1.8455890384354209E-4</v>
      </c>
      <c r="CL8">
        <f>-(J$7*(D$11+D$12)*(D$14-CL3)^3 -J$7*(D$11+D$12)*(D$14^2-(D$11+D$12)^2)*(D$14-CL3))/(6*D$14*D$16*D$15)</f>
        <v>3.6972902475544048E-5</v>
      </c>
      <c r="CM8">
        <f>-(J$7*(D$11+D$12)*(D$14-CM3)^3 -J$7*(D$11+D$12)*(D$14^2-(D$11+D$12)^2)*(D$14-CM3))/(6*D$14*D$16*D$15)</f>
        <v>0</v>
      </c>
    </row>
    <row r="9" spans="3:91" x14ac:dyDescent="0.2">
      <c r="C9" s="288" t="s">
        <v>246</v>
      </c>
      <c r="D9" s="289"/>
      <c r="F9" s="69" t="s">
        <v>247</v>
      </c>
      <c r="G9" s="70">
        <f>G8*G3/2</f>
        <v>73337.946453546116</v>
      </c>
      <c r="I9" s="69" t="s">
        <v>248</v>
      </c>
      <c r="J9" s="77">
        <f>J8*J3/2</f>
        <v>116929.61136389009</v>
      </c>
      <c r="M9" s="219" t="s">
        <v>249</v>
      </c>
      <c r="N9" s="220">
        <f>32*N7*N6/(PI()*N5^3)</f>
        <v>193.45623216793459</v>
      </c>
      <c r="P9" s="163" t="s">
        <v>250</v>
      </c>
      <c r="Q9" s="162">
        <f>16*G10/(PI()*Q5^3)*Q11</f>
        <v>64.749358484205345</v>
      </c>
      <c r="R9" s="162"/>
      <c r="S9" s="285" t="s">
        <v>251</v>
      </c>
      <c r="T9" s="286"/>
      <c r="U9" s="162"/>
      <c r="W9" s="151" t="s">
        <v>252</v>
      </c>
      <c r="X9" s="79">
        <v>0</v>
      </c>
      <c r="Y9" s="79">
        <v>0</v>
      </c>
      <c r="Z9" s="79">
        <v>0</v>
      </c>
      <c r="AA9" s="79">
        <v>0</v>
      </c>
      <c r="AB9" s="79">
        <v>0</v>
      </c>
      <c r="AC9" s="79">
        <v>0</v>
      </c>
      <c r="AD9" s="152">
        <f>SQRT(SUM(X9:Y9)^2+SUM(Z9:AC9)^2)</f>
        <v>0</v>
      </c>
      <c r="AG9">
        <v>12</v>
      </c>
      <c r="AH9">
        <f>(+$G$6*SUM(D$12:D$13)*AG9^3-$G$6*SUM($D$12:D$13)*($D$14^2-SUM($D$12:$D$13)^2)*AG9)/(6*$D$14*$D$16*$D$15)</f>
        <v>-5.8357381514635735E-3</v>
      </c>
      <c r="AI9">
        <f t="shared" si="0"/>
        <v>-1.5635183920847703E-3</v>
      </c>
      <c r="AJ9">
        <f t="shared" si="1"/>
        <v>-2.2676396358140781E-3</v>
      </c>
      <c r="AK9">
        <f t="shared" si="5"/>
        <v>6.7619163161229418E-4</v>
      </c>
      <c r="AL9">
        <f t="shared" si="2"/>
        <v>6.6251539504939871E-4</v>
      </c>
      <c r="AM9">
        <f t="shared" si="3"/>
        <v>-1.6319109245048601E-3</v>
      </c>
      <c r="AN9">
        <f t="shared" si="6"/>
        <v>7.8298733706948995E-3</v>
      </c>
      <c r="AP9" s="149"/>
      <c r="AS9" t="s">
        <v>221</v>
      </c>
      <c r="AT9">
        <f>J$9*AT3*(AT3^2+3*SUM(D$11:D$12)^2-6*SUM(D$11:D$12)*D$14+2*D$14^2)/(6*D$14*D$16*D$15)</f>
        <v>0</v>
      </c>
      <c r="AU9">
        <f>J$9*AU3*(AU3^2+3*SUM(D$11:D$12)^2-6*SUM(D$11:D$12)*D$14+2*D$14^2)/(6*D$14*D$16*D$15)</f>
        <v>-2.7947555507198995E-4</v>
      </c>
      <c r="AV9">
        <f>J$9*AV3*(AV3^2+3*SUM(D$11:D$12)^2-6*SUM(D$11:D$12)*D$14+2*D$14^2)/(6*D$14*D$16*D$15)</f>
        <v>-5.5766704140320625E-4</v>
      </c>
      <c r="AW9">
        <f>J$9*AW3*(AW3^2+3*SUM(D$11:D$12)^2-6*SUM(D$11:D$12)*D$14+2*D$14^2)/(6*D$14*D$16*D$15)</f>
        <v>-8.3329039025287503E-4</v>
      </c>
      <c r="AX9">
        <f>J$9*AX3*(AX3^2+3*SUM(D$11:D$12)^2-6*SUM(D$11:D$12)*D$14+2*D$14^2)/(6*D$14*D$16*D$15)</f>
        <v>-1.1050615328802227E-3</v>
      </c>
      <c r="AY9">
        <f>J$9*AY3*(AY3^2+3*SUM(D$11:D$12)^2-6*SUM(D$11:D$12)*D$14+2*D$14^2)/(6*D$14*D$16*D$15)</f>
        <v>-1.3716964005444758E-3</v>
      </c>
      <c r="AZ9">
        <f>J$9*AZ3*(AZ3^2+3*SUM(D$11:D$12)^2-6*SUM(D$11:D$12)*D$14+2*D$14^2)/(6*D$14*D$16*D$15)</f>
        <v>-1.6319109245048601E-3</v>
      </c>
      <c r="BA9">
        <f>J$9*BA3*(BA3^2+3*SUM(D$11:D$12)^2-6*SUM(D$11:D$12)*D$14+2*D$14^2)/(6*D$14*D$16*D$15)</f>
        <v>-1.8844210360206021E-3</v>
      </c>
      <c r="BB9">
        <f>J$9*BB3*(BB3^2+3*SUM(D$11:D$12)^2-6*SUM(D$11:D$12)*D$14+2*D$14^2)/(6*D$14*D$16*D$15)</f>
        <v>-2.1279426663509287E-3</v>
      </c>
      <c r="BC9">
        <f>J$9*BC3*(BC3^2+3*SUM(D$11:D$12)^2-6*SUM(D$11:D$12)*D$14+2*D$14^2)/(6*D$14*D$16*D$15)</f>
        <v>-2.3611917467550648E-3</v>
      </c>
      <c r="BD9">
        <f>J$9*BD3*(BD3^2+3*SUM(D$11:D$12)^2-6*SUM(D$11:D$12)*D$14+2*D$14^2)/(6*D$14*D$16*D$15)</f>
        <v>-2.5828842084922384E-3</v>
      </c>
      <c r="BE9">
        <f>J$9*BE3*(BE3^2+3*SUM(D$11:D$12)^2-6*SUM(D$11:D$12)*D$14+2*D$14^2)/(6*D$14*D$16*D$15)</f>
        <v>-2.7917359828216744E-3</v>
      </c>
      <c r="BF9">
        <f>J$9*BF3*(BF3^2+3*SUM(D$11:D$12)^2-6*SUM(D$11:D$12)*D$14+2*D$14^2)/(6*D$14*D$16*D$15)</f>
        <v>-2.986463001002599E-3</v>
      </c>
      <c r="BG9">
        <f>J$9*BG3*(BG3^2+3*SUM(D$11:D$12)^2-6*SUM(D$11:D$12)*D$14+2*D$14^2)/(6*D$14*D$16*D$15)</f>
        <v>-3.0781284550558782E-3</v>
      </c>
      <c r="BH9">
        <f>J$9*BH3*(BH3^2+3*SUM(D$11:D$12)^2-6*SUM(D$11:D$12)*D$14+2*D$14^2)/(6*D$14*D$16*D$15)</f>
        <v>-3.1657811942942399E-3</v>
      </c>
      <c r="BI9">
        <f>J$9*BI3*(BI3^2+3*SUM(D$11:D$12)^2-6*SUM(D$11:D$12)*D$14+2*D$14^2)/(6*D$14*D$16*D$15)</f>
        <v>-3.3284064939558228E-3</v>
      </c>
      <c r="BJ9">
        <f>J$9*BJ3*(BJ3^2+3*SUM(D$11:D$12)^2-6*SUM(D$11:D$12)*D$14+2*D$14^2)/(6*D$14*D$16*D$15)</f>
        <v>-3.4730548312465735E-3</v>
      </c>
      <c r="BK9">
        <f>J$9*BK3*(BK3^2+3*SUM(D$11:D$12)^2-6*SUM(D$11:D$12)*D$14+2*D$14^2)/(6*D$14*D$16*D$15)</f>
        <v>-3.5984421374257187E-3</v>
      </c>
      <c r="BL9">
        <f>J$9*BL3*(BL3^2+3*SUM(D$11:D$12)^2-6*SUM(D$11:D$12)*D$14+2*D$14^2)/(6*D$14*D$16*D$15)</f>
        <v>-3.7032843437524842E-3</v>
      </c>
      <c r="BM9">
        <f>J$9*BM3*(BM3^2+3*SUM(D$11:D$12)^2-6*SUM(D$11:D$12)*D$14+2*D$14^2)/(6*D$14*D$16*D$15)</f>
        <v>-3.7862973814860972E-3</v>
      </c>
      <c r="BN9">
        <f>J$9*BN3*(BN3^2+3*SUM(D$11:D$12)^2-6*SUM(D$11:D$12)*D$14+2*D$14^2)/(6*D$14*D$16*D$15)</f>
        <v>-3.8461971818857833E-3</v>
      </c>
      <c r="BO9">
        <f>J$9*BO3*(BO3^2+3*SUM(D$11:D$12)^2-6*SUM(D$11:D$12)*D$14+2*D$14^2)/(6*D$14*D$16*D$15)</f>
        <v>-3.8816996762107685E-3</v>
      </c>
      <c r="BP9">
        <f>J$9*BP3*(BP3^2+3*SUM(D$11:D$12)^2-6*SUM(D$11:D$12)*D$14+2*D$14^2)/(6*D$14*D$16*D$15)</f>
        <v>-3.8915207957202799E-3</v>
      </c>
      <c r="BQ9">
        <f>J$9*BQ3*(BQ3^2+3*SUM(D$11:D$12)^2-6*SUM(D$11:D$12)*D$14+2*D$14^2)/(6*D$14*D$16*D$15)</f>
        <v>-3.8743764716735437E-3</v>
      </c>
      <c r="BR9">
        <f>J$9*BR3*(BR3^2+3*SUM(D$11:D$12)^2-6*SUM(D$11:D$12)*D$14+2*D$14^2)/(6*D$14*D$16*D$15)</f>
        <v>-3.828982635329786E-3</v>
      </c>
      <c r="BS9">
        <f>J$9*BS3*(BS3^2+3*SUM(D$11:D$12)^2-6*SUM(D$11:D$12)*D$14+2*D$14^2)/(6*D$14*D$16*D$15)</f>
        <v>-3.754055217948232E-3</v>
      </c>
      <c r="BT9">
        <f>J$9*BT3*(BT3^2+3*SUM(D$11:D$12)^2-6*SUM(D$11:D$12)*D$14+2*D$14^2)/(6*D$14*D$16*D$15)</f>
        <v>-3.64831015078811E-3</v>
      </c>
      <c r="BU9">
        <f>J$9*BU3*(BU3^2+3*SUM(D$11:D$12)^2-6*SUM(D$11:D$12)*D$14+2*D$14^2)/(6*D$14*D$16*D$15)</f>
        <v>-3.5104633651086448E-3</v>
      </c>
      <c r="BV9">
        <f>J$9*BV3*(BV3^2+3*SUM(D$11:D$12)^2-6*SUM(D$11:D$12)*D$14+2*D$14^2)/(6*D$14*D$16*D$15)</f>
        <v>-3.3392307921690633E-3</v>
      </c>
      <c r="BW9">
        <f>J$9*BW3*(BW3^2+3*SUM(D$11:D$12)^2-6*SUM(D$11:D$12)*D$14+2*D$14^2)/(6*D$14*D$16*D$15)</f>
        <v>-3.1333283632285921E-3</v>
      </c>
      <c r="BX9">
        <f>J$9*BX3*(BX3^2+3*SUM(D$11:D$12)^2-6*SUM(D$11:D$12)*D$14+2*D$14^2)/(6*D$14*D$16*D$15)</f>
        <v>-2.8914720095464565E-3</v>
      </c>
      <c r="BY9">
        <f>J$9*BY3*(BY3^2+3*SUM(D$11:D$12)^2-6*SUM(D$11:D$12)*D$14+2*D$14^2)/(6*D$14*D$16*D$15)</f>
        <v>-2.7566598394457736E-3</v>
      </c>
      <c r="BZ9">
        <f>-J$9*(D$14-BZ3)*((D$14-BZ3)^2 + 3*D$13^2 -6*D$13*D$14 +2*D$14^2)/(6*D$14*D$15*D$16)</f>
        <v>-2.6161922494028151E-3</v>
      </c>
      <c r="CA9">
        <f>-J$9*(D$14-CA3)*((D$14-CA3)^2 + 3*D$13^2 -6*D$13*D$14 +2*D$14^2)/(6*D$14*D$15*D$16)</f>
        <v>-2.3460462562755091E-3</v>
      </c>
      <c r="CB9">
        <f>-J$9*(D$14-CB3)*((D$14-CB3)^2 + 3*D$13^2 -6*D$13*D$14 +2*D$14^2)/(6*D$14*D$15*D$16)</f>
        <v>-2.0903460364819072E-3</v>
      </c>
      <c r="CC9">
        <f>-J$9*(D$14-CC3)*((D$14-CC3)^2 + 3*D$13^2 -6*D$13*D$14 +2*D$14^2)/(6*D$14*D$15*D$16)</f>
        <v>-1.847807521281236E-3</v>
      </c>
      <c r="CD9">
        <f>-J$9*(D$14-CD3)*((D$14-CD3)^2 + 3*D$13^2 -6*D$13*D$14 +2*D$14^2)/(6*D$14*D$15*D$16)</f>
        <v>-1.6171466419327215E-3</v>
      </c>
      <c r="CE9">
        <f>-J$9*(D$14-CE3)*((D$14-CE3)^2 + 3*D$13^2 -6*D$13*D$14 +2*D$14^2)/(6*D$14*D$15*D$16)</f>
        <v>-1.3970793296955901E-3</v>
      </c>
      <c r="CF9">
        <f>-J$9*(D$14-CF3)*((D$14-CF3)^2 + 3*D$13^2 -6*D$13*D$14 +2*D$14^2)/(6*D$14*D$15*D$16)</f>
        <v>-1.1863215158290682E-3</v>
      </c>
      <c r="CG9">
        <f>-J$9*(D$14-CG3)*((D$14-CG3)^2 + 3*D$13^2 -6*D$13*D$14 +2*D$14^2)/(6*D$14*D$15*D$16)</f>
        <v>-9.8358913159238173E-4</v>
      </c>
      <c r="CH9">
        <f>-J$9*(D$14-CH3)*((D$14-CH3)^2 + 3*D$13^2 -6*D$13*D$14 +2*D$14^2)/(6*D$14*D$15*D$16)</f>
        <v>-7.8759810824475748E-4</v>
      </c>
      <c r="CI9">
        <f>-J$9*(D$14-CI3)*((D$14-CI3)^2 + 3*D$13^2 -6*D$13*D$14 +2*D$14^2)/(6*D$14*D$15*D$16)</f>
        <v>-5.9706437704542138E-4</v>
      </c>
      <c r="CJ9">
        <f>-J$9*(D$14-CJ3)*((D$14-CJ3)^2 + 3*D$13^2 -6*D$13*D$14 +2*D$14^2)/(6*D$14*D$15*D$16)</f>
        <v>-4.1070386925359977E-4</v>
      </c>
      <c r="CK9">
        <f>-J$9*(D$14-CK3)*((D$14-CK3)^2 + 3*D$13^2 -6*D$13*D$14 +2*D$14^2)/(6*D$14*D$15*D$16)</f>
        <v>-2.2723251612851906E-4</v>
      </c>
      <c r="CL9">
        <f>-J$9*(D$14-CL3)*((D$14-CL3)^2 + 3*D$13^2 -6*D$13*D$14 +2*D$14^2)/(6*D$14*D$15*D$16)</f>
        <v>-4.5366248929405449E-5</v>
      </c>
      <c r="CM9">
        <f>-J$9*(D$14-CM3)*((D$14-CM3)^2 + 3*D$13^2 -6*D$13*D$14 +2*D$14^2)/(6*D$14*D$15*D$16)</f>
        <v>0</v>
      </c>
    </row>
    <row r="10" spans="3:91" ht="14.5" customHeight="1" thickBot="1" x14ac:dyDescent="0.25">
      <c r="C10" s="69" t="s">
        <v>253</v>
      </c>
      <c r="D10" s="70">
        <f>((D3-D6)*D4*2+(G4+2*G13)*(G3+G5)/2+J4*30)/D14</f>
        <v>30.386669191672237</v>
      </c>
      <c r="F10" s="71" t="s">
        <v>254</v>
      </c>
      <c r="G10" s="72">
        <f>G6*G3/2</f>
        <v>196151.24790510893</v>
      </c>
      <c r="I10" s="71" t="s">
        <v>255</v>
      </c>
      <c r="J10" s="72">
        <f>J6*J3/2</f>
        <v>196151.24790510896</v>
      </c>
      <c r="M10" s="219" t="s">
        <v>256</v>
      </c>
      <c r="N10" s="220">
        <f>16*N8*J10/(PI()*N5^3)</f>
        <v>64.749358484205359</v>
      </c>
      <c r="P10" s="163" t="s">
        <v>257</v>
      </c>
      <c r="Q10" s="162">
        <v>2.2999999999999998</v>
      </c>
      <c r="R10" s="162"/>
      <c r="S10" s="162"/>
      <c r="T10" s="164"/>
      <c r="U10" s="162"/>
      <c r="W10" s="151" t="s">
        <v>258</v>
      </c>
      <c r="X10" s="79">
        <f>(+$G$6*SUM(D$12:D$13)*D11^3-G$6*SUM(D$12:D$13)*(D$14^2-SUM(D$12:D$13)^2)*D11)/(6*D$14*D$16*D$15)</f>
        <v>-1.0688799495640562E-2</v>
      </c>
      <c r="Y10" s="79">
        <f>(J$6*D$13*D11^3-J$6*D$13*(D$14^2-D$13^2)*D11)/(6*D$14*D$16*D$15)</f>
        <v>-3.0811756629183064E-3</v>
      </c>
      <c r="Z10" s="79">
        <f>-(-G$7*SUM(D$12:D$13)*D11^3+G$7*SUM(D$12:D$13)*(D$14^2-SUM(D$12:D$13)^2)*D11)/(6*D$14*D$16*D$15)</f>
        <v>-4.1534326535033472E-3</v>
      </c>
      <c r="AA10" s="79">
        <f>G$9*D11*(D11^2+3*D$11^2-6*D$11*D$14+2*D$14^2)/(6*D$14*D$16*D$15)</f>
        <v>1.6752526553915643E-3</v>
      </c>
      <c r="AB10" s="79">
        <f>-(J$7*D$13*D11^3-J$7*D$13*(D$14^2-D$13^2)*D11)/(6*D$14*D$16*D$15)</f>
        <v>1.3055978886267162E-3</v>
      </c>
      <c r="AC10" s="92">
        <f>J$9*D11*(D11^2+3*SUM(D$11:D$12)^2-6*SUM(D$11:D$12)*D$14+2*D$14^2)/(6*D$14*D$16*D$15)</f>
        <v>-3.1442529793122057E-3</v>
      </c>
      <c r="AD10" s="152">
        <f>SQRT(SUM(X10:Y10)^2+SUM(Z10:AC10)^2)</f>
        <v>1.4430775483361927E-2</v>
      </c>
      <c r="AG10">
        <v>14</v>
      </c>
      <c r="AH10">
        <f>(+$G$6*SUM(D$12:D$13)*AG10^3-$G$6*SUM($D$12:D$13)*($D$14^2-SUM($D$12:$D$13)^2)*AG10)/(6*$D$14*$D$16*$D$15)</f>
        <v>-6.7084836046538898E-3</v>
      </c>
      <c r="AI10">
        <f t="shared" si="0"/>
        <v>-1.8091876480187629E-3</v>
      </c>
      <c r="AJ10">
        <f t="shared" si="1"/>
        <v>-2.6067693449040143E-3</v>
      </c>
      <c r="AK10">
        <f t="shared" si="5"/>
        <v>8.011049326488521E-4</v>
      </c>
      <c r="AL10">
        <f t="shared" si="2"/>
        <v>7.6661373183300346E-4</v>
      </c>
      <c r="AM10">
        <f t="shared" si="3"/>
        <v>-1.8844210360206021E-3</v>
      </c>
      <c r="AN10">
        <f t="shared" si="6"/>
        <v>9.0054100653688667E-3</v>
      </c>
      <c r="AP10" s="149"/>
      <c r="AS10" t="s">
        <v>259</v>
      </c>
      <c r="AT10">
        <f t="shared" ref="AT10:CM10" si="7">SQRT(SUMSQ(SUM(AT4:AT5),SUM(AT6:AT9)))</f>
        <v>0</v>
      </c>
      <c r="AU10">
        <f t="shared" si="7"/>
        <v>1.3548049003990336E-3</v>
      </c>
      <c r="AV10">
        <f t="shared" si="7"/>
        <v>2.7010637861020538E-3</v>
      </c>
      <c r="AW10">
        <f t="shared" si="7"/>
        <v>4.0302333220880709E-3</v>
      </c>
      <c r="AX10">
        <f t="shared" si="7"/>
        <v>5.3337756528851754E-3</v>
      </c>
      <c r="AY10">
        <f t="shared" si="7"/>
        <v>6.6031614521027326E-3</v>
      </c>
      <c r="AZ10">
        <f t="shared" si="7"/>
        <v>7.8298733706948995E-3</v>
      </c>
      <c r="BA10">
        <f t="shared" si="7"/>
        <v>9.0054100653688667E-3</v>
      </c>
      <c r="BB10">
        <f t="shared" si="7"/>
        <v>1.0121291037678325E-2</v>
      </c>
      <c r="BC10">
        <f t="shared" si="7"/>
        <v>1.1169062586740174E-2</v>
      </c>
      <c r="BD10">
        <f t="shared" si="7"/>
        <v>1.2140305284323612E-2</v>
      </c>
      <c r="BE10">
        <f t="shared" si="7"/>
        <v>1.3026643536156029E-2</v>
      </c>
      <c r="BF10">
        <f t="shared" si="7"/>
        <v>1.3819758022741938E-2</v>
      </c>
      <c r="BG10">
        <f t="shared" si="7"/>
        <v>1.4178775897466765E-2</v>
      </c>
      <c r="BH10">
        <f t="shared" si="7"/>
        <v>1.4511484763769454E-2</v>
      </c>
      <c r="BI10">
        <f t="shared" si="7"/>
        <v>1.5102113811669739E-2</v>
      </c>
      <c r="BJ10">
        <f t="shared" si="7"/>
        <v>1.5595913457914778E-2</v>
      </c>
      <c r="BK10">
        <f t="shared" si="7"/>
        <v>1.5994395541194674E-2</v>
      </c>
      <c r="BL10">
        <f t="shared" si="7"/>
        <v>1.6299128074539943E-2</v>
      </c>
      <c r="BM10">
        <f t="shared" si="7"/>
        <v>1.6511718979354842E-2</v>
      </c>
      <c r="BN10">
        <f t="shared" si="7"/>
        <v>1.6633806111310951E-2</v>
      </c>
      <c r="BO10">
        <f t="shared" si="7"/>
        <v>1.6667051478983765E-2</v>
      </c>
      <c r="BP10">
        <f t="shared" si="7"/>
        <v>1.6613138513449404E-2</v>
      </c>
      <c r="BQ10">
        <f t="shared" si="7"/>
        <v>1.6473771833787003E-2</v>
      </c>
      <c r="BR10">
        <f t="shared" si="7"/>
        <v>1.6250679365220309E-2</v>
      </c>
      <c r="BS10">
        <f t="shared" si="7"/>
        <v>1.5945617019488486E-2</v>
      </c>
      <c r="BT10">
        <f t="shared" si="7"/>
        <v>1.5560376528518941E-2</v>
      </c>
      <c r="BU10">
        <f t="shared" si="7"/>
        <v>1.5096797524881519E-2</v>
      </c>
      <c r="BV10">
        <f t="shared" si="7"/>
        <v>1.455678571628787E-2</v>
      </c>
      <c r="BW10">
        <f t="shared" si="7"/>
        <v>1.3942340225915093E-2</v>
      </c>
      <c r="BX10">
        <f t="shared" si="7"/>
        <v>1.3255595269803251E-2</v>
      </c>
      <c r="BY10">
        <f t="shared" si="7"/>
        <v>1.2885829655990399E-2</v>
      </c>
      <c r="BZ10">
        <f t="shared" si="7"/>
        <v>1.2499703043545451E-2</v>
      </c>
      <c r="CA10">
        <f t="shared" si="7"/>
        <v>1.1686116036239869E-2</v>
      </c>
      <c r="CB10">
        <f t="shared" si="7"/>
        <v>1.0820870151488093E-2</v>
      </c>
      <c r="CC10">
        <f t="shared" si="7"/>
        <v>9.9080101659572758E-3</v>
      </c>
      <c r="CD10">
        <f t="shared" si="7"/>
        <v>8.9517612215749918E-3</v>
      </c>
      <c r="CE10">
        <f t="shared" si="7"/>
        <v>7.9564964233265912E-3</v>
      </c>
      <c r="CF10">
        <f t="shared" si="7"/>
        <v>6.9267099808478791E-3</v>
      </c>
      <c r="CG10">
        <f t="shared" si="7"/>
        <v>5.8669947076387986E-3</v>
      </c>
      <c r="CH10">
        <f t="shared" si="7"/>
        <v>4.7820229370838198E-3</v>
      </c>
      <c r="CI10">
        <f t="shared" si="7"/>
        <v>3.676530101077621E-3</v>
      </c>
      <c r="CJ10">
        <f t="shared" si="7"/>
        <v>2.5553003582320234E-3</v>
      </c>
      <c r="CK10">
        <f t="shared" si="7"/>
        <v>1.4231537643537709E-3</v>
      </c>
      <c r="CL10">
        <f t="shared" si="7"/>
        <v>2.8493455549944335E-4</v>
      </c>
      <c r="CM10">
        <f t="shared" si="7"/>
        <v>0</v>
      </c>
    </row>
    <row r="11" spans="3:91" x14ac:dyDescent="0.2">
      <c r="C11" s="69" t="s">
        <v>260</v>
      </c>
      <c r="D11" s="70">
        <f>G4*0.5+(D3-D6)+G13</f>
        <v>25.75</v>
      </c>
      <c r="M11" s="219" t="s">
        <v>261</v>
      </c>
      <c r="N11" s="220">
        <f>1.6*SQRT(N9^2+3*N10^2)</f>
        <v>357.78072225124606</v>
      </c>
      <c r="P11" s="163" t="s">
        <v>244</v>
      </c>
      <c r="Q11" s="162">
        <v>1.75</v>
      </c>
      <c r="R11" s="162"/>
      <c r="S11" s="162" t="s">
        <v>262</v>
      </c>
      <c r="T11" s="164">
        <f>D4</f>
        <v>30</v>
      </c>
      <c r="U11" s="162" t="s">
        <v>263</v>
      </c>
      <c r="W11" s="151" t="s">
        <v>264</v>
      </c>
      <c r="X11" s="79">
        <f>(G6*D11*D13^3-G6*D11*(D14^2-D11^2)*D13)/(6*D14*D15*D16)</f>
        <v>-8.8665016898780112E-3</v>
      </c>
      <c r="Y11" s="79">
        <f>(J$6*D$13*(SUM(D11:D12)^3)-J$6*D$13*(D$14^2-D$13^2)*SUM(D11:D12))/(6*D$14*D$16*D$15)</f>
        <v>-3.6326399418552847E-3</v>
      </c>
      <c r="Z11" s="79">
        <f>-(-G7*D11*D13^3+G7*D11*(D14^2-D11^2)*D13)/(6*D14*D15*D16)</f>
        <v>-3.445327761653834E-3</v>
      </c>
      <c r="AA11" s="79">
        <f>-G9*D13*(D13^2+3*SUM(D12:D13)^2-6*SUM(D12:D13)*D14+2*D14^2)/(6*D14*D15*D16)</f>
        <v>1.9121682569243576E-3</v>
      </c>
      <c r="AB11" s="79">
        <f>-(J$7*D$13*(SUM(D11:D12)^3)-J$7*D$13*(D$14^2-D$13^2)*SUM(D11:D12))/(6*D$14*D$16*D$15)</f>
        <v>1.5392718744686143E-3</v>
      </c>
      <c r="AC11" s="92">
        <f>J$9*SUM(D11:D12)*((SUM(D11:D12)^2)+3*SUM(D$11:D$12)^2-6*SUM(D$11:D$12)*D$14+2*D$14^2)/(6*D$14*D$16*D$15)</f>
        <v>-2.7214833781994997E-3</v>
      </c>
      <c r="AD11" s="152">
        <f>SQRT(SUM(X11:Y11)^2+SUM(Z11:AC11)^2)</f>
        <v>1.2790691194916539E-2</v>
      </c>
      <c r="AG11">
        <v>16</v>
      </c>
      <c r="AH11">
        <f>(+$G$6*SUM(D$12:D$13)*AG11^3-$G$6*SUM($D$12:D$13)*($D$14^2-SUM($D$12:$D$13)^2)*AG11)/(6*$D$14*$D$16*$D$15)</f>
        <v>-7.5351317168963847E-3</v>
      </c>
      <c r="AI11">
        <f t="shared" si="0"/>
        <v>-2.0479720688388464E-3</v>
      </c>
      <c r="AJ11">
        <f t="shared" si="1"/>
        <v>-2.9279866400497602E-3</v>
      </c>
      <c r="AK11">
        <f t="shared" si="5"/>
        <v>9.316557855782602E-4</v>
      </c>
      <c r="AL11">
        <f t="shared" si="2"/>
        <v>8.6779473212831844E-4</v>
      </c>
      <c r="AM11">
        <f t="shared" si="3"/>
        <v>-2.1279426663509287E-3</v>
      </c>
      <c r="AN11">
        <f t="shared" si="6"/>
        <v>1.0121291037678325E-2</v>
      </c>
      <c r="AP11" s="149"/>
    </row>
    <row r="12" spans="3:91" x14ac:dyDescent="0.2">
      <c r="C12" s="69" t="s">
        <v>265</v>
      </c>
      <c r="D12" s="70">
        <f>(G4+J4)/2+G13</f>
        <v>33.5</v>
      </c>
      <c r="F12" t="s">
        <v>266</v>
      </c>
      <c r="G12">
        <v>5</v>
      </c>
      <c r="M12" s="219"/>
      <c r="N12" s="187"/>
      <c r="P12" s="163"/>
      <c r="Q12" s="162"/>
      <c r="R12" s="162"/>
      <c r="S12" s="162" t="s">
        <v>267</v>
      </c>
      <c r="T12" s="164">
        <v>37</v>
      </c>
      <c r="U12" s="162"/>
      <c r="W12" s="151" t="s">
        <v>267</v>
      </c>
      <c r="X12" s="79">
        <v>0</v>
      </c>
      <c r="Y12" s="79">
        <v>0</v>
      </c>
      <c r="Z12" s="79">
        <v>0</v>
      </c>
      <c r="AA12" s="79">
        <v>0</v>
      </c>
      <c r="AB12" s="79">
        <v>0</v>
      </c>
      <c r="AC12" s="79">
        <v>0</v>
      </c>
      <c r="AD12" s="152">
        <f t="shared" ref="AD12" si="8">SQRT(SUM(X12:Y12)^2+SUM(Z12:AC12)^2)</f>
        <v>0</v>
      </c>
      <c r="AG12">
        <v>18</v>
      </c>
      <c r="AH12">
        <f>(+$G$6*SUM(D$12:D$13)*AG12^3-$G$6*SUM($D$12:D$13)*($D$14^2-SUM($D$12:$D$13)^2)*AG12)/(6*$D$14*$D$16*$D$15)</f>
        <v>-8.3090971537699426E-3</v>
      </c>
      <c r="AI12">
        <f t="shared" si="0"/>
        <v>-2.2788881066716049E-3</v>
      </c>
      <c r="AJ12">
        <f t="shared" si="1"/>
        <v>-3.2287326049735758E-3</v>
      </c>
      <c r="AK12">
        <f t="shared" si="5"/>
        <v>1.0686495549566402E-3</v>
      </c>
      <c r="AL12">
        <f t="shared" si="2"/>
        <v>9.656416335798734E-4</v>
      </c>
      <c r="AM12">
        <f t="shared" si="3"/>
        <v>-2.3611917467550648E-3</v>
      </c>
      <c r="AN12">
        <f t="shared" si="6"/>
        <v>1.1169062586740174E-2</v>
      </c>
      <c r="AP12" s="149"/>
    </row>
    <row r="13" spans="3:91" ht="16" thickBot="1" x14ac:dyDescent="0.25">
      <c r="C13" s="69" t="s">
        <v>268</v>
      </c>
      <c r="D13" s="70">
        <f>J4*0.5+(D3-D6)+G12</f>
        <v>25.25</v>
      </c>
      <c r="F13" t="s">
        <v>269</v>
      </c>
      <c r="G13">
        <f>1</f>
        <v>1</v>
      </c>
      <c r="M13" s="221" t="s">
        <v>270</v>
      </c>
      <c r="N13" s="222">
        <f>Materiali!G3/'Albero 1'!N11</f>
        <v>2.054330919159634</v>
      </c>
      <c r="P13" s="163" t="s">
        <v>271</v>
      </c>
      <c r="Q13" s="162">
        <f>0.5*Materiali!F3</f>
        <v>515</v>
      </c>
      <c r="R13" s="162"/>
      <c r="S13" s="162" t="s">
        <v>272</v>
      </c>
      <c r="T13" s="164">
        <v>1</v>
      </c>
      <c r="U13" s="162"/>
      <c r="W13" s="122"/>
      <c r="AD13" s="29"/>
      <c r="AG13">
        <v>20</v>
      </c>
      <c r="AH13">
        <f>(+$G$6*SUM(D$12:D$13)*AG13^3-$G$6*SUM($D$12:D$13)*($D$14^2-SUM($D$12:$D$13)^2)*AG13)/(6*$D$14*$D$16*$D$15)</f>
        <v>-9.0237945808534416E-3</v>
      </c>
      <c r="AI13">
        <f t="shared" si="0"/>
        <v>-2.5009522136436244E-3</v>
      </c>
      <c r="AJ13">
        <f t="shared" si="1"/>
        <v>-3.5064483233977193E-3</v>
      </c>
      <c r="AK13">
        <f t="shared" si="5"/>
        <v>1.2128916053401131E-3</v>
      </c>
      <c r="AL13">
        <f t="shared" si="2"/>
        <v>1.0597376738321984E-3</v>
      </c>
      <c r="AM13">
        <f t="shared" si="3"/>
        <v>-2.5828842084922384E-3</v>
      </c>
      <c r="AN13">
        <f t="shared" si="6"/>
        <v>1.2140305284323612E-2</v>
      </c>
      <c r="AP13" s="149"/>
    </row>
    <row r="14" spans="3:91" ht="14.5" customHeight="1" x14ac:dyDescent="0.2">
      <c r="C14" s="69" t="s">
        <v>273</v>
      </c>
      <c r="D14" s="70">
        <f>SUM(D11:D13)</f>
        <v>84.5</v>
      </c>
      <c r="F14" t="s">
        <v>274</v>
      </c>
      <c r="G14">
        <f>D14+2*D6+2</f>
        <v>116.5</v>
      </c>
      <c r="J14" t="s">
        <v>262</v>
      </c>
      <c r="K14">
        <f>2.17*(SQRT(G30^2+0.25*J10^2)/(Materiali!F3/6))^(1/3)</f>
        <v>24.384158509277739</v>
      </c>
      <c r="P14" s="163" t="s">
        <v>275</v>
      </c>
      <c r="Q14" s="200">
        <f>T16*T17*Q13/T19</f>
        <v>188.04170984455959</v>
      </c>
      <c r="R14" s="162"/>
      <c r="S14" s="162" t="s">
        <v>276</v>
      </c>
      <c r="T14" s="167">
        <f>T13/T11</f>
        <v>3.3333333333333333E-2</v>
      </c>
      <c r="U14" s="166"/>
      <c r="W14" s="150" t="s">
        <v>277</v>
      </c>
      <c r="X14" s="303" t="s">
        <v>278</v>
      </c>
      <c r="Y14" s="303"/>
      <c r="Z14" s="303" t="s">
        <v>279</v>
      </c>
      <c r="AA14" s="303"/>
      <c r="AB14" s="303"/>
      <c r="AC14" s="303"/>
      <c r="AD14" s="29"/>
      <c r="AG14">
        <v>22</v>
      </c>
      <c r="AH14">
        <f>(+$G$6*SUM(D$12:D$13)*AG14^3-$G$6*SUM($D$12:D$13)*($D$14^2-SUM($D$12:$D$13)^2)*AG14)/(6*$D$14*$D$16*$D$15)</f>
        <v>-9.6726386637257696E-3</v>
      </c>
      <c r="AI14">
        <f t="shared" si="0"/>
        <v>-2.7131808418814881E-3</v>
      </c>
      <c r="AJ14">
        <f t="shared" si="1"/>
        <v>-3.758574879044449E-3</v>
      </c>
      <c r="AK14">
        <f t="shared" si="5"/>
        <v>1.3651873012848008E-3</v>
      </c>
      <c r="AL14">
        <f t="shared" si="2"/>
        <v>1.1496660905298236E-3</v>
      </c>
      <c r="AM14">
        <f t="shared" si="3"/>
        <v>-2.7917359828216744E-3</v>
      </c>
      <c r="AN14">
        <f t="shared" si="6"/>
        <v>1.3026643536156029E-2</v>
      </c>
      <c r="AP14" s="149"/>
    </row>
    <row r="15" spans="3:91" ht="16" thickBot="1" x14ac:dyDescent="0.25">
      <c r="C15" s="69" t="s">
        <v>280</v>
      </c>
      <c r="D15" s="70">
        <f>PI()*D10^4/64</f>
        <v>41850.657962206933</v>
      </c>
      <c r="F15" t="s">
        <v>281</v>
      </c>
      <c r="G15">
        <f>G14+2*2+1*2</f>
        <v>122.5</v>
      </c>
      <c r="P15" s="163" t="s">
        <v>282</v>
      </c>
      <c r="Q15" s="200">
        <f>Materiali!G3/SQRT(3)</f>
        <v>424.35244785437499</v>
      </c>
      <c r="R15" s="162"/>
      <c r="S15" s="162" t="s">
        <v>283</v>
      </c>
      <c r="T15" s="167">
        <f>T12/T11</f>
        <v>1.2333333333333334</v>
      </c>
      <c r="U15" s="162"/>
      <c r="W15" s="153"/>
      <c r="X15" s="79" t="s">
        <v>216</v>
      </c>
      <c r="Y15" s="79" t="s">
        <v>217</v>
      </c>
      <c r="Z15" s="79" t="s">
        <v>218</v>
      </c>
      <c r="AA15" s="79" t="s">
        <v>219</v>
      </c>
      <c r="AB15" s="79" t="s">
        <v>220</v>
      </c>
      <c r="AC15" s="79" t="s">
        <v>221</v>
      </c>
      <c r="AD15" s="29"/>
      <c r="AG15">
        <v>24</v>
      </c>
      <c r="AH15">
        <f>(+$G$6*SUM(D$12:D$13)*AG15^3-$G$6*SUM($D$12:D$13)*($D$14^2-SUM($D$12:$D$13)^2)*AG15)/(6*$D$14*$D$16*$D$15)</f>
        <v>-1.0249044067965807E-2</v>
      </c>
      <c r="AI15">
        <f t="shared" si="0"/>
        <v>-2.9145904435117801E-3</v>
      </c>
      <c r="AJ15">
        <f t="shared" si="1"/>
        <v>-3.9825533556360239E-3</v>
      </c>
      <c r="AK15">
        <f t="shared" si="5"/>
        <v>1.5263420073468245E-3</v>
      </c>
      <c r="AL15">
        <f t="shared" si="2"/>
        <v>1.2350101213172791E-3</v>
      </c>
      <c r="AM15">
        <f t="shared" si="3"/>
        <v>-2.986463001002599E-3</v>
      </c>
      <c r="AN15">
        <f t="shared" si="6"/>
        <v>1.3819758022741938E-2</v>
      </c>
      <c r="AP15" s="149"/>
    </row>
    <row r="16" spans="3:91" ht="16" thickBot="1" x14ac:dyDescent="0.25">
      <c r="C16" s="71" t="s">
        <v>284</v>
      </c>
      <c r="D16" s="72">
        <v>206000</v>
      </c>
      <c r="M16" s="73" t="s">
        <v>212</v>
      </c>
      <c r="N16" s="74"/>
      <c r="P16" s="163" t="s">
        <v>285</v>
      </c>
      <c r="Q16" s="162">
        <f>Q14/Q15</f>
        <v>0.44312625223524071</v>
      </c>
      <c r="R16" s="162"/>
      <c r="S16" s="162" t="s">
        <v>286</v>
      </c>
      <c r="T16" s="164">
        <v>0.9</v>
      </c>
      <c r="U16" s="162"/>
      <c r="W16" s="151" t="s">
        <v>252</v>
      </c>
      <c r="X16" s="79">
        <f>D11*SUM(D12:D13)*(D14+SUM(D12:D13))*G6/(6*D14*D15*D16)</f>
        <v>5.0606751588531636E-4</v>
      </c>
      <c r="Y16" s="79">
        <f>SUM(D11:D12)*D13*(D14+D13)*J6/(6*D14*D15*D16)</f>
        <v>1.3324384296064417E-4</v>
      </c>
      <c r="Z16" s="79">
        <f>-D11*SUM(D12:D13)*(D14+SUM(D12:D13))*G7/(6*D14*D15*D16)</f>
        <v>-1.9664671848439722E-4</v>
      </c>
      <c r="AA16" s="79">
        <f>-G9*(D14^2-3*SUM(D12:D13)^2)/(6*D14*D15*D16)</f>
        <v>5.3933208965993455E-5</v>
      </c>
      <c r="AB16" s="79">
        <f>-SUM(D11:D12)*D13*(D14+D13)*J7/(6*D14*D15*D16)</f>
        <v>-5.645990332052651E-5</v>
      </c>
      <c r="AC16" s="79">
        <f>-J9*(D14^2-3*D13^2)/(6*D14*D15*D16)</f>
        <v>-1.398447832643928E-4</v>
      </c>
      <c r="AD16" s="29">
        <f>SQRT(SUMSQ(SUM(X16:Y16),SUM(Z16:AC16)))</f>
        <v>7.2363827347551196E-4</v>
      </c>
      <c r="AF16" t="s">
        <v>287</v>
      </c>
      <c r="AG16">
        <v>25</v>
      </c>
      <c r="AH16">
        <f>(+$G$6*SUM(D$12:D$13)*AG16^3-$G$6*SUM($D$12:D$13)*($D$14^2-SUM($D$12:$D$13)^2)*AG16)/(6*$D$14*$D$16*$D$15)</f>
        <v>-1.0508024348592116E-2</v>
      </c>
      <c r="AI16">
        <f t="shared" si="0"/>
        <v>-3.0109307506386452E-3</v>
      </c>
      <c r="AJ16">
        <f t="shared" si="1"/>
        <v>-4.0831874029493339E-3</v>
      </c>
      <c r="AK16">
        <f t="shared" si="5"/>
        <v>1.6104931655956255E-3</v>
      </c>
      <c r="AL16">
        <f t="shared" si="2"/>
        <v>1.2758327537586084E-3</v>
      </c>
      <c r="AM16">
        <f t="shared" si="3"/>
        <v>-3.0781284550558782E-3</v>
      </c>
      <c r="AN16">
        <f t="shared" ref="AN16" si="9">SQRT(SUMSQ(SUM(AH16:AI16),SUM(AJ16:AM16)))</f>
        <v>1.4178775897466765E-2</v>
      </c>
      <c r="AP16" s="149"/>
    </row>
    <row r="17" spans="3:42" x14ac:dyDescent="0.2">
      <c r="J17">
        <f>D3/2-D3+D6</f>
        <v>4.375</v>
      </c>
      <c r="M17" s="69"/>
      <c r="N17" s="70"/>
      <c r="P17" s="163"/>
      <c r="Q17" s="162"/>
      <c r="R17" s="162"/>
      <c r="S17" s="162" t="s">
        <v>288</v>
      </c>
      <c r="T17" s="164">
        <v>0.87</v>
      </c>
      <c r="U17" s="162"/>
      <c r="W17" s="151" t="s">
        <v>267</v>
      </c>
      <c r="X17" s="79">
        <f>-D11*SUM(D12:D13)*(D14+D11)*G6/(6*D14*D15*D16)</f>
        <v>-3.8948651746147388E-4</v>
      </c>
      <c r="Y17" s="79">
        <f>-SUM(D11:D12)*D13*(D14+SUM(D11:D12))*J6/(6*D14*D15*D16)</f>
        <v>-1.7452211777305331E-4</v>
      </c>
      <c r="Z17" s="79">
        <f>D11*SUM(D12:D13)*(D14+D11)*G7/(6*D14*D15*D16)</f>
        <v>1.513459037550073E-4</v>
      </c>
      <c r="AA17" s="79">
        <f>-G9*(D14^2-3*D11^2)/(6*D14*D15*D16)</f>
        <v>-8.6426732580550302E-5</v>
      </c>
      <c r="AB17" s="148">
        <f>SUM(D11:D12)*D13*(D14+SUM(D11:D12))*J7/(6*D14*D15*D16)</f>
        <v>7.3950898426657731E-5</v>
      </c>
      <c r="AC17" s="79">
        <f>-J9*(D14^2-3*SUM(D11:D12)^2)/(6*D14*D15*D16)</f>
        <v>9.0725810000786045E-5</v>
      </c>
      <c r="AD17" s="29">
        <f>SQRT(SUMSQ(SUM(X17:Y17),SUM(Z17:AC17)))</f>
        <v>6.0894992285842717E-4</v>
      </c>
      <c r="AF17" t="s">
        <v>289</v>
      </c>
      <c r="AG17">
        <v>26</v>
      </c>
      <c r="AH17">
        <f>($G$6*$D$11*($D$14-AG17)^3-$G$6*$D$11*($D$14^2-$D$11^2)*($D$14-AG17))/(6*$D$14*$D$15*$D$16)</f>
        <v>-1.074642854237916E-2</v>
      </c>
      <c r="AI17">
        <f t="shared" si="0"/>
        <v>-3.104197470661086E-3</v>
      </c>
      <c r="AJ17">
        <f t="shared" ref="AJ17:AJ53" si="10">-(-G$7*D$11*(D$14-AG17)^3+G$7*D$11*(D$14^2-D$11^2)*(D$14-AG17))/(6*D$14*D$15*D$16)</f>
        <v>-4.1758260349688669E-3</v>
      </c>
      <c r="AK17">
        <f t="shared" ref="AK17:AK53" si="11">-G$9*(D$14-AG17)*((D$14-AG17)^2+3*SUM(D$12:D$13)^2-6*SUM(D$12:D$13)*D$14+2*D$14^2)/(6*D$14*D$15*D$16)</f>
        <v>1.6968952548596797E-3</v>
      </c>
      <c r="AL17">
        <f t="shared" si="2"/>
        <v>1.3153530038390944E-3</v>
      </c>
      <c r="AM17">
        <f t="shared" si="3"/>
        <v>-3.1657811942942399E-3</v>
      </c>
      <c r="AN17">
        <f t="shared" si="6"/>
        <v>1.4511484763769454E-2</v>
      </c>
      <c r="AP17" s="149"/>
    </row>
    <row r="18" spans="3:42" ht="16" thickBot="1" x14ac:dyDescent="0.25">
      <c r="J18">
        <f>D29+J17</f>
        <v>30.125</v>
      </c>
      <c r="M18" s="69" t="s">
        <v>290</v>
      </c>
      <c r="N18" s="70"/>
      <c r="P18" s="163" t="s">
        <v>291</v>
      </c>
      <c r="Q18" s="200">
        <f>SQRT(Q6^2+(Q16^2)*(Q9^2))</f>
        <v>88.870509337051672</v>
      </c>
      <c r="R18" s="162"/>
      <c r="S18" s="162" t="s">
        <v>292</v>
      </c>
      <c r="T18" s="164">
        <f>1/(1+SQRT((140/Materiali!F3)^2/T13))</f>
        <v>0.88034188034188043</v>
      </c>
      <c r="U18" s="162"/>
      <c r="W18" s="122"/>
      <c r="AB18" s="149"/>
      <c r="AD18" s="29"/>
      <c r="AG18">
        <v>28</v>
      </c>
      <c r="AH18">
        <f>($G$6*$D$11*($D$14-AG18)^3-$G$6*$D$11*($D$14^2-$D$11^2)*($D$14-AG18))/(6*$D$14*$D$15*$D$16)</f>
        <v>-1.1160445175144062E-2</v>
      </c>
      <c r="AI18">
        <f t="shared" si="0"/>
        <v>-3.2810183754559898E-3</v>
      </c>
      <c r="AJ18">
        <f t="shared" si="10"/>
        <v>-4.336703802609713E-3</v>
      </c>
      <c r="AK18">
        <f t="shared" si="11"/>
        <v>1.8569174170146574E-3</v>
      </c>
      <c r="AL18">
        <f t="shared" si="2"/>
        <v>1.3902779757397996E-3</v>
      </c>
      <c r="AM18">
        <f t="shared" si="3"/>
        <v>-3.3284064939558228E-3</v>
      </c>
      <c r="AN18">
        <f t="shared" si="6"/>
        <v>1.5102113811669739E-2</v>
      </c>
      <c r="AP18" s="149"/>
    </row>
    <row r="19" spans="3:42" ht="16" thickBot="1" x14ac:dyDescent="0.25">
      <c r="C19" s="297" t="s">
        <v>293</v>
      </c>
      <c r="D19" s="299"/>
      <c r="E19" s="299"/>
      <c r="F19" s="299"/>
      <c r="G19" s="298"/>
      <c r="J19">
        <f>G3/2</f>
        <v>19.216968547388515</v>
      </c>
      <c r="M19" s="69" t="s">
        <v>232</v>
      </c>
      <c r="N19" s="70">
        <v>30</v>
      </c>
      <c r="P19" s="168" t="s">
        <v>270</v>
      </c>
      <c r="Q19" s="201">
        <f>Q14/Q18</f>
        <v>2.1159067416997654</v>
      </c>
      <c r="R19" s="169"/>
      <c r="S19" s="169" t="s">
        <v>294</v>
      </c>
      <c r="T19" s="199">
        <f>1+T18*(Q10-1)</f>
        <v>2.1444444444444444</v>
      </c>
      <c r="U19" s="162"/>
      <c r="W19" s="154" t="s">
        <v>295</v>
      </c>
      <c r="X19" s="59">
        <f>RADIANS(0.06)</f>
        <v>1.0471975511965976E-3</v>
      </c>
      <c r="Y19" s="59"/>
      <c r="Z19" s="59" t="s">
        <v>145</v>
      </c>
      <c r="AA19" s="59">
        <f>MIN(X19/AD16,X19/AD17)</f>
        <v>1.447128475069575</v>
      </c>
      <c r="AB19" s="59"/>
      <c r="AC19" s="59"/>
      <c r="AD19" s="60"/>
      <c r="AG19">
        <v>30</v>
      </c>
      <c r="AH19">
        <f>($G$6*$D$11*($D$14-AG19)^3-$G$6*$D$11*($D$14^2-$D$11^2)*($D$14-AG19))/(6*$D$14*$D$15*$D$16)</f>
        <v>-1.1492922757560687E-2</v>
      </c>
      <c r="AI19">
        <f t="shared" si="0"/>
        <v>-3.4440696100230747E-3</v>
      </c>
      <c r="AJ19">
        <f t="shared" si="10"/>
        <v>-4.4658972866796738E-3</v>
      </c>
      <c r="AK19">
        <f>-G$9*(D$14-AG19)*((D$14-AG19)^2+3*SUM(D$12:D$13)^2-6*SUM(D$12:D$13)*D$14+2*D$14^2)/(6*D$14*D$15*D$16)</f>
        <v>1.9941880304592038E-3</v>
      </c>
      <c r="AL19">
        <f t="shared" si="2"/>
        <v>1.4593682746639255E-3</v>
      </c>
      <c r="AM19">
        <f t="shared" si="3"/>
        <v>-3.4730548312465735E-3</v>
      </c>
      <c r="AN19">
        <f t="shared" si="6"/>
        <v>1.5595913457914778E-2</v>
      </c>
      <c r="AP19" s="149"/>
    </row>
    <row r="20" spans="3:42" x14ac:dyDescent="0.2">
      <c r="C20" s="69" t="s">
        <v>296</v>
      </c>
      <c r="F20" t="s">
        <v>297</v>
      </c>
      <c r="G20" s="70"/>
      <c r="M20" s="69" t="s">
        <v>235</v>
      </c>
      <c r="N20" s="70">
        <f>G30</f>
        <v>222955.68342103955</v>
      </c>
      <c r="P20" s="170" t="s">
        <v>298</v>
      </c>
      <c r="Q20" s="162"/>
      <c r="R20" s="162"/>
      <c r="S20" s="162"/>
      <c r="T20" s="171"/>
      <c r="U20" s="162"/>
      <c r="AG20">
        <v>32</v>
      </c>
      <c r="AH20">
        <f t="shared" ref="AH20:AH53" si="12">($G$6*$D$11*($D$14-AG20)^3-$G$6*$D$11*($D$14^2-$D$11^2)*($D$14-AG20))/(6*$D$14*$D$15*$D$16)</f>
        <v>-1.1746747627694454E-2</v>
      </c>
      <c r="AI20">
        <f t="shared" si="0"/>
        <v>-3.5923676264889275E-3</v>
      </c>
      <c r="AJ20">
        <f t="shared" si="10"/>
        <v>-4.5645280547387821E-3</v>
      </c>
      <c r="AK20">
        <f t="shared" si="11"/>
        <v>2.1095124597494408E-3</v>
      </c>
      <c r="AL20">
        <f t="shared" si="2"/>
        <v>1.5222071382560011E-3</v>
      </c>
      <c r="AM20">
        <f t="shared" si="3"/>
        <v>-3.5984421374257187E-3</v>
      </c>
      <c r="AN20">
        <f t="shared" si="6"/>
        <v>1.5994395541194674E-2</v>
      </c>
      <c r="AP20" s="149"/>
    </row>
    <row r="21" spans="3:42" x14ac:dyDescent="0.2">
      <c r="C21" s="69" t="s">
        <v>299</v>
      </c>
      <c r="D21" s="247">
        <f>G6+J6-G21</f>
        <v>8156.6396296660068</v>
      </c>
      <c r="F21" t="s">
        <v>300</v>
      </c>
      <c r="G21" s="246">
        <f xml:space="preserve"> (G6*D11+J6*(D11+D12))/SUM(D11:D13)</f>
        <v>5597.6251601089089</v>
      </c>
      <c r="J21">
        <f>D33+J17</f>
        <v>63.625</v>
      </c>
      <c r="M21" s="69" t="s">
        <v>249</v>
      </c>
      <c r="N21" s="77">
        <f>32*N20/(PI()*N19^3)</f>
        <v>84.111405290406353</v>
      </c>
      <c r="P21" s="172" t="s">
        <v>301</v>
      </c>
      <c r="Q21" s="165"/>
      <c r="R21" s="162"/>
      <c r="S21" s="165"/>
      <c r="T21" s="173"/>
      <c r="U21" s="203"/>
      <c r="AG21">
        <v>34</v>
      </c>
      <c r="AH21">
        <f t="shared" si="12"/>
        <v>-1.1924806123610793E-2</v>
      </c>
      <c r="AI21">
        <f t="shared" si="0"/>
        <v>-3.7249288769801311E-3</v>
      </c>
      <c r="AJ21">
        <f t="shared" si="10"/>
        <v>-4.6337176743470685E-3</v>
      </c>
      <c r="AK21">
        <f t="shared" si="11"/>
        <v>2.2036960694414892E-3</v>
      </c>
      <c r="AL21">
        <f t="shared" si="2"/>
        <v>1.5783778041605569E-3</v>
      </c>
      <c r="AM21">
        <f t="shared" si="3"/>
        <v>-3.7032843437524842E-3</v>
      </c>
      <c r="AN21">
        <f t="shared" si="6"/>
        <v>1.6299128074539943E-2</v>
      </c>
      <c r="AP21" s="149"/>
    </row>
    <row r="22" spans="3:42" x14ac:dyDescent="0.2">
      <c r="C22" s="69" t="s">
        <v>302</v>
      </c>
      <c r="D22" s="161">
        <f>'Cuscinetti 1'!C32</f>
        <v>2549.0117177431753</v>
      </c>
      <c r="F22" t="s">
        <v>303</v>
      </c>
      <c r="G22" s="196">
        <f>D22+G8-J8</f>
        <v>4250.8426664885837</v>
      </c>
      <c r="I22" s="161">
        <f>D22+G8</f>
        <v>6365.323654388998</v>
      </c>
      <c r="M22" s="69" t="s">
        <v>256</v>
      </c>
      <c r="N22" s="77">
        <f>16*J10/(PI()*N19^3)</f>
        <v>36.999633419545923</v>
      </c>
      <c r="P22" s="174" t="s">
        <v>304</v>
      </c>
      <c r="Q22" s="165"/>
      <c r="R22" s="162"/>
      <c r="S22" s="165"/>
      <c r="T22" s="173"/>
      <c r="U22" s="162"/>
      <c r="AG22">
        <v>36</v>
      </c>
      <c r="AH22">
        <f t="shared" si="12"/>
        <v>-1.2029984583375125E-2</v>
      </c>
      <c r="AI22">
        <f t="shared" si="0"/>
        <v>-3.8407698136232698E-3</v>
      </c>
      <c r="AJ22">
        <f t="shared" si="10"/>
        <v>-4.674587713064564E-3</v>
      </c>
      <c r="AK22">
        <f t="shared" si="11"/>
        <v>2.2775442240914705E-3</v>
      </c>
      <c r="AL22">
        <f t="shared" si="2"/>
        <v>1.6274635100221226E-3</v>
      </c>
      <c r="AM22">
        <f t="shared" si="3"/>
        <v>-3.7862973814860972E-3</v>
      </c>
      <c r="AN22">
        <f t="shared" si="6"/>
        <v>1.6511718979354842E-2</v>
      </c>
      <c r="AP22" s="149"/>
    </row>
    <row r="23" spans="3:42" ht="16" thickBot="1" x14ac:dyDescent="0.25">
      <c r="C23" s="71" t="s">
        <v>305</v>
      </c>
      <c r="D23" s="197">
        <f>G7-J7-G23</f>
        <v>56.814616149447829</v>
      </c>
      <c r="E23" s="78"/>
      <c r="F23" s="78" t="s">
        <v>306</v>
      </c>
      <c r="G23" s="198">
        <f xml:space="preserve"> (G7*D11+G9+J9-J7*(D11+D12))/D14</f>
        <v>2406.4600759243513</v>
      </c>
      <c r="I23">
        <f>I22*4/PI()/D4^2</f>
        <v>9.005090879784678</v>
      </c>
      <c r="M23" s="69" t="s">
        <v>261</v>
      </c>
      <c r="N23" s="77">
        <f>1.6*SQRT(N21^2+3*N22^2)</f>
        <v>169.18929229074016</v>
      </c>
      <c r="P23" s="175" t="s">
        <v>307</v>
      </c>
      <c r="Q23" s="176"/>
      <c r="R23" s="177"/>
      <c r="S23" s="176"/>
      <c r="T23" s="178"/>
      <c r="U23" s="162"/>
      <c r="AG23">
        <v>38</v>
      </c>
      <c r="AH23">
        <f t="shared" si="12"/>
        <v>-1.2065169345052884E-2</v>
      </c>
      <c r="AI23">
        <f t="shared" si="0"/>
        <v>-3.9389068885449284E-3</v>
      </c>
      <c r="AJ23">
        <f t="shared" si="10"/>
        <v>-4.6882597384513003E-3</v>
      </c>
      <c r="AK23">
        <f t="shared" si="11"/>
        <v>2.3318622882555064E-3</v>
      </c>
      <c r="AL23">
        <f t="shared" si="2"/>
        <v>1.6690474934852287E-3</v>
      </c>
      <c r="AM23">
        <f t="shared" si="3"/>
        <v>-3.8461971818857833E-3</v>
      </c>
      <c r="AN23">
        <f t="shared" si="6"/>
        <v>1.6633806111310951E-2</v>
      </c>
      <c r="AP23" s="149"/>
    </row>
    <row r="24" spans="3:42" x14ac:dyDescent="0.2">
      <c r="M24" s="69"/>
      <c r="N24" s="70"/>
      <c r="AG24">
        <v>40</v>
      </c>
      <c r="AH24">
        <f>($G$6*$D$11*($D$14-AG24)^3-$G$6*$D$11*($D$14^2-$D$11^2)*($D$14-AG24))/(6*$D$14*$D$15*$D$16)</f>
        <v>-1.2033246746709487E-2</v>
      </c>
      <c r="AI24">
        <f t="shared" si="0"/>
        <v>-4.0183565538716923E-3</v>
      </c>
      <c r="AJ24">
        <f t="shared" si="10"/>
        <v>-4.6758553180673082E-3</v>
      </c>
      <c r="AK24">
        <f t="shared" si="11"/>
        <v>2.3674556264897183E-3</v>
      </c>
      <c r="AL24">
        <f t="shared" si="2"/>
        <v>1.7027129921944051E-3</v>
      </c>
      <c r="AM24">
        <f t="shared" si="3"/>
        <v>-3.8816996762107685E-3</v>
      </c>
      <c r="AN24">
        <f t="shared" si="6"/>
        <v>1.6667051478983765E-2</v>
      </c>
      <c r="AP24" s="149"/>
    </row>
    <row r="25" spans="3:42" ht="16" thickBot="1" x14ac:dyDescent="0.25">
      <c r="M25" s="71" t="s">
        <v>270</v>
      </c>
      <c r="N25" s="72">
        <f>Materiali!G3/'Albero 1'!N23</f>
        <v>4.3442465539542132</v>
      </c>
      <c r="AG25">
        <v>42</v>
      </c>
      <c r="AH25">
        <f t="shared" si="12"/>
        <v>-1.1937103126410368E-2</v>
      </c>
      <c r="AI25">
        <f t="shared" si="0"/>
        <v>-4.0781352617301446E-3</v>
      </c>
      <c r="AJ25">
        <f t="shared" si="10"/>
        <v>-4.6384960194726195E-3</v>
      </c>
      <c r="AK25">
        <f t="shared" si="11"/>
        <v>2.3851296033502276E-3</v>
      </c>
      <c r="AL25">
        <f t="shared" si="2"/>
        <v>1.7280432437941813E-3</v>
      </c>
      <c r="AM25">
        <f t="shared" si="3"/>
        <v>-3.8915207957202799E-3</v>
      </c>
      <c r="AN25">
        <f t="shared" si="6"/>
        <v>1.6613138513449404E-2</v>
      </c>
      <c r="AP25" s="149"/>
    </row>
    <row r="26" spans="3:42" ht="16" thickBot="1" x14ac:dyDescent="0.25">
      <c r="C26" s="81" t="s">
        <v>308</v>
      </c>
      <c r="D26" s="81"/>
      <c r="E26" s="81"/>
      <c r="F26" s="81"/>
      <c r="G26" s="81"/>
      <c r="K26" s="68"/>
      <c r="AG26">
        <v>44</v>
      </c>
      <c r="AH26">
        <f t="shared" si="12"/>
        <v>-1.1779624822220945E-2</v>
      </c>
      <c r="AI26">
        <f t="shared" si="0"/>
        <v>-4.11725946424687E-3</v>
      </c>
      <c r="AJ26">
        <f t="shared" si="10"/>
        <v>-4.5773034102272658E-3</v>
      </c>
      <c r="AK26">
        <f t="shared" si="11"/>
        <v>2.3856895833931557E-3</v>
      </c>
      <c r="AL26">
        <f t="shared" si="2"/>
        <v>1.744621485929088E-3</v>
      </c>
      <c r="AM26">
        <f t="shared" si="3"/>
        <v>-3.8743764716735437E-3</v>
      </c>
      <c r="AN26">
        <f t="shared" si="6"/>
        <v>1.6473771833787003E-2</v>
      </c>
      <c r="AP26" s="149"/>
    </row>
    <row r="27" spans="3:42" ht="16" thickBot="1" x14ac:dyDescent="0.25">
      <c r="C27" s="79"/>
      <c r="D27" s="79" t="s">
        <v>309</v>
      </c>
      <c r="E27" s="79" t="s">
        <v>310</v>
      </c>
      <c r="F27" s="79" t="s">
        <v>311</v>
      </c>
      <c r="G27" s="79" t="s">
        <v>312</v>
      </c>
      <c r="J27" s="216" t="s">
        <v>212</v>
      </c>
      <c r="K27" s="15" t="s">
        <v>313</v>
      </c>
      <c r="M27" s="155" t="s">
        <v>212</v>
      </c>
      <c r="N27" s="156" t="s">
        <v>314</v>
      </c>
      <c r="AG27">
        <v>46</v>
      </c>
      <c r="AH27">
        <f t="shared" si="12"/>
        <v>-1.1563698172206649E-2</v>
      </c>
      <c r="AI27">
        <f t="shared" si="0"/>
        <v>-4.1347456135484529E-3</v>
      </c>
      <c r="AJ27">
        <f t="shared" si="10"/>
        <v>-4.4933990578912763E-3</v>
      </c>
      <c r="AK27">
        <f t="shared" si="11"/>
        <v>2.369940931174624E-3</v>
      </c>
      <c r="AL27">
        <f t="shared" si="2"/>
        <v>1.7520309562436547E-3</v>
      </c>
      <c r="AM27">
        <f t="shared" si="3"/>
        <v>-3.828982635329786E-3</v>
      </c>
      <c r="AN27">
        <f t="shared" si="6"/>
        <v>1.6250679365220309E-2</v>
      </c>
      <c r="AP27" s="149"/>
    </row>
    <row r="28" spans="3:42" ht="16" thickBot="1" x14ac:dyDescent="0.25">
      <c r="C28" s="79" t="s">
        <v>252</v>
      </c>
      <c r="D28" s="79">
        <f>0</f>
        <v>0</v>
      </c>
      <c r="E28" s="79">
        <v>0</v>
      </c>
      <c r="F28" s="79">
        <f>0</f>
        <v>0</v>
      </c>
      <c r="G28" s="79">
        <f>SQRT(E28^2+F28^2)</f>
        <v>0</v>
      </c>
      <c r="J28" s="215"/>
      <c r="K28" s="223"/>
      <c r="M28" s="157"/>
      <c r="N28" s="158"/>
      <c r="P28" s="297" t="s">
        <v>214</v>
      </c>
      <c r="Q28" s="299"/>
      <c r="R28" s="299"/>
      <c r="S28" s="299"/>
      <c r="T28" s="298"/>
      <c r="AG28">
        <v>48</v>
      </c>
      <c r="AH28">
        <f t="shared" si="12"/>
        <v>-1.1292209514432905E-2</v>
      </c>
      <c r="AI28">
        <f t="shared" si="0"/>
        <v>-4.1296101617614789E-3</v>
      </c>
      <c r="AJ28">
        <f t="shared" si="10"/>
        <v>-4.3879045300246845E-3</v>
      </c>
      <c r="AK28">
        <f t="shared" si="11"/>
        <v>2.3386890112507544E-3</v>
      </c>
      <c r="AL28">
        <f t="shared" si="2"/>
        <v>1.7498548923824118E-3</v>
      </c>
      <c r="AM28">
        <f t="shared" si="3"/>
        <v>-3.754055217948232E-3</v>
      </c>
      <c r="AN28">
        <f t="shared" si="6"/>
        <v>1.5945617019488486E-2</v>
      </c>
      <c r="AP28" s="149"/>
    </row>
    <row r="29" spans="3:42" x14ac:dyDescent="0.2">
      <c r="C29" s="79" t="s">
        <v>287</v>
      </c>
      <c r="D29" s="79">
        <f>D11</f>
        <v>25.75</v>
      </c>
      <c r="E29" s="79">
        <f>-D21*D11</f>
        <v>-210033.47046389966</v>
      </c>
      <c r="F29" s="79">
        <f>D23*D11</f>
        <v>1462.9763658482816</v>
      </c>
      <c r="G29" s="79">
        <f t="shared" ref="G29:G35" si="13">SQRT(E29^2+F29^2)</f>
        <v>210038.56554203763</v>
      </c>
      <c r="J29" s="271" t="s">
        <v>315</v>
      </c>
      <c r="K29" s="258"/>
      <c r="M29" s="271" t="s">
        <v>316</v>
      </c>
      <c r="N29" s="258"/>
      <c r="P29" s="69"/>
      <c r="T29" s="70"/>
      <c r="AG29">
        <v>50</v>
      </c>
      <c r="AH29">
        <f t="shared" si="12"/>
        <v>-1.0968045186965139E-2</v>
      </c>
      <c r="AI29">
        <f t="shared" si="0"/>
        <v>-4.1008695610125325E-3</v>
      </c>
      <c r="AJ29">
        <f t="shared" si="10"/>
        <v>-4.261941394187522E-3</v>
      </c>
      <c r="AK29">
        <f t="shared" si="11"/>
        <v>2.2927391881776681E-3</v>
      </c>
      <c r="AL29">
        <f t="shared" si="2"/>
        <v>1.7376765319898891E-3</v>
      </c>
      <c r="AM29">
        <f t="shared" si="3"/>
        <v>-3.64831015078811E-3</v>
      </c>
      <c r="AN29">
        <f t="shared" si="6"/>
        <v>1.5560376528518941E-2</v>
      </c>
      <c r="AP29" s="149"/>
    </row>
    <row r="30" spans="3:42" x14ac:dyDescent="0.2">
      <c r="C30" s="79" t="s">
        <v>289</v>
      </c>
      <c r="D30" s="79">
        <f>D29</f>
        <v>25.75</v>
      </c>
      <c r="E30" s="79">
        <f>E29</f>
        <v>-210033.47046389966</v>
      </c>
      <c r="F30" s="79">
        <f>D23*D11+G9</f>
        <v>74800.9228193944</v>
      </c>
      <c r="G30" s="79">
        <f>SQRT(E30^2+F30^2)</f>
        <v>222955.68342103955</v>
      </c>
      <c r="J30" s="259"/>
      <c r="K30" s="261"/>
      <c r="M30" s="12"/>
      <c r="N30" s="7"/>
      <c r="P30" s="288" t="s">
        <v>315</v>
      </c>
      <c r="Q30" s="254"/>
      <c r="R30" s="254"/>
      <c r="S30" s="254"/>
      <c r="T30" s="289"/>
      <c r="AG30">
        <v>52</v>
      </c>
      <c r="AH30">
        <f t="shared" si="12"/>
        <v>-1.0594091527868775E-2</v>
      </c>
      <c r="AI30">
        <f t="shared" si="0"/>
        <v>-4.0475402634281938E-3</v>
      </c>
      <c r="AJ30">
        <f t="shared" si="10"/>
        <v>-4.116631217939818E-3</v>
      </c>
      <c r="AK30">
        <f t="shared" si="11"/>
        <v>2.2328968265114871E-3</v>
      </c>
      <c r="AL30">
        <f t="shared" si="2"/>
        <v>1.7150791127106164E-3</v>
      </c>
      <c r="AM30">
        <f t="shared" si="3"/>
        <v>-3.5104633651086448E-3</v>
      </c>
      <c r="AN30">
        <f t="shared" si="6"/>
        <v>1.5096797524881519E-2</v>
      </c>
      <c r="AP30" s="149"/>
    </row>
    <row r="31" spans="3:42" x14ac:dyDescent="0.2">
      <c r="C31" s="79" t="s">
        <v>317</v>
      </c>
      <c r="D31" s="79">
        <f>D30+(G4/2)+G13</f>
        <v>45.25</v>
      </c>
      <c r="E31" s="79">
        <f>(E33-E30)/($D$33-$D$30)*($D$31-$D$30)+E30</f>
        <v>-170047.73954337963</v>
      </c>
      <c r="F31" s="79">
        <f>(F33-F30)/($D$33-$D$30)*($D$31-$D$30)+F30</f>
        <v>-1433.8424549576739</v>
      </c>
      <c r="G31" s="79">
        <f>SQRT(E31^2+F31^2)</f>
        <v>170053.78451536654</v>
      </c>
      <c r="J31" s="12" t="s">
        <v>232</v>
      </c>
      <c r="K31" s="7">
        <v>30</v>
      </c>
      <c r="M31" s="12" t="s">
        <v>232</v>
      </c>
      <c r="N31" s="7">
        <v>30</v>
      </c>
      <c r="P31" s="69" t="s">
        <v>232</v>
      </c>
      <c r="Q31">
        <f>N45</f>
        <v>30</v>
      </c>
      <c r="T31" s="70"/>
      <c r="AG31">
        <v>54</v>
      </c>
      <c r="AH31">
        <f t="shared" si="12"/>
        <v>-1.0173234875209243E-2</v>
      </c>
      <c r="AI31">
        <f t="shared" si="0"/>
        <v>-3.9686387211350536E-3</v>
      </c>
      <c r="AJ31">
        <f t="shared" si="10"/>
        <v>-3.953095568841606E-3</v>
      </c>
      <c r="AK31">
        <f t="shared" si="11"/>
        <v>2.1599672908083315E-3</v>
      </c>
      <c r="AL31">
        <f t="shared" si="2"/>
        <v>1.6816458721891239E-3</v>
      </c>
      <c r="AM31">
        <f t="shared" si="3"/>
        <v>-3.3392307921690633E-3</v>
      </c>
      <c r="AN31">
        <f t="shared" si="6"/>
        <v>1.455678571628787E-2</v>
      </c>
      <c r="AP31" s="149"/>
    </row>
    <row r="32" spans="3:42" x14ac:dyDescent="0.2">
      <c r="C32" s="79" t="s">
        <v>318</v>
      </c>
      <c r="D32" s="79">
        <f>D31+8</f>
        <v>53.25</v>
      </c>
      <c r="E32" s="79">
        <f>(E34-E31)/($D$33-$D$30)*($D$31-$D$30)+E31</f>
        <v>-153337.28483032651</v>
      </c>
      <c r="F32" s="79">
        <f>(F34-F31)/($D$33-$D$30)*($D$31-$D$30)+F31</f>
        <v>34770.357776532706</v>
      </c>
      <c r="G32" s="79">
        <f>SQRT(E32^2+F32^2)</f>
        <v>157230.08840245803</v>
      </c>
      <c r="J32" s="12" t="s">
        <v>235</v>
      </c>
      <c r="K32" s="132">
        <f>G31*1.6</f>
        <v>272086.05522458645</v>
      </c>
      <c r="M32" s="12" t="s">
        <v>235</v>
      </c>
      <c r="N32" s="132">
        <f>K32</f>
        <v>272086.05522458645</v>
      </c>
      <c r="P32" s="69" t="s">
        <v>236</v>
      </c>
      <c r="Q32" s="68">
        <f>32*G31/(PI()*Q31^3)</f>
        <v>64.153837978322002</v>
      </c>
      <c r="T32" s="70"/>
      <c r="AG32">
        <v>56</v>
      </c>
      <c r="AH32">
        <f t="shared" si="12"/>
        <v>-9.7083615670519631E-3</v>
      </c>
      <c r="AI32">
        <f t="shared" si="0"/>
        <v>-3.8631813862596925E-3</v>
      </c>
      <c r="AJ32">
        <f t="shared" si="10"/>
        <v>-3.7724560144529167E-3</v>
      </c>
      <c r="AK32">
        <f t="shared" si="11"/>
        <v>2.0747559456243242E-3</v>
      </c>
      <c r="AL32">
        <f t="shared" si="2"/>
        <v>1.6369600480699417E-3</v>
      </c>
      <c r="AM32">
        <f t="shared" si="3"/>
        <v>-3.1333283632285921E-3</v>
      </c>
      <c r="AN32">
        <f t="shared" si="6"/>
        <v>1.3942340225915093E-2</v>
      </c>
      <c r="AP32" s="149"/>
    </row>
    <row r="33" spans="3:44" x14ac:dyDescent="0.2">
      <c r="C33" s="79" t="s">
        <v>319</v>
      </c>
      <c r="D33" s="79">
        <f>D11+D12</f>
        <v>59.25</v>
      </c>
      <c r="E33" s="79">
        <f>G6*D12-D21*(D11+D12)</f>
        <v>-141340.03529274988</v>
      </c>
      <c r="F33" s="79">
        <f>D23*(D11+D12)+G9-G7*D12</f>
        <v>-56166.494446800192</v>
      </c>
      <c r="G33" s="79">
        <f t="shared" si="13"/>
        <v>152091.02759531286</v>
      </c>
      <c r="J33" s="12" t="s">
        <v>237</v>
      </c>
      <c r="K33" s="187">
        <f>Q36</f>
        <v>2.2999999999999998</v>
      </c>
      <c r="M33" s="12" t="s">
        <v>237</v>
      </c>
      <c r="N33" s="220">
        <f>'Dati FEM'!L18</f>
        <v>2.515532142591602</v>
      </c>
      <c r="O33" s="147"/>
      <c r="P33" s="69" t="s">
        <v>238</v>
      </c>
      <c r="Q33">
        <f>-G8/(PI()*D4^2/4)</f>
        <v>-5.3989769697581043</v>
      </c>
      <c r="T33" s="70"/>
      <c r="AG33">
        <v>58</v>
      </c>
      <c r="AH33">
        <f t="shared" si="12"/>
        <v>-9.202357941462366E-3</v>
      </c>
      <c r="AI33">
        <f t="shared" si="0"/>
        <v>-3.7301847109286949E-3</v>
      </c>
      <c r="AJ33">
        <f t="shared" si="10"/>
        <v>-3.5758341223337802E-3</v>
      </c>
      <c r="AK33">
        <f t="shared" si="11"/>
        <v>1.9780681555155851E-3</v>
      </c>
      <c r="AL33">
        <f t="shared" si="2"/>
        <v>1.5806048779975997E-3</v>
      </c>
      <c r="AM33">
        <f t="shared" si="3"/>
        <v>-2.8914720095464565E-3</v>
      </c>
      <c r="AN33">
        <f t="shared" si="6"/>
        <v>1.3255595269803251E-2</v>
      </c>
      <c r="AP33" s="149"/>
    </row>
    <row r="34" spans="3:44" x14ac:dyDescent="0.2">
      <c r="C34" s="79" t="s">
        <v>320</v>
      </c>
      <c r="D34" s="79">
        <f>D33</f>
        <v>59.25</v>
      </c>
      <c r="E34" s="79">
        <f>E33</f>
        <v>-141340.03529274988</v>
      </c>
      <c r="F34" s="79">
        <f>D23*(D11+D12)+G9+J9-G7*D12</f>
        <v>60763.116917089908</v>
      </c>
      <c r="G34" s="79">
        <f t="shared" si="13"/>
        <v>153847.85326430693</v>
      </c>
      <c r="J34" s="12" t="s">
        <v>244</v>
      </c>
      <c r="K34" s="187">
        <f>Q37</f>
        <v>1.75</v>
      </c>
      <c r="M34" s="12" t="s">
        <v>244</v>
      </c>
      <c r="N34" s="220">
        <f>'Dati FEM'!L19</f>
        <v>1.8211679241514191</v>
      </c>
      <c r="O34" s="147"/>
      <c r="P34" s="69" t="s">
        <v>245</v>
      </c>
      <c r="Q34">
        <v>0</v>
      </c>
      <c r="T34" s="70"/>
      <c r="AF34" t="s">
        <v>319</v>
      </c>
      <c r="AG34">
        <v>59</v>
      </c>
      <c r="AH34">
        <f t="shared" si="12"/>
        <v>-8.9348342402758938E-3</v>
      </c>
      <c r="AI34">
        <f t="shared" si="0"/>
        <v>-3.6530517618818914E-3</v>
      </c>
      <c r="AJ34">
        <f t="shared" si="10"/>
        <v>-3.4718802894878045E-3</v>
      </c>
      <c r="AK34">
        <f t="shared" si="11"/>
        <v>1.9256722700382301E-3</v>
      </c>
      <c r="AL34">
        <f t="shared" si="2"/>
        <v>1.5479210499929094E-3</v>
      </c>
      <c r="AM34">
        <f t="shared" si="3"/>
        <v>-2.7566598394457736E-3</v>
      </c>
      <c r="AN34">
        <f t="shared" si="6"/>
        <v>1.2885829655990399E-2</v>
      </c>
      <c r="AP34" s="149"/>
      <c r="AQ34" s="149"/>
      <c r="AR34" s="149"/>
    </row>
    <row r="35" spans="3:44" x14ac:dyDescent="0.2">
      <c r="C35" s="79" t="s">
        <v>267</v>
      </c>
      <c r="D35" s="79">
        <f>SUM(D11:D13)</f>
        <v>84.5</v>
      </c>
      <c r="E35" s="79">
        <v>0</v>
      </c>
      <c r="F35" s="79">
        <f>0</f>
        <v>0</v>
      </c>
      <c r="G35" s="79">
        <f t="shared" si="13"/>
        <v>0</v>
      </c>
      <c r="J35" s="12" t="s">
        <v>249</v>
      </c>
      <c r="K35" s="8">
        <f>32*K32/(PI()*K31^3)</f>
        <v>102.6461407653152</v>
      </c>
      <c r="M35" s="12" t="s">
        <v>249</v>
      </c>
      <c r="N35" s="8">
        <f>K35</f>
        <v>102.6461407653152</v>
      </c>
      <c r="P35" s="69" t="s">
        <v>250</v>
      </c>
      <c r="Q35" s="68">
        <f>16*J10/(PI()*Q31^3)*Q37</f>
        <v>64.749358484205359</v>
      </c>
      <c r="S35" s="254" t="s">
        <v>321</v>
      </c>
      <c r="T35" s="289"/>
      <c r="AF35" t="s">
        <v>320</v>
      </c>
      <c r="AG35">
        <v>60</v>
      </c>
      <c r="AH35">
        <f t="shared" si="12"/>
        <v>-8.6581103365058754E-3</v>
      </c>
      <c r="AI35">
        <f t="shared" ref="AI35:AI53" si="14">(J$6*(D$11+D$12)*(D$14-AG35)^3 -J$6*(D$11+D$12)*(D$14^2-(D$11+D$12)^2)*(D$14-AG35))/(6*D$14*D$16*D$15)</f>
        <v>-3.5686940762660845E-3</v>
      </c>
      <c r="AJ35">
        <f t="shared" si="10"/>
        <v>-3.3643514600442291E-3</v>
      </c>
      <c r="AK35">
        <f t="shared" si="11"/>
        <v>1.8707092850382375E-3</v>
      </c>
      <c r="AL35">
        <f t="shared" ref="AL35:AL48" si="15">-(J$7*(D$11+D$12)*(D$14-AG35)^3 -J$7*(D$11+D$12)*(D$14^2-(D$11+D$12)^2)*(D$14-AG35))/(6*D$14*D$16*D$15)</f>
        <v>1.512175857807041E-3</v>
      </c>
      <c r="AM35">
        <f t="shared" ref="AM35:AM53" si="16">-J$9*(D$14-AG35)*((D$14-AG35)^2 + 3*D$13^2 -6*D$13*D$14 +2*D$14^2)/(6*D$14*D$15*D$16)</f>
        <v>-2.6161922494028151E-3</v>
      </c>
      <c r="AN35">
        <f t="shared" si="6"/>
        <v>1.2499703043545451E-2</v>
      </c>
      <c r="AP35" s="149"/>
    </row>
    <row r="36" spans="3:44" x14ac:dyDescent="0.2">
      <c r="J36" s="12" t="s">
        <v>256</v>
      </c>
      <c r="K36" s="8">
        <f>16*J10/(PI()*K31^3)*1.6</f>
        <v>59.199413471273481</v>
      </c>
      <c r="M36" s="12" t="s">
        <v>256</v>
      </c>
      <c r="N36" s="8">
        <f>K36</f>
        <v>59.199413471273481</v>
      </c>
      <c r="P36" s="69" t="s">
        <v>257</v>
      </c>
      <c r="Q36">
        <v>2.2999999999999998</v>
      </c>
      <c r="T36" s="70"/>
      <c r="AG36">
        <v>62</v>
      </c>
      <c r="AH36">
        <f t="shared" si="12"/>
        <v>-8.0785050902479182E-3</v>
      </c>
      <c r="AI36">
        <f t="shared" si="14"/>
        <v>-3.3790652398353453E-3</v>
      </c>
      <c r="AJ36">
        <f t="shared" si="10"/>
        <v>-3.1391295951442946E-3</v>
      </c>
      <c r="AK36">
        <f t="shared" si="11"/>
        <v>1.7534846987484016E-3</v>
      </c>
      <c r="AL36">
        <f t="shared" si="15"/>
        <v>1.4318237339582432E-3</v>
      </c>
      <c r="AM36">
        <f t="shared" si="16"/>
        <v>-2.3460462562755091E-3</v>
      </c>
      <c r="AN36">
        <f t="shared" si="6"/>
        <v>1.1686116036239869E-2</v>
      </c>
      <c r="AP36" s="149"/>
    </row>
    <row r="37" spans="3:44" x14ac:dyDescent="0.2">
      <c r="J37" s="12" t="s">
        <v>261</v>
      </c>
      <c r="K37" s="8">
        <f>SQRT((K35*K33)^2+3*(K36*K34)^2)</f>
        <v>296.53819283414435</v>
      </c>
      <c r="M37" s="12" t="s">
        <v>261</v>
      </c>
      <c r="N37" s="8">
        <f>SQRT((N35*N33)^2+3*(N36*N34)^2)</f>
        <v>318.6574352546171</v>
      </c>
      <c r="P37" s="69" t="s">
        <v>244</v>
      </c>
      <c r="Q37">
        <v>1.75</v>
      </c>
      <c r="S37" t="s">
        <v>262</v>
      </c>
      <c r="T37" s="70">
        <v>30</v>
      </c>
      <c r="AG37">
        <v>64</v>
      </c>
      <c r="AH37">
        <f t="shared" si="12"/>
        <v>-7.4664285407539189E-3</v>
      </c>
      <c r="AI37">
        <f t="shared" si="14"/>
        <v>-3.1634722002610977E-3</v>
      </c>
      <c r="AJ37">
        <f t="shared" si="10"/>
        <v>-2.9012900951940076E-3</v>
      </c>
      <c r="AK37">
        <f t="shared" si="11"/>
        <v>1.6271997612021995E-3</v>
      </c>
      <c r="AL37">
        <f t="shared" si="15"/>
        <v>1.3404697028790301E-3</v>
      </c>
      <c r="AM37">
        <f t="shared" si="16"/>
        <v>-2.0903460364819072E-3</v>
      </c>
      <c r="AN37">
        <f t="shared" si="6"/>
        <v>1.0820870151488093E-2</v>
      </c>
      <c r="AP37" s="149"/>
    </row>
    <row r="38" spans="3:44" x14ac:dyDescent="0.2">
      <c r="J38" s="12"/>
      <c r="K38" s="7"/>
      <c r="M38" s="259"/>
      <c r="N38" s="261"/>
      <c r="P38" s="69"/>
      <c r="S38" t="s">
        <v>267</v>
      </c>
      <c r="T38" s="70">
        <v>37</v>
      </c>
      <c r="AG38">
        <v>66</v>
      </c>
      <c r="AH38">
        <f t="shared" si="12"/>
        <v>-6.824767026089305E-3</v>
      </c>
      <c r="AI38">
        <f t="shared" si="14"/>
        <v>-2.9242228867116557E-3</v>
      </c>
      <c r="AJ38">
        <f t="shared" si="10"/>
        <v>-2.6519545277533993E-3</v>
      </c>
      <c r="AK38">
        <f t="shared" si="11"/>
        <v>1.492659836955752E-3</v>
      </c>
      <c r="AL38">
        <f t="shared" si="15"/>
        <v>1.2390917118787733E-3</v>
      </c>
      <c r="AM38">
        <f t="shared" si="16"/>
        <v>-1.847807521281236E-3</v>
      </c>
      <c r="AN38">
        <f t="shared" si="6"/>
        <v>9.9080101659572758E-3</v>
      </c>
      <c r="AP38" s="149"/>
    </row>
    <row r="39" spans="3:44" ht="16" thickBot="1" x14ac:dyDescent="0.25">
      <c r="J39" s="13" t="s">
        <v>270</v>
      </c>
      <c r="K39" s="14">
        <f>Materiali!G3/'Albero 1'!K37</f>
        <v>2.4786014677410879</v>
      </c>
      <c r="M39" s="13" t="s">
        <v>270</v>
      </c>
      <c r="N39" s="14">
        <f>Materiali!G3/'Albero 1'!N37</f>
        <v>2.3065521738499917</v>
      </c>
      <c r="P39" s="69" t="s">
        <v>271</v>
      </c>
      <c r="Q39">
        <f>0.5*Materiali!F3</f>
        <v>515</v>
      </c>
      <c r="S39" t="s">
        <v>272</v>
      </c>
      <c r="T39" s="70">
        <v>1</v>
      </c>
      <c r="AG39">
        <v>68</v>
      </c>
      <c r="AH39">
        <f t="shared" si="12"/>
        <v>-6.156406884319501E-3</v>
      </c>
      <c r="AI39">
        <f t="shared" si="14"/>
        <v>-2.6636252283553296E-3</v>
      </c>
      <c r="AJ39">
        <f t="shared" si="10"/>
        <v>-2.3922444603825016E-3</v>
      </c>
      <c r="AK39">
        <f t="shared" si="11"/>
        <v>1.3506702905651815E-3</v>
      </c>
      <c r="AL39">
        <f t="shared" si="15"/>
        <v>1.128667708266842E-3</v>
      </c>
      <c r="AM39">
        <f t="shared" si="16"/>
        <v>-1.6171466419327215E-3</v>
      </c>
      <c r="AN39">
        <f t="shared" si="6"/>
        <v>8.9517612215749918E-3</v>
      </c>
      <c r="AP39" s="149"/>
    </row>
    <row r="40" spans="3:44" x14ac:dyDescent="0.2">
      <c r="P40" s="69" t="s">
        <v>275</v>
      </c>
      <c r="Q40">
        <f>T42*T43*Q39/T45</f>
        <v>188.04170984455959</v>
      </c>
      <c r="S40" t="s">
        <v>276</v>
      </c>
      <c r="T40" s="83">
        <f>T39/T37</f>
        <v>3.3333333333333333E-2</v>
      </c>
      <c r="AG40">
        <v>70</v>
      </c>
      <c r="AH40">
        <f t="shared" si="12"/>
        <v>-5.4642344535099337E-3</v>
      </c>
      <c r="AI40">
        <f t="shared" si="14"/>
        <v>-2.3839871543604313E-3</v>
      </c>
      <c r="AJ40">
        <f t="shared" si="10"/>
        <v>-2.1232814606413452E-3</v>
      </c>
      <c r="AK40">
        <f t="shared" si="11"/>
        <v>1.2020364865866085E-3</v>
      </c>
      <c r="AL40">
        <f t="shared" si="15"/>
        <v>1.0101756393526068E-3</v>
      </c>
      <c r="AM40">
        <f t="shared" si="16"/>
        <v>-1.3970793296955901E-3</v>
      </c>
      <c r="AN40">
        <f t="shared" si="6"/>
        <v>7.9564964233265912E-3</v>
      </c>
      <c r="AP40" s="149"/>
    </row>
    <row r="41" spans="3:44" ht="16" thickBot="1" x14ac:dyDescent="0.25">
      <c r="P41" s="69" t="s">
        <v>282</v>
      </c>
      <c r="Q41">
        <f>Materiali!G3/SQRT(3)</f>
        <v>424.35244785437499</v>
      </c>
      <c r="S41" t="s">
        <v>283</v>
      </c>
      <c r="T41" s="83">
        <f>T38/T37</f>
        <v>1.2333333333333334</v>
      </c>
      <c r="AG41">
        <v>72</v>
      </c>
      <c r="AH41">
        <f t="shared" si="12"/>
        <v>-4.7511360717260292E-3</v>
      </c>
      <c r="AI41">
        <f t="shared" si="14"/>
        <v>-2.0876165938952728E-3</v>
      </c>
      <c r="AJ41">
        <f t="shared" si="10"/>
        <v>-1.8461870960899626E-3</v>
      </c>
      <c r="AK41">
        <f t="shared" si="11"/>
        <v>1.0475637895761554E-3</v>
      </c>
      <c r="AL41">
        <f t="shared" si="15"/>
        <v>8.8459345244543781E-4</v>
      </c>
      <c r="AM41">
        <f t="shared" si="16"/>
        <v>-1.1863215158290682E-3</v>
      </c>
      <c r="AN41">
        <f t="shared" si="6"/>
        <v>6.9267099808478791E-3</v>
      </c>
      <c r="AP41" s="149"/>
    </row>
    <row r="42" spans="3:44" x14ac:dyDescent="0.2">
      <c r="M42" s="73" t="s">
        <v>212</v>
      </c>
      <c r="N42" s="74" t="s">
        <v>314</v>
      </c>
      <c r="P42" s="69" t="s">
        <v>285</v>
      </c>
      <c r="Q42">
        <f>Q40/Q41</f>
        <v>0.44312625223524071</v>
      </c>
      <c r="S42" t="s">
        <v>286</v>
      </c>
      <c r="T42" s="70">
        <v>0.9</v>
      </c>
      <c r="AG42">
        <v>74</v>
      </c>
      <c r="AH42">
        <f t="shared" si="12"/>
        <v>-4.0199980770332117E-3</v>
      </c>
      <c r="AI42">
        <f t="shared" si="14"/>
        <v>-1.7768214761281667E-3</v>
      </c>
      <c r="AJ42">
        <f t="shared" si="10"/>
        <v>-1.5620829342883834E-3</v>
      </c>
      <c r="AK42">
        <f t="shared" si="11"/>
        <v>8.8805756408994266E-4</v>
      </c>
      <c r="AL42">
        <f t="shared" si="15"/>
        <v>7.5289909485470516E-4</v>
      </c>
      <c r="AM42">
        <f t="shared" si="16"/>
        <v>-9.8358913159238173E-4</v>
      </c>
      <c r="AN42">
        <f t="shared" si="6"/>
        <v>5.8669947076387986E-3</v>
      </c>
      <c r="AP42" s="149"/>
    </row>
    <row r="43" spans="3:44" x14ac:dyDescent="0.2">
      <c r="M43" s="69"/>
      <c r="N43" s="70"/>
      <c r="P43" s="69"/>
      <c r="S43" t="s">
        <v>288</v>
      </c>
      <c r="T43" s="70">
        <v>0.87</v>
      </c>
      <c r="AG43">
        <v>76</v>
      </c>
      <c r="AH43">
        <f t="shared" si="12"/>
        <v>-3.27370680749691E-3</v>
      </c>
      <c r="AI43">
        <f t="shared" si="14"/>
        <v>-1.453909730227423E-3</v>
      </c>
      <c r="AJ43">
        <f t="shared" si="10"/>
        <v>-1.2720905427966403E-3</v>
      </c>
      <c r="AK43">
        <f t="shared" si="11"/>
        <v>7.243231746840923E-4</v>
      </c>
      <c r="AL43">
        <f t="shared" si="15"/>
        <v>6.1607051388977907E-4</v>
      </c>
      <c r="AM43">
        <f t="shared" si="16"/>
        <v>-7.8759810824475748E-4</v>
      </c>
      <c r="AN43">
        <f t="shared" si="6"/>
        <v>4.7820229370838198E-3</v>
      </c>
      <c r="AP43" s="149"/>
    </row>
    <row r="44" spans="3:44" x14ac:dyDescent="0.2">
      <c r="M44" s="69" t="s">
        <v>322</v>
      </c>
      <c r="N44" s="70"/>
      <c r="P44" s="69" t="s">
        <v>291</v>
      </c>
      <c r="Q44">
        <f>SQRT(Q32^2+(Q42^2)*(Q35^2))</f>
        <v>70.277691035269385</v>
      </c>
      <c r="S44" t="s">
        <v>292</v>
      </c>
      <c r="T44" s="70">
        <f>1/(1+SQRT((140/Materiali!F3)^2/T39))</f>
        <v>0.88034188034188043</v>
      </c>
      <c r="AG44">
        <v>78</v>
      </c>
      <c r="AH44">
        <f t="shared" si="12"/>
        <v>-2.5151486011825478E-3</v>
      </c>
      <c r="AI44">
        <f t="shared" si="14"/>
        <v>-1.1211892853613549E-3</v>
      </c>
      <c r="AJ44">
        <f t="shared" si="10"/>
        <v>-9.7733148917476397E-4</v>
      </c>
      <c r="AK44">
        <f t="shared" si="11"/>
        <v>5.5716598591472582E-4</v>
      </c>
      <c r="AL44">
        <f t="shared" si="15"/>
        <v>4.7508565686002978E-4</v>
      </c>
      <c r="AM44">
        <f t="shared" si="16"/>
        <v>-5.9706437704542138E-4</v>
      </c>
      <c r="AN44">
        <f t="shared" si="6"/>
        <v>3.676530101077621E-3</v>
      </c>
      <c r="AP44" s="149"/>
    </row>
    <row r="45" spans="3:44" ht="16" thickBot="1" x14ac:dyDescent="0.25">
      <c r="M45" s="69" t="s">
        <v>232</v>
      </c>
      <c r="N45" s="70">
        <v>30</v>
      </c>
      <c r="P45" s="71" t="s">
        <v>270</v>
      </c>
      <c r="Q45" s="78">
        <f>Q40/Q44</f>
        <v>2.6756956165533308</v>
      </c>
      <c r="R45" s="78"/>
      <c r="S45" s="78" t="s">
        <v>294</v>
      </c>
      <c r="T45" s="72">
        <f>1+T44*(Q36-1)</f>
        <v>2.1444444444444444</v>
      </c>
      <c r="AG45">
        <v>80</v>
      </c>
      <c r="AH45">
        <f>($G$6*$D$11*($D$14-AG45)^3-$G$6*$D$11*($D$14^2-$D$11^2)*($D$14-AG45))/(6*$D$14*$D$15*$D$16)</f>
        <v>-1.7472097961555506E-3</v>
      </c>
      <c r="AI45">
        <f t="shared" si="14"/>
        <v>-7.8096807069827324E-4</v>
      </c>
      <c r="AJ45">
        <f t="shared" si="10"/>
        <v>-6.789273409827858E-4</v>
      </c>
      <c r="AK45">
        <f t="shared" si="11"/>
        <v>3.873913623379646E-4</v>
      </c>
      <c r="AL45">
        <f t="shared" si="15"/>
        <v>3.3092247107482735E-4</v>
      </c>
      <c r="AM45">
        <f t="shared" si="16"/>
        <v>-4.1070386925359977E-4</v>
      </c>
      <c r="AN45">
        <f t="shared" si="6"/>
        <v>2.5553003582320234E-3</v>
      </c>
      <c r="AP45" s="149"/>
    </row>
    <row r="46" spans="3:44" x14ac:dyDescent="0.2">
      <c r="M46" s="69" t="s">
        <v>235</v>
      </c>
      <c r="N46" s="70">
        <f>G33</f>
        <v>152091.02759531286</v>
      </c>
      <c r="O46" s="116"/>
      <c r="P46" s="84" t="s">
        <v>298</v>
      </c>
      <c r="T46" s="82"/>
      <c r="AG46">
        <v>82</v>
      </c>
      <c r="AH46">
        <f t="shared" si="12"/>
        <v>-9.7277673048134573E-4</v>
      </c>
      <c r="AI46">
        <f t="shared" si="14"/>
        <v>-4.3555401540649021E-4</v>
      </c>
      <c r="AJ46">
        <f t="shared" si="10"/>
        <v>-3.7799966578073714E-4</v>
      </c>
      <c r="AK46">
        <f t="shared" si="11"/>
        <v>2.1580466850992997E-4</v>
      </c>
      <c r="AL46">
        <f t="shared" si="15"/>
        <v>1.8455890384354209E-4</v>
      </c>
      <c r="AM46">
        <f t="shared" si="16"/>
        <v>-2.2723251612851906E-4</v>
      </c>
      <c r="AN46">
        <f t="shared" si="6"/>
        <v>1.4231537643537709E-3</v>
      </c>
      <c r="AP46" s="149"/>
    </row>
    <row r="47" spans="3:44" x14ac:dyDescent="0.2">
      <c r="M47" s="69" t="s">
        <v>249</v>
      </c>
      <c r="N47" s="77">
        <f>32*N46/(PI()*N45^3)</f>
        <v>57.377277254447172</v>
      </c>
      <c r="P47" s="87" t="s">
        <v>301</v>
      </c>
      <c r="Q47" s="80"/>
      <c r="S47" s="80"/>
      <c r="T47" s="88"/>
      <c r="AG47">
        <v>84</v>
      </c>
      <c r="AH47">
        <f t="shared" si="12"/>
        <v>-1.9473574222535824E-4</v>
      </c>
      <c r="AI47">
        <f t="shared" si="14"/>
        <v>-8.7255048654317531E-5</v>
      </c>
      <c r="AJ47">
        <f t="shared" si="10"/>
        <v>-7.5670031128649394E-5</v>
      </c>
      <c r="AK47">
        <f t="shared" si="11"/>
        <v>4.3211268986743581E-5</v>
      </c>
      <c r="AL47">
        <f t="shared" si="15"/>
        <v>3.6972902475544048E-5</v>
      </c>
      <c r="AM47">
        <f t="shared" si="16"/>
        <v>-4.5366248929405449E-5</v>
      </c>
      <c r="AN47">
        <f t="shared" si="6"/>
        <v>2.8493455549944335E-4</v>
      </c>
      <c r="AP47" s="149"/>
    </row>
    <row r="48" spans="3:44" x14ac:dyDescent="0.2">
      <c r="M48" s="69" t="s">
        <v>256</v>
      </c>
      <c r="N48" s="77">
        <f>16*J10/(PI()*N45^3)</f>
        <v>36.999633419545923</v>
      </c>
      <c r="P48" s="89" t="s">
        <v>304</v>
      </c>
      <c r="Q48" s="80"/>
      <c r="S48" s="80"/>
      <c r="T48" s="88"/>
      <c r="AG48">
        <v>84.5</v>
      </c>
      <c r="AH48">
        <f t="shared" si="12"/>
        <v>0</v>
      </c>
      <c r="AI48">
        <f t="shared" si="14"/>
        <v>0</v>
      </c>
      <c r="AJ48">
        <f t="shared" si="10"/>
        <v>0</v>
      </c>
      <c r="AK48">
        <f t="shared" si="11"/>
        <v>0</v>
      </c>
      <c r="AL48">
        <f t="shared" si="15"/>
        <v>0</v>
      </c>
      <c r="AM48">
        <f t="shared" si="16"/>
        <v>0</v>
      </c>
      <c r="AN48">
        <f t="shared" si="6"/>
        <v>0</v>
      </c>
      <c r="AP48" s="149"/>
    </row>
    <row r="49" spans="3:40" x14ac:dyDescent="0.2">
      <c r="M49" s="69" t="s">
        <v>261</v>
      </c>
      <c r="N49" s="77">
        <f>1.6*SQRT(N47^2+3*N48^2)</f>
        <v>137.62856042831612</v>
      </c>
      <c r="P49" s="90" t="s">
        <v>307</v>
      </c>
      <c r="Q49" s="85"/>
      <c r="R49" s="86"/>
      <c r="S49" s="85"/>
      <c r="T49" s="91"/>
      <c r="AG49">
        <v>86</v>
      </c>
      <c r="AH49">
        <f t="shared" si="12"/>
        <v>5.8402683054698565E-4</v>
      </c>
      <c r="AI49">
        <f t="shared" si="14"/>
        <v>2.6162090038993308E-4</v>
      </c>
      <c r="AJ49">
        <f t="shared" si="10"/>
        <v>2.269399954134462E-4</v>
      </c>
      <c r="AK49">
        <f t="shared" si="11"/>
        <v>-1.2958347167547316E-4</v>
      </c>
      <c r="AL49">
        <f>(J$7*(D$11+D$12)*(D$14-AG49)^3 -J$7*(D$11+D$12)*(D$14^2-(D$11+D$12)^2)*(D$14-AG49))/(6*D$14*D$16*D$15)</f>
        <v>1.1085758571979652E-4</v>
      </c>
      <c r="AM49">
        <f t="shared" si="16"/>
        <v>1.3617900108451469E-4</v>
      </c>
      <c r="AN49">
        <f>SQRT(SUMSQ(SUM(AH49:AI49),SUM(AJ49:AM49)))</f>
        <v>9.1308635923868092E-4</v>
      </c>
    </row>
    <row r="50" spans="3:40" x14ac:dyDescent="0.2">
      <c r="M50" s="69"/>
      <c r="N50" s="70"/>
      <c r="AG50">
        <v>88</v>
      </c>
      <c r="AH50">
        <f t="shared" si="12"/>
        <v>1.3606246497702601E-3</v>
      </c>
      <c r="AI50">
        <f t="shared" si="14"/>
        <v>6.0876590255794986E-4</v>
      </c>
      <c r="AJ50">
        <f t="shared" si="10"/>
        <v>5.2870884628551846E-4</v>
      </c>
      <c r="AK50">
        <f t="shared" si="11"/>
        <v>-3.0177418892059882E-4</v>
      </c>
      <c r="AL50">
        <f>(J$7*(D$11+D$12)*(D$14-AG50)^3 -J$7*(D$11+D$12)*(D$14^2-(D$11+D$12)^2)*(D$14-AG50))/(6*D$14*D$16*D$15)</f>
        <v>2.579546134331095E-4</v>
      </c>
      <c r="AM50">
        <f t="shared" si="16"/>
        <v>3.1868730265401519E-4</v>
      </c>
      <c r="AN50">
        <f t="shared" si="6"/>
        <v>2.12702478993559E-3</v>
      </c>
    </row>
    <row r="51" spans="3:40" ht="16" thickBot="1" x14ac:dyDescent="0.25">
      <c r="M51" s="71" t="s">
        <v>270</v>
      </c>
      <c r="N51" s="72">
        <f>Materiali!G3/'Albero 1'!N49</f>
        <v>5.3404612946077057</v>
      </c>
      <c r="AG51">
        <v>90</v>
      </c>
      <c r="AH51">
        <f t="shared" si="12"/>
        <v>2.132171377379039E-3</v>
      </c>
      <c r="AI51">
        <f t="shared" si="14"/>
        <v>9.5187202868142115E-4</v>
      </c>
      <c r="AJ51">
        <f t="shared" si="10"/>
        <v>8.2851495392753563E-4</v>
      </c>
      <c r="AK51">
        <f t="shared" si="11"/>
        <v>-4.7255551819251184E-4</v>
      </c>
      <c r="AL51">
        <f>(J$7*(D$11+D$12)*(D$14-AG51)^3 -J$7*(D$11+D$12)*(D$14^2-(D$11+D$12)^2)*(D$14-AG51))/(6*D$14*D$16*D$15)</f>
        <v>4.0334023335502462E-4</v>
      </c>
      <c r="AM51">
        <f t="shared" si="16"/>
        <v>5.0344272451986966E-4</v>
      </c>
      <c r="AN51">
        <f t="shared" si="6"/>
        <v>3.3325428854081847E-3</v>
      </c>
    </row>
    <row r="52" spans="3:40" ht="16" thickBot="1" x14ac:dyDescent="0.25">
      <c r="I52" s="188"/>
      <c r="AG52">
        <v>92</v>
      </c>
      <c r="AH52">
        <f t="shared" si="12"/>
        <v>2.895780675307897E-3</v>
      </c>
      <c r="AI52">
        <f t="shared" si="14"/>
        <v>1.2886313495920349E-3</v>
      </c>
      <c r="AJ52">
        <f t="shared" si="10"/>
        <v>1.1252367507794668E-3</v>
      </c>
      <c r="AK52">
        <f t="shared" si="11"/>
        <v>-6.4112209493509087E-4</v>
      </c>
      <c r="AL52">
        <f>(J$7*(D$11+D$12)*(D$14-AG52)^3 -J$7*(D$11+D$12)*(D$14^2-(D$11+D$12)^2)*(D$14-AG52))/(6*D$14*D$16*D$15)</f>
        <v>5.4603649817617182E-4</v>
      </c>
      <c r="AM52">
        <f t="shared" si="16"/>
        <v>6.917293354228518E-4</v>
      </c>
      <c r="AN52">
        <f t="shared" si="6"/>
        <v>4.5248399324233548E-3</v>
      </c>
    </row>
    <row r="53" spans="3:40" x14ac:dyDescent="0.2">
      <c r="C53" s="277" t="s">
        <v>323</v>
      </c>
      <c r="D53" s="278"/>
      <c r="F53" s="271" t="s">
        <v>324</v>
      </c>
      <c r="G53" s="258"/>
      <c r="I53" s="7">
        <f>(SQRT((1/D57)^2+(1/G57^2)))^(-1)</f>
        <v>19965.649145898093</v>
      </c>
      <c r="AG53">
        <v>94</v>
      </c>
      <c r="AH53">
        <f t="shared" si="12"/>
        <v>3.6485662054914084E-3</v>
      </c>
      <c r="AI53">
        <f t="shared" si="14"/>
        <v>1.6167359361214798E-3</v>
      </c>
      <c r="AJ53">
        <f t="shared" si="10"/>
        <v>1.4177526692812806E-3</v>
      </c>
      <c r="AK53">
        <f t="shared" si="11"/>
        <v>-8.0666855459221446E-4</v>
      </c>
      <c r="AL53">
        <f>(J$7*(D$11+D$12)*(D$14-AG53)^3 -J$7*(D$11+D$12)*(D$14^2-(D$11+D$12)^2)*(D$14-AG53))/(6*D$14*D$16*D$15)</f>
        <v>6.850654605871807E-4</v>
      </c>
      <c r="AM53">
        <f t="shared" si="16"/>
        <v>8.8483120410373531E-4</v>
      </c>
      <c r="AN53">
        <f t="shared" si="6"/>
        <v>5.6991300917331395E-3</v>
      </c>
    </row>
    <row r="54" spans="3:40" ht="16" thickBot="1" x14ac:dyDescent="0.25">
      <c r="C54" s="12" t="s">
        <v>325</v>
      </c>
      <c r="D54" s="7">
        <f>3*D16*D15*D35/((D35-D30)^2*D30^2)</f>
        <v>954942.59551275452</v>
      </c>
      <c r="F54" s="12" t="s">
        <v>325</v>
      </c>
      <c r="G54" s="7">
        <f>3*D16*D15*D35/((D35-D30)^2*D30^2)</f>
        <v>954942.59551275452</v>
      </c>
      <c r="I54" s="10">
        <f>I53*60/(2*PI())</f>
        <v>190657.90521648957</v>
      </c>
    </row>
    <row r="55" spans="3:40" x14ac:dyDescent="0.2">
      <c r="C55" s="12" t="s">
        <v>326</v>
      </c>
      <c r="D55" s="7">
        <f>7680/1000^3*PI()*J3^2/4*J4</f>
        <v>2.0659060493452759</v>
      </c>
      <c r="F55" s="12" t="s">
        <v>326</v>
      </c>
      <c r="G55" s="7">
        <f>7680/1000^3*PI()*G3^2/4*G4</f>
        <v>0.32967238913593849</v>
      </c>
    </row>
    <row r="56" spans="3:40" x14ac:dyDescent="0.2">
      <c r="C56" s="64"/>
      <c r="D56" s="65"/>
      <c r="F56" s="136"/>
      <c r="G56" s="7"/>
    </row>
    <row r="57" spans="3:40" x14ac:dyDescent="0.2">
      <c r="C57" s="12" t="s">
        <v>327</v>
      </c>
      <c r="D57" s="7">
        <f>SQRT(1000*D54/D55)</f>
        <v>21499.746989447325</v>
      </c>
      <c r="F57" s="12" t="s">
        <v>327</v>
      </c>
      <c r="G57" s="7">
        <f>SQRT(1000*G54/G55)</f>
        <v>53820.452533765914</v>
      </c>
    </row>
    <row r="58" spans="3:40" ht="16" thickBot="1" x14ac:dyDescent="0.25">
      <c r="C58" s="13" t="s">
        <v>328</v>
      </c>
      <c r="D58" s="10">
        <f>D57*60/(2*PI())</f>
        <v>205307.46051573823</v>
      </c>
      <c r="F58" s="13" t="s">
        <v>328</v>
      </c>
      <c r="G58" s="10">
        <f>G57*60/(2*PI())</f>
        <v>513947.46361149411</v>
      </c>
    </row>
    <row r="59" spans="3:40" ht="16" thickBot="1" x14ac:dyDescent="0.25">
      <c r="I59" s="188"/>
    </row>
    <row r="60" spans="3:40" x14ac:dyDescent="0.2">
      <c r="C60" s="277" t="s">
        <v>329</v>
      </c>
      <c r="D60" s="278"/>
      <c r="F60" s="277" t="s">
        <v>330</v>
      </c>
      <c r="G60" s="278"/>
      <c r="I60" s="7">
        <f>D12</f>
        <v>33.5</v>
      </c>
    </row>
    <row r="61" spans="3:40" x14ac:dyDescent="0.2">
      <c r="C61" s="12" t="s">
        <v>331</v>
      </c>
      <c r="D61" s="7">
        <f>$D$16/(2*(1+0.3))</f>
        <v>79230.769230769234</v>
      </c>
      <c r="F61" s="12" t="s">
        <v>331</v>
      </c>
      <c r="G61" s="7">
        <f>$D$16/(2*(1+0.3))</f>
        <v>79230.769230769234</v>
      </c>
      <c r="I61" s="7">
        <f>SQRT((D63+G63)/(D63*G63)*(D61*D62)/I60*1000)</f>
        <v>57573.721578191093</v>
      </c>
    </row>
    <row r="62" spans="3:40" ht="16" thickBot="1" x14ac:dyDescent="0.25">
      <c r="C62" s="12" t="s">
        <v>332</v>
      </c>
      <c r="D62" s="7">
        <f>PI()*D10^4/32</f>
        <v>83701.315924413866</v>
      </c>
      <c r="F62" s="12" t="s">
        <v>332</v>
      </c>
      <c r="G62" s="7">
        <f>PI()*D10^4/32</f>
        <v>83701.315924413866</v>
      </c>
      <c r="I62" s="10">
        <f>I61*60/(2*PI())</f>
        <v>549788.54288193781</v>
      </c>
    </row>
    <row r="63" spans="3:40" x14ac:dyDescent="0.2">
      <c r="C63" s="12" t="s">
        <v>333</v>
      </c>
      <c r="D63" s="7">
        <f>7680/1000^3*PI()/32*J3^4*J4</f>
        <v>3158.799167961668</v>
      </c>
      <c r="F63" s="12" t="s">
        <v>333</v>
      </c>
      <c r="G63" s="7">
        <f>7680/1000^3*PI()/32*G3^4*G4</f>
        <v>60.872668208994064</v>
      </c>
    </row>
    <row r="64" spans="3:40" x14ac:dyDescent="0.2">
      <c r="C64" s="12" t="s">
        <v>334</v>
      </c>
      <c r="D64" s="7">
        <f>I60</f>
        <v>33.5</v>
      </c>
      <c r="F64" s="12" t="s">
        <v>334</v>
      </c>
      <c r="G64" s="7">
        <f>I60</f>
        <v>33.5</v>
      </c>
    </row>
    <row r="65" spans="3:30" x14ac:dyDescent="0.2">
      <c r="C65" s="64"/>
      <c r="D65" s="65"/>
      <c r="F65" s="64"/>
      <c r="G65" s="65"/>
    </row>
    <row r="66" spans="3:30" x14ac:dyDescent="0.2">
      <c r="C66" s="12" t="s">
        <v>327</v>
      </c>
      <c r="D66" s="7">
        <f>SQRT(1000*D61*D62/(D63*D64))</f>
        <v>7916.435326666151</v>
      </c>
      <c r="F66" s="12" t="s">
        <v>327</v>
      </c>
      <c r="G66" s="7">
        <f>SQRT(1000*G61*G62/(G63*G64))</f>
        <v>57026.866195520328</v>
      </c>
    </row>
    <row r="67" spans="3:30" ht="16" thickBot="1" x14ac:dyDescent="0.25">
      <c r="C67" s="13" t="s">
        <v>328</v>
      </c>
      <c r="D67" s="10">
        <f>D66*60/(2*PI())</f>
        <v>75596.388834373269</v>
      </c>
      <c r="F67" s="13" t="s">
        <v>328</v>
      </c>
      <c r="G67" s="10">
        <f>G66*60/(2*PI())</f>
        <v>544566.45864343003</v>
      </c>
    </row>
    <row r="70" spans="3:30" x14ac:dyDescent="0.2">
      <c r="C70" s="205"/>
      <c r="D70" s="205" t="s">
        <v>331</v>
      </c>
      <c r="E70" s="205" t="s">
        <v>332</v>
      </c>
      <c r="F70" s="205" t="s">
        <v>333</v>
      </c>
      <c r="G70" s="205" t="s">
        <v>334</v>
      </c>
      <c r="H70" s="205" t="s">
        <v>328</v>
      </c>
    </row>
    <row r="71" spans="3:30" x14ac:dyDescent="0.2">
      <c r="C71" s="205" t="s">
        <v>335</v>
      </c>
      <c r="D71" s="290">
        <f>$D$16/(2*(1+0.3))</f>
        <v>79230.769230769234</v>
      </c>
      <c r="E71" s="290">
        <v>83701.315924413866</v>
      </c>
      <c r="F71" s="204">
        <v>3158.799167961668</v>
      </c>
      <c r="G71" s="291">
        <f>G64</f>
        <v>33.5</v>
      </c>
      <c r="H71" s="204">
        <f>D67</f>
        <v>75596.388834373269</v>
      </c>
    </row>
    <row r="72" spans="3:30" x14ac:dyDescent="0.2">
      <c r="C72" s="205" t="s">
        <v>336</v>
      </c>
      <c r="D72" s="290"/>
      <c r="E72" s="290"/>
      <c r="F72" s="206">
        <v>60.872668208994064</v>
      </c>
      <c r="G72" s="292"/>
      <c r="H72" s="205">
        <f>G67</f>
        <v>544566.45864343003</v>
      </c>
    </row>
    <row r="77" spans="3:30" x14ac:dyDescent="0.2">
      <c r="AC77" s="224" t="s">
        <v>264</v>
      </c>
      <c r="AD77" s="224" t="s">
        <v>337</v>
      </c>
    </row>
    <row r="78" spans="3:30" x14ac:dyDescent="0.2">
      <c r="C78" s="283" t="s">
        <v>338</v>
      </c>
      <c r="D78" s="283"/>
      <c r="F78" s="283" t="s">
        <v>339</v>
      </c>
      <c r="G78" s="283"/>
      <c r="AC78" s="224"/>
      <c r="AD78" s="224"/>
    </row>
    <row r="79" spans="3:30" x14ac:dyDescent="0.2">
      <c r="C79" s="3" t="s">
        <v>234</v>
      </c>
      <c r="D79" s="202">
        <v>10207.18993328242</v>
      </c>
      <c r="F79" s="3" t="s">
        <v>340</v>
      </c>
      <c r="G79" s="202">
        <v>1503.0150663501142</v>
      </c>
      <c r="AC79" s="224" t="s">
        <v>341</v>
      </c>
      <c r="AD79" s="224">
        <f>G22*4/(PI()*(N19)^2)</f>
        <v>6.0137122015785884</v>
      </c>
    </row>
    <row r="80" spans="3:30" x14ac:dyDescent="0.2">
      <c r="C80" s="3" t="s">
        <v>342</v>
      </c>
      <c r="D80" s="202">
        <v>3547.0748564924966</v>
      </c>
      <c r="F80" s="3" t="s">
        <v>343</v>
      </c>
      <c r="G80" s="202">
        <v>3966.2897584239131</v>
      </c>
      <c r="AC80" s="224" t="s">
        <v>344</v>
      </c>
      <c r="AD80" s="225">
        <f>32*N46/(PI()*N45^3)</f>
        <v>57.377277254447172</v>
      </c>
    </row>
    <row r="81" spans="6:30" x14ac:dyDescent="0.2">
      <c r="F81" s="3" t="s">
        <v>248</v>
      </c>
      <c r="G81" s="202">
        <v>116929.61136389009</v>
      </c>
      <c r="AC81" s="224"/>
      <c r="AD81" s="224"/>
    </row>
    <row r="82" spans="6:30" x14ac:dyDescent="0.2">
      <c r="F82" s="3" t="s">
        <v>345</v>
      </c>
      <c r="G82" s="202">
        <v>73337.946453546116</v>
      </c>
      <c r="AC82" s="224" t="s">
        <v>346</v>
      </c>
      <c r="AD82" s="224">
        <f>AD80+AD79</f>
        <v>63.390989456025764</v>
      </c>
    </row>
    <row r="83" spans="6:30" x14ac:dyDescent="0.2">
      <c r="AC83" s="224"/>
      <c r="AD83" s="224"/>
    </row>
    <row r="84" spans="6:30" x14ac:dyDescent="0.2">
      <c r="AC84" s="224" t="s">
        <v>256</v>
      </c>
      <c r="AD84" s="225">
        <f>16*J10/(PI()*N45^3)</f>
        <v>36.999633419545923</v>
      </c>
    </row>
    <row r="85" spans="6:30" x14ac:dyDescent="0.2">
      <c r="AC85" s="224"/>
      <c r="AD85" s="224"/>
    </row>
    <row r="86" spans="6:30" x14ac:dyDescent="0.2">
      <c r="AC86" s="224" t="s">
        <v>347</v>
      </c>
      <c r="AD86" s="224">
        <f>SQRT((AD82)^2+(3*(AD84*N34)^2))</f>
        <v>132.81430606071882</v>
      </c>
    </row>
    <row r="87" spans="6:30" x14ac:dyDescent="0.2">
      <c r="AC87" s="224"/>
      <c r="AD87" s="224"/>
    </row>
    <row r="88" spans="6:30" x14ac:dyDescent="0.2">
      <c r="AC88" s="224" t="s">
        <v>270</v>
      </c>
      <c r="AD88" s="224">
        <f>Materiali!G3/AD86</f>
        <v>5.5340423919692769</v>
      </c>
    </row>
  </sheetData>
  <mergeCells count="31">
    <mergeCell ref="P2:T2"/>
    <mergeCell ref="AH1:AN1"/>
    <mergeCell ref="C53:D53"/>
    <mergeCell ref="C2:D2"/>
    <mergeCell ref="I2:J2"/>
    <mergeCell ref="C9:D9"/>
    <mergeCell ref="C19:G19"/>
    <mergeCell ref="W2:AD2"/>
    <mergeCell ref="F2:G2"/>
    <mergeCell ref="X7:Y7"/>
    <mergeCell ref="Z7:AC7"/>
    <mergeCell ref="Z14:AC14"/>
    <mergeCell ref="P28:T28"/>
    <mergeCell ref="S35:T35"/>
    <mergeCell ref="S9:T9"/>
    <mergeCell ref="X14:Y14"/>
    <mergeCell ref="C78:D78"/>
    <mergeCell ref="F78:G78"/>
    <mergeCell ref="P4:T4"/>
    <mergeCell ref="AD7:AD8"/>
    <mergeCell ref="C60:D60"/>
    <mergeCell ref="F60:G60"/>
    <mergeCell ref="F53:G53"/>
    <mergeCell ref="P30:T30"/>
    <mergeCell ref="M29:N29"/>
    <mergeCell ref="J29:K29"/>
    <mergeCell ref="D71:D72"/>
    <mergeCell ref="E71:E72"/>
    <mergeCell ref="G71:G72"/>
    <mergeCell ref="J30:K30"/>
    <mergeCell ref="M38:N38"/>
  </mergeCells>
  <conditionalFormatting sqref="K39">
    <cfRule type="cellIs" dxfId="67" priority="10" operator="lessThan">
      <formula>1.5</formula>
    </cfRule>
    <cfRule type="cellIs" dxfId="66" priority="11" operator="greaterThan">
      <formula>1.5</formula>
    </cfRule>
  </conditionalFormatting>
  <conditionalFormatting sqref="N13">
    <cfRule type="cellIs" dxfId="65" priority="22" operator="lessThan">
      <formula>1.5</formula>
    </cfRule>
    <cfRule type="cellIs" dxfId="64" priority="23" operator="greaterThan">
      <formula>1.5</formula>
    </cfRule>
  </conditionalFormatting>
  <conditionalFormatting sqref="N25">
    <cfRule type="cellIs" dxfId="63" priority="35" operator="greaterThan">
      <formula>1.5</formula>
    </cfRule>
    <cfRule type="cellIs" dxfId="62" priority="34" operator="lessThan">
      <formula>1.5</formula>
    </cfRule>
  </conditionalFormatting>
  <conditionalFormatting sqref="N39">
    <cfRule type="cellIs" dxfId="61" priority="7" operator="greaterThan">
      <formula>1.5</formula>
    </cfRule>
    <cfRule type="cellIs" dxfId="60" priority="6" operator="lessThan">
      <formula>1.5</formula>
    </cfRule>
  </conditionalFormatting>
  <conditionalFormatting sqref="N51">
    <cfRule type="cellIs" dxfId="59" priority="18" operator="lessThan">
      <formula>1.5</formula>
    </cfRule>
    <cfRule type="cellIs" dxfId="58" priority="19" operator="greaterThan">
      <formula>1.5</formula>
    </cfRule>
  </conditionalFormatting>
  <conditionalFormatting sqref="Q19">
    <cfRule type="cellIs" dxfId="57" priority="36" operator="lessThan">
      <formula>1.5</formula>
    </cfRule>
    <cfRule type="cellIs" dxfId="56" priority="37" operator="greaterThan">
      <formula>1.5</formula>
    </cfRule>
  </conditionalFormatting>
  <conditionalFormatting sqref="Q45">
    <cfRule type="cellIs" dxfId="55" priority="8" operator="lessThan">
      <formula>1.5</formula>
    </cfRule>
    <cfRule type="cellIs" dxfId="54" priority="9" operator="greaterThan">
      <formula>1.5</formula>
    </cfRule>
  </conditionalFormatting>
  <conditionalFormatting sqref="X5 AD10:AD11">
    <cfRule type="cellIs" dxfId="53" priority="27" operator="lessThan">
      <formula>$X$4</formula>
    </cfRule>
    <cfRule type="cellIs" dxfId="52" priority="28" operator="greaterThan">
      <formula>$X$4</formula>
    </cfRule>
  </conditionalFormatting>
  <conditionalFormatting sqref="AD16:AD17">
    <cfRule type="cellIs" dxfId="51" priority="42" operator="greaterThan">
      <formula>$X$19</formula>
    </cfRule>
    <cfRule type="cellIs" dxfId="50" priority="41" operator="lessThan">
      <formula>$X$19</formula>
    </cfRule>
  </conditionalFormatting>
  <conditionalFormatting sqref="AD88">
    <cfRule type="cellIs" dxfId="49" priority="2" operator="greaterThan">
      <formula>1</formula>
    </cfRule>
  </conditionalFormatting>
  <conditionalFormatting sqref="AN3:AN53">
    <cfRule type="top10" dxfId="48" priority="56" rank="1"/>
  </conditionalFormatting>
  <conditionalFormatting sqref="AT3:CM3 AG3:AG53">
    <cfRule type="cellIs" dxfId="47" priority="25" operator="between">
      <formula>$D$11</formula>
      <formula>$D$11+$D$12</formula>
    </cfRule>
    <cfRule type="cellIs" dxfId="46" priority="24" operator="between">
      <formula>$D$11+$D$12</formula>
      <formula>$D$14</formula>
    </cfRule>
    <cfRule type="cellIs" dxfId="45" priority="26" operator="lessThan">
      <formula>$D$11</formula>
    </cfRule>
  </conditionalFormatting>
  <conditionalFormatting sqref="AT10:CM10">
    <cfRule type="top10" dxfId="44" priority="1" rank="1"/>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ellIs" priority="21" operator="greaterThan" id="{7BAFFAE8-9348-4697-B522-4A0C7502D838}">
            <xm:f>'Cuscinetti 1'!$G$33</xm:f>
            <x14:dxf>
              <font>
                <color rgb="FF006100"/>
              </font>
              <fill>
                <patternFill>
                  <bgColor rgb="FFC6EFCE"/>
                </patternFill>
              </fill>
            </x14:dxf>
          </x14:cfRule>
          <xm:sqref>D58</xm:sqref>
        </x14:conditionalFormatting>
        <x14:conditionalFormatting xmlns:xm="http://schemas.microsoft.com/office/excel/2006/main">
          <x14:cfRule type="cellIs" priority="20" operator="greaterThan" id="{088A9F3F-AACA-4948-ADBB-994C264306C2}">
            <xm:f>'Cuscinetti 1'!$G$33</xm:f>
            <x14:dxf>
              <font>
                <color rgb="FF006100"/>
              </font>
              <fill>
                <patternFill>
                  <bgColor rgb="FFC6EFCE"/>
                </patternFill>
              </fill>
            </x14:dxf>
          </x14:cfRule>
          <xm:sqref>D67</xm:sqref>
        </x14:conditionalFormatting>
        <x14:conditionalFormatting xmlns:xm="http://schemas.microsoft.com/office/excel/2006/main">
          <x14:cfRule type="cellIs" priority="14" operator="greaterThan" id="{D7363B84-303B-4B6E-A608-74E151383501}">
            <xm:f>'Cuscinetti 1'!$G$33</xm:f>
            <x14:dxf>
              <font>
                <color rgb="FF006100"/>
              </font>
              <fill>
                <patternFill>
                  <bgColor rgb="FFC6EFCE"/>
                </patternFill>
              </fill>
            </x14:dxf>
          </x14:cfRule>
          <xm:sqref>G58</xm:sqref>
        </x14:conditionalFormatting>
        <x14:conditionalFormatting xmlns:xm="http://schemas.microsoft.com/office/excel/2006/main">
          <x14:cfRule type="cellIs" priority="15" operator="greaterThan" id="{BE779E70-833B-4A90-BE3E-7F1B3FE95D3D}">
            <xm:f>'Cuscinetti 1'!$G$33</xm:f>
            <x14:dxf>
              <font>
                <color rgb="FF006100"/>
              </font>
              <fill>
                <patternFill>
                  <bgColor rgb="FFC6EFCE"/>
                </patternFill>
              </fill>
            </x14:dxf>
          </x14:cfRule>
          <xm:sqref>G67</xm:sqref>
        </x14:conditionalFormatting>
        <x14:conditionalFormatting xmlns:xm="http://schemas.microsoft.com/office/excel/2006/main">
          <x14:cfRule type="cellIs" priority="13" operator="greaterThan" id="{6EA4111D-F882-4CC6-BBA1-5AB07BE82749}">
            <xm:f>'Cuscinetti 1'!$G$33</xm:f>
            <x14:dxf>
              <font>
                <color rgb="FF006100"/>
              </font>
              <fill>
                <patternFill>
                  <bgColor rgb="FFC6EFCE"/>
                </patternFill>
              </fill>
            </x14:dxf>
          </x14:cfRule>
          <xm:sqref>I54</xm:sqref>
        </x14:conditionalFormatting>
        <x14:conditionalFormatting xmlns:xm="http://schemas.microsoft.com/office/excel/2006/main">
          <x14:cfRule type="cellIs" priority="12" operator="greaterThan" id="{CA336825-88AB-47AA-8F3A-AC48E47A667C}">
            <xm:f>'Cuscinetti 1'!$G$33</xm:f>
            <x14:dxf>
              <font>
                <color rgb="FF006100"/>
              </font>
              <fill>
                <patternFill>
                  <bgColor rgb="FFC6EFCE"/>
                </patternFill>
              </fill>
            </x14:dxf>
          </x14:cfRule>
          <xm:sqref>I62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C1036-56D0-478A-AF90-093E5D67C2C6}">
  <dimension ref="C1:AB126"/>
  <sheetViews>
    <sheetView zoomScale="70" zoomScaleNormal="70" workbookViewId="0">
      <selection activeCell="G36" sqref="G36"/>
    </sheetView>
  </sheetViews>
  <sheetFormatPr baseColWidth="10" defaultColWidth="8.83203125" defaultRowHeight="15" x14ac:dyDescent="0.2"/>
  <cols>
    <col min="3" max="3" width="9.5" bestFit="1" customWidth="1"/>
    <col min="4" max="4" width="9.33203125" bestFit="1" customWidth="1"/>
    <col min="6" max="6" width="10.6640625" customWidth="1"/>
    <col min="9" max="9" width="9.5" customWidth="1"/>
    <col min="10" max="10" width="9.5" bestFit="1" customWidth="1"/>
    <col min="12" max="12" width="7.5" customWidth="1"/>
    <col min="13" max="13" width="8.33203125" customWidth="1"/>
    <col min="26" max="26" width="9.6640625" customWidth="1"/>
  </cols>
  <sheetData>
    <row r="1" spans="3:13" ht="16" thickBot="1" x14ac:dyDescent="0.25"/>
    <row r="2" spans="3:13" ht="16" thickBot="1" x14ac:dyDescent="0.25">
      <c r="I2" s="249" t="s">
        <v>348</v>
      </c>
      <c r="J2" s="250"/>
      <c r="L2" s="274" t="s">
        <v>349</v>
      </c>
      <c r="M2" s="275"/>
    </row>
    <row r="3" spans="3:13" x14ac:dyDescent="0.2">
      <c r="C3" t="s">
        <v>156</v>
      </c>
      <c r="D3">
        <f>'Forze e verifica 3-4'!G26</f>
        <v>17.248477344557106</v>
      </c>
      <c r="I3" s="19" t="str" cm="1">
        <f t="array" ref="I3:J5">'Forze e verifica 3-4'!E6:F8</f>
        <v>Ft [N]</v>
      </c>
      <c r="J3" s="75">
        <v>3547.0748564924966</v>
      </c>
      <c r="L3" s="19" t="s">
        <v>350</v>
      </c>
      <c r="M3" s="75">
        <f>'Forze e verifica 3-4'!F12*1000/'Albero 2'!D8*2</f>
        <v>1083.9937384229702</v>
      </c>
    </row>
    <row r="4" spans="3:13" x14ac:dyDescent="0.2">
      <c r="C4" t="s">
        <v>191</v>
      </c>
      <c r="D4">
        <f>'Forze e verifica 3-4'!C6</f>
        <v>20.373477344557106</v>
      </c>
      <c r="F4" t="s">
        <v>351</v>
      </c>
      <c r="G4">
        <v>27</v>
      </c>
      <c r="I4" s="12" t="str">
        <v>Fr [N]</v>
      </c>
      <c r="J4" s="7">
        <v>1503.0150663501142</v>
      </c>
      <c r="L4" s="12" t="s">
        <v>352</v>
      </c>
      <c r="M4" s="7">
        <f>M3*TAN(RADIANS(20))</f>
        <v>394.54145491690491</v>
      </c>
    </row>
    <row r="5" spans="3:13" x14ac:dyDescent="0.2">
      <c r="C5" t="s">
        <v>288</v>
      </c>
      <c r="D5">
        <f>'Forze e verifica 3-4'!C19</f>
        <v>28</v>
      </c>
      <c r="F5" t="s">
        <v>353</v>
      </c>
      <c r="G5">
        <f>(1/G21)*((D6-1)*(D22-(D11-D12))+D6*(D11+D11-D12)+(G4+D3)/2*D20+D3*(D5+1))</f>
        <v>18.045801779160019</v>
      </c>
      <c r="I5" s="12" t="str">
        <v>Fa [N]</v>
      </c>
      <c r="J5" s="7">
        <v>2114.4809879004142</v>
      </c>
      <c r="L5" s="12" t="s">
        <v>354</v>
      </c>
      <c r="M5" s="7">
        <v>0</v>
      </c>
    </row>
    <row r="6" spans="3:13" x14ac:dyDescent="0.2">
      <c r="C6" t="s">
        <v>355</v>
      </c>
      <c r="D6">
        <v>15</v>
      </c>
      <c r="I6" s="64"/>
      <c r="J6" s="65"/>
      <c r="L6" s="281"/>
      <c r="M6" s="282"/>
    </row>
    <row r="7" spans="3:13" x14ac:dyDescent="0.2">
      <c r="C7" t="s">
        <v>356</v>
      </c>
      <c r="D7">
        <f>PI()*G5^4/64</f>
        <v>5205.6459737938485</v>
      </c>
      <c r="I7" s="12" t="s">
        <v>357</v>
      </c>
      <c r="J7" s="7">
        <f>J5*D4/2</f>
        <v>21539.66525124291</v>
      </c>
      <c r="L7" s="12" t="s">
        <v>357</v>
      </c>
      <c r="M7" s="7">
        <v>0</v>
      </c>
    </row>
    <row r="8" spans="3:13" ht="16" thickBot="1" x14ac:dyDescent="0.25">
      <c r="C8" t="s">
        <v>358</v>
      </c>
      <c r="D8">
        <f>'Pre-dime 5-6'!S11</f>
        <v>66.666666666666671</v>
      </c>
      <c r="I8" s="13" t="s">
        <v>359</v>
      </c>
      <c r="J8" s="10">
        <f>J3*D4/2</f>
        <v>36133.124614099012</v>
      </c>
      <c r="L8" s="13" t="s">
        <v>359</v>
      </c>
      <c r="M8" s="10">
        <f>M3*D8/2</f>
        <v>36133.124614099012</v>
      </c>
    </row>
    <row r="9" spans="3:13" ht="16" thickBot="1" x14ac:dyDescent="0.25"/>
    <row r="10" spans="3:13" x14ac:dyDescent="0.2">
      <c r="C10" s="271" t="s">
        <v>360</v>
      </c>
      <c r="D10" s="258"/>
      <c r="E10" s="5"/>
      <c r="F10" s="5"/>
      <c r="L10" s="254" t="s">
        <v>361</v>
      </c>
      <c r="M10" s="254"/>
    </row>
    <row r="11" spans="3:13" ht="16" thickBot="1" x14ac:dyDescent="0.25">
      <c r="C11" s="12" t="s">
        <v>362</v>
      </c>
      <c r="D11" s="7">
        <v>14.25</v>
      </c>
    </row>
    <row r="12" spans="3:13" x14ac:dyDescent="0.2">
      <c r="C12" s="12" t="s">
        <v>363</v>
      </c>
      <c r="D12" s="7">
        <v>9</v>
      </c>
      <c r="I12" s="271" t="s">
        <v>364</v>
      </c>
      <c r="J12" s="258"/>
      <c r="L12" s="271" t="s">
        <v>365</v>
      </c>
      <c r="M12" s="258"/>
    </row>
    <row r="13" spans="3:13" x14ac:dyDescent="0.2">
      <c r="C13" s="12" t="s">
        <v>224</v>
      </c>
      <c r="D13" s="7">
        <v>15</v>
      </c>
      <c r="I13" s="12" t="s">
        <v>366</v>
      </c>
      <c r="J13" s="7">
        <f>0</f>
        <v>0</v>
      </c>
      <c r="L13" s="12" t="s">
        <v>367</v>
      </c>
      <c r="M13" s="7">
        <f>-J5</f>
        <v>-2114.4809879004142</v>
      </c>
    </row>
    <row r="14" spans="3:13" ht="16" thickBot="1" x14ac:dyDescent="0.25">
      <c r="C14" s="13" t="s">
        <v>368</v>
      </c>
      <c r="D14" s="10">
        <v>32</v>
      </c>
      <c r="I14" s="12" t="s">
        <v>369</v>
      </c>
      <c r="J14" s="7">
        <f>M4+J4-M14</f>
        <v>1012.4971270456507</v>
      </c>
      <c r="L14" s="12" t="s">
        <v>370</v>
      </c>
      <c r="M14" s="7">
        <f>(-M4*D22+J4*(D19-D21)-J7)/D19</f>
        <v>885.05939422136851</v>
      </c>
    </row>
    <row r="15" spans="3:13" ht="16" thickBot="1" x14ac:dyDescent="0.25">
      <c r="I15" s="13" t="s">
        <v>371</v>
      </c>
      <c r="J15" s="10">
        <f>M3-J3-M15</f>
        <v>648.26857073916335</v>
      </c>
      <c r="L15" s="13" t="s">
        <v>372</v>
      </c>
      <c r="M15" s="10">
        <f>(M3*D22+J3*(D19-D21))/D19*(-1)</f>
        <v>-3111.3496888086897</v>
      </c>
    </row>
    <row r="16" spans="3:13" x14ac:dyDescent="0.2">
      <c r="C16" t="s">
        <v>373</v>
      </c>
      <c r="D16">
        <f>120-5+D17</f>
        <v>130</v>
      </c>
    </row>
    <row r="17" spans="3:12" x14ac:dyDescent="0.2">
      <c r="C17" t="s">
        <v>374</v>
      </c>
      <c r="D17">
        <f>(108-135/2)/3+1.5</f>
        <v>15</v>
      </c>
    </row>
    <row r="18" spans="3:12" x14ac:dyDescent="0.2">
      <c r="I18" s="3"/>
      <c r="J18" s="3" t="s">
        <v>375</v>
      </c>
      <c r="K18" s="3" t="s">
        <v>376</v>
      </c>
      <c r="L18" s="3" t="s">
        <v>377</v>
      </c>
    </row>
    <row r="19" spans="3:12" x14ac:dyDescent="0.2">
      <c r="C19" t="s">
        <v>273</v>
      </c>
      <c r="D19">
        <f>D16-D17-2*D12</f>
        <v>97</v>
      </c>
      <c r="I19" s="76">
        <v>0</v>
      </c>
      <c r="J19" s="3">
        <v>0</v>
      </c>
      <c r="K19" s="3">
        <v>0</v>
      </c>
      <c r="L19" s="3">
        <v>0</v>
      </c>
    </row>
    <row r="20" spans="3:12" x14ac:dyDescent="0.2">
      <c r="C20" t="s">
        <v>378</v>
      </c>
      <c r="D20">
        <f>D19-2*D12-D5</f>
        <v>51</v>
      </c>
      <c r="I20" s="76" t="s">
        <v>252</v>
      </c>
      <c r="J20" s="3">
        <f>D22</f>
        <v>24</v>
      </c>
      <c r="K20" s="3">
        <f>-M3*J20</f>
        <v>-26015.849722151284</v>
      </c>
      <c r="L20" s="3">
        <f>-M4*J20</f>
        <v>-9468.9949180057174</v>
      </c>
    </row>
    <row r="21" spans="3:12" x14ac:dyDescent="0.2">
      <c r="C21" t="s">
        <v>379</v>
      </c>
      <c r="D21">
        <f>(D11-D12)+D5/2</f>
        <v>19.25</v>
      </c>
      <c r="F21" t="s">
        <v>380</v>
      </c>
      <c r="G21">
        <f>D19+D22</f>
        <v>121</v>
      </c>
      <c r="I21" s="76" t="s">
        <v>319</v>
      </c>
      <c r="J21" s="3">
        <f>J22</f>
        <v>101.75</v>
      </c>
      <c r="K21" s="3">
        <f>K22</f>
        <v>-59893.481509567267</v>
      </c>
      <c r="L21" s="3">
        <f>-M4*(J21)+J14*(J21-J20)</f>
        <v>38577.058590004264</v>
      </c>
    </row>
    <row r="22" spans="3:12" x14ac:dyDescent="0.2">
      <c r="C22" t="s">
        <v>381</v>
      </c>
      <c r="D22">
        <f>D17+D12</f>
        <v>24</v>
      </c>
      <c r="I22" s="76" t="s">
        <v>320</v>
      </c>
      <c r="J22" s="3">
        <f>D22+(D19-D21)</f>
        <v>101.75</v>
      </c>
      <c r="K22" s="3">
        <f>-M3*J22+J15*(J22-J20)</f>
        <v>-59893.481509567267</v>
      </c>
      <c r="L22" s="3">
        <f>L21-J7</f>
        <v>17037.393338761354</v>
      </c>
    </row>
    <row r="23" spans="3:12" x14ac:dyDescent="0.2">
      <c r="I23" s="76"/>
      <c r="J23" s="3">
        <f>J22+D5/2</f>
        <v>115.75</v>
      </c>
      <c r="K23" s="3">
        <f>K22/(J24-J22)*(J24-J23)</f>
        <v>-16334.585866245619</v>
      </c>
      <c r="L23" s="3">
        <f>L22/(J24-J22)*(J24-J23)</f>
        <v>4646.5618196621872</v>
      </c>
    </row>
    <row r="24" spans="3:12" x14ac:dyDescent="0.2">
      <c r="C24" t="s">
        <v>92</v>
      </c>
      <c r="D24">
        <f>D19-D21-1</f>
        <v>76.75</v>
      </c>
      <c r="I24" s="76" t="s">
        <v>258</v>
      </c>
      <c r="J24" s="3">
        <f>D22+D19</f>
        <v>121</v>
      </c>
      <c r="K24" s="3">
        <f>-M3*J24+J15*(J24-J20)+J3*D21</f>
        <v>0</v>
      </c>
      <c r="L24" s="3">
        <f>L22-M14*D21</f>
        <v>0</v>
      </c>
    </row>
    <row r="25" spans="3:12" x14ac:dyDescent="0.2">
      <c r="C25" t="s">
        <v>50</v>
      </c>
      <c r="D25">
        <f>D19-D24</f>
        <v>20.25</v>
      </c>
    </row>
    <row r="27" spans="3:12" ht="16" thickBot="1" x14ac:dyDescent="0.25"/>
    <row r="28" spans="3:12" ht="16" thickBot="1" x14ac:dyDescent="0.25">
      <c r="C28" s="274" t="s">
        <v>382</v>
      </c>
      <c r="D28" s="275"/>
      <c r="F28" s="274" t="s">
        <v>383</v>
      </c>
      <c r="G28" s="275"/>
    </row>
    <row r="29" spans="3:12" x14ac:dyDescent="0.2">
      <c r="C29" s="19" t="s">
        <v>384</v>
      </c>
      <c r="D29" s="75">
        <f>SQRT(K21^2+L21^2)</f>
        <v>71241.972016455984</v>
      </c>
      <c r="F29" s="19" t="s">
        <v>384</v>
      </c>
      <c r="G29" s="75">
        <f>SQRT(L23^2+K23^2)</f>
        <v>16982.615586701995</v>
      </c>
    </row>
    <row r="30" spans="3:12" x14ac:dyDescent="0.2">
      <c r="C30" s="12" t="s">
        <v>359</v>
      </c>
      <c r="D30" s="7">
        <f>J8</f>
        <v>36133.124614099012</v>
      </c>
      <c r="F30" s="12" t="s">
        <v>359</v>
      </c>
      <c r="G30" s="7">
        <f>M8</f>
        <v>36133.124614099012</v>
      </c>
    </row>
    <row r="31" spans="3:12" x14ac:dyDescent="0.2">
      <c r="C31" s="12"/>
      <c r="D31" s="7"/>
      <c r="F31" s="12"/>
      <c r="G31" s="7"/>
      <c r="I31" t="s">
        <v>385</v>
      </c>
      <c r="K31" t="s">
        <v>272</v>
      </c>
      <c r="L31">
        <v>0.3</v>
      </c>
    </row>
    <row r="32" spans="3:12" x14ac:dyDescent="0.2">
      <c r="C32" s="12" t="s">
        <v>386</v>
      </c>
      <c r="D32" s="7">
        <f>32*D29/(PI()*D3^3)</f>
        <v>141.41118132404219</v>
      </c>
      <c r="F32" s="12" t="s">
        <v>386</v>
      </c>
      <c r="G32" s="7">
        <f>32*G29/(PI()*(D6+1)^3)</f>
        <v>42.232300269579547</v>
      </c>
      <c r="I32">
        <v>2.2000000000000002</v>
      </c>
      <c r="K32" t="s">
        <v>262</v>
      </c>
      <c r="L32">
        <v>15</v>
      </c>
    </row>
    <row r="33" spans="3:18" x14ac:dyDescent="0.2">
      <c r="C33" s="12" t="s">
        <v>387</v>
      </c>
      <c r="D33" s="7">
        <f>16*D30/(PI()*D3^3)</f>
        <v>35.86107804138485</v>
      </c>
      <c r="F33" s="12" t="s">
        <v>387</v>
      </c>
      <c r="G33" s="7">
        <f>16*G30/(PI()*(D6+1)^3)</f>
        <v>44.927854622572589</v>
      </c>
      <c r="I33">
        <v>1.5</v>
      </c>
      <c r="K33" t="s">
        <v>267</v>
      </c>
      <c r="L33">
        <v>16</v>
      </c>
    </row>
    <row r="34" spans="3:18" x14ac:dyDescent="0.2">
      <c r="C34" s="12"/>
      <c r="D34" s="7"/>
      <c r="F34" s="12"/>
      <c r="G34" s="7"/>
    </row>
    <row r="35" spans="3:18" x14ac:dyDescent="0.2">
      <c r="C35" s="12" t="s">
        <v>388</v>
      </c>
      <c r="D35" s="7">
        <f>SQRT(D32^2+3*D33^2)*1.6</f>
        <v>247.12191884438334</v>
      </c>
      <c r="F35" s="12" t="s">
        <v>388</v>
      </c>
      <c r="G35" s="7">
        <f>SQRT((G32*I32)^2+3*(G33*I33)^2)*1.6</f>
        <v>238.70274466962584</v>
      </c>
      <c r="K35" t="s">
        <v>283</v>
      </c>
      <c r="L35">
        <f>L33/L32</f>
        <v>1.0666666666666667</v>
      </c>
    </row>
    <row r="36" spans="3:18" ht="16" thickBot="1" x14ac:dyDescent="0.25">
      <c r="C36" s="13" t="s">
        <v>145</v>
      </c>
      <c r="D36" s="10">
        <f>Materiali!G3/D35</f>
        <v>2.9742404212345135</v>
      </c>
      <c r="F36" s="13" t="s">
        <v>145</v>
      </c>
      <c r="G36" s="10">
        <f>Materiali!G3/G35</f>
        <v>3.0791434803871627</v>
      </c>
      <c r="K36" t="s">
        <v>276</v>
      </c>
      <c r="L36">
        <f>L31/L32</f>
        <v>0.02</v>
      </c>
    </row>
    <row r="39" spans="3:18" x14ac:dyDescent="0.2">
      <c r="N39">
        <v>14.25</v>
      </c>
      <c r="P39">
        <f>135-15-N39</f>
        <v>105.75</v>
      </c>
      <c r="R39">
        <f>P39-N39/2-D5/2</f>
        <v>84.625</v>
      </c>
    </row>
    <row r="40" spans="3:18" ht="16" thickBot="1" x14ac:dyDescent="0.25">
      <c r="L40" s="16"/>
      <c r="N40">
        <f>15+N39/2</f>
        <v>22.125</v>
      </c>
    </row>
    <row r="41" spans="3:18" ht="16" thickBot="1" x14ac:dyDescent="0.25">
      <c r="C41" s="249" t="s">
        <v>389</v>
      </c>
      <c r="D41" s="304"/>
      <c r="E41" s="304"/>
      <c r="F41" s="304"/>
      <c r="G41" s="250"/>
      <c r="I41" s="274" t="s">
        <v>390</v>
      </c>
      <c r="J41" s="305"/>
      <c r="K41" s="305"/>
      <c r="L41" s="305"/>
      <c r="M41" s="275"/>
    </row>
    <row r="42" spans="3:18" x14ac:dyDescent="0.2">
      <c r="C42" s="19" t="s">
        <v>391</v>
      </c>
      <c r="D42" s="95">
        <f>32*D29/(PI()*D3^3)</f>
        <v>141.41118132404219</v>
      </c>
      <c r="E42" s="254"/>
      <c r="F42" s="95" t="s">
        <v>392</v>
      </c>
      <c r="G42" s="75">
        <f>[1]Materiali!F3*0.5</f>
        <v>515</v>
      </c>
      <c r="I42" s="19" t="s">
        <v>391</v>
      </c>
      <c r="J42" s="95">
        <f>32*G29/(PI()*D6^3)</f>
        <v>51.254370934577132</v>
      </c>
      <c r="K42" s="307"/>
      <c r="L42" s="95" t="s">
        <v>392</v>
      </c>
      <c r="M42" s="75">
        <f>Materiali!F3*0.5</f>
        <v>515</v>
      </c>
    </row>
    <row r="43" spans="3:18" x14ac:dyDescent="0.2">
      <c r="C43" s="12" t="s">
        <v>393</v>
      </c>
      <c r="D43" s="3">
        <f>16*D30/(PI()*D3^3)</f>
        <v>35.86107804138485</v>
      </c>
      <c r="E43" s="254"/>
      <c r="F43" s="3" t="s">
        <v>286</v>
      </c>
      <c r="G43" s="7">
        <v>0.9</v>
      </c>
      <c r="I43" s="12" t="s">
        <v>393</v>
      </c>
      <c r="J43" s="3">
        <f>16*G30/(PI()*D6^3) *I33</f>
        <v>81.788663348469925</v>
      </c>
      <c r="K43" s="307"/>
      <c r="L43" s="3" t="s">
        <v>286</v>
      </c>
      <c r="M43" s="7">
        <v>0.9</v>
      </c>
    </row>
    <row r="44" spans="3:18" x14ac:dyDescent="0.2">
      <c r="C44" s="12" t="s">
        <v>394</v>
      </c>
      <c r="D44" s="3">
        <f>M13/(PI()*D3^2/4)</f>
        <v>-9.0492456572108484</v>
      </c>
      <c r="E44" s="254"/>
      <c r="F44" s="3" t="s">
        <v>288</v>
      </c>
      <c r="G44" s="7">
        <v>0.95</v>
      </c>
      <c r="I44" s="12" t="s">
        <v>394</v>
      </c>
      <c r="J44" s="3">
        <f>M13/(PI()*D6^2/4)</f>
        <v>-11.965514712824358</v>
      </c>
      <c r="K44" s="307"/>
      <c r="L44" s="3" t="s">
        <v>288</v>
      </c>
      <c r="M44" s="7">
        <v>0.95</v>
      </c>
    </row>
    <row r="45" spans="3:18" x14ac:dyDescent="0.2">
      <c r="C45" s="259"/>
      <c r="D45" s="280"/>
      <c r="E45" s="254"/>
      <c r="F45" s="3" t="s">
        <v>395</v>
      </c>
      <c r="G45" s="7">
        <f>1+G49*(1-1)</f>
        <v>1</v>
      </c>
      <c r="I45" s="259"/>
      <c r="J45" s="280"/>
      <c r="K45" s="307"/>
      <c r="L45" s="3" t="s">
        <v>395</v>
      </c>
      <c r="M45" s="7">
        <f>1+M49*(I32-1)</f>
        <v>1.9614159060143506</v>
      </c>
    </row>
    <row r="46" spans="3:18" x14ac:dyDescent="0.2">
      <c r="C46" s="12" t="s">
        <v>396</v>
      </c>
      <c r="D46" s="3">
        <f>SQRT(D42^2+(G48*D43)^2)</f>
        <v>146.22507308832459</v>
      </c>
      <c r="E46" s="254"/>
      <c r="F46" s="3" t="s">
        <v>397</v>
      </c>
      <c r="G46" s="7">
        <f>G42*G43*G44/G45</f>
        <v>440.32499999999999</v>
      </c>
      <c r="I46" s="12" t="s">
        <v>396</v>
      </c>
      <c r="J46" s="3">
        <f>SQRT(J42^2+(M48*J43)^2)</f>
        <v>67.075764633574451</v>
      </c>
      <c r="K46" s="307"/>
      <c r="L46" s="3" t="s">
        <v>397</v>
      </c>
      <c r="M46" s="7">
        <f>M42*M43*M44/M45</f>
        <v>224.49343795460095</v>
      </c>
    </row>
    <row r="47" spans="3:18" x14ac:dyDescent="0.2">
      <c r="C47" s="96" t="s">
        <v>145</v>
      </c>
      <c r="D47" s="97">
        <f>G46/D46</f>
        <v>3.0112824750241685</v>
      </c>
      <c r="E47" s="254"/>
      <c r="F47" s="3" t="s">
        <v>398</v>
      </c>
      <c r="G47" s="7">
        <f>[1]Materiali!G3/SQRT(3)</f>
        <v>424.35244785437499</v>
      </c>
      <c r="I47" s="12" t="s">
        <v>145</v>
      </c>
      <c r="J47" s="3">
        <f>M46/J46</f>
        <v>3.3468636426431706</v>
      </c>
      <c r="K47" s="307"/>
      <c r="L47" s="3" t="s">
        <v>398</v>
      </c>
      <c r="M47" s="7">
        <f>Materiali!G3/SQRT(3)</f>
        <v>424.35244785437499</v>
      </c>
    </row>
    <row r="48" spans="3:18" x14ac:dyDescent="0.2">
      <c r="C48" s="309"/>
      <c r="D48" s="310"/>
      <c r="E48" s="254"/>
      <c r="F48" s="3" t="s">
        <v>285</v>
      </c>
      <c r="G48" s="7">
        <f>G46/G47</f>
        <v>1.0376398256364161</v>
      </c>
      <c r="I48" s="309"/>
      <c r="J48" s="310"/>
      <c r="K48" s="307"/>
      <c r="L48" s="3" t="s">
        <v>285</v>
      </c>
      <c r="M48" s="7">
        <f>M46/M47</f>
        <v>0.52902590544650363</v>
      </c>
    </row>
    <row r="49" spans="3:28" ht="16" thickBot="1" x14ac:dyDescent="0.25">
      <c r="C49" s="311"/>
      <c r="D49" s="312"/>
      <c r="E49" s="306"/>
      <c r="F49" s="9" t="s">
        <v>292</v>
      </c>
      <c r="G49" s="10">
        <f>1/(1+SQRT((140/[1]Materiali!F3)^2/0.5))</f>
        <v>0.83876911452070058</v>
      </c>
      <c r="I49" s="311"/>
      <c r="J49" s="312"/>
      <c r="K49" s="308"/>
      <c r="L49" s="9" t="s">
        <v>292</v>
      </c>
      <c r="M49" s="10">
        <f>1/(1+SQRT((140/Materiali!F3)^2/L31))</f>
        <v>0.8011799216786254</v>
      </c>
    </row>
    <row r="52" spans="3:28" x14ac:dyDescent="0.2">
      <c r="C52" t="s">
        <v>399</v>
      </c>
    </row>
    <row r="53" spans="3:28" x14ac:dyDescent="0.2">
      <c r="E53" t="s">
        <v>400</v>
      </c>
      <c r="F53" t="s">
        <v>401</v>
      </c>
      <c r="G53" t="s">
        <v>402</v>
      </c>
      <c r="I53" t="s">
        <v>403</v>
      </c>
    </row>
    <row r="54" spans="3:28" x14ac:dyDescent="0.2">
      <c r="C54" s="248" t="s">
        <v>404</v>
      </c>
      <c r="D54" s="5" t="s">
        <v>252</v>
      </c>
      <c r="E54">
        <f>-(D21*(D19-D21)*(D19+D21))/(6*D19*206000*D7)*J4</f>
        <v>-4.1900826818441582E-4</v>
      </c>
      <c r="F54">
        <f>M4*D22*D19/(3*206000*D7)</f>
        <v>2.855042078647655E-4</v>
      </c>
      <c r="G54">
        <f>-(D19^2-3*D21^2)*(-J7)/(6*D19*206000*D7)</f>
        <v>2.8635947829613916E-4</v>
      </c>
      <c r="I54">
        <f>SUM(E54:G54)</f>
        <v>1.5285541797648884E-4</v>
      </c>
    </row>
    <row r="55" spans="3:28" x14ac:dyDescent="0.2">
      <c r="C55" s="248"/>
      <c r="D55" s="5" t="s">
        <v>258</v>
      </c>
      <c r="E55">
        <f>(D21*(D19-D21)*(D19+(D19-D21)))/(6*D19*206000*D7)*J4</f>
        <v>6.2986404185141215E-4</v>
      </c>
      <c r="F55">
        <f>-M4*D22*D19/(6*206000*D7)</f>
        <v>-1.4275210393238275E-4</v>
      </c>
      <c r="G55">
        <f>-(D19^2-3*(D19-D21)^2)*(-J7)/(6*D19*206000*D7)</f>
        <v>-3.0116094820031077E-4</v>
      </c>
      <c r="I55">
        <f>SUM(E55:G55)</f>
        <v>1.8595098971871859E-4</v>
      </c>
      <c r="M55" t="s">
        <v>405</v>
      </c>
      <c r="O55" t="s">
        <v>406</v>
      </c>
    </row>
    <row r="56" spans="3:28" x14ac:dyDescent="0.2">
      <c r="K56" t="s">
        <v>252</v>
      </c>
      <c r="L56">
        <f>SQRT(I54^2+I58^2)</f>
        <v>1.7798404072429117E-3</v>
      </c>
      <c r="M56">
        <f>DEGREES(L56)</f>
        <v>0.10197734354186452</v>
      </c>
      <c r="O56" s="248">
        <f>4/60</f>
        <v>6.6666666666666666E-2</v>
      </c>
    </row>
    <row r="57" spans="3:28" x14ac:dyDescent="0.2">
      <c r="E57" t="s">
        <v>407</v>
      </c>
      <c r="F57" t="s">
        <v>408</v>
      </c>
      <c r="K57" t="s">
        <v>258</v>
      </c>
      <c r="L57">
        <f>SQRT(I55^2+I59^2)</f>
        <v>1.8878505593815759E-3</v>
      </c>
      <c r="M57">
        <f>DEGREES(L57)</f>
        <v>0.10816586940397591</v>
      </c>
      <c r="O57" s="248"/>
    </row>
    <row r="58" spans="3:28" x14ac:dyDescent="0.2">
      <c r="C58" s="248" t="s">
        <v>409</v>
      </c>
      <c r="D58" s="5" t="s">
        <v>252</v>
      </c>
      <c r="E58">
        <f>-(D21*(D19-D21)*(D19+D21))/(6*D19*206000*D7)*J3</f>
        <v>-9.8884816660460301E-4</v>
      </c>
      <c r="F58">
        <f>-M3*D22*D19/(3*206000*D7)</f>
        <v>-7.8441636426772202E-4</v>
      </c>
      <c r="I58">
        <f>SUM(E58:F58)</f>
        <v>-1.7732645308723249E-3</v>
      </c>
      <c r="Z58" t="s">
        <v>400</v>
      </c>
      <c r="AA58" t="s">
        <v>401</v>
      </c>
      <c r="AB58" t="s">
        <v>410</v>
      </c>
    </row>
    <row r="59" spans="3:28" x14ac:dyDescent="0.2">
      <c r="C59" s="248"/>
      <c r="D59" s="5" t="s">
        <v>258</v>
      </c>
      <c r="E59">
        <f>(D21*(D19-D21)*(D19+(D19-D21)))/(6*D19*206000*D7)*J3</f>
        <v>1.4864620827024031E-3</v>
      </c>
      <c r="F59">
        <f>M3*D22*D19/(6*206000*D7)</f>
        <v>3.9220818213386101E-4</v>
      </c>
      <c r="I59">
        <f>SUM(E59:F59)</f>
        <v>1.8786702648362641E-3</v>
      </c>
      <c r="Y59">
        <f>-D22</f>
        <v>-24</v>
      </c>
      <c r="Z59">
        <f t="shared" ref="Z59:Z67" si="0">-$E$54*ABS($Y59)</f>
        <v>1.0056198436425979E-2</v>
      </c>
      <c r="AA59">
        <f t="shared" ref="AA59:AA67" si="1">$F$54*$Y59</f>
        <v>-6.8521009887543716E-3</v>
      </c>
      <c r="AB59">
        <f>SUM(Z59:AA59)</f>
        <v>3.2040974476716076E-3</v>
      </c>
    </row>
    <row r="60" spans="3:28" x14ac:dyDescent="0.2">
      <c r="Y60">
        <v>-18</v>
      </c>
      <c r="Z60">
        <f t="shared" si="0"/>
        <v>7.5421488273194849E-3</v>
      </c>
      <c r="AA60">
        <f t="shared" si="1"/>
        <v>-5.1390757415657792E-3</v>
      </c>
      <c r="AB60">
        <f t="shared" ref="AB60:AB124" si="2">SUM(Z60:AA60)</f>
        <v>2.4030730857537057E-3</v>
      </c>
    </row>
    <row r="61" spans="3:28" x14ac:dyDescent="0.2">
      <c r="C61" t="s">
        <v>411</v>
      </c>
      <c r="Y61">
        <v>-16</v>
      </c>
      <c r="Z61">
        <f t="shared" si="0"/>
        <v>6.7041322909506531E-3</v>
      </c>
      <c r="AA61">
        <f t="shared" si="1"/>
        <v>-4.568067325836248E-3</v>
      </c>
      <c r="AB61">
        <f t="shared" si="2"/>
        <v>2.1360649651144051E-3</v>
      </c>
    </row>
    <row r="62" spans="3:28" x14ac:dyDescent="0.2">
      <c r="D62" t="s">
        <v>400</v>
      </c>
      <c r="Y62">
        <v>-14</v>
      </c>
      <c r="Z62">
        <f t="shared" si="0"/>
        <v>5.8661157545818214E-3</v>
      </c>
      <c r="AA62">
        <f t="shared" si="1"/>
        <v>-3.9970589101067169E-3</v>
      </c>
      <c r="AB62">
        <f t="shared" si="2"/>
        <v>1.8690568444751044E-3</v>
      </c>
    </row>
    <row r="63" spans="3:28" x14ac:dyDescent="0.2">
      <c r="C63" t="s">
        <v>412</v>
      </c>
      <c r="Q63" s="98"/>
      <c r="Y63">
        <v>-12</v>
      </c>
      <c r="Z63">
        <f t="shared" si="0"/>
        <v>5.0280992182129896E-3</v>
      </c>
      <c r="AA63">
        <f t="shared" si="1"/>
        <v>-3.4260504943771858E-3</v>
      </c>
      <c r="AB63">
        <f t="shared" si="2"/>
        <v>1.6020487238358038E-3</v>
      </c>
    </row>
    <row r="64" spans="3:28" x14ac:dyDescent="0.2">
      <c r="Y64">
        <v>-10</v>
      </c>
      <c r="Z64">
        <f t="shared" si="0"/>
        <v>4.1900826818441579E-3</v>
      </c>
      <c r="AA64">
        <f t="shared" si="1"/>
        <v>-2.8550420786476551E-3</v>
      </c>
      <c r="AB64">
        <f t="shared" si="2"/>
        <v>1.3350406031965027E-3</v>
      </c>
    </row>
    <row r="65" spans="25:28" x14ac:dyDescent="0.2">
      <c r="Y65">
        <v>-8</v>
      </c>
      <c r="Z65">
        <f t="shared" si="0"/>
        <v>3.3520661454753266E-3</v>
      </c>
      <c r="AA65">
        <f t="shared" si="1"/>
        <v>-2.284033662918124E-3</v>
      </c>
      <c r="AB65">
        <f t="shared" si="2"/>
        <v>1.0680324825572025E-3</v>
      </c>
    </row>
    <row r="66" spans="25:28" x14ac:dyDescent="0.2">
      <c r="Y66">
        <v>-6</v>
      </c>
      <c r="Z66">
        <f t="shared" si="0"/>
        <v>2.5140496091064948E-3</v>
      </c>
      <c r="AA66">
        <f t="shared" si="1"/>
        <v>-1.7130252471885929E-3</v>
      </c>
      <c r="AB66">
        <f t="shared" si="2"/>
        <v>8.010243619179019E-4</v>
      </c>
    </row>
    <row r="67" spans="25:28" x14ac:dyDescent="0.2">
      <c r="Y67">
        <v>-4</v>
      </c>
      <c r="Z67">
        <f t="shared" si="0"/>
        <v>1.6760330727376633E-3</v>
      </c>
      <c r="AA67">
        <f t="shared" si="1"/>
        <v>-1.142016831459062E-3</v>
      </c>
      <c r="AB67">
        <f t="shared" si="2"/>
        <v>5.3401624127860127E-4</v>
      </c>
    </row>
    <row r="68" spans="25:28" x14ac:dyDescent="0.2">
      <c r="Y68">
        <v>-2</v>
      </c>
      <c r="Z68">
        <f>-$E$54*ABS($Y68)</f>
        <v>8.3801653636883164E-4</v>
      </c>
      <c r="AA68">
        <f>$F$54*$Y68</f>
        <v>-5.7100841572953101E-4</v>
      </c>
      <c r="AB68">
        <f t="shared" si="2"/>
        <v>2.6700812063930063E-4</v>
      </c>
    </row>
    <row r="69" spans="25:28" x14ac:dyDescent="0.2">
      <c r="Y69">
        <v>0</v>
      </c>
      <c r="Z69">
        <f t="shared" ref="Z69:Z100" si="3">IF($Y69&lt;$D$24,-(-$J$4*$D$21*$Y69^3+$J$4*$D$21*($D$19^2-$D$21^2)*$Y69)/(6*$D$19*206000*$D$7),-(-$J$4*$D$24*($D$19-$Y69)^3+$J$4*$D$24*($D$19^2-$D$24^2)*($D$19-$Y69))/(6*$D$19*206000*$D$7))</f>
        <v>0</v>
      </c>
      <c r="AA69">
        <f t="shared" ref="AA69:AA100" si="4">-$M$4*$D$22/(2*206000*$D$7)*$Y69*($Y69-$D$19)</f>
        <v>0</v>
      </c>
      <c r="AB69">
        <f t="shared" si="2"/>
        <v>0</v>
      </c>
    </row>
    <row r="70" spans="25:28" x14ac:dyDescent="0.2">
      <c r="Y70">
        <v>2</v>
      </c>
      <c r="Z70">
        <f t="shared" si="3"/>
        <v>-8.3764566848979003E-4</v>
      </c>
      <c r="AA70">
        <f t="shared" si="4"/>
        <v>8.3885256949956866E-4</v>
      </c>
      <c r="AB70">
        <f t="shared" si="2"/>
        <v>1.2069010097786291E-6</v>
      </c>
    </row>
    <row r="71" spans="25:28" x14ac:dyDescent="0.2">
      <c r="Y71">
        <v>4</v>
      </c>
      <c r="Z71">
        <f t="shared" si="3"/>
        <v>-1.6730661297053302E-3</v>
      </c>
      <c r="AA71">
        <f t="shared" si="4"/>
        <v>1.6423850308096817E-3</v>
      </c>
      <c r="AB71">
        <f t="shared" si="2"/>
        <v>-3.0681098895648466E-5</v>
      </c>
    </row>
    <row r="72" spans="25:28" x14ac:dyDescent="0.2">
      <c r="Y72">
        <v>6</v>
      </c>
      <c r="Z72">
        <f t="shared" si="3"/>
        <v>-2.504036176372371E-3</v>
      </c>
      <c r="AA72">
        <f t="shared" si="4"/>
        <v>2.4105973839303393E-3</v>
      </c>
      <c r="AB72">
        <f t="shared" si="2"/>
        <v>-9.343879244203164E-5</v>
      </c>
    </row>
    <row r="73" spans="25:28" x14ac:dyDescent="0.2">
      <c r="Y73">
        <v>8</v>
      </c>
      <c r="Z73">
        <f t="shared" si="3"/>
        <v>-3.328330601216662E-3</v>
      </c>
      <c r="AA73">
        <f t="shared" si="4"/>
        <v>3.1434896288615416E-3</v>
      </c>
      <c r="AB73">
        <f t="shared" si="2"/>
        <v>-1.8484097235512038E-4</v>
      </c>
    </row>
    <row r="74" spans="25:28" x14ac:dyDescent="0.2">
      <c r="Y74">
        <v>10</v>
      </c>
      <c r="Z74">
        <f t="shared" si="3"/>
        <v>-4.1437241969639544E-3</v>
      </c>
      <c r="AA74">
        <f t="shared" si="4"/>
        <v>3.8410617656032884E-3</v>
      </c>
      <c r="AB74">
        <f t="shared" si="2"/>
        <v>-3.0266243136066592E-4</v>
      </c>
    </row>
    <row r="75" spans="25:28" x14ac:dyDescent="0.2">
      <c r="Y75">
        <v>12</v>
      </c>
      <c r="Z75">
        <f t="shared" si="3"/>
        <v>-4.9479917563399973E-3</v>
      </c>
      <c r="AA75">
        <f t="shared" si="4"/>
        <v>4.5033137941555791E-3</v>
      </c>
      <c r="AB75">
        <f t="shared" si="2"/>
        <v>-4.4467796218441817E-4</v>
      </c>
    </row>
    <row r="76" spans="25:28" x14ac:dyDescent="0.2">
      <c r="Y76">
        <v>14</v>
      </c>
      <c r="Z76">
        <f t="shared" si="3"/>
        <v>-5.7389080720705423E-3</v>
      </c>
      <c r="AA76">
        <f t="shared" si="4"/>
        <v>5.1302457145184143E-3</v>
      </c>
      <c r="AB76">
        <f t="shared" si="2"/>
        <v>-6.0866235755212793E-4</v>
      </c>
    </row>
    <row r="77" spans="25:28" x14ac:dyDescent="0.2">
      <c r="Y77">
        <v>16</v>
      </c>
      <c r="Z77">
        <f t="shared" si="3"/>
        <v>-6.5142479368813389E-3</v>
      </c>
      <c r="AA77">
        <f t="shared" si="4"/>
        <v>5.7218575266917947E-3</v>
      </c>
      <c r="AB77">
        <f t="shared" si="2"/>
        <v>-7.9239041018954424E-4</v>
      </c>
    </row>
    <row r="78" spans="25:28" x14ac:dyDescent="0.2">
      <c r="Y78">
        <v>18</v>
      </c>
      <c r="Z78">
        <f t="shared" si="3"/>
        <v>-7.2717861434981376E-3</v>
      </c>
      <c r="AA78">
        <f t="shared" si="4"/>
        <v>6.2781492306757192E-3</v>
      </c>
      <c r="AB78">
        <f t="shared" si="2"/>
        <v>-9.9363691282241835E-4</v>
      </c>
    </row>
    <row r="79" spans="25:28" x14ac:dyDescent="0.2">
      <c r="Y79">
        <v>20</v>
      </c>
      <c r="Z79">
        <f t="shared" si="3"/>
        <v>-8.0092974846466877E-3</v>
      </c>
      <c r="AA79">
        <f t="shared" si="4"/>
        <v>6.7991208264701888E-3</v>
      </c>
      <c r="AB79">
        <f t="shared" si="2"/>
        <v>-1.2101766581764989E-3</v>
      </c>
    </row>
    <row r="80" spans="25:28" x14ac:dyDescent="0.2">
      <c r="Y80">
        <v>22</v>
      </c>
      <c r="Z80">
        <f t="shared" si="3"/>
        <v>-8.7245567530527396E-3</v>
      </c>
      <c r="AA80">
        <f t="shared" si="4"/>
        <v>7.2847723140752017E-3</v>
      </c>
      <c r="AB80">
        <f t="shared" si="2"/>
        <v>-1.4397844389775379E-3</v>
      </c>
    </row>
    <row r="81" spans="25:28" x14ac:dyDescent="0.2">
      <c r="Y81">
        <v>24</v>
      </c>
      <c r="Z81">
        <f t="shared" si="3"/>
        <v>-9.4153387414420454E-3</v>
      </c>
      <c r="AA81">
        <f t="shared" si="4"/>
        <v>7.7351036934907589E-3</v>
      </c>
      <c r="AB81">
        <f t="shared" si="2"/>
        <v>-1.6802350479512866E-3</v>
      </c>
    </row>
    <row r="82" spans="25:28" x14ac:dyDescent="0.2">
      <c r="Y82">
        <v>26</v>
      </c>
      <c r="Z82">
        <f t="shared" si="3"/>
        <v>-1.0079418242540352E-2</v>
      </c>
      <c r="AA82">
        <f t="shared" si="4"/>
        <v>8.1501149647168619E-3</v>
      </c>
      <c r="AB82">
        <f t="shared" si="2"/>
        <v>-1.9293032778234902E-3</v>
      </c>
    </row>
    <row r="83" spans="25:28" x14ac:dyDescent="0.2">
      <c r="Y83">
        <v>28</v>
      </c>
      <c r="Z83">
        <f t="shared" si="3"/>
        <v>-1.0714570049073412E-2</v>
      </c>
      <c r="AA83">
        <f t="shared" si="4"/>
        <v>8.5298061277535083E-3</v>
      </c>
      <c r="AB83">
        <f t="shared" si="2"/>
        <v>-2.1847639213199033E-3</v>
      </c>
    </row>
    <row r="84" spans="25:28" x14ac:dyDescent="0.2">
      <c r="Y84">
        <v>30</v>
      </c>
      <c r="Z84">
        <f t="shared" si="3"/>
        <v>-1.1318568953766976E-2</v>
      </c>
      <c r="AA84">
        <f t="shared" si="4"/>
        <v>8.8741771826007006E-3</v>
      </c>
      <c r="AB84">
        <f t="shared" si="2"/>
        <v>-2.4443917711662756E-3</v>
      </c>
    </row>
    <row r="85" spans="25:28" x14ac:dyDescent="0.2">
      <c r="Y85">
        <v>32</v>
      </c>
      <c r="Z85">
        <f t="shared" si="3"/>
        <v>-1.1889189749346791E-2</v>
      </c>
      <c r="AA85">
        <f t="shared" si="4"/>
        <v>9.1832281292584354E-3</v>
      </c>
      <c r="AB85">
        <f t="shared" si="2"/>
        <v>-2.7059616200883554E-3</v>
      </c>
    </row>
    <row r="86" spans="25:28" x14ac:dyDescent="0.2">
      <c r="Y86">
        <v>34</v>
      </c>
      <c r="Z86">
        <f t="shared" si="3"/>
        <v>-1.2424207228538613E-2</v>
      </c>
      <c r="AA86">
        <f t="shared" si="4"/>
        <v>9.4569589677267162E-3</v>
      </c>
      <c r="AB86">
        <f t="shared" si="2"/>
        <v>-2.9672482608118968E-3</v>
      </c>
    </row>
    <row r="87" spans="25:28" x14ac:dyDescent="0.2">
      <c r="Y87">
        <v>36</v>
      </c>
      <c r="Z87">
        <f t="shared" si="3"/>
        <v>-1.2921396184068189E-2</v>
      </c>
      <c r="AA87">
        <f t="shared" si="4"/>
        <v>9.6953696980055411E-3</v>
      </c>
      <c r="AB87">
        <f t="shared" si="2"/>
        <v>-3.2260264860626484E-3</v>
      </c>
    </row>
    <row r="88" spans="25:28" x14ac:dyDescent="0.2">
      <c r="Y88">
        <v>38</v>
      </c>
      <c r="Z88">
        <f t="shared" si="3"/>
        <v>-1.3378531408661265E-2</v>
      </c>
      <c r="AA88">
        <f t="shared" si="4"/>
        <v>9.8984603200949102E-3</v>
      </c>
      <c r="AB88">
        <f t="shared" si="2"/>
        <v>-3.4800710885663552E-3</v>
      </c>
    </row>
    <row r="89" spans="25:28" x14ac:dyDescent="0.2">
      <c r="Y89">
        <v>40</v>
      </c>
      <c r="Z89">
        <f t="shared" si="3"/>
        <v>-1.3793387695043598E-2</v>
      </c>
      <c r="AA89">
        <f t="shared" si="4"/>
        <v>1.0066230833994825E-2</v>
      </c>
      <c r="AB89">
        <f t="shared" si="2"/>
        <v>-3.7271568610487728E-3</v>
      </c>
    </row>
    <row r="90" spans="25:28" x14ac:dyDescent="0.2">
      <c r="Y90">
        <v>42</v>
      </c>
      <c r="Z90">
        <f t="shared" si="3"/>
        <v>-1.4163739835940933E-2</v>
      </c>
      <c r="AA90">
        <f t="shared" si="4"/>
        <v>1.0198681239705283E-2</v>
      </c>
      <c r="AB90">
        <f t="shared" si="2"/>
        <v>-3.9650585962356499E-3</v>
      </c>
    </row>
    <row r="91" spans="25:28" x14ac:dyDescent="0.2">
      <c r="Y91">
        <v>44</v>
      </c>
      <c r="Z91">
        <f t="shared" si="3"/>
        <v>-1.4487362624079028E-2</v>
      </c>
      <c r="AA91">
        <f t="shared" si="4"/>
        <v>1.0295811537226286E-2</v>
      </c>
      <c r="AB91">
        <f t="shared" si="2"/>
        <v>-4.191551086852742E-3</v>
      </c>
    </row>
    <row r="92" spans="25:28" x14ac:dyDescent="0.2">
      <c r="Y92">
        <v>46</v>
      </c>
      <c r="Z92">
        <f t="shared" si="3"/>
        <v>-1.4762030852183621E-2</v>
      </c>
      <c r="AA92">
        <f t="shared" si="4"/>
        <v>1.0357621726557832E-2</v>
      </c>
      <c r="AB92">
        <f t="shared" si="2"/>
        <v>-4.404409125625789E-3</v>
      </c>
    </row>
    <row r="93" spans="25:28" x14ac:dyDescent="0.2">
      <c r="Y93">
        <v>48</v>
      </c>
      <c r="Z93">
        <f t="shared" si="3"/>
        <v>-1.4985519312980478E-2</v>
      </c>
      <c r="AA93">
        <f t="shared" si="4"/>
        <v>1.0384111807699924E-2</v>
      </c>
      <c r="AB93">
        <f t="shared" si="2"/>
        <v>-4.6014075052805536E-3</v>
      </c>
    </row>
    <row r="94" spans="25:28" x14ac:dyDescent="0.2">
      <c r="Y94">
        <v>50</v>
      </c>
      <c r="Z94">
        <f t="shared" si="3"/>
        <v>-1.515560279919533E-2</v>
      </c>
      <c r="AA94">
        <f t="shared" si="4"/>
        <v>1.037528178065256E-2</v>
      </c>
      <c r="AB94">
        <f t="shared" si="2"/>
        <v>-4.7803210185427703E-3</v>
      </c>
    </row>
    <row r="95" spans="25:28" x14ac:dyDescent="0.2">
      <c r="Y95">
        <v>52</v>
      </c>
      <c r="Z95">
        <f t="shared" si="3"/>
        <v>-1.5270056103553946E-2</v>
      </c>
      <c r="AA95">
        <f t="shared" si="4"/>
        <v>1.033113164541574E-2</v>
      </c>
      <c r="AB95">
        <f t="shared" si="2"/>
        <v>-4.9389244581382052E-3</v>
      </c>
    </row>
    <row r="96" spans="25:28" x14ac:dyDescent="0.2">
      <c r="Y96">
        <v>54</v>
      </c>
      <c r="Z96">
        <f t="shared" si="3"/>
        <v>-1.5326654018782063E-2</v>
      </c>
      <c r="AA96">
        <f t="shared" si="4"/>
        <v>1.0251661401989466E-2</v>
      </c>
      <c r="AB96">
        <f t="shared" si="2"/>
        <v>-5.0749926167925966E-3</v>
      </c>
    </row>
    <row r="97" spans="25:28" x14ac:dyDescent="0.2">
      <c r="Y97">
        <v>56</v>
      </c>
      <c r="Z97">
        <f t="shared" si="3"/>
        <v>-1.5323171337605438E-2</v>
      </c>
      <c r="AA97">
        <f t="shared" si="4"/>
        <v>1.0136871050373735E-2</v>
      </c>
      <c r="AB97">
        <f t="shared" si="2"/>
        <v>-5.1863002872317033E-3</v>
      </c>
    </row>
    <row r="98" spans="25:28" x14ac:dyDescent="0.2">
      <c r="Y98">
        <v>58</v>
      </c>
      <c r="Z98">
        <f t="shared" si="3"/>
        <v>-1.5257382852749819E-2</v>
      </c>
      <c r="AA98">
        <f t="shared" si="4"/>
        <v>9.9867605905685497E-3</v>
      </c>
      <c r="AB98">
        <f t="shared" si="2"/>
        <v>-5.2706222621812689E-3</v>
      </c>
    </row>
    <row r="99" spans="25:28" x14ac:dyDescent="0.2">
      <c r="Y99">
        <v>60</v>
      </c>
      <c r="Z99">
        <f t="shared" si="3"/>
        <v>-1.5127063356940959E-2</v>
      </c>
      <c r="AA99">
        <f t="shared" si="4"/>
        <v>9.8013300225739085E-3</v>
      </c>
      <c r="AB99">
        <f t="shared" si="2"/>
        <v>-5.3257333343670506E-3</v>
      </c>
    </row>
    <row r="100" spans="25:28" x14ac:dyDescent="0.2">
      <c r="Y100">
        <v>62</v>
      </c>
      <c r="Z100">
        <f t="shared" si="3"/>
        <v>-1.49299876429046E-2</v>
      </c>
      <c r="AA100">
        <f t="shared" si="4"/>
        <v>9.5805793463898097E-3</v>
      </c>
      <c r="AB100">
        <f t="shared" si="2"/>
        <v>-5.3494082965147901E-3</v>
      </c>
    </row>
    <row r="101" spans="25:28" x14ac:dyDescent="0.2">
      <c r="Y101">
        <v>64</v>
      </c>
      <c r="Z101">
        <f t="shared" ref="Z101:Z126" si="5">IF($Y101&lt;$D$24,-(-$J$4*$D$21*$Y101^3+$J$4*$D$21*($D$19^2-$D$21^2)*$Y101)/(6*$D$19*206000*$D$7),-(-$J$4*$D$24*($D$19-$Y101)^3+$J$4*$D$24*($D$19^2-$D$24^2)*($D$19-$Y101))/(6*$D$19*206000*$D$7))</f>
        <v>-1.46639305033665E-2</v>
      </c>
      <c r="AA101">
        <f t="shared" ref="AA101:AA126" si="6">-$M$4*$D$22/(2*206000*$D$7)*$Y101*($Y101-$D$19)</f>
        <v>9.3245085620162586E-3</v>
      </c>
      <c r="AB101">
        <f t="shared" si="2"/>
        <v>-5.3394219413502413E-3</v>
      </c>
    </row>
    <row r="102" spans="25:28" x14ac:dyDescent="0.2">
      <c r="Y102">
        <v>66</v>
      </c>
      <c r="Z102">
        <f t="shared" si="5"/>
        <v>-1.4326666731052408E-2</v>
      </c>
      <c r="AA102">
        <f t="shared" si="6"/>
        <v>9.03311766945325E-3</v>
      </c>
      <c r="AB102">
        <f t="shared" si="2"/>
        <v>-5.2935490615991579E-3</v>
      </c>
    </row>
    <row r="103" spans="25:28" x14ac:dyDescent="0.2">
      <c r="Y103">
        <v>68</v>
      </c>
      <c r="Z103">
        <f t="shared" si="5"/>
        <v>-1.3915971118688074E-2</v>
      </c>
      <c r="AA103">
        <f t="shared" si="6"/>
        <v>8.7064066687007856E-3</v>
      </c>
      <c r="AB103">
        <f t="shared" si="2"/>
        <v>-5.2095644499872886E-3</v>
      </c>
    </row>
    <row r="104" spans="25:28" x14ac:dyDescent="0.2">
      <c r="Y104">
        <v>70</v>
      </c>
      <c r="Z104">
        <f t="shared" si="5"/>
        <v>-1.3429618458999251E-2</v>
      </c>
      <c r="AA104">
        <f t="shared" si="6"/>
        <v>8.3443755597588671E-3</v>
      </c>
      <c r="AB104">
        <f t="shared" si="2"/>
        <v>-5.0852428992403838E-3</v>
      </c>
    </row>
    <row r="105" spans="25:28" x14ac:dyDescent="0.2">
      <c r="Y105">
        <v>72</v>
      </c>
      <c r="Z105">
        <f t="shared" si="5"/>
        <v>-1.2865383544711685E-2</v>
      </c>
      <c r="AA105">
        <f t="shared" si="6"/>
        <v>7.9470243426274928E-3</v>
      </c>
      <c r="AB105">
        <f t="shared" si="2"/>
        <v>-4.918359202084192E-3</v>
      </c>
    </row>
    <row r="106" spans="25:28" x14ac:dyDescent="0.2">
      <c r="Y106">
        <v>73</v>
      </c>
      <c r="Z106">
        <f t="shared" si="5"/>
        <v>-1.2553364864820166E-2</v>
      </c>
      <c r="AA106">
        <f t="shared" si="6"/>
        <v>7.7351036934907597E-3</v>
      </c>
      <c r="AB106">
        <f t="shared" si="2"/>
        <v>-4.8182611713294063E-3</v>
      </c>
    </row>
    <row r="107" spans="25:28" x14ac:dyDescent="0.2">
      <c r="Y107">
        <v>74</v>
      </c>
      <c r="Z107">
        <f t="shared" si="5"/>
        <v>-1.2221041168551116E-2</v>
      </c>
      <c r="AA107">
        <f t="shared" si="6"/>
        <v>7.5143530173066627E-3</v>
      </c>
      <c r="AB107">
        <f t="shared" si="2"/>
        <v>-4.7066881512444533E-3</v>
      </c>
    </row>
    <row r="108" spans="25:28" x14ac:dyDescent="0.2">
      <c r="Y108">
        <v>76</v>
      </c>
      <c r="Z108">
        <f t="shared" si="5"/>
        <v>-1.1494366123243317E-2</v>
      </c>
      <c r="AA108">
        <f t="shared" si="6"/>
        <v>7.0463615837963768E-3</v>
      </c>
      <c r="AB108">
        <f t="shared" si="2"/>
        <v>-4.4480045394469404E-3</v>
      </c>
    </row>
    <row r="109" spans="25:28" x14ac:dyDescent="0.2">
      <c r="Y109">
        <v>78</v>
      </c>
      <c r="Z109">
        <f t="shared" si="5"/>
        <v>-1.1088307149568452E-2</v>
      </c>
      <c r="AA109">
        <f t="shared" si="6"/>
        <v>6.543050042096636E-3</v>
      </c>
      <c r="AB109">
        <f t="shared" si="2"/>
        <v>-4.5452571074718158E-3</v>
      </c>
    </row>
    <row r="110" spans="25:28" x14ac:dyDescent="0.2">
      <c r="Y110">
        <v>80</v>
      </c>
      <c r="Z110">
        <f t="shared" si="5"/>
        <v>-1.0147351145979443E-2</v>
      </c>
      <c r="AA110">
        <f t="shared" si="6"/>
        <v>6.0044183922074394E-3</v>
      </c>
      <c r="AB110">
        <f t="shared" si="2"/>
        <v>-4.1429327537720034E-3</v>
      </c>
    </row>
    <row r="111" spans="25:28" x14ac:dyDescent="0.2">
      <c r="Y111">
        <v>82</v>
      </c>
      <c r="Z111">
        <f t="shared" si="5"/>
        <v>-9.1309837348299838E-3</v>
      </c>
      <c r="AA111">
        <f t="shared" si="6"/>
        <v>5.4304666341287861E-3</v>
      </c>
      <c r="AB111">
        <f t="shared" si="2"/>
        <v>-3.7005171007011978E-3</v>
      </c>
    </row>
    <row r="112" spans="25:28" x14ac:dyDescent="0.2">
      <c r="Y112">
        <v>84</v>
      </c>
      <c r="Z112">
        <f t="shared" si="5"/>
        <v>-8.0480768464213006E-3</v>
      </c>
      <c r="AA112">
        <f t="shared" si="6"/>
        <v>4.8211947678606787E-3</v>
      </c>
      <c r="AB112">
        <f t="shared" si="2"/>
        <v>-3.2268820785606219E-3</v>
      </c>
    </row>
    <row r="113" spans="25:28" x14ac:dyDescent="0.2">
      <c r="Y113">
        <v>86</v>
      </c>
      <c r="Z113">
        <f t="shared" si="5"/>
        <v>-6.907502411054629E-3</v>
      </c>
      <c r="AA113">
        <f t="shared" si="6"/>
        <v>4.1766027934031155E-3</v>
      </c>
      <c r="AB113">
        <f t="shared" si="2"/>
        <v>-2.7308996176515134E-3</v>
      </c>
    </row>
    <row r="114" spans="25:28" x14ac:dyDescent="0.2">
      <c r="Y114">
        <v>88</v>
      </c>
      <c r="Z114">
        <f t="shared" si="5"/>
        <v>-5.718132359031191E-3</v>
      </c>
      <c r="AA114">
        <f t="shared" si="6"/>
        <v>3.496690710756097E-3</v>
      </c>
      <c r="AB114">
        <f t="shared" si="2"/>
        <v>-2.221441648275094E-3</v>
      </c>
    </row>
    <row r="115" spans="25:28" x14ac:dyDescent="0.2">
      <c r="Y115">
        <v>90</v>
      </c>
      <c r="Z115">
        <f t="shared" si="5"/>
        <v>-4.4888386206522191E-3</v>
      </c>
      <c r="AA115">
        <f t="shared" si="6"/>
        <v>2.7814585199196222E-3</v>
      </c>
      <c r="AB115">
        <f t="shared" si="2"/>
        <v>-1.7073801007325968E-3</v>
      </c>
    </row>
    <row r="116" spans="25:28" x14ac:dyDescent="0.2">
      <c r="Y116">
        <v>92</v>
      </c>
      <c r="Z116">
        <f t="shared" si="5"/>
        <v>-3.2284931262189453E-3</v>
      </c>
      <c r="AA116">
        <f t="shared" si="6"/>
        <v>2.0309062208936925E-3</v>
      </c>
      <c r="AB116">
        <f t="shared" si="2"/>
        <v>-1.1975869053252527E-3</v>
      </c>
    </row>
    <row r="117" spans="25:28" x14ac:dyDescent="0.2">
      <c r="Y117">
        <v>94</v>
      </c>
      <c r="Z117">
        <f t="shared" si="5"/>
        <v>-1.9459678060325964E-3</v>
      </c>
      <c r="AA117">
        <f t="shared" si="6"/>
        <v>1.2450338136783072E-3</v>
      </c>
      <c r="AB117">
        <f t="shared" si="2"/>
        <v>-7.0093399235428917E-4</v>
      </c>
    </row>
    <row r="118" spans="25:28" x14ac:dyDescent="0.2">
      <c r="Y118">
        <v>96</v>
      </c>
      <c r="Z118">
        <f t="shared" si="5"/>
        <v>-6.5013459039440385E-4</v>
      </c>
      <c r="AA118">
        <f t="shared" si="6"/>
        <v>4.2384129827346625E-4</v>
      </c>
      <c r="AB118">
        <f t="shared" si="2"/>
        <v>-2.262932921209376E-4</v>
      </c>
    </row>
    <row r="119" spans="25:28" x14ac:dyDescent="0.2">
      <c r="Y119">
        <f>D19</f>
        <v>97</v>
      </c>
      <c r="Z119">
        <f t="shared" si="5"/>
        <v>0</v>
      </c>
      <c r="AA119">
        <f t="shared" si="6"/>
        <v>0</v>
      </c>
      <c r="AB119">
        <f t="shared" si="2"/>
        <v>0</v>
      </c>
    </row>
    <row r="120" spans="25:28" x14ac:dyDescent="0.2">
      <c r="Y120">
        <v>98</v>
      </c>
      <c r="Z120">
        <f t="shared" si="5"/>
        <v>6.5013459039440385E-4</v>
      </c>
      <c r="AA120">
        <f t="shared" si="6"/>
        <v>-4.3267132532083015E-4</v>
      </c>
      <c r="AB120">
        <f t="shared" si="2"/>
        <v>2.174632650735737E-4</v>
      </c>
    </row>
    <row r="121" spans="25:28" x14ac:dyDescent="0.2">
      <c r="Y121">
        <v>100</v>
      </c>
      <c r="Z121">
        <f t="shared" si="5"/>
        <v>1.9459678060325964E-3</v>
      </c>
      <c r="AA121">
        <f t="shared" si="6"/>
        <v>-1.3245040571045821E-3</v>
      </c>
      <c r="AB121">
        <f t="shared" si="2"/>
        <v>6.2146374892801427E-4</v>
      </c>
    </row>
    <row r="122" spans="25:28" x14ac:dyDescent="0.2">
      <c r="Y122">
        <v>102</v>
      </c>
      <c r="Z122">
        <f t="shared" si="5"/>
        <v>3.2284931262189453E-3</v>
      </c>
      <c r="AA122">
        <f t="shared" si="6"/>
        <v>-2.2516568970777895E-3</v>
      </c>
      <c r="AB122">
        <f t="shared" si="2"/>
        <v>9.7683622914115573E-4</v>
      </c>
    </row>
    <row r="123" spans="25:28" x14ac:dyDescent="0.2">
      <c r="Y123">
        <v>104</v>
      </c>
      <c r="Z123">
        <f t="shared" si="5"/>
        <v>4.4888386206522191E-3</v>
      </c>
      <c r="AA123">
        <f t="shared" si="6"/>
        <v>-3.2141298452404523E-3</v>
      </c>
      <c r="AB123">
        <f t="shared" si="2"/>
        <v>1.2747087754117667E-3</v>
      </c>
    </row>
    <row r="124" spans="25:28" x14ac:dyDescent="0.2">
      <c r="Y124">
        <v>106</v>
      </c>
      <c r="Z124">
        <f t="shared" si="5"/>
        <v>5.718132359031191E-3</v>
      </c>
      <c r="AA124">
        <f t="shared" si="6"/>
        <v>-4.2119229015925713E-3</v>
      </c>
      <c r="AB124">
        <f t="shared" si="2"/>
        <v>1.5062094574386196E-3</v>
      </c>
    </row>
    <row r="125" spans="25:28" x14ac:dyDescent="0.2">
      <c r="Y125">
        <v>108</v>
      </c>
      <c r="Z125">
        <f t="shared" si="5"/>
        <v>6.907502411054629E-3</v>
      </c>
      <c r="AA125">
        <f t="shared" si="6"/>
        <v>-5.2450360661341457E-3</v>
      </c>
      <c r="AB125">
        <f t="shared" ref="AB125:AB126" si="7">SUM(Z125:AA125)</f>
        <v>1.6624663449204833E-3</v>
      </c>
    </row>
    <row r="126" spans="25:28" x14ac:dyDescent="0.2">
      <c r="Y126">
        <v>109.5</v>
      </c>
      <c r="Z126">
        <f t="shared" si="5"/>
        <v>7.7679930103295531E-3</v>
      </c>
      <c r="AA126">
        <f t="shared" si="6"/>
        <v>-6.0430497605396564E-3</v>
      </c>
      <c r="AB126">
        <f t="shared" si="7"/>
        <v>1.7249432497898967E-3</v>
      </c>
    </row>
  </sheetData>
  <mergeCells count="20">
    <mergeCell ref="C10:D10"/>
    <mergeCell ref="I12:J12"/>
    <mergeCell ref="L12:M12"/>
    <mergeCell ref="L2:M2"/>
    <mergeCell ref="L10:M10"/>
    <mergeCell ref="L6:M6"/>
    <mergeCell ref="I2:J2"/>
    <mergeCell ref="C54:C55"/>
    <mergeCell ref="O56:O57"/>
    <mergeCell ref="C58:C59"/>
    <mergeCell ref="C28:D28"/>
    <mergeCell ref="F28:G28"/>
    <mergeCell ref="C41:G41"/>
    <mergeCell ref="I41:M41"/>
    <mergeCell ref="E42:E49"/>
    <mergeCell ref="K42:K49"/>
    <mergeCell ref="C45:D45"/>
    <mergeCell ref="I45:J45"/>
    <mergeCell ref="C48:D49"/>
    <mergeCell ref="I48:J49"/>
  </mergeCells>
  <conditionalFormatting sqref="D36">
    <cfRule type="colorScale" priority="5">
      <colorScale>
        <cfvo type="num" val="1.2"/>
        <cfvo type="num" val="1.3"/>
        <cfvo type="num" val="1.5"/>
        <color rgb="FFF8696B"/>
        <color rgb="FFFFEB84"/>
        <color rgb="FF63BE7B"/>
      </colorScale>
    </cfRule>
  </conditionalFormatting>
  <conditionalFormatting sqref="D47">
    <cfRule type="colorScale" priority="3">
      <colorScale>
        <cfvo type="num" val="1.2"/>
        <cfvo type="num" val="1.3"/>
        <cfvo type="num" val="1.5"/>
        <color rgb="FFF8696B"/>
        <color rgb="FFFFEB84"/>
        <color rgb="FF63BE7B"/>
      </colorScale>
    </cfRule>
  </conditionalFormatting>
  <conditionalFormatting sqref="G36">
    <cfRule type="colorScale" priority="4">
      <colorScale>
        <cfvo type="num" val="1.2"/>
        <cfvo type="num" val="1.3"/>
        <cfvo type="num" val="1.5"/>
        <color rgb="FFF8696B"/>
        <color rgb="FFFFEB84"/>
        <color rgb="FF63BE7B"/>
      </colorScale>
    </cfRule>
  </conditionalFormatting>
  <conditionalFormatting sqref="J47">
    <cfRule type="colorScale" priority="2">
      <colorScale>
        <cfvo type="num" val="1.2"/>
        <cfvo type="num" val="1.3"/>
        <cfvo type="num" val="1.5"/>
        <color rgb="FFF8696B"/>
        <color rgb="FFFFEB84"/>
        <color rgb="FF63BE7B"/>
      </colorScale>
    </cfRule>
  </conditionalFormatting>
  <conditionalFormatting sqref="M56:M57">
    <cfRule type="cellIs" dxfId="43" priority="1" operator="greaterThan">
      <formula>$O$56</formula>
    </cfRule>
  </conditionalFormatting>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1F252-9A5B-456C-960F-61F9D067DBA3}">
  <dimension ref="B1:N39"/>
  <sheetViews>
    <sheetView zoomScaleNormal="100" workbookViewId="0">
      <selection activeCell="K17" sqref="K17"/>
    </sheetView>
  </sheetViews>
  <sheetFormatPr baseColWidth="10" defaultColWidth="8.83203125" defaultRowHeight="15" x14ac:dyDescent="0.2"/>
  <cols>
    <col min="2" max="2" width="25.33203125" customWidth="1"/>
    <col min="3" max="3" width="9.5" customWidth="1"/>
    <col min="6" max="6" width="16.33203125" customWidth="1"/>
    <col min="12" max="12" width="11" customWidth="1"/>
  </cols>
  <sheetData>
    <row r="1" spans="2:14" x14ac:dyDescent="0.2">
      <c r="B1" t="s">
        <v>413</v>
      </c>
    </row>
    <row r="2" spans="2:14" x14ac:dyDescent="0.2">
      <c r="B2" t="s">
        <v>414</v>
      </c>
    </row>
    <row r="4" spans="2:14" ht="16" thickBot="1" x14ac:dyDescent="0.25"/>
    <row r="5" spans="2:14" ht="16" thickBot="1" x14ac:dyDescent="0.25">
      <c r="B5" s="101" t="s">
        <v>415</v>
      </c>
      <c r="C5" s="102"/>
      <c r="F5" s="315" t="s">
        <v>360</v>
      </c>
      <c r="G5" s="316"/>
      <c r="H5" s="317"/>
      <c r="J5" s="318" t="s">
        <v>416</v>
      </c>
      <c r="K5" s="319"/>
      <c r="L5" s="320"/>
    </row>
    <row r="6" spans="2:14" x14ac:dyDescent="0.2">
      <c r="B6" s="93" t="s">
        <v>417</v>
      </c>
      <c r="C6" s="232">
        <f>('Albero 1'!J8-'Albero 1'!G8)</f>
        <v>-1701.830948745408</v>
      </c>
      <c r="D6" t="s">
        <v>418</v>
      </c>
      <c r="F6" s="119" t="s">
        <v>419</v>
      </c>
      <c r="G6" s="111" t="s">
        <v>420</v>
      </c>
      <c r="H6" s="120" t="s">
        <v>421</v>
      </c>
      <c r="J6" s="213" t="s">
        <v>419</v>
      </c>
      <c r="K6" s="229" t="s">
        <v>252</v>
      </c>
      <c r="L6" s="230" t="s">
        <v>258</v>
      </c>
    </row>
    <row r="7" spans="2:14" x14ac:dyDescent="0.2">
      <c r="B7" s="93" t="s">
        <v>422</v>
      </c>
      <c r="C7" s="94">
        <f xml:space="preserve"> SQRT(SUMSQ('Albero 1'!D21,'Albero 1'!D23))</f>
        <v>8156.8374967781619</v>
      </c>
      <c r="F7" s="119" t="s">
        <v>262</v>
      </c>
      <c r="G7" s="99">
        <v>30</v>
      </c>
      <c r="H7" s="121">
        <v>30</v>
      </c>
      <c r="J7" s="208" t="s">
        <v>423</v>
      </c>
      <c r="K7" s="238">
        <f>IF(C32/C7&lt;=G15, C7,0.4*C7+G16*C32)</f>
        <v>8156.8374967781619</v>
      </c>
      <c r="L7" s="239">
        <f>IF(C33/C8&lt;=H15, C8,0.4*C8+H16*C33)</f>
        <v>9238.5419814598645</v>
      </c>
    </row>
    <row r="8" spans="2:14" x14ac:dyDescent="0.2">
      <c r="B8" s="93" t="s">
        <v>424</v>
      </c>
      <c r="C8" s="94">
        <f>SQRT(SUMSQ('Albero 1'!G21,'Albero 1'!G23))</f>
        <v>6092.9842876953262</v>
      </c>
      <c r="F8" s="119" t="s">
        <v>267</v>
      </c>
      <c r="G8" s="99">
        <v>62</v>
      </c>
      <c r="H8" s="121">
        <v>62</v>
      </c>
      <c r="J8" s="208" t="s">
        <v>425</v>
      </c>
      <c r="K8" s="238">
        <f>IF(0.5*C7+G17*C32&lt;C7, C7,0.5*C7+G17*C32)</f>
        <v>8156.8374967781619</v>
      </c>
      <c r="L8" s="239">
        <f>IF(0.5*C8+H17*C33&lt;C8, C8,0.5*C8+H17*C33)</f>
        <v>6872.2505436873871</v>
      </c>
    </row>
    <row r="9" spans="2:14" x14ac:dyDescent="0.2">
      <c r="B9" s="93" t="s">
        <v>426</v>
      </c>
      <c r="C9" s="94">
        <f>G16</f>
        <v>1.6</v>
      </c>
      <c r="F9" s="119" t="s">
        <v>427</v>
      </c>
      <c r="G9" s="99">
        <v>37</v>
      </c>
      <c r="H9" s="121">
        <v>37</v>
      </c>
      <c r="J9" s="208" t="s">
        <v>428</v>
      </c>
      <c r="K9" s="236">
        <f>K10/K11</f>
        <v>2.3529411764705883</v>
      </c>
      <c r="L9" s="237">
        <f>L10/L11</f>
        <v>2.3529411764705883</v>
      </c>
    </row>
    <row r="10" spans="2:14" x14ac:dyDescent="0.2">
      <c r="B10" s="93" t="s">
        <v>429</v>
      </c>
      <c r="C10" s="94">
        <f>H16</f>
        <v>1.6</v>
      </c>
      <c r="F10" s="119" t="s">
        <v>223</v>
      </c>
      <c r="G10" s="99">
        <v>21.25</v>
      </c>
      <c r="H10" s="121">
        <f>G10</f>
        <v>21.25</v>
      </c>
      <c r="J10" s="208" t="s">
        <v>430</v>
      </c>
      <c r="K10" s="207">
        <v>400</v>
      </c>
      <c r="L10" s="209">
        <f>K10</f>
        <v>400</v>
      </c>
    </row>
    <row r="11" spans="2:14" x14ac:dyDescent="0.2">
      <c r="B11" s="93" t="s">
        <v>431</v>
      </c>
      <c r="C11" s="94">
        <f>C7/C9</f>
        <v>5098.0234354863505</v>
      </c>
      <c r="F11" s="119" t="s">
        <v>432</v>
      </c>
      <c r="G11" s="99">
        <v>61800</v>
      </c>
      <c r="H11" s="121">
        <f t="shared" ref="H11:H17" si="0">G11</f>
        <v>61800</v>
      </c>
      <c r="J11" s="208" t="s">
        <v>433</v>
      </c>
      <c r="K11" s="207">
        <v>170</v>
      </c>
      <c r="L11" s="209">
        <v>170</v>
      </c>
      <c r="M11" s="224">
        <f>(G7+G8)*0.5</f>
        <v>46</v>
      </c>
      <c r="N11" s="224">
        <f>'Forze e verifica 3-4'!C12</f>
        <v>97.789999999999992</v>
      </c>
    </row>
    <row r="12" spans="2:14" x14ac:dyDescent="0.2">
      <c r="B12" s="93" t="s">
        <v>434</v>
      </c>
      <c r="C12" s="94">
        <f>C8/C10</f>
        <v>3808.1151798095789</v>
      </c>
      <c r="F12" s="119" t="s">
        <v>435</v>
      </c>
      <c r="G12" s="99">
        <v>57000</v>
      </c>
      <c r="H12" s="121">
        <f t="shared" si="0"/>
        <v>57000</v>
      </c>
      <c r="J12" s="12" t="s">
        <v>436</v>
      </c>
      <c r="K12" s="226">
        <f>$G$30*G13/K7</f>
        <v>0.46341489596832691</v>
      </c>
      <c r="L12" s="24">
        <f>$G$30*H13/L7</f>
        <v>0.40915547145705433</v>
      </c>
    </row>
    <row r="13" spans="2:14" x14ac:dyDescent="0.2">
      <c r="B13" s="69"/>
      <c r="C13" s="70"/>
      <c r="F13" s="119" t="s">
        <v>437</v>
      </c>
      <c r="G13" s="99">
        <v>6300</v>
      </c>
      <c r="H13" s="121">
        <f t="shared" si="0"/>
        <v>6300</v>
      </c>
      <c r="J13" s="281"/>
      <c r="K13" s="283"/>
      <c r="L13" s="282"/>
    </row>
    <row r="14" spans="2:14" x14ac:dyDescent="0.2">
      <c r="B14" s="93" t="s">
        <v>438</v>
      </c>
      <c r="C14" s="94"/>
      <c r="F14" s="119" t="s">
        <v>82</v>
      </c>
      <c r="G14" s="99">
        <v>15</v>
      </c>
      <c r="H14" s="121">
        <f t="shared" si="0"/>
        <v>15</v>
      </c>
      <c r="J14" s="208" t="s">
        <v>439</v>
      </c>
      <c r="K14" s="207">
        <v>0.64</v>
      </c>
      <c r="L14" s="209">
        <v>0.64</v>
      </c>
    </row>
    <row r="15" spans="2:14" x14ac:dyDescent="0.2">
      <c r="B15" s="93" t="s">
        <v>440</v>
      </c>
      <c r="C15" s="94"/>
      <c r="F15" s="119" t="s">
        <v>441</v>
      </c>
      <c r="G15" s="99">
        <v>0.37</v>
      </c>
      <c r="H15" s="121">
        <f t="shared" si="0"/>
        <v>0.37</v>
      </c>
      <c r="J15" s="208" t="s">
        <v>442</v>
      </c>
      <c r="K15" s="207">
        <v>4</v>
      </c>
      <c r="L15" s="209">
        <v>3.5</v>
      </c>
      <c r="M15" t="s">
        <v>443</v>
      </c>
    </row>
    <row r="16" spans="2:14" x14ac:dyDescent="0.2">
      <c r="B16" s="103" t="s">
        <v>444</v>
      </c>
      <c r="C16" s="94">
        <f>IF(C11&lt;C12,1,0)</f>
        <v>0</v>
      </c>
      <c r="F16" s="119" t="s">
        <v>445</v>
      </c>
      <c r="G16" s="99">
        <v>1.6</v>
      </c>
      <c r="H16" s="121">
        <f t="shared" si="0"/>
        <v>1.6</v>
      </c>
      <c r="J16" s="321" t="s">
        <v>419</v>
      </c>
      <c r="K16" s="322"/>
      <c r="L16" s="323"/>
    </row>
    <row r="17" spans="2:12" x14ac:dyDescent="0.2">
      <c r="B17" s="103" t="s">
        <v>446</v>
      </c>
      <c r="C17" s="94">
        <f>IF(-C6&gt;=0.5*(C12-C11),1,0)</f>
        <v>1</v>
      </c>
      <c r="F17" s="119" t="s">
        <v>447</v>
      </c>
      <c r="G17" s="99">
        <v>0.9</v>
      </c>
      <c r="H17" s="121">
        <f t="shared" si="0"/>
        <v>0.9</v>
      </c>
      <c r="J17" s="208" t="s">
        <v>448</v>
      </c>
      <c r="K17" s="240">
        <f>K7*($G$28*60*$G$33/(K14*K15*10^6))^(1/G18)</f>
        <v>33783.86628106243</v>
      </c>
      <c r="L17" s="241">
        <f>L7*($G$28*60*$G$33/(L14*L15*10^6))^(1/H18)</f>
        <v>39828.005800521925</v>
      </c>
    </row>
    <row r="18" spans="2:12" ht="16" thickBot="1" x14ac:dyDescent="0.25">
      <c r="B18" s="93"/>
      <c r="C18" s="94"/>
      <c r="F18" s="119" t="s">
        <v>449</v>
      </c>
      <c r="G18" s="99">
        <v>3.3333330000000001</v>
      </c>
      <c r="H18" s="121">
        <v>3.3333330000000001</v>
      </c>
      <c r="J18" s="210" t="s">
        <v>450</v>
      </c>
      <c r="K18" s="242">
        <f>K14*K15*(G11/K7)^G18*10^6/60/$G$33</f>
        <v>374311.92995256046</v>
      </c>
      <c r="L18" s="243">
        <f>L14*L15*(H11/L7)^H18*10^6/60/$G$33</f>
        <v>216256.74007695646</v>
      </c>
    </row>
    <row r="19" spans="2:12" ht="16" thickBot="1" x14ac:dyDescent="0.25">
      <c r="B19" s="103" t="s">
        <v>451</v>
      </c>
      <c r="C19" s="94"/>
      <c r="F19" s="123" t="s">
        <v>452</v>
      </c>
      <c r="G19" s="159">
        <f>0.5*(G8+G7)</f>
        <v>46</v>
      </c>
      <c r="H19" s="160">
        <f>0.5*(H8+H7)</f>
        <v>46</v>
      </c>
    </row>
    <row r="20" spans="2:12" ht="16" thickBot="1" x14ac:dyDescent="0.25">
      <c r="B20" s="103" t="s">
        <v>444</v>
      </c>
      <c r="C20" s="94">
        <f>IF(C11&lt;C12,1,0)</f>
        <v>0</v>
      </c>
      <c r="F20" s="315" t="s">
        <v>453</v>
      </c>
      <c r="G20" s="316"/>
      <c r="H20" s="317"/>
      <c r="J20" s="99"/>
    </row>
    <row r="21" spans="2:12" ht="16" thickBot="1" x14ac:dyDescent="0.25">
      <c r="B21" s="103" t="s">
        <v>454</v>
      </c>
      <c r="C21" s="94">
        <f>IF(-C6&lt;0.5*(C12-C11),1,0)</f>
        <v>0</v>
      </c>
      <c r="F21" s="119" t="s">
        <v>455</v>
      </c>
      <c r="G21" s="99">
        <f>C7</f>
        <v>8156.8374967781619</v>
      </c>
      <c r="H21" s="121">
        <f>C8</f>
        <v>6092.9842876953262</v>
      </c>
      <c r="J21" s="99"/>
    </row>
    <row r="22" spans="2:12" ht="16" thickBot="1" x14ac:dyDescent="0.25">
      <c r="B22" s="103" t="s">
        <v>419</v>
      </c>
      <c r="C22" s="94"/>
      <c r="F22" s="119" t="s">
        <v>456</v>
      </c>
      <c r="G22" s="99">
        <f>C32</f>
        <v>2549.0117177431753</v>
      </c>
      <c r="H22" s="121">
        <f>C33</f>
        <v>4250.8426664885828</v>
      </c>
      <c r="J22" s="274" t="s">
        <v>382</v>
      </c>
      <c r="K22" s="305"/>
      <c r="L22" s="275"/>
    </row>
    <row r="23" spans="2:12" x14ac:dyDescent="0.2">
      <c r="B23" s="103" t="s">
        <v>457</v>
      </c>
      <c r="C23" s="94"/>
      <c r="F23" s="119" t="s">
        <v>419</v>
      </c>
      <c r="G23" s="99"/>
      <c r="H23" s="121" t="s">
        <v>419</v>
      </c>
      <c r="J23" s="19"/>
      <c r="K23" s="95" t="s">
        <v>252</v>
      </c>
      <c r="L23" s="75" t="s">
        <v>258</v>
      </c>
    </row>
    <row r="24" spans="2:12" ht="16" thickBot="1" x14ac:dyDescent="0.25">
      <c r="B24" s="103" t="s">
        <v>458</v>
      </c>
      <c r="C24" s="94">
        <f>IF(C11&gt;C12,1,0)</f>
        <v>1</v>
      </c>
      <c r="F24" s="123" t="s">
        <v>459</v>
      </c>
      <c r="G24" s="159">
        <f>0.017*G11</f>
        <v>1050.6000000000001</v>
      </c>
      <c r="H24" s="160">
        <f>0.017*H11</f>
        <v>1050.6000000000001</v>
      </c>
      <c r="J24" s="12" t="s">
        <v>113</v>
      </c>
      <c r="K24" s="202">
        <f>C32*1.6</f>
        <v>4078.4187483890805</v>
      </c>
      <c r="L24" s="132">
        <f>C33*1.6</f>
        <v>6801.3482663817331</v>
      </c>
    </row>
    <row r="25" spans="2:12" x14ac:dyDescent="0.2">
      <c r="B25" s="103" t="s">
        <v>460</v>
      </c>
      <c r="C25" s="94">
        <f>IF(C6&gt;=0.5*(C11-C12),1,0)</f>
        <v>0</v>
      </c>
      <c r="F25" s="105" t="s">
        <v>419</v>
      </c>
      <c r="G25" s="99"/>
      <c r="H25" s="100" t="s">
        <v>419</v>
      </c>
      <c r="J25" s="12" t="s">
        <v>111</v>
      </c>
      <c r="K25" s="202">
        <f>C7*1.6</f>
        <v>13050.939994845059</v>
      </c>
      <c r="L25" s="132">
        <f>C8*1.6</f>
        <v>9748.7748603125219</v>
      </c>
    </row>
    <row r="26" spans="2:12" ht="16" thickBot="1" x14ac:dyDescent="0.25">
      <c r="B26" s="103" t="s">
        <v>419</v>
      </c>
      <c r="C26" s="94"/>
      <c r="F26" s="105" t="s">
        <v>419</v>
      </c>
      <c r="G26" s="99"/>
      <c r="H26" s="100" t="s">
        <v>419</v>
      </c>
      <c r="J26" s="12" t="s">
        <v>425</v>
      </c>
      <c r="K26" s="3">
        <f>IF(0.5*K25+$G$17*K24&lt;K25,K25,0.5*K25+$G$17*K24)</f>
        <v>13050.939994845059</v>
      </c>
      <c r="L26" s="7">
        <f>IF(0.5*L25+$G$17*L24&lt;L25,L25,0.5*L25+$G$17*L24)</f>
        <v>10995.600869899821</v>
      </c>
    </row>
    <row r="27" spans="2:12" x14ac:dyDescent="0.2">
      <c r="B27" s="126" t="s">
        <v>461</v>
      </c>
      <c r="C27" s="94"/>
      <c r="F27" s="213" t="s">
        <v>462</v>
      </c>
      <c r="G27" s="214"/>
      <c r="H27" s="211"/>
      <c r="J27" s="12" t="s">
        <v>463</v>
      </c>
      <c r="K27" s="189">
        <f>G12/K26</f>
        <v>4.3675014997014934</v>
      </c>
      <c r="L27" s="8">
        <f>H12/L26</f>
        <v>5.1838913283980741</v>
      </c>
    </row>
    <row r="28" spans="2:12" ht="16" thickBot="1" x14ac:dyDescent="0.25">
      <c r="B28" s="103" t="s">
        <v>458</v>
      </c>
      <c r="C28" s="94">
        <f>IF(C11&gt;C12,1,0)</f>
        <v>1</v>
      </c>
      <c r="F28" s="208" t="s">
        <v>464</v>
      </c>
      <c r="G28" s="209">
        <v>50000</v>
      </c>
      <c r="H28" s="121"/>
      <c r="J28" s="13" t="s">
        <v>465</v>
      </c>
      <c r="K28" s="313">
        <v>4</v>
      </c>
      <c r="L28" s="314"/>
    </row>
    <row r="29" spans="2:12" x14ac:dyDescent="0.2">
      <c r="B29" s="103" t="s">
        <v>466</v>
      </c>
      <c r="C29" s="94">
        <f>IF(C6&lt;0.5*(C11-C12),1,0)</f>
        <v>1</v>
      </c>
      <c r="F29" s="208" t="s">
        <v>467</v>
      </c>
      <c r="G29" s="209">
        <v>60</v>
      </c>
      <c r="H29" s="121" t="s">
        <v>419</v>
      </c>
    </row>
    <row r="30" spans="2:12" x14ac:dyDescent="0.2">
      <c r="B30" s="69"/>
      <c r="C30" s="70"/>
      <c r="F30" s="208" t="s">
        <v>468</v>
      </c>
      <c r="G30" s="209">
        <v>0.6</v>
      </c>
      <c r="H30" s="121" t="s">
        <v>419</v>
      </c>
      <c r="J30" t="s">
        <v>469</v>
      </c>
      <c r="K30" s="161">
        <f>C6*1.6</f>
        <v>-2722.929517992653</v>
      </c>
    </row>
    <row r="31" spans="2:12" x14ac:dyDescent="0.2">
      <c r="B31" s="105" t="s">
        <v>470</v>
      </c>
      <c r="C31" s="70"/>
      <c r="F31" s="208" t="s">
        <v>471</v>
      </c>
      <c r="G31" s="209">
        <v>0.95</v>
      </c>
      <c r="H31" s="121" t="s">
        <v>419</v>
      </c>
    </row>
    <row r="32" spans="2:12" ht="16" thickBot="1" x14ac:dyDescent="0.25">
      <c r="B32" s="106" t="s">
        <v>472</v>
      </c>
      <c r="C32" s="233">
        <f>0.5*C7/C9</f>
        <v>2549.0117177431753</v>
      </c>
      <c r="F32" s="208" t="s">
        <v>473</v>
      </c>
      <c r="G32" s="209">
        <v>1500</v>
      </c>
      <c r="H32" s="121"/>
    </row>
    <row r="33" spans="2:13" ht="16" thickBot="1" x14ac:dyDescent="0.25">
      <c r="B33" s="107" t="s">
        <v>474</v>
      </c>
      <c r="C33" s="233">
        <f>C32-C6</f>
        <v>4250.8426664885828</v>
      </c>
      <c r="F33" s="210" t="s">
        <v>475</v>
      </c>
      <c r="G33" s="212">
        <f>'Forze e verifica 5-6'!C11</f>
        <v>97.36666666666666</v>
      </c>
      <c r="H33" s="160" t="s">
        <v>419</v>
      </c>
    </row>
    <row r="34" spans="2:13" ht="16" x14ac:dyDescent="0.2">
      <c r="J34" s="234"/>
      <c r="K34" s="234"/>
    </row>
    <row r="35" spans="2:13" ht="34" x14ac:dyDescent="0.2">
      <c r="H35" s="234" t="s">
        <v>476</v>
      </c>
      <c r="I35" s="235" t="s">
        <v>223</v>
      </c>
      <c r="J35" s="235" t="s">
        <v>477</v>
      </c>
      <c r="K35" s="235" t="s">
        <v>478</v>
      </c>
      <c r="L35" s="235" t="s">
        <v>479</v>
      </c>
      <c r="M35" s="235" t="s">
        <v>475</v>
      </c>
    </row>
    <row r="36" spans="2:13" ht="34" x14ac:dyDescent="0.2">
      <c r="H36" s="234">
        <v>50000</v>
      </c>
      <c r="I36" s="235">
        <v>60</v>
      </c>
      <c r="J36" s="235">
        <v>0.6</v>
      </c>
      <c r="K36" s="235">
        <v>0.95</v>
      </c>
      <c r="L36" s="235" t="s">
        <v>480</v>
      </c>
      <c r="M36" s="235">
        <v>97.37</v>
      </c>
    </row>
    <row r="37" spans="2:13" ht="16" x14ac:dyDescent="0.2">
      <c r="J37" s="235"/>
      <c r="K37" s="235"/>
    </row>
    <row r="38" spans="2:13" ht="16" x14ac:dyDescent="0.2">
      <c r="J38" s="235"/>
      <c r="K38" s="235"/>
    </row>
    <row r="39" spans="2:13" ht="16" x14ac:dyDescent="0.2">
      <c r="J39" s="235"/>
      <c r="K39" s="235"/>
    </row>
  </sheetData>
  <mergeCells count="7">
    <mergeCell ref="J22:L22"/>
    <mergeCell ref="K28:L28"/>
    <mergeCell ref="F5:H5"/>
    <mergeCell ref="F20:H20"/>
    <mergeCell ref="J5:L5"/>
    <mergeCell ref="J13:L13"/>
    <mergeCell ref="J16:L16"/>
  </mergeCells>
  <conditionalFormatting sqref="B15">
    <cfRule type="expression" dxfId="42" priority="10">
      <formula>$C$16*$C$17=1</formula>
    </cfRule>
  </conditionalFormatting>
  <conditionalFormatting sqref="B19">
    <cfRule type="expression" dxfId="41" priority="7">
      <formula>$C$20*$C$21=1</formula>
    </cfRule>
  </conditionalFormatting>
  <conditionalFormatting sqref="B23">
    <cfRule type="expression" dxfId="40" priority="8">
      <formula>$C$24*$C$25=1</formula>
    </cfRule>
  </conditionalFormatting>
  <conditionalFormatting sqref="B27">
    <cfRule type="expression" dxfId="39" priority="9">
      <formula>$C$28*$C$29=1</formula>
    </cfRule>
  </conditionalFormatting>
  <conditionalFormatting sqref="K17">
    <cfRule type="cellIs" dxfId="38" priority="6" operator="lessThan">
      <formula>$G$11</formula>
    </cfRule>
  </conditionalFormatting>
  <conditionalFormatting sqref="K27:L27">
    <cfRule type="cellIs" dxfId="37" priority="2" operator="greaterThan">
      <formula>$K$28</formula>
    </cfRule>
    <cfRule type="cellIs" dxfId="36" priority="1" operator="lessThan">
      <formula>$K$28</formula>
    </cfRule>
  </conditionalFormatting>
  <conditionalFormatting sqref="L17">
    <cfRule type="cellIs" dxfId="35" priority="5" operator="lessThan">
      <formula>$H$11</formula>
    </cfRule>
  </conditionalFormatting>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904A1-8C88-48C5-AD91-3837E34A4386}">
  <dimension ref="B1:W137"/>
  <sheetViews>
    <sheetView tabSelected="1" topLeftCell="A63" zoomScaleNormal="100" workbookViewId="0">
      <selection activeCell="H71" sqref="H71"/>
    </sheetView>
  </sheetViews>
  <sheetFormatPr baseColWidth="10" defaultColWidth="8.83203125" defaultRowHeight="15" x14ac:dyDescent="0.2"/>
  <cols>
    <col min="2" max="2" width="13.6640625" customWidth="1"/>
    <col min="3" max="3" width="7.6640625" customWidth="1"/>
    <col min="5" max="5" width="14.1640625" customWidth="1"/>
    <col min="6" max="6" width="8.5" customWidth="1"/>
    <col min="8" max="8" width="13.33203125" customWidth="1"/>
    <col min="9" max="9" width="10.33203125" customWidth="1"/>
    <col min="11" max="11" width="11.33203125" customWidth="1"/>
    <col min="12" max="12" width="11.5" customWidth="1"/>
    <col min="13" max="13" width="9.6640625" customWidth="1"/>
    <col min="14" max="14" width="6.5" customWidth="1"/>
    <col min="15" max="15" width="10.83203125" customWidth="1"/>
    <col min="16" max="16" width="11.5" bestFit="1" customWidth="1"/>
    <col min="20" max="20" width="13.5" bestFit="1" customWidth="1"/>
    <col min="21" max="21" width="6.6640625" customWidth="1"/>
    <col min="22" max="22" width="10.6640625" customWidth="1"/>
  </cols>
  <sheetData>
    <row r="1" spans="2:23" ht="16" thickBot="1" x14ac:dyDescent="0.25"/>
    <row r="2" spans="2:23" x14ac:dyDescent="0.2">
      <c r="B2" s="271" t="s">
        <v>481</v>
      </c>
      <c r="C2" s="258"/>
      <c r="E2" s="271" t="s">
        <v>482</v>
      </c>
      <c r="F2" s="258"/>
      <c r="H2" s="271" t="s">
        <v>483</v>
      </c>
      <c r="I2" s="258"/>
      <c r="K2" s="271" t="s">
        <v>484</v>
      </c>
      <c r="L2" s="257"/>
      <c r="M2" s="257"/>
      <c r="N2" s="257"/>
      <c r="O2" s="257"/>
      <c r="P2" s="258"/>
      <c r="R2" s="271" t="s">
        <v>485</v>
      </c>
      <c r="S2" s="257"/>
      <c r="T2" s="257"/>
      <c r="U2" s="257"/>
      <c r="V2" s="257"/>
      <c r="W2" s="258"/>
    </row>
    <row r="3" spans="2:23" x14ac:dyDescent="0.2">
      <c r="B3" s="12" t="s">
        <v>486</v>
      </c>
      <c r="C3" s="132">
        <f>'Forze e verifica 3-4'!F13*1000</f>
        <v>196151.24790510893</v>
      </c>
      <c r="E3" s="12" t="s">
        <v>62</v>
      </c>
      <c r="F3" s="7">
        <v>8</v>
      </c>
      <c r="H3" s="12" t="s">
        <v>486</v>
      </c>
      <c r="I3" s="8">
        <f>C3</f>
        <v>196151.24790510893</v>
      </c>
      <c r="K3" s="131" t="s">
        <v>487</v>
      </c>
      <c r="L3" s="3" t="s">
        <v>488</v>
      </c>
      <c r="M3" s="3">
        <f>I4/I3</f>
        <v>0.86695234586339509</v>
      </c>
      <c r="N3" s="3"/>
      <c r="O3" s="3" t="s">
        <v>489</v>
      </c>
      <c r="P3" s="7">
        <f>16*I4/(PI()*I5^3)*(1+SQRT(1+(I3/I4)^2))</f>
        <v>81.045292507361268</v>
      </c>
      <c r="R3" s="131" t="s">
        <v>487</v>
      </c>
      <c r="S3" s="3" t="s">
        <v>488</v>
      </c>
      <c r="T3" s="3">
        <f>I4/I3</f>
        <v>0.86695234586339509</v>
      </c>
      <c r="U3" s="3"/>
      <c r="V3" s="3" t="s">
        <v>489</v>
      </c>
      <c r="W3" s="7">
        <f>16*I4/(PI()*I5^3)*(1+SQRT(1+(I3/I4)^2))</f>
        <v>81.045292507361268</v>
      </c>
    </row>
    <row r="4" spans="2:23" x14ac:dyDescent="0.2">
      <c r="B4" s="12" t="s">
        <v>328</v>
      </c>
      <c r="C4" s="7">
        <f>'Forze e verifica 3-4'!C12</f>
        <v>97.789999999999992</v>
      </c>
      <c r="E4" s="12" t="s">
        <v>158</v>
      </c>
      <c r="F4" s="7">
        <v>7</v>
      </c>
      <c r="H4" s="12" t="s">
        <v>490</v>
      </c>
      <c r="I4" s="7">
        <f>'Albero 1'!G31</f>
        <v>170053.78451536654</v>
      </c>
      <c r="K4" s="259"/>
      <c r="L4" s="260"/>
      <c r="M4" s="260"/>
      <c r="N4" s="260"/>
      <c r="O4" s="260"/>
      <c r="P4" s="261"/>
      <c r="R4" s="259"/>
      <c r="S4" s="260"/>
      <c r="T4" s="260"/>
      <c r="U4" s="260"/>
      <c r="V4" s="260"/>
      <c r="W4" s="261"/>
    </row>
    <row r="5" spans="2:23" x14ac:dyDescent="0.2">
      <c r="B5" s="12" t="s">
        <v>491</v>
      </c>
      <c r="C5" s="7">
        <v>30</v>
      </c>
      <c r="E5" s="12" t="s">
        <v>334</v>
      </c>
      <c r="F5" s="7">
        <v>28</v>
      </c>
      <c r="H5" s="12" t="s">
        <v>491</v>
      </c>
      <c r="I5" s="7">
        <f>C5</f>
        <v>30</v>
      </c>
      <c r="K5" s="333" t="s">
        <v>492</v>
      </c>
      <c r="L5" s="3" t="s">
        <v>493</v>
      </c>
      <c r="M5" s="3">
        <v>2.6</v>
      </c>
      <c r="N5" s="324"/>
      <c r="O5" s="3" t="s">
        <v>391</v>
      </c>
      <c r="P5" s="8">
        <f>32*I4/(PI()*I5^3)</f>
        <v>64.153837978322002</v>
      </c>
      <c r="R5" s="333" t="s">
        <v>492</v>
      </c>
      <c r="S5" s="3" t="s">
        <v>493</v>
      </c>
      <c r="T5" s="189">
        <f>C60</f>
        <v>2.8879072935913985</v>
      </c>
      <c r="U5" s="324"/>
      <c r="V5" s="3" t="s">
        <v>391</v>
      </c>
      <c r="W5" s="8">
        <f>32*I4/(PI()*I5^3)</f>
        <v>64.153837978322002</v>
      </c>
    </row>
    <row r="6" spans="2:23" x14ac:dyDescent="0.2">
      <c r="B6" s="12" t="s">
        <v>71</v>
      </c>
      <c r="C6" s="8">
        <f>'Forze e verifica 3-4'!C7</f>
        <v>110.59887701331002</v>
      </c>
      <c r="E6" s="12" t="s">
        <v>494</v>
      </c>
      <c r="F6" s="7">
        <v>4</v>
      </c>
      <c r="H6" s="259"/>
      <c r="I6" s="261"/>
      <c r="K6" s="333"/>
      <c r="L6" s="3" t="s">
        <v>495</v>
      </c>
      <c r="M6" s="3">
        <v>1.3</v>
      </c>
      <c r="N6" s="307"/>
      <c r="O6" s="3" t="s">
        <v>393</v>
      </c>
      <c r="P6" s="8">
        <f>$P$3*M6</f>
        <v>105.35888025956964</v>
      </c>
      <c r="R6" s="333"/>
      <c r="S6" s="3" t="s">
        <v>495</v>
      </c>
      <c r="T6" s="189">
        <f>C61</f>
        <v>1.4268604861161351</v>
      </c>
      <c r="U6" s="307"/>
      <c r="V6" s="3" t="s">
        <v>393</v>
      </c>
      <c r="W6" s="8">
        <f>$W$3*T6</f>
        <v>115.64032546447787</v>
      </c>
    </row>
    <row r="7" spans="2:23" ht="16" thickBot="1" x14ac:dyDescent="0.25">
      <c r="B7" s="13" t="s">
        <v>496</v>
      </c>
      <c r="C7" s="10">
        <f>'Forze e verifica 3-4'!C19</f>
        <v>28</v>
      </c>
      <c r="E7" s="19" t="s">
        <v>497</v>
      </c>
      <c r="F7" s="75">
        <v>3.3</v>
      </c>
      <c r="H7" s="12" t="s">
        <v>498</v>
      </c>
      <c r="I7" s="7">
        <f>32*I4/(PI()*I5^3)</f>
        <v>64.153837978322002</v>
      </c>
      <c r="K7" s="333"/>
      <c r="L7" s="3" t="s">
        <v>294</v>
      </c>
      <c r="M7" s="189">
        <f>1+P17*(M5-1)</f>
        <v>2.4981818181818181</v>
      </c>
      <c r="N7" s="307"/>
      <c r="O7" s="3" t="s">
        <v>285</v>
      </c>
      <c r="P7" s="7">
        <f>M8/$M$20</f>
        <v>0.38038049227535825</v>
      </c>
      <c r="R7" s="333"/>
      <c r="S7" s="3" t="s">
        <v>294</v>
      </c>
      <c r="T7" s="189">
        <f>1+W17*(T5-1)</f>
        <v>2.7677677385446735</v>
      </c>
      <c r="U7" s="307"/>
      <c r="V7" s="3" t="s">
        <v>285</v>
      </c>
      <c r="W7" s="227">
        <f>T8/$M$20</f>
        <v>0.34333069807837552</v>
      </c>
    </row>
    <row r="8" spans="2:23" ht="16" thickBot="1" x14ac:dyDescent="0.25">
      <c r="E8" s="52" t="s">
        <v>499</v>
      </c>
      <c r="F8" s="60">
        <f>F6+F7</f>
        <v>7.3</v>
      </c>
      <c r="H8" s="12" t="s">
        <v>500</v>
      </c>
      <c r="I8" s="7">
        <f>16*I3/(PI()*I5^3)</f>
        <v>36.999633419545916</v>
      </c>
      <c r="K8" s="333"/>
      <c r="L8" s="3" t="s">
        <v>397</v>
      </c>
      <c r="M8" s="189">
        <f>$M$19*$M$17*$M$18/M7</f>
        <v>161.41539301310044</v>
      </c>
      <c r="N8" s="307"/>
      <c r="O8" s="3" t="s">
        <v>396</v>
      </c>
      <c r="P8" s="8">
        <f>SQRT(P5^2+(P7*P6)^2)</f>
        <v>75.642830413704459</v>
      </c>
      <c r="R8" s="333"/>
      <c r="S8" s="3" t="s">
        <v>397</v>
      </c>
      <c r="T8" s="189">
        <f>$T$19*$T$17*$T$18/T7</f>
        <v>145.69322215311001</v>
      </c>
      <c r="U8" s="307"/>
      <c r="V8" s="3" t="s">
        <v>396</v>
      </c>
      <c r="W8" s="8">
        <f>SQRT(W5^2+(W7*W6)^2)</f>
        <v>75.445563851193384</v>
      </c>
    </row>
    <row r="9" spans="2:23" x14ac:dyDescent="0.2">
      <c r="E9" s="179" t="s">
        <v>272</v>
      </c>
      <c r="F9" s="29">
        <v>0.25</v>
      </c>
      <c r="H9" s="259"/>
      <c r="I9" s="261"/>
      <c r="K9" s="333"/>
      <c r="L9" s="279"/>
      <c r="M9" s="280"/>
      <c r="N9" s="325"/>
      <c r="O9" s="3" t="s">
        <v>145</v>
      </c>
      <c r="P9" s="8">
        <f>M8/P8</f>
        <v>2.1339152981226399</v>
      </c>
      <c r="R9" s="333"/>
      <c r="S9" s="279"/>
      <c r="T9" s="280"/>
      <c r="U9" s="325"/>
      <c r="V9" s="3" t="s">
        <v>145</v>
      </c>
      <c r="W9" s="8">
        <f>T8/W8</f>
        <v>1.9311038941994132</v>
      </c>
    </row>
    <row r="10" spans="2:23" ht="16" thickBot="1" x14ac:dyDescent="0.25">
      <c r="H10" s="12" t="s">
        <v>396</v>
      </c>
      <c r="I10" s="7">
        <f>SQRT(I7^2+3*I8^2)*1.6</f>
        <v>145.08598099072591</v>
      </c>
      <c r="K10" s="259"/>
      <c r="L10" s="260"/>
      <c r="M10" s="260"/>
      <c r="N10" s="260"/>
      <c r="O10" s="260"/>
      <c r="P10" s="261"/>
      <c r="R10" s="259"/>
      <c r="S10" s="260"/>
      <c r="T10" s="260"/>
      <c r="U10" s="260"/>
      <c r="V10" s="260"/>
      <c r="W10" s="261"/>
    </row>
    <row r="11" spans="2:23" ht="16" thickBot="1" x14ac:dyDescent="0.25">
      <c r="B11" s="271" t="s">
        <v>501</v>
      </c>
      <c r="C11" s="258"/>
      <c r="E11" s="271" t="s">
        <v>502</v>
      </c>
      <c r="F11" s="258"/>
      <c r="H11" s="13" t="s">
        <v>145</v>
      </c>
      <c r="I11" s="10">
        <f>Materiali!G3/I10</f>
        <v>5.0659615421215793</v>
      </c>
      <c r="K11" s="333" t="s">
        <v>503</v>
      </c>
      <c r="L11" s="3" t="s">
        <v>493</v>
      </c>
      <c r="M11" s="3">
        <v>2.4</v>
      </c>
      <c r="N11" s="324"/>
      <c r="O11" s="3" t="s">
        <v>391</v>
      </c>
      <c r="P11" s="8">
        <f>P5</f>
        <v>64.153837978322002</v>
      </c>
      <c r="R11" s="333" t="s">
        <v>503</v>
      </c>
      <c r="S11" s="3" t="s">
        <v>493</v>
      </c>
      <c r="T11" s="189">
        <f>F60</f>
        <v>2.7811387100298419</v>
      </c>
      <c r="U11" s="324"/>
      <c r="V11" s="3" t="s">
        <v>391</v>
      </c>
      <c r="W11" s="8">
        <f>W5</f>
        <v>64.153837978322002</v>
      </c>
    </row>
    <row r="12" spans="2:23" x14ac:dyDescent="0.2">
      <c r="B12" s="12" t="s">
        <v>43</v>
      </c>
      <c r="C12" s="7">
        <v>1</v>
      </c>
      <c r="E12" s="12" t="s">
        <v>43</v>
      </c>
      <c r="F12" s="7">
        <v>1</v>
      </c>
      <c r="H12" s="16"/>
      <c r="K12" s="333"/>
      <c r="L12" s="3" t="s">
        <v>495</v>
      </c>
      <c r="M12" s="3">
        <v>1.92</v>
      </c>
      <c r="N12" s="307"/>
      <c r="O12" s="3" t="s">
        <v>393</v>
      </c>
      <c r="P12" s="8">
        <f>$P$3*M12</f>
        <v>155.60696161413364</v>
      </c>
      <c r="R12" s="333"/>
      <c r="S12" s="3" t="s">
        <v>495</v>
      </c>
      <c r="T12" s="189">
        <f>F61</f>
        <v>2.1705635829471026</v>
      </c>
      <c r="U12" s="307"/>
      <c r="V12" s="3" t="s">
        <v>393</v>
      </c>
      <c r="W12" s="8">
        <f>$W$3*T12</f>
        <v>175.91396048577406</v>
      </c>
    </row>
    <row r="13" spans="2:23" x14ac:dyDescent="0.2">
      <c r="B13" s="12" t="s">
        <v>504</v>
      </c>
      <c r="C13" s="7">
        <v>1</v>
      </c>
      <c r="E13" s="12" t="s">
        <v>504</v>
      </c>
      <c r="F13" s="7">
        <v>1</v>
      </c>
      <c r="K13" s="333"/>
      <c r="L13" s="3" t="s">
        <v>294</v>
      </c>
      <c r="M13" s="189">
        <f>1+P18*(M11-1)</f>
        <v>2.1007633587786261</v>
      </c>
      <c r="N13" s="307"/>
      <c r="O13" s="3" t="s">
        <v>285</v>
      </c>
      <c r="P13" s="7">
        <f>M14/$M$20</f>
        <v>0.45234015807750283</v>
      </c>
      <c r="R13" s="333"/>
      <c r="S13" s="3" t="s">
        <v>294</v>
      </c>
      <c r="T13" s="189">
        <f>1+W18*(T11-1)</f>
        <v>2.4004373063593416</v>
      </c>
      <c r="U13" s="307"/>
      <c r="V13" s="3" t="s">
        <v>285</v>
      </c>
      <c r="W13" s="227">
        <f>T14/$T$20</f>
        <v>0.3958693806648817</v>
      </c>
    </row>
    <row r="14" spans="2:23" x14ac:dyDescent="0.2">
      <c r="B14" s="12" t="s">
        <v>505</v>
      </c>
      <c r="C14" s="8">
        <f>$C$3/($C$12*$C$5/2)*$C$13/(($F$5-$F$3)*($F$4-F6))</f>
        <v>217.94583100567658</v>
      </c>
      <c r="E14" s="12" t="s">
        <v>505</v>
      </c>
      <c r="F14" s="8">
        <f>1.6*$C$3/($C$12*$C$5/2)*$C$13/(($F$5-$F$3)*($F$4-F6))</f>
        <v>348.71332960908256</v>
      </c>
      <c r="K14" s="333"/>
      <c r="L14" s="3" t="s">
        <v>397</v>
      </c>
      <c r="M14" s="189">
        <f>$M$19*$M$17*$M$18/M13</f>
        <v>191.95165334302325</v>
      </c>
      <c r="N14" s="307"/>
      <c r="O14" s="3" t="s">
        <v>396</v>
      </c>
      <c r="P14" s="8">
        <f>SQRT(P11^2+(P13*P12)^2)</f>
        <v>95.236987443582422</v>
      </c>
      <c r="R14" s="333"/>
      <c r="S14" s="3" t="s">
        <v>397</v>
      </c>
      <c r="T14" s="189">
        <f>$T$19*$T$17*$T$18/T13</f>
        <v>167.98814071573793</v>
      </c>
      <c r="U14" s="307"/>
      <c r="V14" s="3" t="s">
        <v>396</v>
      </c>
      <c r="W14" s="8">
        <f>SQRT(W11^2+(W13*W12)^2)</f>
        <v>94.685259498615778</v>
      </c>
    </row>
    <row r="15" spans="2:23" x14ac:dyDescent="0.2">
      <c r="B15" s="12" t="s">
        <v>506</v>
      </c>
      <c r="C15" s="8">
        <f>$C$3/($C$12*$C$5/2)*$C$13/($F$5*($F$4-F7))</f>
        <v>126.22345425039182</v>
      </c>
      <c r="E15" s="12" t="s">
        <v>506</v>
      </c>
      <c r="F15" s="8">
        <f>1.6*$C$3/($C$12*$C$5/2)*$C$13/($F$5*($F$4-F7))</f>
        <v>201.95752680062697</v>
      </c>
      <c r="K15" s="333"/>
      <c r="L15" s="279"/>
      <c r="M15" s="280"/>
      <c r="N15" s="325"/>
      <c r="O15" s="3" t="s">
        <v>145</v>
      </c>
      <c r="P15" s="8">
        <f>M14/P14</f>
        <v>2.0155158042639028</v>
      </c>
      <c r="R15" s="333"/>
      <c r="S15" s="279"/>
      <c r="T15" s="280"/>
      <c r="U15" s="325"/>
      <c r="V15" s="3" t="s">
        <v>145</v>
      </c>
      <c r="W15" s="8">
        <f>T14/W14</f>
        <v>1.7741741597929905</v>
      </c>
    </row>
    <row r="16" spans="2:23" x14ac:dyDescent="0.2">
      <c r="B16" s="12" t="s">
        <v>507</v>
      </c>
      <c r="C16" s="8">
        <f>MAX(C14:C15)</f>
        <v>217.94583100567658</v>
      </c>
      <c r="E16" s="12" t="s">
        <v>507</v>
      </c>
      <c r="F16" s="8">
        <f>MAX(F14:F15)</f>
        <v>348.71332960908256</v>
      </c>
      <c r="K16" s="259"/>
      <c r="L16" s="260"/>
      <c r="M16" s="260"/>
      <c r="N16" s="260"/>
      <c r="O16" s="260"/>
      <c r="P16" s="261"/>
      <c r="R16" s="259"/>
      <c r="S16" s="260"/>
      <c r="T16" s="260"/>
      <c r="U16" s="260"/>
      <c r="V16" s="260"/>
      <c r="W16" s="261"/>
    </row>
    <row r="17" spans="2:23" x14ac:dyDescent="0.2">
      <c r="B17" s="281"/>
      <c r="C17" s="282"/>
      <c r="E17" s="281"/>
      <c r="F17" s="282"/>
      <c r="K17" s="326" t="s">
        <v>508</v>
      </c>
      <c r="L17" s="3" t="s">
        <v>286</v>
      </c>
      <c r="M17" s="3">
        <v>0.87</v>
      </c>
      <c r="N17" s="324"/>
      <c r="O17" s="3" t="s">
        <v>509</v>
      </c>
      <c r="P17" s="8">
        <f>1/(1+SQRT((140/Materiali!F3)^2/(F3/2)))</f>
        <v>0.9363636363636364</v>
      </c>
      <c r="R17" s="326" t="s">
        <v>508</v>
      </c>
      <c r="S17" s="3" t="s">
        <v>288</v>
      </c>
      <c r="T17" s="3">
        <v>0.87</v>
      </c>
      <c r="U17" s="324"/>
      <c r="V17" s="3" t="s">
        <v>509</v>
      </c>
      <c r="W17" s="7">
        <f>1/(1+SQRT((140/Materiali!F3)^2/(F3/2)))</f>
        <v>0.9363636363636364</v>
      </c>
    </row>
    <row r="18" spans="2:23" x14ac:dyDescent="0.2">
      <c r="B18" s="12" t="s">
        <v>510</v>
      </c>
      <c r="C18" s="7">
        <f>Materiali!G4*1.5</f>
        <v>885</v>
      </c>
      <c r="E18" s="12" t="s">
        <v>510</v>
      </c>
      <c r="F18" s="7">
        <f>Materiali!G4*1.5</f>
        <v>885</v>
      </c>
      <c r="K18" s="327"/>
      <c r="L18" s="3" t="s">
        <v>288</v>
      </c>
      <c r="M18" s="3">
        <v>0.9</v>
      </c>
      <c r="N18" s="307"/>
      <c r="O18" s="3" t="s">
        <v>511</v>
      </c>
      <c r="P18" s="8">
        <f>1/(1+SQRT((140/Materiali!F3)^2/F9))</f>
        <v>0.78625954198473291</v>
      </c>
      <c r="R18" s="327"/>
      <c r="S18" s="3" t="s">
        <v>286</v>
      </c>
      <c r="T18" s="3">
        <v>0.9</v>
      </c>
      <c r="U18" s="307"/>
      <c r="V18" s="3" t="s">
        <v>511</v>
      </c>
      <c r="W18" s="7">
        <f>1/(1+SQRT((140/Materiali!F3)^2/F9))</f>
        <v>0.78625954198473291</v>
      </c>
    </row>
    <row r="19" spans="2:23" x14ac:dyDescent="0.2">
      <c r="B19" s="12" t="s">
        <v>512</v>
      </c>
      <c r="C19" s="7">
        <f>Materiali!G3*1.2</f>
        <v>882</v>
      </c>
      <c r="E19" s="12" t="s">
        <v>512</v>
      </c>
      <c r="F19" s="7">
        <f>Materiali!G3*1.5</f>
        <v>1102.5</v>
      </c>
      <c r="K19" s="327"/>
      <c r="L19" s="3" t="s">
        <v>513</v>
      </c>
      <c r="M19" s="189">
        <f>Materiali!F3*0.5</f>
        <v>515</v>
      </c>
      <c r="N19" s="307"/>
      <c r="O19" s="329"/>
      <c r="P19" s="330"/>
      <c r="R19" s="327"/>
      <c r="S19" s="3" t="s">
        <v>513</v>
      </c>
      <c r="T19" s="3">
        <f>Materiali!F3*0.5</f>
        <v>515</v>
      </c>
      <c r="U19" s="307"/>
      <c r="V19" s="329"/>
      <c r="W19" s="330"/>
    </row>
    <row r="20" spans="2:23" ht="16" thickBot="1" x14ac:dyDescent="0.25">
      <c r="B20" s="12" t="s">
        <v>514</v>
      </c>
      <c r="C20" s="7">
        <f>565*1</f>
        <v>565</v>
      </c>
      <c r="E20" s="12" t="s">
        <v>514</v>
      </c>
      <c r="F20" s="7">
        <f>565*1.5</f>
        <v>847.5</v>
      </c>
      <c r="K20" s="328"/>
      <c r="L20" s="9" t="s">
        <v>515</v>
      </c>
      <c r="M20" s="228">
        <f>Materiali!G3/SQRT(3)</f>
        <v>424.35244785437499</v>
      </c>
      <c r="N20" s="308"/>
      <c r="O20" s="331"/>
      <c r="P20" s="332"/>
      <c r="R20" s="328"/>
      <c r="S20" s="9" t="s">
        <v>515</v>
      </c>
      <c r="T20" s="9">
        <f>Materiali!G3/SQRT(3)</f>
        <v>424.35244785437499</v>
      </c>
      <c r="U20" s="308"/>
      <c r="V20" s="331"/>
      <c r="W20" s="332"/>
    </row>
    <row r="21" spans="2:23" x14ac:dyDescent="0.2">
      <c r="B21" s="281"/>
      <c r="C21" s="282"/>
      <c r="E21" s="281"/>
      <c r="F21" s="282"/>
    </row>
    <row r="22" spans="2:23" x14ac:dyDescent="0.2">
      <c r="B22" s="12" t="s">
        <v>516</v>
      </c>
      <c r="C22" s="8">
        <f>C18/C14</f>
        <v>4.0606420224525852</v>
      </c>
      <c r="E22" s="12" t="s">
        <v>516</v>
      </c>
      <c r="F22" s="8">
        <f>F18/F14</f>
        <v>2.537901264032866</v>
      </c>
    </row>
    <row r="23" spans="2:23" x14ac:dyDescent="0.2">
      <c r="B23" s="12" t="s">
        <v>517</v>
      </c>
      <c r="C23" s="8">
        <f t="shared" ref="C23:C24" si="0">C19/C15</f>
        <v>6.9876078517892575</v>
      </c>
      <c r="E23" s="12" t="s">
        <v>517</v>
      </c>
      <c r="F23" s="8">
        <f>F19/F15</f>
        <v>5.4590686342103556</v>
      </c>
      <c r="K23" t="s">
        <v>518</v>
      </c>
      <c r="N23" t="s">
        <v>519</v>
      </c>
    </row>
    <row r="24" spans="2:23" ht="16" thickBot="1" x14ac:dyDescent="0.25">
      <c r="B24" s="13" t="s">
        <v>520</v>
      </c>
      <c r="C24" s="14">
        <f t="shared" si="0"/>
        <v>2.5923872798708598</v>
      </c>
      <c r="E24" s="13" t="s">
        <v>520</v>
      </c>
      <c r="F24" s="14">
        <f t="shared" ref="F24" si="1">F20/F16</f>
        <v>2.4303630748789309</v>
      </c>
    </row>
    <row r="27" spans="2:23" x14ac:dyDescent="0.2">
      <c r="B27" s="12" t="s">
        <v>521</v>
      </c>
      <c r="C27" s="7">
        <v>430</v>
      </c>
      <c r="D27" t="s">
        <v>522</v>
      </c>
    </row>
    <row r="28" spans="2:23" x14ac:dyDescent="0.2">
      <c r="B28" s="281" t="s">
        <v>523</v>
      </c>
      <c r="C28" s="282"/>
    </row>
    <row r="56" spans="2:22" x14ac:dyDescent="0.2">
      <c r="B56" t="s">
        <v>524</v>
      </c>
      <c r="C56" t="s">
        <v>252</v>
      </c>
      <c r="E56" t="s">
        <v>524</v>
      </c>
      <c r="F56" t="s">
        <v>525</v>
      </c>
      <c r="H56" t="s">
        <v>524</v>
      </c>
      <c r="I56" t="s">
        <v>526</v>
      </c>
      <c r="K56" t="s">
        <v>527</v>
      </c>
    </row>
    <row r="57" spans="2:22" x14ac:dyDescent="0.2">
      <c r="B57" t="s">
        <v>262</v>
      </c>
      <c r="C57">
        <v>30</v>
      </c>
      <c r="E57" t="s">
        <v>262</v>
      </c>
      <c r="F57">
        <f>C57</f>
        <v>30</v>
      </c>
      <c r="H57" t="s">
        <v>262</v>
      </c>
      <c r="I57">
        <f>F57</f>
        <v>30</v>
      </c>
      <c r="K57" t="s">
        <v>528</v>
      </c>
    </row>
    <row r="58" spans="2:22" x14ac:dyDescent="0.2">
      <c r="B58" t="s">
        <v>529</v>
      </c>
      <c r="C58" s="161">
        <f>'Albero 1'!K32</f>
        <v>272086.05522458645</v>
      </c>
      <c r="E58" t="s">
        <v>529</v>
      </c>
      <c r="F58" s="161">
        <f>C58</f>
        <v>272086.05522458645</v>
      </c>
      <c r="H58" t="s">
        <v>529</v>
      </c>
      <c r="I58" s="161">
        <f t="shared" ref="I58:I59" si="2">F58</f>
        <v>272086.05522458645</v>
      </c>
      <c r="K58" t="s">
        <v>530</v>
      </c>
    </row>
    <row r="59" spans="2:22" x14ac:dyDescent="0.2">
      <c r="B59" t="s">
        <v>488</v>
      </c>
      <c r="C59" s="17">
        <f>M3</f>
        <v>0.86695234586339509</v>
      </c>
      <c r="E59" t="s">
        <v>488</v>
      </c>
      <c r="F59" s="17">
        <f t="shared" ref="F59" si="3">C59</f>
        <v>0.86695234586339509</v>
      </c>
      <c r="H59" t="s">
        <v>488</v>
      </c>
      <c r="I59" s="17">
        <f t="shared" si="2"/>
        <v>0.86695234586339509</v>
      </c>
      <c r="K59" t="s">
        <v>531</v>
      </c>
    </row>
    <row r="60" spans="2:22" x14ac:dyDescent="0.2">
      <c r="B60" t="s">
        <v>532</v>
      </c>
      <c r="C60" s="68">
        <f>'Dati FEM'!L32</f>
        <v>2.8879072935913985</v>
      </c>
      <c r="E60" t="s">
        <v>532</v>
      </c>
      <c r="F60" s="68">
        <f>'Dati FEM'!N32</f>
        <v>2.7811387100298419</v>
      </c>
      <c r="I60" s="17"/>
      <c r="K60" t="s">
        <v>533</v>
      </c>
      <c r="O60" t="s">
        <v>534</v>
      </c>
    </row>
    <row r="61" spans="2:22" x14ac:dyDescent="0.2">
      <c r="B61" t="s">
        <v>535</v>
      </c>
      <c r="C61" s="68">
        <f>'Dati FEM'!M32</f>
        <v>1.4268604861161351</v>
      </c>
      <c r="E61" t="s">
        <v>535</v>
      </c>
      <c r="F61" s="68">
        <f>'Dati FEM'!O32</f>
        <v>2.1705635829471026</v>
      </c>
      <c r="I61" s="17"/>
      <c r="K61" t="s">
        <v>536</v>
      </c>
      <c r="P61" t="s">
        <v>537</v>
      </c>
      <c r="V61" t="s">
        <v>538</v>
      </c>
    </row>
    <row r="62" spans="2:22" x14ac:dyDescent="0.2">
      <c r="B62" t="s">
        <v>489</v>
      </c>
      <c r="C62" s="68">
        <f>16*C58/PI()/C57^3*(1+(SQRT(1+C59^(-2))))</f>
        <v>129.67246801177799</v>
      </c>
      <c r="E62" t="s">
        <v>489</v>
      </c>
      <c r="F62" s="68">
        <f>16*F58/PI()/F57^3*(1+(SQRT(1+F59^(-2))))</f>
        <v>129.67246801177799</v>
      </c>
      <c r="H62" t="s">
        <v>489</v>
      </c>
      <c r="I62">
        <f>32*I58/PI()/I57^3+'Albero 1'!G22*4/PI()/Linguetta!I57^2</f>
        <v>108.65985296689378</v>
      </c>
      <c r="K62" t="s">
        <v>539</v>
      </c>
    </row>
    <row r="63" spans="2:22" x14ac:dyDescent="0.2">
      <c r="B63" t="s">
        <v>540</v>
      </c>
      <c r="C63" s="68">
        <f>C62*C60</f>
        <v>374.48206614921099</v>
      </c>
      <c r="E63" t="s">
        <v>540</v>
      </c>
      <c r="F63" s="68">
        <f>Linguetta!F62*F60</f>
        <v>360.63712041266217</v>
      </c>
      <c r="H63" t="s">
        <v>386</v>
      </c>
      <c r="I63">
        <f>I62</f>
        <v>108.65985296689378</v>
      </c>
    </row>
    <row r="64" spans="2:22" x14ac:dyDescent="0.2">
      <c r="B64" t="s">
        <v>393</v>
      </c>
      <c r="C64" s="68">
        <f>Linguetta!C62*C61</f>
        <v>185.02452074316454</v>
      </c>
      <c r="E64" t="s">
        <v>393</v>
      </c>
      <c r="F64" s="68">
        <f>F62*F61</f>
        <v>281.46233677723842</v>
      </c>
      <c r="H64" t="s">
        <v>387</v>
      </c>
      <c r="I64">
        <f>16*(I58/I59)/PI()/I57^3</f>
        <v>59.199413471273459</v>
      </c>
    </row>
    <row r="65" spans="2:9" x14ac:dyDescent="0.2">
      <c r="B65" t="s">
        <v>541</v>
      </c>
      <c r="C65" s="68">
        <f>SQRT(C63^2+3*C64^2)</f>
        <v>492.8884637482351</v>
      </c>
      <c r="E65" t="s">
        <v>541</v>
      </c>
      <c r="F65" s="68">
        <f>SQRT(F63^2+3*F64^2)</f>
        <v>606.40108318822104</v>
      </c>
      <c r="H65" t="s">
        <v>541</v>
      </c>
      <c r="I65">
        <f>SQRT(I63^2+3*I64^2)</f>
        <v>149.40105526004612</v>
      </c>
    </row>
    <row r="67" spans="2:9" x14ac:dyDescent="0.2">
      <c r="B67" t="s">
        <v>145</v>
      </c>
      <c r="C67" s="68">
        <f>Materiali!G3/Linguetta!C65</f>
        <v>1.491209582002784</v>
      </c>
      <c r="E67" t="s">
        <v>145</v>
      </c>
      <c r="F67" s="68">
        <f>Materiali!G3/Linguetta!F65</f>
        <v>1.2120690750347209</v>
      </c>
      <c r="H67" t="s">
        <v>145</v>
      </c>
      <c r="I67">
        <f>Materiali!G3/Linguetta!I65</f>
        <v>4.9196439658385653</v>
      </c>
    </row>
    <row r="68" spans="2:9" x14ac:dyDescent="0.2">
      <c r="E68" t="s">
        <v>272</v>
      </c>
      <c r="F68">
        <v>0.25</v>
      </c>
      <c r="H68" t="s">
        <v>272</v>
      </c>
      <c r="I68">
        <v>0.25</v>
      </c>
    </row>
    <row r="74" spans="2:9" x14ac:dyDescent="0.2">
      <c r="B74" s="283" t="s">
        <v>492</v>
      </c>
      <c r="C74" s="283"/>
      <c r="E74" s="283" t="s">
        <v>503</v>
      </c>
      <c r="F74" s="283"/>
    </row>
    <row r="75" spans="2:9" x14ac:dyDescent="0.2">
      <c r="B75" s="3" t="s">
        <v>542</v>
      </c>
      <c r="C75" s="3">
        <v>30</v>
      </c>
      <c r="E75" s="3" t="s">
        <v>542</v>
      </c>
      <c r="F75" s="3">
        <f>C75</f>
        <v>30</v>
      </c>
    </row>
    <row r="76" spans="2:9" x14ac:dyDescent="0.2">
      <c r="B76" s="3" t="s">
        <v>490</v>
      </c>
      <c r="C76" s="202">
        <f>C58</f>
        <v>272086.05522458645</v>
      </c>
      <c r="E76" s="3" t="s">
        <v>490</v>
      </c>
      <c r="F76" s="202">
        <f>C76</f>
        <v>272086.05522458645</v>
      </c>
    </row>
    <row r="77" spans="2:9" x14ac:dyDescent="0.2">
      <c r="B77" s="3" t="s">
        <v>488</v>
      </c>
      <c r="C77" s="226">
        <f>C59</f>
        <v>0.86695234586339509</v>
      </c>
      <c r="E77" s="3" t="s">
        <v>488</v>
      </c>
      <c r="F77" s="226">
        <f t="shared" ref="F77" si="4">C77</f>
        <v>0.86695234586339509</v>
      </c>
    </row>
    <row r="78" spans="2:9" x14ac:dyDescent="0.2">
      <c r="B78" s="3" t="s">
        <v>493</v>
      </c>
      <c r="C78" s="3">
        <v>2.6</v>
      </c>
      <c r="E78" s="3" t="s">
        <v>493</v>
      </c>
      <c r="F78" s="3">
        <v>2.4</v>
      </c>
    </row>
    <row r="79" spans="2:9" x14ac:dyDescent="0.2">
      <c r="B79" s="3" t="s">
        <v>495</v>
      </c>
      <c r="C79" s="3">
        <v>1.3</v>
      </c>
      <c r="E79" s="3" t="s">
        <v>495</v>
      </c>
      <c r="F79" s="3">
        <v>1.92</v>
      </c>
    </row>
    <row r="80" spans="2:9" x14ac:dyDescent="0.2">
      <c r="B80" s="3" t="s">
        <v>543</v>
      </c>
      <c r="C80" s="189">
        <f>16*C76/PI()/C75^3*(1+(SQRT(1+C77^(-2))))</f>
        <v>129.67246801177799</v>
      </c>
      <c r="E80" s="3" t="s">
        <v>543</v>
      </c>
      <c r="F80" s="189">
        <f>16*F76/PI()/F75^3*(1+(SQRT(1+F77^(-2))))</f>
        <v>129.67246801177799</v>
      </c>
    </row>
    <row r="81" spans="2:8" x14ac:dyDescent="0.2">
      <c r="B81" s="3" t="s">
        <v>544</v>
      </c>
      <c r="C81" s="189">
        <f>C80*C78</f>
        <v>337.14841683062281</v>
      </c>
      <c r="E81" s="3" t="s">
        <v>544</v>
      </c>
      <c r="F81" s="189">
        <f>Linguetta!F80*F78</f>
        <v>311.21392322826716</v>
      </c>
    </row>
    <row r="82" spans="2:8" x14ac:dyDescent="0.2">
      <c r="B82" s="3" t="s">
        <v>545</v>
      </c>
      <c r="C82" s="189">
        <f>C79*Linguetta!C80</f>
        <v>168.5742084153114</v>
      </c>
      <c r="E82" s="3" t="s">
        <v>545</v>
      </c>
      <c r="F82" s="189">
        <f>F80*F79</f>
        <v>248.97113858261375</v>
      </c>
      <c r="H82" t="s">
        <v>546</v>
      </c>
    </row>
    <row r="83" spans="2:8" x14ac:dyDescent="0.2">
      <c r="B83" s="3" t="s">
        <v>547</v>
      </c>
      <c r="C83" s="189">
        <f>SQRT(C81^2+3*C82^2)</f>
        <v>446.0054329264857</v>
      </c>
      <c r="E83" s="3" t="s">
        <v>547</v>
      </c>
      <c r="F83" s="189">
        <f>SQRT(F81^2+3*F82^2)</f>
        <v>531.80258513145543</v>
      </c>
    </row>
    <row r="84" spans="2:8" x14ac:dyDescent="0.2">
      <c r="B84" s="283"/>
      <c r="C84" s="283"/>
      <c r="E84" s="283"/>
      <c r="F84" s="283"/>
    </row>
    <row r="85" spans="2:8" x14ac:dyDescent="0.2">
      <c r="B85" s="3" t="s">
        <v>145</v>
      </c>
      <c r="C85" s="3">
        <f>Materiali!G3/Linguetta!C83</f>
        <v>1.6479619882144996</v>
      </c>
      <c r="E85" s="3" t="s">
        <v>145</v>
      </c>
      <c r="F85" s="3">
        <f>Materiali!G3/Linguetta!F83</f>
        <v>1.3820918148006305</v>
      </c>
    </row>
    <row r="125" spans="2:6" x14ac:dyDescent="0.2">
      <c r="B125" s="279" t="s">
        <v>492</v>
      </c>
      <c r="C125" s="280"/>
      <c r="E125" s="279" t="s">
        <v>503</v>
      </c>
      <c r="F125" s="280"/>
    </row>
    <row r="126" spans="2:6" x14ac:dyDescent="0.2">
      <c r="B126" s="3" t="s">
        <v>542</v>
      </c>
      <c r="C126" s="3">
        <v>30</v>
      </c>
      <c r="E126" s="3" t="s">
        <v>542</v>
      </c>
      <c r="F126" s="3">
        <v>30</v>
      </c>
    </row>
    <row r="127" spans="2:6" x14ac:dyDescent="0.2">
      <c r="B127" s="3" t="s">
        <v>490</v>
      </c>
      <c r="C127" s="202">
        <v>272086.05522458645</v>
      </c>
      <c r="E127" s="3" t="s">
        <v>490</v>
      </c>
      <c r="F127" s="202">
        <v>272086.05522458645</v>
      </c>
    </row>
    <row r="128" spans="2:6" x14ac:dyDescent="0.2">
      <c r="B128" s="3" t="s">
        <v>488</v>
      </c>
      <c r="C128" s="226">
        <v>0.86695234586339509</v>
      </c>
      <c r="E128" s="3" t="s">
        <v>488</v>
      </c>
      <c r="F128" s="226">
        <v>0.86695234586339509</v>
      </c>
    </row>
    <row r="129" spans="2:6" x14ac:dyDescent="0.2">
      <c r="B129" s="3" t="s">
        <v>493</v>
      </c>
      <c r="C129" s="189">
        <v>1.9762075535939718</v>
      </c>
      <c r="E129" s="3" t="s">
        <v>493</v>
      </c>
      <c r="F129" s="189">
        <v>2.4348844098230615</v>
      </c>
    </row>
    <row r="130" spans="2:6" x14ac:dyDescent="0.2">
      <c r="B130" s="3" t="s">
        <v>495</v>
      </c>
      <c r="C130" s="189">
        <v>1.475278768379152</v>
      </c>
      <c r="E130" s="3" t="s">
        <v>495</v>
      </c>
      <c r="F130" s="189">
        <v>2.112566364748345</v>
      </c>
    </row>
    <row r="131" spans="2:6" x14ac:dyDescent="0.2">
      <c r="B131" s="3" t="s">
        <v>543</v>
      </c>
      <c r="C131" s="189">
        <v>129.67246801177799</v>
      </c>
      <c r="E131" s="3" t="s">
        <v>543</v>
      </c>
      <c r="F131" s="189">
        <v>129.67246801177799</v>
      </c>
    </row>
    <row r="132" spans="2:6" x14ac:dyDescent="0.2">
      <c r="B132" s="3" t="s">
        <v>544</v>
      </c>
      <c r="C132" s="189">
        <v>256.25971077804837</v>
      </c>
      <c r="E132" s="3" t="s">
        <v>544</v>
      </c>
      <c r="F132" s="189">
        <v>315.73747074515791</v>
      </c>
    </row>
    <row r="133" spans="2:6" x14ac:dyDescent="0.2">
      <c r="B133" s="3" t="s">
        <v>545</v>
      </c>
      <c r="C133" s="189">
        <v>191.30303890110082</v>
      </c>
      <c r="E133" s="3" t="s">
        <v>545</v>
      </c>
      <c r="F133" s="189">
        <v>273.94169435558791</v>
      </c>
    </row>
    <row r="134" spans="2:6" x14ac:dyDescent="0.2">
      <c r="B134" s="3" t="s">
        <v>547</v>
      </c>
      <c r="C134" s="189">
        <v>418.87897708817673</v>
      </c>
      <c r="E134" s="3" t="s">
        <v>547</v>
      </c>
      <c r="F134" s="189">
        <v>569.931843426721</v>
      </c>
    </row>
    <row r="135" spans="2:6" x14ac:dyDescent="0.2">
      <c r="B135" s="279"/>
      <c r="C135" s="280"/>
      <c r="E135" s="279"/>
      <c r="F135" s="280"/>
    </row>
    <row r="136" spans="2:6" x14ac:dyDescent="0.2">
      <c r="B136" s="3" t="s">
        <v>145</v>
      </c>
      <c r="C136" s="189">
        <v>1.7546834293507114</v>
      </c>
      <c r="E136" s="3" t="s">
        <v>145</v>
      </c>
      <c r="F136" s="189">
        <v>1.2896278888029926</v>
      </c>
    </row>
    <row r="137" spans="2:6" x14ac:dyDescent="0.2">
      <c r="E137" t="s">
        <v>272</v>
      </c>
      <c r="F137">
        <v>0.4</v>
      </c>
    </row>
  </sheetData>
  <mergeCells count="46">
    <mergeCell ref="E125:F125"/>
    <mergeCell ref="E135:F135"/>
    <mergeCell ref="B125:C125"/>
    <mergeCell ref="B135:C135"/>
    <mergeCell ref="R17:R20"/>
    <mergeCell ref="B17:C17"/>
    <mergeCell ref="B21:C21"/>
    <mergeCell ref="B84:C84"/>
    <mergeCell ref="E84:F84"/>
    <mergeCell ref="U17:U20"/>
    <mergeCell ref="V19:W20"/>
    <mergeCell ref="R10:W10"/>
    <mergeCell ref="R11:R15"/>
    <mergeCell ref="U11:U15"/>
    <mergeCell ref="S15:T15"/>
    <mergeCell ref="R16:W16"/>
    <mergeCell ref="R2:W2"/>
    <mergeCell ref="R4:W4"/>
    <mergeCell ref="R5:R9"/>
    <mergeCell ref="U5:U9"/>
    <mergeCell ref="S9:T9"/>
    <mergeCell ref="K16:P16"/>
    <mergeCell ref="K17:K20"/>
    <mergeCell ref="N17:N20"/>
    <mergeCell ref="O19:P20"/>
    <mergeCell ref="K5:K9"/>
    <mergeCell ref="K11:K15"/>
    <mergeCell ref="K4:P4"/>
    <mergeCell ref="K2:P2"/>
    <mergeCell ref="K10:P10"/>
    <mergeCell ref="N5:N9"/>
    <mergeCell ref="N11:N15"/>
    <mergeCell ref="L9:M9"/>
    <mergeCell ref="L15:M15"/>
    <mergeCell ref="H2:I2"/>
    <mergeCell ref="H9:I9"/>
    <mergeCell ref="H6:I6"/>
    <mergeCell ref="B2:C2"/>
    <mergeCell ref="E2:F2"/>
    <mergeCell ref="E11:F11"/>
    <mergeCell ref="E17:F17"/>
    <mergeCell ref="E21:F21"/>
    <mergeCell ref="B11:C11"/>
    <mergeCell ref="B74:C74"/>
    <mergeCell ref="E74:F74"/>
    <mergeCell ref="B28:C28"/>
  </mergeCells>
  <conditionalFormatting sqref="C22:C24">
    <cfRule type="cellIs" dxfId="34" priority="21" operator="greaterThan">
      <formula>1.2</formula>
    </cfRule>
    <cfRule type="cellIs" dxfId="33" priority="20" operator="lessThan">
      <formula>1</formula>
    </cfRule>
  </conditionalFormatting>
  <conditionalFormatting sqref="C67">
    <cfRule type="cellIs" dxfId="32" priority="11" operator="greaterThan">
      <formula>1.4</formula>
    </cfRule>
  </conditionalFormatting>
  <conditionalFormatting sqref="C85">
    <cfRule type="cellIs" dxfId="31" priority="7" operator="greaterThan">
      <formula>1.4</formula>
    </cfRule>
  </conditionalFormatting>
  <conditionalFormatting sqref="C136">
    <cfRule type="cellIs" dxfId="30" priority="1" operator="greaterThan">
      <formula>1.4</formula>
    </cfRule>
  </conditionalFormatting>
  <conditionalFormatting sqref="F22:F24">
    <cfRule type="cellIs" dxfId="29" priority="19" operator="greaterThan">
      <formula>1.2</formula>
    </cfRule>
    <cfRule type="cellIs" dxfId="28" priority="18" operator="lessThan">
      <formula>1</formula>
    </cfRule>
  </conditionalFormatting>
  <conditionalFormatting sqref="F67">
    <cfRule type="cellIs" dxfId="27" priority="9" operator="greaterThan">
      <formula>1.4</formula>
    </cfRule>
    <cfRule type="cellIs" dxfId="26" priority="10" operator="lessThan">
      <formula>1.4</formula>
    </cfRule>
  </conditionalFormatting>
  <conditionalFormatting sqref="F85">
    <cfRule type="cellIs" dxfId="25" priority="5" operator="greaterThan">
      <formula>1.4</formula>
    </cfRule>
    <cfRule type="cellIs" dxfId="24" priority="6" operator="lessThan">
      <formula>1.4</formula>
    </cfRule>
  </conditionalFormatting>
  <conditionalFormatting sqref="F136">
    <cfRule type="cellIs" dxfId="23" priority="3" operator="lessThan">
      <formula>1.4</formula>
    </cfRule>
    <cfRule type="cellIs" dxfId="22" priority="2" operator="greaterThan">
      <formula>1.4</formula>
    </cfRule>
  </conditionalFormatting>
  <conditionalFormatting sqref="I11">
    <cfRule type="cellIs" dxfId="21" priority="15" operator="greaterThan">
      <formula>1.4</formula>
    </cfRule>
  </conditionalFormatting>
  <conditionalFormatting sqref="I67">
    <cfRule type="cellIs" dxfId="20" priority="8" operator="greaterThan">
      <formula>1.4</formula>
    </cfRule>
  </conditionalFormatting>
  <conditionalFormatting sqref="P9 P15">
    <cfRule type="cellIs" dxfId="19" priority="17" operator="greaterThan">
      <formula>1.5</formula>
    </cfRule>
    <cfRule type="cellIs" dxfId="18" priority="16" operator="lessThan">
      <formula>1.5</formula>
    </cfRule>
  </conditionalFormatting>
  <conditionalFormatting sqref="W9 W15">
    <cfRule type="cellIs" dxfId="17" priority="13" operator="lessThan">
      <formula>1.5</formula>
    </cfRule>
    <cfRule type="cellIs" dxfId="16" priority="14" operator="greaterThan">
      <formula>1.5</formula>
    </cfRule>
  </conditionalFormatting>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9BB27-8D31-4DA2-8CE3-9DDF3D99102C}">
  <dimension ref="B1:O41"/>
  <sheetViews>
    <sheetView zoomScale="85" zoomScaleNormal="85" workbookViewId="0">
      <selection activeCell="C17" sqref="C17"/>
    </sheetView>
  </sheetViews>
  <sheetFormatPr baseColWidth="10" defaultColWidth="8.83203125" defaultRowHeight="15" x14ac:dyDescent="0.2"/>
  <cols>
    <col min="2" max="2" width="11.33203125" bestFit="1" customWidth="1"/>
    <col min="4" max="4" width="10.5" customWidth="1"/>
    <col min="5" max="5" width="14.5" customWidth="1"/>
    <col min="6" max="6" width="10.83203125" customWidth="1"/>
    <col min="7" max="7" width="13.33203125" customWidth="1"/>
    <col min="11" max="11" width="12.6640625" customWidth="1"/>
  </cols>
  <sheetData>
    <row r="1" spans="2:15" ht="16" thickBot="1" x14ac:dyDescent="0.25"/>
    <row r="2" spans="2:15" x14ac:dyDescent="0.2">
      <c r="B2" s="271" t="s">
        <v>548</v>
      </c>
      <c r="C2" s="258"/>
      <c r="G2" s="271" t="s">
        <v>549</v>
      </c>
      <c r="H2" s="258"/>
    </row>
    <row r="3" spans="2:15" x14ac:dyDescent="0.2">
      <c r="B3" s="12" t="s">
        <v>550</v>
      </c>
      <c r="C3" s="7">
        <v>0.59499999999999997</v>
      </c>
      <c r="G3" s="12" t="s">
        <v>550</v>
      </c>
      <c r="H3" s="187">
        <v>0.94899999999999995</v>
      </c>
      <c r="K3" t="s">
        <v>551</v>
      </c>
      <c r="L3" t="s">
        <v>552</v>
      </c>
      <c r="M3" t="s">
        <v>553</v>
      </c>
      <c r="N3" t="s">
        <v>554</v>
      </c>
      <c r="O3" t="s">
        <v>555</v>
      </c>
    </row>
    <row r="4" spans="2:15" x14ac:dyDescent="0.2">
      <c r="B4" s="281"/>
      <c r="C4" s="282"/>
      <c r="E4" s="185"/>
      <c r="F4" s="185"/>
      <c r="G4" s="259"/>
      <c r="H4" s="261"/>
      <c r="J4" t="s">
        <v>556</v>
      </c>
      <c r="K4">
        <v>0</v>
      </c>
      <c r="L4" s="17">
        <f>C10</f>
        <v>1.7441729713648833</v>
      </c>
      <c r="M4" s="17">
        <f>C12</f>
        <v>1.8130916602030094</v>
      </c>
      <c r="N4" s="17">
        <f>C11</f>
        <v>2.8362691175690351</v>
      </c>
      <c r="O4">
        <f>C13</f>
        <v>2.995312245657018</v>
      </c>
    </row>
    <row r="5" spans="2:15" x14ac:dyDescent="0.2">
      <c r="B5" s="12" t="s">
        <v>557</v>
      </c>
      <c r="C5" s="7">
        <v>0.32900000000000001</v>
      </c>
      <c r="D5" s="186"/>
      <c r="E5" s="334"/>
      <c r="F5" s="185"/>
      <c r="G5" s="12" t="s">
        <v>558</v>
      </c>
      <c r="H5" s="187">
        <v>0.75800000000000001</v>
      </c>
      <c r="K5">
        <v>0.5</v>
      </c>
      <c r="L5">
        <f>(L$8-L$4)/2*$K5+L$4</f>
        <v>1.810440941401543</v>
      </c>
      <c r="M5">
        <f>(M$8-M$4)/2*$K5+M$4</f>
        <v>1.61826382829523</v>
      </c>
      <c r="N5">
        <f>(N$8-N$4)/2*$K5+N$4</f>
        <v>2.8362691175690351</v>
      </c>
      <c r="O5">
        <f>(O$8-O$4)/2*$K5+O$4</f>
        <v>2.6361398480583227</v>
      </c>
    </row>
    <row r="6" spans="2:15" x14ac:dyDescent="0.2">
      <c r="B6" s="12" t="s">
        <v>559</v>
      </c>
      <c r="C6" s="7">
        <v>0.53500000000000003</v>
      </c>
      <c r="D6" s="185"/>
      <c r="E6" s="334"/>
      <c r="F6" s="185"/>
      <c r="G6" s="12" t="s">
        <v>560</v>
      </c>
      <c r="H6" s="187">
        <v>1.07</v>
      </c>
      <c r="K6">
        <v>1</v>
      </c>
      <c r="L6">
        <f>(L$8-L$4)/2*$K6+L$4</f>
        <v>1.8767089114382025</v>
      </c>
      <c r="M6">
        <f t="shared" ref="M6:O7" si="0">(M$8-M$4)/2*$K6+M$4</f>
        <v>1.4234359963874503</v>
      </c>
      <c r="N6">
        <f t="shared" si="0"/>
        <v>2.8362691175690351</v>
      </c>
      <c r="O6">
        <f t="shared" si="0"/>
        <v>2.2769674504596269</v>
      </c>
    </row>
    <row r="7" spans="2:15" x14ac:dyDescent="0.2">
      <c r="B7" s="12" t="s">
        <v>561</v>
      </c>
      <c r="C7" s="7">
        <v>0.34200000000000003</v>
      </c>
      <c r="G7" s="12" t="s">
        <v>561</v>
      </c>
      <c r="H7" s="187">
        <v>0.39</v>
      </c>
      <c r="K7">
        <v>1.5</v>
      </c>
      <c r="L7">
        <f t="shared" ref="L7" si="1">(L$8-L$4)/2*$K7+L$4</f>
        <v>1.9429768814748622</v>
      </c>
      <c r="M7">
        <f t="shared" si="0"/>
        <v>1.2286081644796707</v>
      </c>
      <c r="N7">
        <f t="shared" si="0"/>
        <v>2.8362691175690351</v>
      </c>
      <c r="O7">
        <f t="shared" si="0"/>
        <v>1.9177950528609315</v>
      </c>
    </row>
    <row r="8" spans="2:15" x14ac:dyDescent="0.2">
      <c r="B8" s="12" t="s">
        <v>562</v>
      </c>
      <c r="C8" s="7">
        <v>0.56499999999999995</v>
      </c>
      <c r="G8" s="12" t="s">
        <v>562</v>
      </c>
      <c r="H8" s="187">
        <v>0.58799999999999997</v>
      </c>
      <c r="J8" t="s">
        <v>563</v>
      </c>
      <c r="K8">
        <v>2</v>
      </c>
      <c r="L8">
        <f>H10</f>
        <v>2.009244851511522</v>
      </c>
      <c r="M8">
        <f>H12</f>
        <v>1.0337803325718913</v>
      </c>
      <c r="N8">
        <f>H11</f>
        <v>2.8362691175690351</v>
      </c>
      <c r="O8">
        <f>H13</f>
        <v>1.558622655262236</v>
      </c>
    </row>
    <row r="9" spans="2:15" x14ac:dyDescent="0.2">
      <c r="B9" s="281"/>
      <c r="C9" s="282"/>
      <c r="G9" s="259"/>
      <c r="H9" s="261"/>
    </row>
    <row r="10" spans="2:15" x14ac:dyDescent="0.2">
      <c r="B10" s="12" t="s">
        <v>564</v>
      </c>
      <c r="C10" s="24">
        <f>C5/$C$15</f>
        <v>1.7441729713648833</v>
      </c>
      <c r="D10" s="186"/>
      <c r="E10" s="185"/>
      <c r="G10" s="12" t="s">
        <v>564</v>
      </c>
      <c r="H10" s="24">
        <f>H5/$H$15</f>
        <v>2.009244851511522</v>
      </c>
      <c r="J10" t="s">
        <v>565</v>
      </c>
      <c r="K10">
        <f>C17</f>
        <v>0.86695234586339509</v>
      </c>
      <c r="L10" s="68">
        <f>(L$8-L$4)/2*$K10+L$4</f>
        <v>1.8590753155226578</v>
      </c>
      <c r="M10" s="68">
        <f>(M$8-M$4)/2*$K10+M$4</f>
        <v>1.475278768379152</v>
      </c>
      <c r="N10" s="68">
        <f>(N$8-N$4)/2*$K10+N$4</f>
        <v>2.8362691175690351</v>
      </c>
      <c r="O10" s="68">
        <f>(O$8-O$4)/2*$K10+O$4</f>
        <v>2.3725415403218797</v>
      </c>
    </row>
    <row r="11" spans="2:15" x14ac:dyDescent="0.2">
      <c r="B11" s="12" t="s">
        <v>566</v>
      </c>
      <c r="C11" s="24">
        <f>C6/$C$15</f>
        <v>2.8362691175690351</v>
      </c>
      <c r="D11" s="186"/>
      <c r="E11" s="185"/>
      <c r="G11" s="12" t="s">
        <v>566</v>
      </c>
      <c r="H11" s="24">
        <f>H6/$H$15</f>
        <v>2.8362691175690351</v>
      </c>
    </row>
    <row r="12" spans="2:15" x14ac:dyDescent="0.2">
      <c r="B12" s="12" t="s">
        <v>567</v>
      </c>
      <c r="C12" s="24">
        <f>C7/$C$15</f>
        <v>1.8130916602030094</v>
      </c>
      <c r="D12" s="17"/>
      <c r="G12" s="12" t="s">
        <v>567</v>
      </c>
      <c r="H12" s="24">
        <f>H7/$H$15</f>
        <v>1.0337803325718913</v>
      </c>
    </row>
    <row r="13" spans="2:15" x14ac:dyDescent="0.2">
      <c r="B13" s="12" t="s">
        <v>568</v>
      </c>
      <c r="C13" s="24">
        <f>C8/$C$15</f>
        <v>2.995312245657018</v>
      </c>
      <c r="D13" s="17"/>
      <c r="G13" s="12" t="s">
        <v>568</v>
      </c>
      <c r="H13" s="24">
        <f>H8/$H$15</f>
        <v>1.558622655262236</v>
      </c>
    </row>
    <row r="14" spans="2:15" x14ac:dyDescent="0.2">
      <c r="B14" s="281"/>
      <c r="C14" s="282"/>
      <c r="G14" s="259"/>
      <c r="H14" s="261"/>
    </row>
    <row r="15" spans="2:15" ht="16" thickBot="1" x14ac:dyDescent="0.25">
      <c r="B15" s="13" t="s">
        <v>569</v>
      </c>
      <c r="C15" s="10">
        <f>H15/2</f>
        <v>0.18862808070150561</v>
      </c>
      <c r="G15" s="13" t="s">
        <v>489</v>
      </c>
      <c r="H15" s="10">
        <f>32*1000/PI()/30^3</f>
        <v>0.37725616140301121</v>
      </c>
    </row>
    <row r="17" spans="2:15" x14ac:dyDescent="0.2">
      <c r="B17" t="s">
        <v>488</v>
      </c>
      <c r="C17">
        <f>'Albero 1'!G31/'Albero 1'!G10</f>
        <v>0.86695234586339509</v>
      </c>
    </row>
    <row r="18" spans="2:15" x14ac:dyDescent="0.2">
      <c r="K18" t="s">
        <v>570</v>
      </c>
      <c r="L18">
        <f>H3/H15</f>
        <v>2.515532142591602</v>
      </c>
    </row>
    <row r="19" spans="2:15" x14ac:dyDescent="0.2">
      <c r="B19" t="s">
        <v>571</v>
      </c>
      <c r="C19">
        <v>0.25</v>
      </c>
      <c r="K19" t="s">
        <v>572</v>
      </c>
      <c r="L19">
        <f>C3/(SQRT(3)*C15)</f>
        <v>1.8211679241514191</v>
      </c>
    </row>
    <row r="24" spans="2:15" x14ac:dyDescent="0.2">
      <c r="B24" s="271" t="s">
        <v>548</v>
      </c>
      <c r="C24" s="258"/>
      <c r="G24" s="271" t="s">
        <v>549</v>
      </c>
      <c r="H24" s="258"/>
      <c r="L24">
        <v>3.4</v>
      </c>
      <c r="M24">
        <v>1.7</v>
      </c>
      <c r="N24">
        <v>2.6</v>
      </c>
      <c r="O24">
        <v>2.6</v>
      </c>
    </row>
    <row r="25" spans="2:15" x14ac:dyDescent="0.2">
      <c r="B25" s="12" t="s">
        <v>550</v>
      </c>
      <c r="C25" s="7">
        <v>0.56200000000000006</v>
      </c>
      <c r="G25" s="12" t="s">
        <v>573</v>
      </c>
      <c r="H25" s="187">
        <v>0.76800000000000002</v>
      </c>
      <c r="K25" t="s">
        <v>551</v>
      </c>
      <c r="L25" t="s">
        <v>552</v>
      </c>
      <c r="M25" t="s">
        <v>553</v>
      </c>
      <c r="N25" t="s">
        <v>554</v>
      </c>
      <c r="O25" t="s">
        <v>555</v>
      </c>
    </row>
    <row r="26" spans="2:15" ht="15" customHeight="1" x14ac:dyDescent="0.2">
      <c r="B26" s="281"/>
      <c r="C26" s="282"/>
      <c r="E26" s="185"/>
      <c r="F26" s="185"/>
      <c r="G26" s="12" t="s">
        <v>574</v>
      </c>
      <c r="H26" s="245">
        <v>0.82499999999999996</v>
      </c>
      <c r="J26" t="s">
        <v>556</v>
      </c>
      <c r="K26">
        <v>0</v>
      </c>
      <c r="L26" s="17">
        <f>C32</f>
        <v>3.5784703819796237</v>
      </c>
      <c r="M26" s="17">
        <f>C34</f>
        <v>1.7600772841736816</v>
      </c>
      <c r="N26" s="17">
        <f>C33</f>
        <v>2.767350428730909</v>
      </c>
      <c r="O26">
        <f>C35</f>
        <v>2.7726518663338418</v>
      </c>
    </row>
    <row r="27" spans="2:15" ht="15" customHeight="1" x14ac:dyDescent="0.2">
      <c r="B27" s="12" t="s">
        <v>575</v>
      </c>
      <c r="C27" s="7">
        <v>0.67500000000000004</v>
      </c>
      <c r="D27" s="186"/>
      <c r="E27" s="244" t="s">
        <v>576</v>
      </c>
      <c r="F27" s="185"/>
      <c r="G27" s="12" t="s">
        <v>575</v>
      </c>
      <c r="H27" s="187">
        <v>0.749</v>
      </c>
      <c r="K27">
        <v>0.5</v>
      </c>
      <c r="L27">
        <f>(L$30-L$26)/2*$K27+L$26</f>
        <v>3.1801998820592989</v>
      </c>
      <c r="M27">
        <f t="shared" ref="M27:O27" si="2">(M$30-M$26)/2*$K27+M$26</f>
        <v>1.5679001710673686</v>
      </c>
      <c r="N27">
        <f t="shared" si="2"/>
        <v>2.7753025851353081</v>
      </c>
      <c r="O27">
        <f t="shared" si="2"/>
        <v>2.4254077033417447</v>
      </c>
    </row>
    <row r="28" spans="2:15" ht="15" customHeight="1" x14ac:dyDescent="0.2">
      <c r="B28" s="12" t="s">
        <v>577</v>
      </c>
      <c r="C28" s="7">
        <v>0.52200000000000002</v>
      </c>
      <c r="D28" s="185"/>
      <c r="E28" s="231" t="s">
        <v>578</v>
      </c>
      <c r="F28" s="185"/>
      <c r="G28" s="12" t="s">
        <v>577</v>
      </c>
      <c r="H28" s="187">
        <v>1.056</v>
      </c>
      <c r="K28">
        <v>1</v>
      </c>
      <c r="L28">
        <f t="shared" ref="L28:N29" si="3">(L$30-L$26)/2*$K28+L$26</f>
        <v>2.7819293821389741</v>
      </c>
      <c r="M28">
        <f t="shared" si="3"/>
        <v>1.3757230579610553</v>
      </c>
      <c r="N28">
        <f t="shared" si="3"/>
        <v>2.7832547415397073</v>
      </c>
      <c r="O28">
        <f>(O$30-O$26)/2*$K28+O$26</f>
        <v>2.0781635403496481</v>
      </c>
    </row>
    <row r="29" spans="2:15" x14ac:dyDescent="0.2">
      <c r="B29" s="12" t="s">
        <v>561</v>
      </c>
      <c r="C29" s="7">
        <v>0.33200000000000002</v>
      </c>
      <c r="G29" s="12" t="s">
        <v>561</v>
      </c>
      <c r="H29" s="187">
        <v>0.374</v>
      </c>
      <c r="K29">
        <v>1.5</v>
      </c>
      <c r="L29">
        <f t="shared" si="3"/>
        <v>2.3836588822186493</v>
      </c>
      <c r="M29">
        <f t="shared" si="3"/>
        <v>1.1835459448547421</v>
      </c>
      <c r="N29">
        <f t="shared" si="3"/>
        <v>2.7912068979441065</v>
      </c>
      <c r="O29">
        <f>(O$30-O$26)/2*$K29+O$26</f>
        <v>1.7309193773575513</v>
      </c>
    </row>
    <row r="30" spans="2:15" x14ac:dyDescent="0.2">
      <c r="B30" s="12" t="s">
        <v>562</v>
      </c>
      <c r="C30" s="7">
        <v>0.52300000000000002</v>
      </c>
      <c r="G30" s="12" t="s">
        <v>562</v>
      </c>
      <c r="H30" s="187">
        <v>0.52200000000000002</v>
      </c>
      <c r="J30" t="s">
        <v>563</v>
      </c>
      <c r="K30">
        <v>2</v>
      </c>
      <c r="L30" s="17">
        <f>H32</f>
        <v>1.9853883822983245</v>
      </c>
      <c r="M30">
        <f>H34</f>
        <v>0.99136883174842905</v>
      </c>
      <c r="N30">
        <f>H33</f>
        <v>2.7991590543485056</v>
      </c>
      <c r="O30" s="17">
        <f>H35</f>
        <v>1.3836752143654545</v>
      </c>
    </row>
    <row r="31" spans="2:15" ht="14.5" customHeight="1" x14ac:dyDescent="0.2">
      <c r="B31" s="281"/>
      <c r="C31" s="282"/>
      <c r="G31" s="259"/>
      <c r="H31" s="261"/>
      <c r="L31">
        <v>1.6</v>
      </c>
      <c r="M31">
        <v>0.8</v>
      </c>
      <c r="N31">
        <v>2.14</v>
      </c>
      <c r="O31">
        <v>1.06</v>
      </c>
    </row>
    <row r="32" spans="2:15" x14ac:dyDescent="0.2">
      <c r="B32" s="12" t="s">
        <v>564</v>
      </c>
      <c r="C32" s="24">
        <f>C27/$C$15</f>
        <v>3.5784703819796237</v>
      </c>
      <c r="D32" s="186"/>
      <c r="E32" s="185"/>
      <c r="G32" s="12" t="s">
        <v>564</v>
      </c>
      <c r="H32" s="24">
        <f>H27/$H$15</f>
        <v>1.9853883822983245</v>
      </c>
      <c r="J32" t="s">
        <v>565</v>
      </c>
      <c r="K32">
        <f>C39</f>
        <v>0.86695234586339509</v>
      </c>
      <c r="L32" s="68">
        <f>(L$30-L$26)/2*$K32+L$26</f>
        <v>2.8879072935913985</v>
      </c>
      <c r="M32" s="68">
        <f>(M$30-M$26)/2*$K32+M$26</f>
        <v>1.4268604861161351</v>
      </c>
      <c r="N32" s="68">
        <f>(N$30-N$26)/2*$K32+N$26</f>
        <v>2.7811387100298419</v>
      </c>
      <c r="O32" s="68">
        <f>(O$30-O$26)/2*$K32+O$26</f>
        <v>2.1705635829471026</v>
      </c>
    </row>
    <row r="33" spans="2:13" x14ac:dyDescent="0.2">
      <c r="B33" s="12" t="s">
        <v>566</v>
      </c>
      <c r="C33" s="24">
        <f>C28/$C$15</f>
        <v>2.767350428730909</v>
      </c>
      <c r="D33" s="186"/>
      <c r="E33" s="185"/>
      <c r="G33" s="12" t="s">
        <v>566</v>
      </c>
      <c r="H33" s="24">
        <f>H28/$H$15</f>
        <v>2.7991590543485056</v>
      </c>
    </row>
    <row r="34" spans="2:13" x14ac:dyDescent="0.2">
      <c r="B34" s="12" t="s">
        <v>567</v>
      </c>
      <c r="C34" s="24">
        <f>C29/$C$15</f>
        <v>1.7600772841736816</v>
      </c>
      <c r="D34" s="17"/>
      <c r="G34" s="12" t="s">
        <v>567</v>
      </c>
      <c r="H34" s="24">
        <f>H29/$H$15</f>
        <v>0.99136883174842905</v>
      </c>
    </row>
    <row r="35" spans="2:13" x14ac:dyDescent="0.2">
      <c r="B35" s="12" t="s">
        <v>568</v>
      </c>
      <c r="C35" s="24">
        <f>C30/$C$15</f>
        <v>2.7726518663338418</v>
      </c>
      <c r="D35" s="17"/>
      <c r="G35" s="12" t="s">
        <v>568</v>
      </c>
      <c r="H35" s="24">
        <f>H30/$H$15</f>
        <v>1.3836752143654545</v>
      </c>
    </row>
    <row r="36" spans="2:13" x14ac:dyDescent="0.2">
      <c r="B36" s="281"/>
      <c r="C36" s="282"/>
      <c r="G36" s="259"/>
      <c r="H36" s="261"/>
    </row>
    <row r="37" spans="2:13" x14ac:dyDescent="0.2">
      <c r="B37" s="13" t="s">
        <v>569</v>
      </c>
      <c r="C37" s="10">
        <f>H37/2</f>
        <v>0.18862808070150561</v>
      </c>
      <c r="G37" s="13" t="s">
        <v>489</v>
      </c>
      <c r="H37" s="10">
        <f>32*1000/PI()/30^3</f>
        <v>0.37725616140301121</v>
      </c>
    </row>
    <row r="39" spans="2:13" x14ac:dyDescent="0.2">
      <c r="B39" t="s">
        <v>488</v>
      </c>
      <c r="C39">
        <f>C17</f>
        <v>0.86695234586339509</v>
      </c>
    </row>
    <row r="40" spans="2:13" x14ac:dyDescent="0.2">
      <c r="K40" t="s">
        <v>570</v>
      </c>
      <c r="L40">
        <f>H25/H37</f>
        <v>2.0357520395261859</v>
      </c>
      <c r="M40">
        <f>H26/H37</f>
        <v>2.1868430112097696</v>
      </c>
    </row>
    <row r="41" spans="2:13" x14ac:dyDescent="0.2">
      <c r="K41" t="s">
        <v>572</v>
      </c>
      <c r="L41">
        <f>C25/(SQRT(3)*C37)</f>
        <v>1.7201619720556265</v>
      </c>
    </row>
  </sheetData>
  <mergeCells count="16">
    <mergeCell ref="B31:C31"/>
    <mergeCell ref="G31:H31"/>
    <mergeCell ref="B36:C36"/>
    <mergeCell ref="G36:H36"/>
    <mergeCell ref="B24:C24"/>
    <mergeCell ref="G24:H24"/>
    <mergeCell ref="B26:C26"/>
    <mergeCell ref="G14:H14"/>
    <mergeCell ref="B14:C14"/>
    <mergeCell ref="B9:C9"/>
    <mergeCell ref="B4:C4"/>
    <mergeCell ref="B2:C2"/>
    <mergeCell ref="G2:H2"/>
    <mergeCell ref="E5:E6"/>
    <mergeCell ref="G4:H4"/>
    <mergeCell ref="G9:H9"/>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239B5-531C-4A20-9340-E203337B3BFD}">
  <dimension ref="C1:AP135"/>
  <sheetViews>
    <sheetView topLeftCell="A27" zoomScale="85" zoomScaleNormal="85" workbookViewId="0">
      <selection activeCell="M49" sqref="M49"/>
    </sheetView>
  </sheetViews>
  <sheetFormatPr baseColWidth="10" defaultColWidth="8.83203125" defaultRowHeight="15" x14ac:dyDescent="0.2"/>
  <cols>
    <col min="3" max="3" width="11" customWidth="1"/>
    <col min="4" max="4" width="9.5" bestFit="1" customWidth="1"/>
    <col min="5" max="5" width="8.33203125" customWidth="1"/>
    <col min="6" max="6" width="12.83203125" bestFit="1" customWidth="1"/>
    <col min="7" max="7" width="10" customWidth="1"/>
    <col min="8" max="8" width="10.6640625" customWidth="1"/>
    <col min="9" max="9" width="13.5" bestFit="1" customWidth="1"/>
    <col min="10" max="10" width="13.33203125" bestFit="1" customWidth="1"/>
    <col min="11" max="11" width="13.5" bestFit="1" customWidth="1"/>
    <col min="12" max="12" width="9.6640625" bestFit="1" customWidth="1"/>
    <col min="13" max="13" width="9.33203125" bestFit="1" customWidth="1"/>
    <col min="14" max="14" width="7.5" customWidth="1"/>
    <col min="15" max="15" width="10.83203125" customWidth="1"/>
    <col min="16" max="16" width="9.1640625" bestFit="1" customWidth="1"/>
    <col min="18" max="18" width="9.1640625" bestFit="1" customWidth="1"/>
    <col min="20" max="20" width="9" bestFit="1" customWidth="1"/>
    <col min="23" max="23" width="9.33203125" bestFit="1" customWidth="1"/>
    <col min="24" max="24" width="9.6640625" bestFit="1" customWidth="1"/>
    <col min="25" max="25" width="13.6640625" bestFit="1" customWidth="1"/>
    <col min="26" max="27" width="15.6640625" bestFit="1" customWidth="1"/>
    <col min="29" max="29" width="9.6640625" customWidth="1"/>
    <col min="30" max="30" width="9.6640625" bestFit="1" customWidth="1"/>
    <col min="31" max="31" width="15.6640625" bestFit="1" customWidth="1"/>
  </cols>
  <sheetData>
    <row r="1" spans="3:42" ht="16" thickBot="1" x14ac:dyDescent="0.25"/>
    <row r="2" spans="3:42" ht="16" thickBot="1" x14ac:dyDescent="0.25">
      <c r="I2" s="249" t="s">
        <v>348</v>
      </c>
      <c r="J2" s="250"/>
      <c r="L2" s="274" t="s">
        <v>349</v>
      </c>
      <c r="M2" s="275"/>
    </row>
    <row r="3" spans="3:42" x14ac:dyDescent="0.2">
      <c r="C3" t="s">
        <v>156</v>
      </c>
      <c r="D3">
        <f>'Forze e verifica 3-4'!G26</f>
        <v>17.248477344557106</v>
      </c>
      <c r="I3" s="19" t="str" cm="1">
        <f t="array" ref="I3:J5">'Forze e verifica 3-4'!E6:F8</f>
        <v>Ft [N]</v>
      </c>
      <c r="J3" s="75">
        <v>3547.0748564924966</v>
      </c>
      <c r="L3" s="19" t="s">
        <v>350</v>
      </c>
      <c r="M3" s="75">
        <f>'Forze e verifica 3-4'!F12*1000/Albero_2!D8*2</f>
        <v>1083.9937384229702</v>
      </c>
    </row>
    <row r="4" spans="3:42" ht="14.5" customHeight="1" x14ac:dyDescent="0.2">
      <c r="C4" t="s">
        <v>191</v>
      </c>
      <c r="D4">
        <f>'Forze e verifica 3-4'!C6</f>
        <v>20.373477344557106</v>
      </c>
      <c r="F4" t="s">
        <v>351</v>
      </c>
      <c r="G4">
        <v>29</v>
      </c>
      <c r="I4" s="12" t="str">
        <v>Fr [N]</v>
      </c>
      <c r="J4" s="7">
        <v>1503.0150663501142</v>
      </c>
      <c r="L4" s="12" t="s">
        <v>352</v>
      </c>
      <c r="M4" s="7">
        <f>M3*TAN(RADIANS(20))</f>
        <v>394.54145491690491</v>
      </c>
      <c r="AP4" s="114"/>
    </row>
    <row r="5" spans="3:42" x14ac:dyDescent="0.2">
      <c r="C5" t="s">
        <v>288</v>
      </c>
      <c r="D5">
        <f>'Forze e verifica 3-4'!C19</f>
        <v>28</v>
      </c>
      <c r="F5" t="s">
        <v>353</v>
      </c>
      <c r="G5">
        <f>(1/G24)*(D6*(D22+D12+D11-D12+G22)+(G4+D3)/2*D20+D3*(D5+1))</f>
        <v>20.411826986294241</v>
      </c>
      <c r="I5" s="12" t="str">
        <v>Fa [N]</v>
      </c>
      <c r="J5" s="7">
        <v>2114.4809879004142</v>
      </c>
      <c r="L5" s="12" t="s">
        <v>354</v>
      </c>
      <c r="M5" s="7">
        <v>0</v>
      </c>
      <c r="AP5" s="115"/>
    </row>
    <row r="6" spans="3:42" x14ac:dyDescent="0.2">
      <c r="C6" t="s">
        <v>355</v>
      </c>
      <c r="D6">
        <v>17</v>
      </c>
      <c r="I6" s="64"/>
      <c r="J6" s="65"/>
      <c r="L6" s="281"/>
      <c r="M6" s="282"/>
      <c r="AP6" s="115"/>
    </row>
    <row r="7" spans="3:42" x14ac:dyDescent="0.2">
      <c r="C7" t="s">
        <v>356</v>
      </c>
      <c r="D7">
        <f>PI()*G5^4/64</f>
        <v>8521.1343517740843</v>
      </c>
      <c r="I7" s="12" t="s">
        <v>357</v>
      </c>
      <c r="J7" s="7">
        <f>J5*D4/2</f>
        <v>21539.66525124291</v>
      </c>
      <c r="L7" s="12" t="s">
        <v>357</v>
      </c>
      <c r="M7" s="7">
        <v>0</v>
      </c>
      <c r="AP7" s="115"/>
    </row>
    <row r="8" spans="3:42" ht="16" thickBot="1" x14ac:dyDescent="0.25">
      <c r="C8" t="s">
        <v>358</v>
      </c>
      <c r="D8">
        <f>'Pre-dime 5-6'!S11</f>
        <v>66.666666666666671</v>
      </c>
      <c r="I8" s="13" t="s">
        <v>359</v>
      </c>
      <c r="J8" s="10">
        <f>J3*D4/2</f>
        <v>36133.124614099012</v>
      </c>
      <c r="L8" s="13" t="s">
        <v>359</v>
      </c>
      <c r="M8" s="10">
        <f>M3*D8/2</f>
        <v>36133.124614099012</v>
      </c>
      <c r="AP8" s="115"/>
    </row>
    <row r="9" spans="3:42" ht="16" thickBot="1" x14ac:dyDescent="0.25">
      <c r="AP9" s="115"/>
    </row>
    <row r="10" spans="3:42" x14ac:dyDescent="0.2">
      <c r="C10" s="271" t="s">
        <v>360</v>
      </c>
      <c r="D10" s="258"/>
      <c r="L10" s="254" t="s">
        <v>361</v>
      </c>
      <c r="M10" s="254"/>
      <c r="AP10" s="115"/>
    </row>
    <row r="11" spans="3:42" ht="16" thickBot="1" x14ac:dyDescent="0.25">
      <c r="C11" s="12" t="s">
        <v>579</v>
      </c>
      <c r="D11" s="7">
        <v>15.25</v>
      </c>
      <c r="AP11" s="115"/>
    </row>
    <row r="12" spans="3:42" x14ac:dyDescent="0.2">
      <c r="C12" s="12" t="s">
        <v>363</v>
      </c>
      <c r="D12" s="7">
        <v>10</v>
      </c>
      <c r="I12" s="271" t="s">
        <v>364</v>
      </c>
      <c r="J12" s="258"/>
      <c r="L12" s="271" t="s">
        <v>365</v>
      </c>
      <c r="M12" s="258"/>
      <c r="AP12" s="115"/>
    </row>
    <row r="13" spans="3:42" x14ac:dyDescent="0.2">
      <c r="C13" s="12" t="s">
        <v>224</v>
      </c>
      <c r="D13" s="7">
        <v>17</v>
      </c>
      <c r="I13" s="12" t="s">
        <v>366</v>
      </c>
      <c r="J13" s="7">
        <f>0</f>
        <v>0</v>
      </c>
      <c r="L13" s="12" t="s">
        <v>367</v>
      </c>
      <c r="M13" s="7">
        <f>-J5</f>
        <v>-2114.4809879004142</v>
      </c>
      <c r="AP13" s="115"/>
    </row>
    <row r="14" spans="3:42" ht="16" thickBot="1" x14ac:dyDescent="0.25">
      <c r="C14" s="13" t="s">
        <v>368</v>
      </c>
      <c r="D14" s="10">
        <v>47</v>
      </c>
      <c r="I14" s="12" t="s">
        <v>369</v>
      </c>
      <c r="J14" s="7">
        <f>M4+J4-M14</f>
        <v>1117.3523616934344</v>
      </c>
      <c r="L14" s="12" t="s">
        <v>370</v>
      </c>
      <c r="M14" s="7">
        <f>(-M4*D22+J4*(D19-D21)-J7)/D19</f>
        <v>780.20415957358477</v>
      </c>
      <c r="AP14" s="115"/>
    </row>
    <row r="15" spans="3:42" ht="16" thickBot="1" x14ac:dyDescent="0.25">
      <c r="I15" s="13" t="s">
        <v>371</v>
      </c>
      <c r="J15" s="10">
        <f>M3-J3-M15</f>
        <v>653.52039785223633</v>
      </c>
      <c r="L15" s="13" t="s">
        <v>372</v>
      </c>
      <c r="M15" s="10">
        <f>(M3*D22+J3*(D19-D21))/D19*(-1)</f>
        <v>-3116.6015159217627</v>
      </c>
      <c r="AP15" s="115"/>
    </row>
    <row r="16" spans="3:42" x14ac:dyDescent="0.2">
      <c r="C16" t="s">
        <v>373</v>
      </c>
      <c r="D16">
        <f>120+D17</f>
        <v>135</v>
      </c>
      <c r="AP16" s="115"/>
    </row>
    <row r="17" spans="3:42" x14ac:dyDescent="0.2">
      <c r="C17" t="s">
        <v>374</v>
      </c>
      <c r="D17">
        <f>(108-135/2)/3+1.5</f>
        <v>15</v>
      </c>
      <c r="J17" s="3"/>
      <c r="K17" s="3" t="s">
        <v>375</v>
      </c>
      <c r="L17" s="3" t="s">
        <v>376</v>
      </c>
      <c r="M17" s="3" t="s">
        <v>377</v>
      </c>
      <c r="AP17" s="115"/>
    </row>
    <row r="18" spans="3:42" x14ac:dyDescent="0.2">
      <c r="J18" s="76">
        <v>0</v>
      </c>
      <c r="K18" s="3">
        <v>0</v>
      </c>
      <c r="L18" s="3">
        <v>0</v>
      </c>
      <c r="M18" s="3">
        <v>0</v>
      </c>
      <c r="AP18" s="115"/>
    </row>
    <row r="19" spans="3:42" x14ac:dyDescent="0.2">
      <c r="C19" t="s">
        <v>273</v>
      </c>
      <c r="D19">
        <f>D16-D22-D12</f>
        <v>92</v>
      </c>
      <c r="F19" t="s">
        <v>580</v>
      </c>
      <c r="G19">
        <v>8</v>
      </c>
      <c r="J19" s="76" t="s">
        <v>252</v>
      </c>
      <c r="K19" s="3">
        <f>D22</f>
        <v>33</v>
      </c>
      <c r="L19" s="3">
        <f>-M3*K19</f>
        <v>-35771.793367958016</v>
      </c>
      <c r="M19" s="3">
        <f>-$M$4*K19</f>
        <v>-13019.868012257863</v>
      </c>
      <c r="AP19" s="115"/>
    </row>
    <row r="20" spans="3:42" x14ac:dyDescent="0.2">
      <c r="C20" t="s">
        <v>378</v>
      </c>
      <c r="D20">
        <f>D19-1-D5-2*(D11-D12)</f>
        <v>52.5</v>
      </c>
      <c r="J20" s="76" t="s">
        <v>581</v>
      </c>
      <c r="K20" s="3">
        <f>D22+(D11-D12)</f>
        <v>38.25</v>
      </c>
      <c r="L20" s="3">
        <f>-M3*K20+J15*(K20-K19)</f>
        <v>-38031.77840595437</v>
      </c>
      <c r="M20" s="3">
        <f>-$M$4*K20+$J$14*(K20-$K$19)</f>
        <v>-9225.1107516810825</v>
      </c>
      <c r="AP20" s="115"/>
    </row>
    <row r="21" spans="3:42" x14ac:dyDescent="0.2">
      <c r="C21" t="s">
        <v>379</v>
      </c>
      <c r="D21">
        <f>(D11-D12)+D5/2+1+G22</f>
        <v>21.25</v>
      </c>
      <c r="J21" s="76" t="s">
        <v>582</v>
      </c>
      <c r="K21" s="3">
        <f>K22</f>
        <v>103.75</v>
      </c>
      <c r="L21" s="3">
        <f>-M3*K21+J15*(K21-K19)</f>
        <v>-66227.782213337428</v>
      </c>
      <c r="M21" s="3">
        <f>-M4*(K21)+J14*(K21-K19)</f>
        <v>38119.003642181604</v>
      </c>
      <c r="AP21" s="115"/>
    </row>
    <row r="22" spans="3:42" x14ac:dyDescent="0.2">
      <c r="C22" t="s">
        <v>381</v>
      </c>
      <c r="D22">
        <f>D17+D12+G19</f>
        <v>33</v>
      </c>
      <c r="F22" t="s">
        <v>583</v>
      </c>
      <c r="G22">
        <v>1</v>
      </c>
      <c r="J22" s="76" t="s">
        <v>584</v>
      </c>
      <c r="K22" s="3">
        <f>D22+(D19-D21)</f>
        <v>103.75</v>
      </c>
      <c r="L22" s="3">
        <f>-M3*K22+J15*(K22-K19)</f>
        <v>-66227.782213337428</v>
      </c>
      <c r="M22" s="3">
        <f>M21-J7</f>
        <v>16579.338390938694</v>
      </c>
      <c r="AP22" s="115"/>
    </row>
    <row r="23" spans="3:42" x14ac:dyDescent="0.2">
      <c r="J23" s="76"/>
      <c r="K23" s="3">
        <f>K22+D5/2+1</f>
        <v>118.75</v>
      </c>
      <c r="L23" s="3">
        <f>L22/(K24-K22)*(K24-K23)</f>
        <v>-19478.759474511007</v>
      </c>
      <c r="M23" s="3">
        <f>M22/(K24-K22)*(K24-K23)</f>
        <v>4876.2759973349102</v>
      </c>
      <c r="AP23" s="115"/>
    </row>
    <row r="24" spans="3:42" x14ac:dyDescent="0.2">
      <c r="C24" t="s">
        <v>92</v>
      </c>
      <c r="D24">
        <f>D19-D21</f>
        <v>70.75</v>
      </c>
      <c r="F24" t="s">
        <v>380</v>
      </c>
      <c r="G24">
        <f>D19+D22</f>
        <v>125</v>
      </c>
      <c r="J24" s="76" t="s">
        <v>258</v>
      </c>
      <c r="K24" s="3">
        <f>D22+D19</f>
        <v>125</v>
      </c>
      <c r="L24" s="3">
        <f>-M3*K24+J15*(K24-K19)+J3*D21</f>
        <v>0</v>
      </c>
      <c r="M24" s="3">
        <f>M22-M14*D21</f>
        <v>0</v>
      </c>
      <c r="AP24" s="115"/>
    </row>
    <row r="25" spans="3:42" x14ac:dyDescent="0.2">
      <c r="C25" t="s">
        <v>50</v>
      </c>
      <c r="D25">
        <f>D19-D24</f>
        <v>21.25</v>
      </c>
      <c r="AP25" s="115"/>
    </row>
    <row r="26" spans="3:42" x14ac:dyDescent="0.2">
      <c r="AP26" s="115"/>
    </row>
    <row r="27" spans="3:42" ht="16" thickBot="1" x14ac:dyDescent="0.25">
      <c r="AP27" s="115"/>
    </row>
    <row r="28" spans="3:42" ht="18" customHeight="1" thickBot="1" x14ac:dyDescent="0.25">
      <c r="C28" s="274" t="s">
        <v>382</v>
      </c>
      <c r="D28" s="275"/>
      <c r="F28" s="249" t="s">
        <v>383</v>
      </c>
      <c r="G28" s="250"/>
      <c r="J28" s="249" t="s">
        <v>585</v>
      </c>
      <c r="K28" s="250"/>
      <c r="M28" t="s">
        <v>283</v>
      </c>
      <c r="N28" t="s">
        <v>276</v>
      </c>
      <c r="AB28" s="114"/>
      <c r="AP28" s="115"/>
    </row>
    <row r="29" spans="3:42" x14ac:dyDescent="0.2">
      <c r="C29" s="19" t="s">
        <v>384</v>
      </c>
      <c r="D29" s="75">
        <f>SQRT(L21^2+M21^2)</f>
        <v>76414.511550947616</v>
      </c>
      <c r="F29" s="19" t="s">
        <v>384</v>
      </c>
      <c r="G29" s="75">
        <f>SQRT(M23^2+L23^2)</f>
        <v>20079.844079774048</v>
      </c>
      <c r="J29" s="19" t="s">
        <v>384</v>
      </c>
      <c r="K29" s="75">
        <f>SQRT(L20^2+M20^2)</f>
        <v>39134.624529952998</v>
      </c>
      <c r="M29">
        <f>G4/D6</f>
        <v>1.7058823529411764</v>
      </c>
      <c r="N29">
        <f>0.75/D6</f>
        <v>4.4117647058823532E-2</v>
      </c>
      <c r="AB29" s="115"/>
      <c r="AP29" s="115"/>
    </row>
    <row r="30" spans="3:42" x14ac:dyDescent="0.2">
      <c r="C30" s="12" t="s">
        <v>359</v>
      </c>
      <c r="D30" s="7">
        <f>J8</f>
        <v>36133.124614099012</v>
      </c>
      <c r="F30" s="12" t="s">
        <v>359</v>
      </c>
      <c r="G30" s="7">
        <f>M8</f>
        <v>36133.124614099012</v>
      </c>
      <c r="J30" s="12" t="s">
        <v>359</v>
      </c>
      <c r="K30" s="7">
        <f>M8</f>
        <v>36133.124614099012</v>
      </c>
      <c r="AB30" s="115"/>
      <c r="AP30" s="115"/>
    </row>
    <row r="31" spans="3:42" x14ac:dyDescent="0.2">
      <c r="C31" s="12"/>
      <c r="D31" s="7"/>
      <c r="F31" s="12"/>
      <c r="G31" s="7"/>
      <c r="H31" s="116" t="s">
        <v>385</v>
      </c>
      <c r="J31" s="12"/>
      <c r="K31" s="7"/>
      <c r="L31" s="116" t="s">
        <v>385</v>
      </c>
      <c r="AB31" s="115"/>
      <c r="AP31" s="115"/>
    </row>
    <row r="32" spans="3:42" x14ac:dyDescent="0.2">
      <c r="C32" s="12" t="s">
        <v>386</v>
      </c>
      <c r="D32" s="7">
        <f>32*D29/(PI()*D3^3)</f>
        <v>151.6783722132671</v>
      </c>
      <c r="F32" s="12" t="s">
        <v>386</v>
      </c>
      <c r="G32" s="7">
        <f>32*G29/(PI()*(D6)^3)</f>
        <v>41.630696575590569</v>
      </c>
      <c r="H32">
        <v>2.2000000000000002</v>
      </c>
      <c r="J32" s="12" t="s">
        <v>386</v>
      </c>
      <c r="K32" s="7">
        <f>32*K29/(PI()*D6^3)</f>
        <v>81.136171821532884</v>
      </c>
      <c r="L32">
        <v>2.2999999999999998</v>
      </c>
      <c r="AB32" s="115"/>
      <c r="AP32" s="115"/>
    </row>
    <row r="33" spans="3:42" x14ac:dyDescent="0.2">
      <c r="C33" s="12" t="s">
        <v>387</v>
      </c>
      <c r="D33" s="7">
        <f>16*D30/(PI()*D3^3)</f>
        <v>35.86107804138485</v>
      </c>
      <c r="F33" s="12" t="s">
        <v>387</v>
      </c>
      <c r="G33" s="7">
        <f>16*G30/(PI()*(D6)^3)</f>
        <v>37.45664411440206</v>
      </c>
      <c r="H33">
        <v>1.5</v>
      </c>
      <c r="J33" s="12" t="s">
        <v>387</v>
      </c>
      <c r="K33" s="7">
        <f>16*K30/(PI()*(D6)^3)</f>
        <v>37.45664411440206</v>
      </c>
      <c r="L33">
        <v>1.7</v>
      </c>
      <c r="AB33" s="115"/>
      <c r="AP33" s="115"/>
    </row>
    <row r="34" spans="3:42" x14ac:dyDescent="0.2">
      <c r="C34" s="12"/>
      <c r="D34" s="7"/>
      <c r="F34" s="12"/>
      <c r="G34" s="7"/>
      <c r="J34" s="12"/>
      <c r="K34" s="7"/>
      <c r="AB34" s="115"/>
      <c r="AP34" s="115"/>
    </row>
    <row r="35" spans="3:42" x14ac:dyDescent="0.2">
      <c r="C35" s="12" t="s">
        <v>388</v>
      </c>
      <c r="D35" s="7">
        <f>SQRT(D32^2+3*D33^2)*1.6</f>
        <v>262.24570757492188</v>
      </c>
      <c r="F35" s="12" t="s">
        <v>388</v>
      </c>
      <c r="G35" s="7">
        <f>SQRT((G32*H32)^2+3*(G33*H33)^2)*1.6</f>
        <v>213.81728199190923</v>
      </c>
      <c r="J35" s="12" t="s">
        <v>388</v>
      </c>
      <c r="K35" s="7">
        <f>SQRT((K32*L32)^2+3*(K33*L33)^2)*1.6</f>
        <v>346.82928135306662</v>
      </c>
      <c r="AB35" s="115"/>
      <c r="AP35" s="115"/>
    </row>
    <row r="36" spans="3:42" ht="16" thickBot="1" x14ac:dyDescent="0.25">
      <c r="C36" s="13" t="s">
        <v>145</v>
      </c>
      <c r="D36" s="10">
        <f>Materiali!G3/D35</f>
        <v>2.8027150827245295</v>
      </c>
      <c r="F36" s="13" t="s">
        <v>145</v>
      </c>
      <c r="G36" s="10">
        <f>Materiali!G3/G35</f>
        <v>3.4375144663367863</v>
      </c>
      <c r="J36" s="13" t="s">
        <v>145</v>
      </c>
      <c r="K36" s="10">
        <f>Materiali!G3/K35</f>
        <v>2.1191982324346537</v>
      </c>
      <c r="P36">
        <v>14.25</v>
      </c>
      <c r="R36">
        <f>135-15-P36</f>
        <v>105.75</v>
      </c>
      <c r="T36">
        <f>R36-P36/2-D5/2</f>
        <v>84.625</v>
      </c>
      <c r="AB36" s="115"/>
      <c r="AP36" s="115"/>
    </row>
    <row r="37" spans="3:42" x14ac:dyDescent="0.2">
      <c r="P37">
        <f>15+P36/2</f>
        <v>22.125</v>
      </c>
      <c r="AB37" s="115"/>
      <c r="AP37" s="115"/>
    </row>
    <row r="38" spans="3:42" x14ac:dyDescent="0.2">
      <c r="AB38" s="115"/>
      <c r="AP38" s="115"/>
    </row>
    <row r="39" spans="3:42" x14ac:dyDescent="0.2">
      <c r="AB39" s="115"/>
      <c r="AP39" s="115"/>
    </row>
    <row r="40" spans="3:42" ht="16" thickBot="1" x14ac:dyDescent="0.25">
      <c r="N40" s="16"/>
      <c r="AB40" s="115"/>
      <c r="AP40" s="115"/>
    </row>
    <row r="41" spans="3:42" ht="16" thickBot="1" x14ac:dyDescent="0.25">
      <c r="C41" s="249" t="s">
        <v>389</v>
      </c>
      <c r="D41" s="304"/>
      <c r="E41" s="304"/>
      <c r="F41" s="304"/>
      <c r="G41" s="250"/>
      <c r="I41" s="274" t="s">
        <v>390</v>
      </c>
      <c r="J41" s="305"/>
      <c r="K41" s="305"/>
      <c r="L41" s="305"/>
      <c r="M41" s="275"/>
      <c r="O41" s="274" t="s">
        <v>586</v>
      </c>
      <c r="P41" s="305"/>
      <c r="Q41" s="305"/>
      <c r="R41" s="305"/>
      <c r="S41" s="275"/>
      <c r="Z41" s="115"/>
      <c r="AN41" s="115"/>
    </row>
    <row r="42" spans="3:42" x14ac:dyDescent="0.2">
      <c r="C42" s="19" t="s">
        <v>391</v>
      </c>
      <c r="D42" s="95">
        <f>32*D29/(PI()*D3^3)</f>
        <v>151.6783722132671</v>
      </c>
      <c r="E42" s="254"/>
      <c r="F42" s="95" t="s">
        <v>392</v>
      </c>
      <c r="G42" s="75">
        <f>Materiali!F3*0.5</f>
        <v>515</v>
      </c>
      <c r="I42" s="19" t="s">
        <v>391</v>
      </c>
      <c r="J42" s="95">
        <f>32*G29/(PI()*D6^3)</f>
        <v>41.630696575590569</v>
      </c>
      <c r="K42" s="307"/>
      <c r="L42" s="95" t="s">
        <v>392</v>
      </c>
      <c r="M42" s="75">
        <f>Materiali!F3*0.5</f>
        <v>515</v>
      </c>
      <c r="O42" s="19" t="s">
        <v>391</v>
      </c>
      <c r="P42" s="95">
        <f>32*K29/(PI()*D6^3)</f>
        <v>81.136171821532884</v>
      </c>
      <c r="Q42" s="307"/>
      <c r="R42" s="95" t="s">
        <v>392</v>
      </c>
      <c r="S42" s="75">
        <f>Materiali!F3*0.5</f>
        <v>515</v>
      </c>
      <c r="Z42" s="115"/>
      <c r="AN42" s="115"/>
    </row>
    <row r="43" spans="3:42" x14ac:dyDescent="0.2">
      <c r="C43" s="12" t="s">
        <v>393</v>
      </c>
      <c r="D43" s="3">
        <f>16*D30/(PI()*D3^3)</f>
        <v>35.86107804138485</v>
      </c>
      <c r="E43" s="254"/>
      <c r="F43" s="3" t="s">
        <v>286</v>
      </c>
      <c r="G43" s="7">
        <v>0.72</v>
      </c>
      <c r="I43" s="12" t="s">
        <v>393</v>
      </c>
      <c r="J43" s="3">
        <f>16*G30/(PI()*D6^3) *H33</f>
        <v>56.184966171603094</v>
      </c>
      <c r="K43" s="307"/>
      <c r="L43" s="3" t="s">
        <v>286</v>
      </c>
      <c r="M43" s="7">
        <v>0.72</v>
      </c>
      <c r="O43" s="12" t="s">
        <v>393</v>
      </c>
      <c r="P43" s="3">
        <f>16*K30/(PI()*D6^3) *L33</f>
        <v>63.676294994483499</v>
      </c>
      <c r="Q43" s="307"/>
      <c r="R43" s="3" t="s">
        <v>286</v>
      </c>
      <c r="S43" s="7">
        <v>0.72</v>
      </c>
      <c r="AN43" s="115"/>
    </row>
    <row r="44" spans="3:42" ht="26" x14ac:dyDescent="0.2">
      <c r="C44" s="12" t="s">
        <v>394</v>
      </c>
      <c r="D44" s="3">
        <f>M13/(PI()*D3^2/4)</f>
        <v>-9.0492456572108484</v>
      </c>
      <c r="E44" s="254"/>
      <c r="F44" s="3" t="s">
        <v>288</v>
      </c>
      <c r="G44" s="7">
        <v>0.92</v>
      </c>
      <c r="I44" s="12" t="s">
        <v>394</v>
      </c>
      <c r="J44" s="3">
        <f>M13/(PI()*D6^2/4)</f>
        <v>-9.3157121466625625</v>
      </c>
      <c r="K44" s="307"/>
      <c r="L44" s="3" t="s">
        <v>288</v>
      </c>
      <c r="M44" s="7">
        <v>0.92</v>
      </c>
      <c r="O44" s="12" t="s">
        <v>394</v>
      </c>
      <c r="P44" s="3">
        <v>0</v>
      </c>
      <c r="Q44" s="307"/>
      <c r="R44" s="3" t="s">
        <v>288</v>
      </c>
      <c r="S44" s="7">
        <v>0.92</v>
      </c>
      <c r="AN44" s="114"/>
    </row>
    <row r="45" spans="3:42" ht="26" x14ac:dyDescent="0.2">
      <c r="C45" s="259"/>
      <c r="D45" s="280"/>
      <c r="E45" s="254"/>
      <c r="F45" s="3" t="s">
        <v>395</v>
      </c>
      <c r="G45" s="7">
        <f>1+G49*(1-1)</f>
        <v>1</v>
      </c>
      <c r="I45" s="259"/>
      <c r="J45" s="280"/>
      <c r="K45" s="307"/>
      <c r="L45" s="3" t="s">
        <v>395</v>
      </c>
      <c r="M45" s="7">
        <f>1+M49*(H32-1)</f>
        <v>2.0065229374248408</v>
      </c>
      <c r="O45" s="259"/>
      <c r="P45" s="280"/>
      <c r="Q45" s="307"/>
      <c r="R45" s="3" t="s">
        <v>395</v>
      </c>
      <c r="S45" s="7">
        <f>1+S49*(L32-1)</f>
        <v>2.0903998488769107</v>
      </c>
      <c r="AN45" s="114"/>
    </row>
    <row r="46" spans="3:42" x14ac:dyDescent="0.2">
      <c r="C46" s="12" t="s">
        <v>396</v>
      </c>
      <c r="D46" s="3">
        <f>SQRT(D42^2+(G48*D43)^2)</f>
        <v>154.3937148515104</v>
      </c>
      <c r="E46" s="254"/>
      <c r="F46" s="3" t="s">
        <v>397</v>
      </c>
      <c r="G46" s="7">
        <f>G42*G43*G44/G45</f>
        <v>341.13600000000002</v>
      </c>
      <c r="I46" s="12" t="s">
        <v>396</v>
      </c>
      <c r="J46" s="3">
        <f>SQRT(J42^2+(M48*J43)^2)</f>
        <v>47.326716839059792</v>
      </c>
      <c r="K46" s="307"/>
      <c r="L46" s="3" t="s">
        <v>397</v>
      </c>
      <c r="M46" s="7">
        <f>M42*M43*M44/M45</f>
        <v>170.01350626861603</v>
      </c>
      <c r="O46" s="12" t="s">
        <v>396</v>
      </c>
      <c r="P46" s="3">
        <f>SQRT(P42^2+(S48*P43)^2)</f>
        <v>84.750984209601427</v>
      </c>
      <c r="Q46" s="307"/>
      <c r="R46" s="3" t="s">
        <v>397</v>
      </c>
      <c r="S46" s="7">
        <f>S42*S43*S44/S45</f>
        <v>163.19174543725637</v>
      </c>
      <c r="AN46" s="115"/>
    </row>
    <row r="47" spans="3:42" x14ac:dyDescent="0.2">
      <c r="C47" s="96" t="s">
        <v>145</v>
      </c>
      <c r="D47" s="97">
        <f>G46/D46</f>
        <v>2.2095199945677244</v>
      </c>
      <c r="E47" s="254"/>
      <c r="F47" s="3" t="s">
        <v>398</v>
      </c>
      <c r="G47" s="7">
        <f>Materiali!G3/SQRT(3)</f>
        <v>424.35244785437499</v>
      </c>
      <c r="I47" s="12" t="s">
        <v>145</v>
      </c>
      <c r="J47" s="3">
        <f>M46/J46</f>
        <v>3.5923367946009748</v>
      </c>
      <c r="K47" s="307"/>
      <c r="L47" s="3" t="s">
        <v>398</v>
      </c>
      <c r="M47" s="7">
        <f>Materiali!G3/SQRT(3)</f>
        <v>424.35244785437499</v>
      </c>
      <c r="O47" s="12" t="s">
        <v>145</v>
      </c>
      <c r="P47" s="3">
        <f>S46/P46</f>
        <v>1.9255439563233816</v>
      </c>
      <c r="Q47" s="307"/>
      <c r="R47" s="3" t="s">
        <v>398</v>
      </c>
      <c r="S47" s="7">
        <f>Materiali!G3/SQRT(3)</f>
        <v>424.35244785437499</v>
      </c>
      <c r="AN47" s="115"/>
    </row>
    <row r="48" spans="3:42" x14ac:dyDescent="0.2">
      <c r="C48" s="309"/>
      <c r="D48" s="310"/>
      <c r="E48" s="254"/>
      <c r="F48" s="3" t="s">
        <v>285</v>
      </c>
      <c r="G48" s="7">
        <f>G46/G47</f>
        <v>0.80389780175621295</v>
      </c>
      <c r="I48" s="309"/>
      <c r="J48" s="310"/>
      <c r="K48" s="307"/>
      <c r="L48" s="3" t="s">
        <v>285</v>
      </c>
      <c r="M48" s="7">
        <f>M46/M47</f>
        <v>0.40064221881656154</v>
      </c>
      <c r="O48" s="309"/>
      <c r="P48" s="310"/>
      <c r="Q48" s="307"/>
      <c r="R48" s="3" t="s">
        <v>285</v>
      </c>
      <c r="S48" s="7">
        <f>S46/S47</f>
        <v>0.38456652309275446</v>
      </c>
      <c r="AN48" s="115"/>
    </row>
    <row r="49" spans="3:42" ht="16" thickBot="1" x14ac:dyDescent="0.25">
      <c r="C49" s="311"/>
      <c r="D49" s="312"/>
      <c r="E49" s="306"/>
      <c r="F49" s="9" t="s">
        <v>292</v>
      </c>
      <c r="G49" s="10">
        <v>0</v>
      </c>
      <c r="I49" s="311"/>
      <c r="J49" s="312"/>
      <c r="K49" s="308"/>
      <c r="L49" s="9" t="s">
        <v>292</v>
      </c>
      <c r="M49" s="10">
        <f>1/(1+SQRT((140/Materiali!F3)^2/M51))</f>
        <v>0.83876911452070058</v>
      </c>
      <c r="O49" s="311"/>
      <c r="P49" s="312"/>
      <c r="Q49" s="308"/>
      <c r="R49" s="9" t="s">
        <v>292</v>
      </c>
      <c r="S49" s="10">
        <f>1/(1+SQRT((140/Materiali!F3)^2/S51))</f>
        <v>0.83876911452070058</v>
      </c>
      <c r="AN49" s="115"/>
    </row>
    <row r="50" spans="3:42" x14ac:dyDescent="0.2">
      <c r="AP50" s="115"/>
    </row>
    <row r="51" spans="3:42" ht="16" thickBot="1" x14ac:dyDescent="0.25">
      <c r="L51" t="s">
        <v>272</v>
      </c>
      <c r="M51">
        <v>0.5</v>
      </c>
      <c r="R51" t="s">
        <v>272</v>
      </c>
      <c r="S51">
        <v>0.5</v>
      </c>
      <c r="AP51" s="115"/>
    </row>
    <row r="52" spans="3:42" ht="16" thickBot="1" x14ac:dyDescent="0.25">
      <c r="C52" s="274" t="s">
        <v>587</v>
      </c>
      <c r="D52" s="305"/>
      <c r="E52" s="305"/>
      <c r="F52" s="305"/>
      <c r="G52" s="305"/>
      <c r="H52" s="305"/>
      <c r="I52" s="275"/>
      <c r="AO52" s="115"/>
    </row>
    <row r="53" spans="3:42" x14ac:dyDescent="0.2">
      <c r="C53" s="277"/>
      <c r="D53" s="336"/>
      <c r="E53" s="95" t="s">
        <v>400</v>
      </c>
      <c r="F53" s="95" t="s">
        <v>401</v>
      </c>
      <c r="G53" s="95" t="s">
        <v>402</v>
      </c>
      <c r="H53" s="337"/>
      <c r="I53" s="75" t="s">
        <v>403</v>
      </c>
      <c r="AO53" s="115"/>
    </row>
    <row r="54" spans="3:42" x14ac:dyDescent="0.2">
      <c r="C54" s="333" t="s">
        <v>404</v>
      </c>
      <c r="D54" s="26" t="s">
        <v>252</v>
      </c>
      <c r="E54" s="3">
        <f>-(D21*(D19-D21)*(D19+D21))/(6*D19*206000*D7)*J4</f>
        <v>-2.6410900699791809E-4</v>
      </c>
      <c r="F54" s="3">
        <f>M4*D22*D19/(3*206000*D7)</f>
        <v>2.2746182591526533E-4</v>
      </c>
      <c r="G54" s="3">
        <f>(D19^2-3*D25^2)*(J7)/(6*D19*206000*D7)</f>
        <v>1.5803847976535298E-4</v>
      </c>
      <c r="H54" s="307"/>
      <c r="I54" s="7">
        <f>SUM(E54:G54)</f>
        <v>1.2139129868270023E-4</v>
      </c>
      <c r="AO54" s="115"/>
    </row>
    <row r="55" spans="3:42" x14ac:dyDescent="0.2">
      <c r="C55" s="333"/>
      <c r="D55" s="26" t="s">
        <v>258</v>
      </c>
      <c r="E55" s="3">
        <f>(D21*(D19-D21)*(D19+(D19-D21)))/(6*D19*206000*D7)*J4</f>
        <v>3.7954738091753795E-4</v>
      </c>
      <c r="F55" s="3">
        <f>-M4*D22*D19/(6*206000*D7)</f>
        <v>-1.1373091295763267E-4</v>
      </c>
      <c r="G55" s="3">
        <f>(D19^2-3*D24^2)*(J7)/(6*D19*206000*D7)</f>
        <v>-1.4566482636365068E-4</v>
      </c>
      <c r="H55" s="307"/>
      <c r="I55" s="7">
        <f>SUM(E55:G55)</f>
        <v>1.2015164159625462E-4</v>
      </c>
      <c r="M55" t="s">
        <v>405</v>
      </c>
      <c r="N55" t="s">
        <v>406</v>
      </c>
      <c r="O55" s="116" t="s">
        <v>270</v>
      </c>
      <c r="AO55" s="115"/>
    </row>
    <row r="56" spans="3:42" x14ac:dyDescent="0.2">
      <c r="C56" s="259"/>
      <c r="D56" s="260"/>
      <c r="E56" s="260"/>
      <c r="F56" s="260"/>
      <c r="G56" s="280"/>
      <c r="H56" s="307"/>
      <c r="I56" s="113"/>
      <c r="K56" s="116" t="s">
        <v>252</v>
      </c>
      <c r="L56">
        <f>SQRT(I54^2+I58^2)</f>
        <v>1.2541251117513606E-3</v>
      </c>
      <c r="M56">
        <f>DEGREES(L56)</f>
        <v>7.1856075884725687E-2</v>
      </c>
      <c r="N56" s="248">
        <f>4/60</f>
        <v>6.6666666666666666E-2</v>
      </c>
      <c r="O56" s="17">
        <f>$N$56/M56</f>
        <v>0.92778050910567289</v>
      </c>
      <c r="AO56" s="115"/>
    </row>
    <row r="57" spans="3:42" x14ac:dyDescent="0.2">
      <c r="C57" s="259"/>
      <c r="D57" s="280"/>
      <c r="E57" s="3" t="s">
        <v>407</v>
      </c>
      <c r="F57" s="3" t="s">
        <v>408</v>
      </c>
      <c r="G57" s="3"/>
      <c r="H57" s="307"/>
      <c r="I57" s="7"/>
      <c r="K57" s="116" t="s">
        <v>258</v>
      </c>
      <c r="L57">
        <f>SQRT(I55^2+I59^2)</f>
        <v>1.2141543332197949E-3</v>
      </c>
      <c r="M57">
        <f>DEGREES(L57)</f>
        <v>6.9565918971014856E-2</v>
      </c>
      <c r="N57" s="248"/>
      <c r="O57" s="17">
        <f>$N$56/M57</f>
        <v>0.95832366843948136</v>
      </c>
      <c r="AO57" s="115"/>
    </row>
    <row r="58" spans="3:42" x14ac:dyDescent="0.2">
      <c r="C58" s="333" t="s">
        <v>409</v>
      </c>
      <c r="D58" s="26" t="s">
        <v>252</v>
      </c>
      <c r="E58" s="3">
        <f>-(D21*(D19-D21)*(D19+D21))/(6*D19*206000*D7)*J3</f>
        <v>-6.2329010471628456E-4</v>
      </c>
      <c r="F58" s="3">
        <f>-M3*D22*D19/(3*206000*D7)</f>
        <v>-6.2494623049010978E-4</v>
      </c>
      <c r="G58" s="3"/>
      <c r="H58" s="307"/>
      <c r="I58" s="7">
        <f>SUM(E58:F58)</f>
        <v>-1.2482363352063943E-3</v>
      </c>
      <c r="X58" t="s">
        <v>400</v>
      </c>
      <c r="Y58" t="s">
        <v>401</v>
      </c>
      <c r="Z58" t="s">
        <v>402</v>
      </c>
      <c r="AA58" t="s">
        <v>410</v>
      </c>
      <c r="AC58" t="s">
        <v>407</v>
      </c>
      <c r="AD58" t="s">
        <v>408</v>
      </c>
      <c r="AE58" t="s">
        <v>588</v>
      </c>
      <c r="AG58" t="s">
        <v>589</v>
      </c>
      <c r="AO58" s="115"/>
    </row>
    <row r="59" spans="3:42" ht="16" thickBot="1" x14ac:dyDescent="0.25">
      <c r="C59" s="335"/>
      <c r="D59" s="117" t="s">
        <v>258</v>
      </c>
      <c r="E59" s="9">
        <f>(D21*(D19-D21)*(D19+(D19-D21)))/(6*D19*206000*D7)*J3</f>
        <v>8.9572154121479318E-4</v>
      </c>
      <c r="F59" s="9">
        <f>M3*D22*D19/(6*206000*D7)</f>
        <v>3.1247311524505489E-4</v>
      </c>
      <c r="G59" s="9"/>
      <c r="H59" s="308"/>
      <c r="I59" s="10">
        <f>SUM(E59:F59)</f>
        <v>1.208194656459848E-3</v>
      </c>
      <c r="W59">
        <v>-25</v>
      </c>
      <c r="X59">
        <f t="shared" ref="X59:X71" si="0">-$E$54*ABS($W59)</f>
        <v>6.6027251749479522E-3</v>
      </c>
      <c r="Y59">
        <f t="shared" ref="Y59:Y71" si="1">$F$54*$W59+$M$4/(206000*$D$7)*(ABS($W59)^3 / 6 -ABS($W59)^2*$D$22 /2)</f>
        <v>-7.4191064925096016E-3</v>
      </c>
      <c r="Z59">
        <f t="shared" ref="Z59:Z70" si="2">$G$55*(-W59)</f>
        <v>-3.6416206590912667E-3</v>
      </c>
      <c r="AA59">
        <f t="shared" ref="AA59:AA70" si="3">SUM(X59:Z59)</f>
        <v>-4.4580019766529162E-3</v>
      </c>
      <c r="AC59">
        <f t="shared" ref="AC59:AC71" si="4">-$E$58*ABS($W59)</f>
        <v>1.5582252617907114E-2</v>
      </c>
      <c r="AD59">
        <f>$F$58*(-$W59)+$M$3/(206000*$D$7)*(ABS($W59)^3 / 6 -ABS($W59)^2*$D$22 /2)</f>
        <v>-2.0383827560699314E-2</v>
      </c>
      <c r="AE59">
        <f t="shared" ref="AE59:AE122" si="5">SUM($AC59:$AD59)</f>
        <v>-4.8015749427921996E-3</v>
      </c>
      <c r="AG59">
        <f>SQRT($AA59^2+$AE59^2)</f>
        <v>6.5520152285454304E-3</v>
      </c>
      <c r="AO59" s="115"/>
    </row>
    <row r="60" spans="3:42" ht="16" thickBot="1" x14ac:dyDescent="0.25">
      <c r="W60">
        <v>-24</v>
      </c>
      <c r="X60">
        <f t="shared" si="0"/>
        <v>6.3386161679500341E-3</v>
      </c>
      <c r="Y60">
        <f t="shared" si="1"/>
        <v>-7.0773893027864382E-3</v>
      </c>
      <c r="Z60">
        <f t="shared" si="2"/>
        <v>-3.4959558327276163E-3</v>
      </c>
      <c r="AA60">
        <f t="shared" si="3"/>
        <v>-4.2347289675640203E-3</v>
      </c>
      <c r="AC60">
        <f t="shared" si="4"/>
        <v>1.4958962513190829E-2</v>
      </c>
      <c r="AD60">
        <f t="shared" ref="AD60:AD71" si="6">$F$58*(-$W60)+$M$3/(206000*$D$7)*(ABS($W60)^3 / 6 -ABS($W60)^2*$D$22 /2)</f>
        <v>-1.9444967298095431E-2</v>
      </c>
      <c r="AE60">
        <f t="shared" si="5"/>
        <v>-4.4860047849046014E-3</v>
      </c>
      <c r="AG60">
        <f t="shared" ref="AG60:AG122" si="7">SQRT($AA60^2+$AE60^2)</f>
        <v>6.1690492264945343E-3</v>
      </c>
      <c r="AP60" s="115"/>
    </row>
    <row r="61" spans="3:42" ht="16" thickBot="1" x14ac:dyDescent="0.25">
      <c r="C61" s="274" t="s">
        <v>411</v>
      </c>
      <c r="D61" s="305"/>
      <c r="E61" s="305"/>
      <c r="F61" s="305"/>
      <c r="G61" s="275"/>
      <c r="W61">
        <v>-22</v>
      </c>
      <c r="X61">
        <f t="shared" si="0"/>
        <v>5.810398153954198E-3</v>
      </c>
      <c r="Y61">
        <f t="shared" si="1"/>
        <v>-6.4002483335432996E-3</v>
      </c>
      <c r="Z61">
        <f t="shared" si="2"/>
        <v>-3.2046261800003149E-3</v>
      </c>
      <c r="AA61">
        <f t="shared" si="3"/>
        <v>-3.7944763595894166E-3</v>
      </c>
      <c r="AC61">
        <f t="shared" si="4"/>
        <v>1.371238230375826E-2</v>
      </c>
      <c r="AD61">
        <f t="shared" si="6"/>
        <v>-1.7584537775312291E-2</v>
      </c>
      <c r="AE61">
        <f t="shared" si="5"/>
        <v>-3.8721554715540306E-3</v>
      </c>
      <c r="AG61">
        <f t="shared" si="7"/>
        <v>5.4214056147247249E-3</v>
      </c>
      <c r="AP61" s="115"/>
    </row>
    <row r="62" spans="3:42" x14ac:dyDescent="0.2">
      <c r="C62" s="19" t="s">
        <v>412</v>
      </c>
      <c r="D62" s="95" cm="1">
        <f t="array" ref="D62">MAX(ABS(AA59:AA119))</f>
        <v>4.4580019766529162E-3</v>
      </c>
      <c r="E62" s="325"/>
      <c r="F62" s="95" t="s">
        <v>590</v>
      </c>
      <c r="G62" s="75" cm="1">
        <f t="array" ref="G62">MAX(ABS(AG59:AG128))</f>
        <v>6.5520152285454304E-3</v>
      </c>
      <c r="W62">
        <v>-20</v>
      </c>
      <c r="X62">
        <f t="shared" si="0"/>
        <v>5.2821801399583618E-3</v>
      </c>
      <c r="Y62">
        <f t="shared" si="1"/>
        <v>-5.7329970089051727E-3</v>
      </c>
      <c r="Z62">
        <f t="shared" si="2"/>
        <v>-2.9132965272730136E-3</v>
      </c>
      <c r="AA62">
        <f t="shared" si="3"/>
        <v>-3.3641133962198245E-3</v>
      </c>
      <c r="AC62">
        <f t="shared" si="4"/>
        <v>1.2465802094325691E-2</v>
      </c>
      <c r="AD62">
        <f t="shared" si="6"/>
        <v>-1.5751279827767854E-2</v>
      </c>
      <c r="AE62">
        <f t="shared" si="5"/>
        <v>-3.2854777334421631E-3</v>
      </c>
      <c r="AG62">
        <f t="shared" si="7"/>
        <v>4.7022997436966876E-3</v>
      </c>
      <c r="AP62" s="115"/>
    </row>
    <row r="63" spans="3:42" ht="16" thickBot="1" x14ac:dyDescent="0.25">
      <c r="C63" s="13" t="s">
        <v>591</v>
      </c>
      <c r="D63" s="9" cm="1">
        <f t="array" ref="D63">MAX(ABS(AE59:AE119))</f>
        <v>4.8015749427921996E-3</v>
      </c>
      <c r="E63" s="313"/>
      <c r="F63" s="9" t="s">
        <v>592</v>
      </c>
      <c r="G63" s="10">
        <f>G24/4000</f>
        <v>3.125E-2</v>
      </c>
      <c r="S63" s="98"/>
      <c r="W63">
        <v>-18</v>
      </c>
      <c r="X63">
        <f t="shared" si="0"/>
        <v>4.7539621259625256E-3</v>
      </c>
      <c r="Y63">
        <f t="shared" si="1"/>
        <v>-5.0774334460729677E-3</v>
      </c>
      <c r="Z63">
        <f t="shared" si="2"/>
        <v>-2.6219668745457122E-3</v>
      </c>
      <c r="AA63">
        <f t="shared" si="3"/>
        <v>-2.9454381946561544E-3</v>
      </c>
      <c r="AC63">
        <f t="shared" si="4"/>
        <v>1.1219221884893122E-2</v>
      </c>
      <c r="AD63">
        <f t="shared" si="6"/>
        <v>-1.3950133741869151E-2</v>
      </c>
      <c r="AE63">
        <f t="shared" si="5"/>
        <v>-2.7309118569760291E-3</v>
      </c>
      <c r="AG63">
        <f t="shared" si="7"/>
        <v>4.016651058918558E-3</v>
      </c>
      <c r="AP63" s="115"/>
    </row>
    <row r="64" spans="3:42" x14ac:dyDescent="0.2">
      <c r="W64">
        <v>-16</v>
      </c>
      <c r="X64">
        <f t="shared" si="0"/>
        <v>4.2257441119666894E-3</v>
      </c>
      <c r="Y64">
        <f t="shared" si="1"/>
        <v>-4.4353557622475986E-3</v>
      </c>
      <c r="Z64">
        <f t="shared" si="2"/>
        <v>-2.3306372218184108E-3</v>
      </c>
      <c r="AA64">
        <f t="shared" si="3"/>
        <v>-2.54024887209932E-3</v>
      </c>
      <c r="AC64">
        <f t="shared" si="4"/>
        <v>9.9726416754605529E-3</v>
      </c>
      <c r="AD64">
        <f t="shared" si="6"/>
        <v>-1.2186039804023222E-2</v>
      </c>
      <c r="AE64">
        <f t="shared" si="5"/>
        <v>-2.2133981285626693E-3</v>
      </c>
      <c r="AG64">
        <f t="shared" si="7"/>
        <v>3.3692722667850094E-3</v>
      </c>
      <c r="AP64" s="115"/>
    </row>
    <row r="65" spans="3:42" x14ac:dyDescent="0.2">
      <c r="W65">
        <v>-14</v>
      </c>
      <c r="X65">
        <f t="shared" si="0"/>
        <v>3.6975260979708532E-3</v>
      </c>
      <c r="Y65">
        <f t="shared" si="1"/>
        <v>-3.8085620746299729E-3</v>
      </c>
      <c r="Z65">
        <f t="shared" si="2"/>
        <v>-2.0393075690911095E-3</v>
      </c>
      <c r="AA65">
        <f t="shared" si="3"/>
        <v>-2.1503435457502292E-3</v>
      </c>
      <c r="AC65">
        <f t="shared" si="4"/>
        <v>8.7260614660279838E-3</v>
      </c>
      <c r="AD65">
        <f t="shared" si="6"/>
        <v>-1.0463938300637101E-2</v>
      </c>
      <c r="AE65">
        <f t="shared" si="5"/>
        <v>-1.7378768346091172E-3</v>
      </c>
      <c r="AG65">
        <f t="shared" si="7"/>
        <v>2.764813421737654E-3</v>
      </c>
      <c r="AP65" s="115"/>
    </row>
    <row r="66" spans="3:42" x14ac:dyDescent="0.2">
      <c r="W66">
        <v>-12</v>
      </c>
      <c r="X66">
        <f t="shared" si="0"/>
        <v>3.1693080839750171E-3</v>
      </c>
      <c r="Y66">
        <f t="shared" si="1"/>
        <v>-3.1988505004210042E-3</v>
      </c>
      <c r="Z66">
        <f t="shared" si="2"/>
        <v>-1.7479779163638081E-3</v>
      </c>
      <c r="AA66">
        <f t="shared" si="3"/>
        <v>-1.7775203328097952E-3</v>
      </c>
      <c r="AC66">
        <f t="shared" si="4"/>
        <v>7.4794812565954147E-3</v>
      </c>
      <c r="AD66">
        <f t="shared" si="6"/>
        <v>-8.7887695181178282E-3</v>
      </c>
      <c r="AE66">
        <f t="shared" si="5"/>
        <v>-1.3092882615224136E-3</v>
      </c>
      <c r="AG66">
        <f t="shared" si="7"/>
        <v>2.207671688750986E-3</v>
      </c>
      <c r="AP66" s="115"/>
    </row>
    <row r="67" spans="3:42" ht="16" thickBot="1" x14ac:dyDescent="0.25">
      <c r="W67">
        <v>-10</v>
      </c>
      <c r="X67">
        <f t="shared" si="0"/>
        <v>2.6410900699791809E-3</v>
      </c>
      <c r="Y67">
        <f t="shared" si="1"/>
        <v>-2.6080191568216031E-3</v>
      </c>
      <c r="Z67">
        <f t="shared" si="2"/>
        <v>-1.4566482636365068E-3</v>
      </c>
      <c r="AA67">
        <f t="shared" si="3"/>
        <v>-1.423577350478929E-3</v>
      </c>
      <c r="AC67">
        <f t="shared" si="4"/>
        <v>6.2329010471628456E-3</v>
      </c>
      <c r="AD67">
        <f t="shared" si="6"/>
        <v>-7.1654737428724384E-3</v>
      </c>
      <c r="AE67">
        <f t="shared" si="5"/>
        <v>-9.325726957095928E-4</v>
      </c>
      <c r="AG67">
        <f t="shared" si="7"/>
        <v>1.7018414454877001E-3</v>
      </c>
      <c r="AP67" s="115"/>
    </row>
    <row r="68" spans="3:42" x14ac:dyDescent="0.2">
      <c r="C68" s="271" t="s">
        <v>593</v>
      </c>
      <c r="D68" s="258"/>
      <c r="W68">
        <v>-8</v>
      </c>
      <c r="X68">
        <f t="shared" si="0"/>
        <v>2.1128720559833447E-3</v>
      </c>
      <c r="Y68">
        <f t="shared" si="1"/>
        <v>-2.0378661610326804E-3</v>
      </c>
      <c r="Z68">
        <f t="shared" si="2"/>
        <v>-1.1653186109092054E-3</v>
      </c>
      <c r="AA68">
        <f t="shared" si="3"/>
        <v>-1.0903127159585411E-3</v>
      </c>
      <c r="AC68">
        <f t="shared" si="4"/>
        <v>4.9863208377302765E-3</v>
      </c>
      <c r="AD68">
        <f t="shared" si="6"/>
        <v>-5.5989912613079659E-3</v>
      </c>
      <c r="AE68">
        <f t="shared" si="5"/>
        <v>-6.1267042357768947E-4</v>
      </c>
      <c r="AG68">
        <f t="shared" si="7"/>
        <v>1.2506585731156829E-3</v>
      </c>
      <c r="AP68" s="115"/>
    </row>
    <row r="69" spans="3:42" x14ac:dyDescent="0.2">
      <c r="C69" s="12" t="s">
        <v>325</v>
      </c>
      <c r="D69" s="7">
        <f>3*206000*D7/(D22^2*(D22+D19))</f>
        <v>38685.480473068019</v>
      </c>
      <c r="W69">
        <v>-6</v>
      </c>
      <c r="X69">
        <f t="shared" si="0"/>
        <v>1.5846540419875085E-3</v>
      </c>
      <c r="Y69">
        <f t="shared" si="1"/>
        <v>-1.4901896302551474E-3</v>
      </c>
      <c r="Z69">
        <f t="shared" si="2"/>
        <v>-8.7398895818190407E-4</v>
      </c>
      <c r="AA69">
        <f t="shared" si="3"/>
        <v>-7.7952454644954292E-4</v>
      </c>
      <c r="AC69">
        <f t="shared" si="4"/>
        <v>3.7397406282977073E-3</v>
      </c>
      <c r="AD69">
        <f t="shared" si="6"/>
        <v>-4.0942623598314506E-3</v>
      </c>
      <c r="AE69">
        <f t="shared" si="5"/>
        <v>-3.5452173153374331E-4</v>
      </c>
      <c r="AG69">
        <f t="shared" si="7"/>
        <v>8.563551696854811E-4</v>
      </c>
      <c r="AP69" s="115"/>
    </row>
    <row r="70" spans="3:42" x14ac:dyDescent="0.2">
      <c r="C70" s="12" t="s">
        <v>326</v>
      </c>
      <c r="D70" s="7">
        <f>7680/1000^3*PI()*D8^2/4*20</f>
        <v>0.53616514621265809</v>
      </c>
      <c r="W70">
        <v>-4</v>
      </c>
      <c r="X70">
        <f t="shared" si="0"/>
        <v>1.0564360279916724E-3</v>
      </c>
      <c r="Y70">
        <f t="shared" si="1"/>
        <v>-9.6678768168991566E-4</v>
      </c>
      <c r="Z70">
        <f t="shared" si="2"/>
        <v>-5.8265930545460271E-4</v>
      </c>
      <c r="AA70">
        <f t="shared" si="3"/>
        <v>-4.9301095915284601E-4</v>
      </c>
      <c r="AC70">
        <f t="shared" si="4"/>
        <v>2.4931604188651382E-3</v>
      </c>
      <c r="AD70">
        <f t="shared" si="6"/>
        <v>-2.6562273248499262E-3</v>
      </c>
      <c r="AE70">
        <f t="shared" si="5"/>
        <v>-1.6306690598478796E-4</v>
      </c>
      <c r="AG70">
        <f t="shared" si="7"/>
        <v>5.1927894399085822E-4</v>
      </c>
      <c r="AP70" s="115"/>
    </row>
    <row r="71" spans="3:42" x14ac:dyDescent="0.2">
      <c r="C71" s="259"/>
      <c r="D71" s="261"/>
      <c r="W71">
        <v>-2</v>
      </c>
      <c r="X71">
        <f t="shared" si="0"/>
        <v>5.2821801399583618E-4</v>
      </c>
      <c r="Y71">
        <f t="shared" si="1"/>
        <v>-4.6945843253789609E-4</v>
      </c>
      <c r="Z71">
        <f>$G$55*(-W71)</f>
        <v>-2.9132965272730136E-4</v>
      </c>
      <c r="AA71">
        <f>SUM(X71:Z71)</f>
        <v>-2.3257007126936127E-4</v>
      </c>
      <c r="AC71">
        <f t="shared" si="4"/>
        <v>1.2465802094325691E-3</v>
      </c>
      <c r="AD71">
        <f t="shared" si="6"/>
        <v>-1.2898264427704308E-3</v>
      </c>
      <c r="AE71">
        <f t="shared" si="5"/>
        <v>-4.3246233337861659E-5</v>
      </c>
      <c r="AG71">
        <f t="shared" si="7"/>
        <v>2.3655670514307676E-4</v>
      </c>
      <c r="AP71" s="115"/>
    </row>
    <row r="72" spans="3:42" x14ac:dyDescent="0.2">
      <c r="C72" s="12" t="s">
        <v>327</v>
      </c>
      <c r="D72" s="7">
        <f>SQRT(1000*D69/D70)</f>
        <v>8494.2435308974163</v>
      </c>
      <c r="W72">
        <v>0</v>
      </c>
      <c r="X72" s="118">
        <f>IF($W72&lt;$D$24,-(-$J$4*$D$25*$W72^3+$J$4*$D$25*($D$19^2-$D$25^2)*$W72)/(6*$D$19*206000*$D$7),-(-$J$4*$D$24*($D$19-$W72)^3+$J$4*$D$24*($D$19^2-$D$24^2)*($D$19-$W72))/(6*$D$19*206000*$D$7))</f>
        <v>0</v>
      </c>
      <c r="Y72">
        <f>($M$4*$D$22/(206000*$D$7))*($W72^3/(6*$D$19) - $W72^2/2 + $D$19*$W72/3)</f>
        <v>0</v>
      </c>
      <c r="Z72">
        <f>IF($W72&lt;$D$24,(-$J$7)*$W72/(6*$D$19*206000*$D$7)*($W72^2+3*$D$24^2-6*$D$24*$D$19+2*$D$19^2),($J$7*($D$19-$W72)/(6*$D$19*206000*$D$7)*(($D$19-$W72)^2+3*$D$25^2-6*$D$25*$D$19+2*$D$19^2)))</f>
        <v>0</v>
      </c>
      <c r="AA72">
        <f>SUM(X72:Z72)</f>
        <v>0</v>
      </c>
      <c r="AC72">
        <f t="shared" ref="AC72:AC122" si="8">IF($W72&lt;$D$24,-(-$J$3*$D$25*$W72^3+$J$3*$D$25*($D$19^2-$D$25^2)*$W72)/(6*$D$19*206000*$D$7),-(-$J$3*$D$24*($D$19-$W72)^3+$J$3*$D$24*($D$19^2-$D$24^2)*($D$19-$W72))/(6*$D$19*206000*$D$7))</f>
        <v>0</v>
      </c>
      <c r="AD72">
        <f>-$M$4*$D$22/(2*206000*$D$7)*$W72*($W72-$D$19)</f>
        <v>0</v>
      </c>
      <c r="AE72">
        <f t="shared" si="5"/>
        <v>0</v>
      </c>
      <c r="AG72">
        <f t="shared" si="7"/>
        <v>0</v>
      </c>
      <c r="AP72" s="115"/>
    </row>
    <row r="73" spans="3:42" ht="16" thickBot="1" x14ac:dyDescent="0.25">
      <c r="C73" s="13" t="s">
        <v>328</v>
      </c>
      <c r="D73" s="10">
        <f>D72*60/(2*PI())</f>
        <v>81114.050746120702</v>
      </c>
      <c r="W73">
        <v>2</v>
      </c>
      <c r="X73" s="118">
        <f t="shared" ref="X73:X122" si="9">IF($W73&lt;$D$24,-(-$J$4*$D$25*$W73^3+$J$4*$D$25*($D$19^2-$D$25^2)*$W73)/(6*$D$19*206000*$D$7),-(-$J$4*$D$24*($D$19-$W73)^3+$J$4*$D$24*($D$19^2-$D$24^2)*($D$19-$W73))/(6*$D$19*206000*$D$7))</f>
        <v>-5.2795431495843549E-4</v>
      </c>
      <c r="Y73">
        <f t="shared" ref="Y73:Y122" si="10">($M$4*$D$22/(206000*$D$7))*($W73^3/(6*$D$19) - $W73^2/2 + $D$19*$W73/3)</f>
        <v>4.4019668106002447E-4</v>
      </c>
      <c r="Z73">
        <f t="shared" ref="Z73:Z122" si="11">IF($W73&lt;$D$24,(-$J$7)*$W73/(6*$D$19*206000*$D$7)*($W73^2+3*$D$24^2-6*$D$24*$D$19+2*$D$19^2),($J$7*($D$19-$W73)/(6*$D$19*206000*$D$7)*(($D$19-$W73)^2+3*$D$25^2-6*$D$25*$D$19+2*$D$19^2)))</f>
        <v>3.1589912126039178E-4</v>
      </c>
      <c r="AA73">
        <f t="shared" ref="AA73:AA122" si="12">SUM(X73:Z73)</f>
        <v>2.2814148736198075E-4</v>
      </c>
      <c r="AC73">
        <f t="shared" si="8"/>
        <v>-1.2459578868450004E-3</v>
      </c>
      <c r="AD73">
        <f t="shared" ref="AD73:AD122" si="13">-$M$3*$D$22/(2*206000*$D$7)*$W73*($W73-$D$19)</f>
        <v>1.8340813286122789E-3</v>
      </c>
      <c r="AE73">
        <f t="shared" si="5"/>
        <v>5.8812344176727843E-4</v>
      </c>
      <c r="AG73">
        <f t="shared" si="7"/>
        <v>6.3082305047606352E-4</v>
      </c>
      <c r="AP73" s="115"/>
    </row>
    <row r="74" spans="3:42" ht="16" thickBot="1" x14ac:dyDescent="0.25">
      <c r="W74">
        <v>4</v>
      </c>
      <c r="X74" s="118">
        <f t="shared" si="9"/>
        <v>-1.0543264356924667E-3</v>
      </c>
      <c r="Y74">
        <f t="shared" si="10"/>
        <v>8.5136940512708025E-4</v>
      </c>
      <c r="Z74">
        <f t="shared" si="11"/>
        <v>6.3073121289889853E-4</v>
      </c>
      <c r="AA74">
        <f t="shared" si="12"/>
        <v>4.2777418233351213E-4</v>
      </c>
      <c r="AC74">
        <f>IF($W74&lt;$D$24,-(-$J$3*$D$25*$W74^3+$J$3*$D$25*($D$19^2-$D$25^2)*$W74)/(6*$D$19*206000*$D$7),-(-$J$3*$D$24*($D$19-$W74)^3+$J$3*$D$24*($D$19^2-$D$24^2)*($D$19-$W74))/(6*$D$19*206000*$D$7))</f>
        <v>-2.488181838164591E-3</v>
      </c>
      <c r="AD74">
        <f t="shared" si="13"/>
        <v>3.5866479315084564E-3</v>
      </c>
      <c r="AE74">
        <f t="shared" si="5"/>
        <v>1.0984660933438654E-3</v>
      </c>
      <c r="AG74">
        <f t="shared" si="7"/>
        <v>1.1788208130573698E-3</v>
      </c>
      <c r="AP74" s="115"/>
    </row>
    <row r="75" spans="3:42" x14ac:dyDescent="0.2">
      <c r="C75" s="271" t="s">
        <v>594</v>
      </c>
      <c r="D75" s="258"/>
      <c r="W75">
        <v>6</v>
      </c>
      <c r="X75" s="118">
        <f t="shared" si="9"/>
        <v>-1.5775341679776895E-3</v>
      </c>
      <c r="Y75">
        <f t="shared" si="10"/>
        <v>1.2341631490232334E-3</v>
      </c>
      <c r="Z75">
        <f t="shared" si="11"/>
        <v>9.4342924529363542E-4</v>
      </c>
      <c r="AA75">
        <f t="shared" si="12"/>
        <v>6.0005822633917927E-4</v>
      </c>
      <c r="AC75">
        <f t="shared" si="8"/>
        <v>-3.7229379184333597E-3</v>
      </c>
      <c r="AD75">
        <f t="shared" si="13"/>
        <v>5.257699808688533E-3</v>
      </c>
      <c r="AE75">
        <f t="shared" si="5"/>
        <v>1.5347618902551733E-3</v>
      </c>
      <c r="AG75">
        <f t="shared" si="7"/>
        <v>1.6478968216417417E-3</v>
      </c>
      <c r="AP75" s="115"/>
    </row>
    <row r="76" spans="3:42" x14ac:dyDescent="0.2">
      <c r="C76" s="12" t="s">
        <v>331</v>
      </c>
      <c r="D76" s="7">
        <f>206000/(2*(1+0.3))</f>
        <v>79230.769230769234</v>
      </c>
      <c r="W76">
        <v>8</v>
      </c>
      <c r="X76" s="118">
        <f t="shared" si="9"/>
        <v>-2.0959953175896996E-3</v>
      </c>
      <c r="Y76">
        <f t="shared" si="10"/>
        <v>1.5892228895705498E-3</v>
      </c>
      <c r="Z76">
        <f t="shared" si="11"/>
        <v>1.2529261888227176E-3</v>
      </c>
      <c r="AA76">
        <f t="shared" si="12"/>
        <v>7.4615376080356777E-4</v>
      </c>
      <c r="AC76">
        <f t="shared" si="8"/>
        <v>-4.946492192125897E-3</v>
      </c>
      <c r="AD76">
        <f t="shared" si="13"/>
        <v>6.8472369601525083E-3</v>
      </c>
      <c r="AE76">
        <f t="shared" si="5"/>
        <v>1.9007447680266113E-3</v>
      </c>
      <c r="AG76">
        <f t="shared" si="7"/>
        <v>2.0419539926114505E-3</v>
      </c>
      <c r="AP76" s="115"/>
    </row>
    <row r="77" spans="3:42" x14ac:dyDescent="0.2">
      <c r="C77" s="12" t="s">
        <v>332</v>
      </c>
      <c r="D77" s="7">
        <f>PI()*G5^4/32</f>
        <v>17042.268703548169</v>
      </c>
      <c r="W77">
        <v>10</v>
      </c>
      <c r="X77" s="118">
        <f t="shared" si="9"/>
        <v>-2.6081276903040925E-3</v>
      </c>
      <c r="Y77">
        <f t="shared" si="10"/>
        <v>1.9171936035910957E-3</v>
      </c>
      <c r="Z77">
        <f t="shared" si="11"/>
        <v>1.5581550138642599E-3</v>
      </c>
      <c r="AA77">
        <f t="shared" si="12"/>
        <v>8.6722092715126303E-4</v>
      </c>
      <c r="AC77">
        <f t="shared" si="8"/>
        <v>-6.1551107237167932E-3</v>
      </c>
      <c r="AD77">
        <f t="shared" si="13"/>
        <v>8.3552593859003814E-3</v>
      </c>
      <c r="AE77">
        <f t="shared" si="5"/>
        <v>2.2001486621835882E-3</v>
      </c>
      <c r="AG77">
        <f t="shared" si="7"/>
        <v>2.3648945583677359E-3</v>
      </c>
      <c r="AP77" s="115"/>
    </row>
    <row r="78" spans="3:42" x14ac:dyDescent="0.2">
      <c r="C78" s="12" t="s">
        <v>333</v>
      </c>
      <c r="D78" s="7">
        <f>7980/1000^3*PI()/32*D8^4*20</f>
        <v>309.50505402032786</v>
      </c>
      <c r="W78">
        <v>12</v>
      </c>
      <c r="X78" s="118">
        <f t="shared" si="9"/>
        <v>-3.1123490918964639E-3</v>
      </c>
      <c r="Y78">
        <f t="shared" si="10"/>
        <v>2.2187202679069362E-3</v>
      </c>
      <c r="Z78">
        <f t="shared" si="11"/>
        <v>1.8580486907963773E-3</v>
      </c>
      <c r="AA78">
        <f t="shared" si="12"/>
        <v>9.644198668068496E-4</v>
      </c>
      <c r="AC78">
        <f t="shared" si="8"/>
        <v>-7.3450595776806335E-3</v>
      </c>
      <c r="AD78">
        <f t="shared" si="13"/>
        <v>9.781767085932154E-3</v>
      </c>
      <c r="AE78">
        <f t="shared" si="5"/>
        <v>2.4367075082515205E-3</v>
      </c>
      <c r="AG78">
        <f t="shared" si="7"/>
        <v>2.6206199953944247E-3</v>
      </c>
      <c r="AP78" s="115"/>
    </row>
    <row r="79" spans="3:42" x14ac:dyDescent="0.2">
      <c r="C79" s="12" t="s">
        <v>334</v>
      </c>
      <c r="D79" s="7">
        <f>(D19+D22)-20/2</f>
        <v>115</v>
      </c>
      <c r="W79">
        <v>14</v>
      </c>
      <c r="X79" s="118">
        <f t="shared" si="9"/>
        <v>-3.6070773281424101E-3</v>
      </c>
      <c r="Y79">
        <f t="shared" si="10"/>
        <v>2.4944478593401384E-3</v>
      </c>
      <c r="Z79">
        <f t="shared" si="11"/>
        <v>2.151540189997185E-3</v>
      </c>
      <c r="AA79">
        <f t="shared" si="12"/>
        <v>1.0389107211949133E-3</v>
      </c>
      <c r="AC79">
        <f t="shared" si="8"/>
        <v>-8.5126048184920138E-3</v>
      </c>
      <c r="AD79">
        <f t="shared" si="13"/>
        <v>1.1126760060247825E-2</v>
      </c>
      <c r="AE79">
        <f t="shared" si="5"/>
        <v>2.6141552417558115E-3</v>
      </c>
      <c r="AG79">
        <f t="shared" si="7"/>
        <v>2.8130309480368537E-3</v>
      </c>
      <c r="AP79" s="115"/>
    </row>
    <row r="80" spans="3:42" x14ac:dyDescent="0.2">
      <c r="C80" s="259"/>
      <c r="D80" s="261"/>
      <c r="W80">
        <v>16</v>
      </c>
      <c r="X80" s="118">
        <f t="shared" si="9"/>
        <v>-4.0907302048175265E-3</v>
      </c>
      <c r="Y80">
        <f t="shared" si="10"/>
        <v>2.7450213547127677E-3</v>
      </c>
      <c r="Z80">
        <f t="shared" si="11"/>
        <v>2.4375624818447983E-3</v>
      </c>
      <c r="AA80">
        <f t="shared" si="12"/>
        <v>1.0918536317400395E-3</v>
      </c>
      <c r="AC80">
        <f t="shared" si="8"/>
        <v>-9.6540125106255193E-3</v>
      </c>
      <c r="AD80">
        <f t="shared" si="13"/>
        <v>1.2390238308847395E-2</v>
      </c>
      <c r="AE80">
        <f t="shared" si="5"/>
        <v>2.7362257982218759E-3</v>
      </c>
      <c r="AG80">
        <f t="shared" si="7"/>
        <v>2.9460271505875259E-3</v>
      </c>
      <c r="AP80" s="115"/>
    </row>
    <row r="81" spans="3:42" x14ac:dyDescent="0.2">
      <c r="C81" s="12" t="s">
        <v>327</v>
      </c>
      <c r="D81" s="7">
        <f>SQRT(1000*D76*D77/(D78*D79))</f>
        <v>6159.2502199047894</v>
      </c>
      <c r="W81">
        <v>18</v>
      </c>
      <c r="X81" s="118">
        <f t="shared" si="9"/>
        <v>-4.5617255276974092E-3</v>
      </c>
      <c r="Y81">
        <f t="shared" si="10"/>
        <v>2.9710857308468904E-3</v>
      </c>
      <c r="Z81">
        <f t="shared" si="11"/>
        <v>2.7150485367173319E-3</v>
      </c>
      <c r="AA81">
        <f t="shared" si="12"/>
        <v>1.1244087398668131E-3</v>
      </c>
      <c r="AC81">
        <f t="shared" si="8"/>
        <v>-1.0765548718555741E-2</v>
      </c>
      <c r="AD81">
        <f t="shared" si="13"/>
        <v>1.3572201831730865E-2</v>
      </c>
      <c r="AE81">
        <f t="shared" si="5"/>
        <v>2.8066531131751248E-3</v>
      </c>
      <c r="AG81">
        <f t="shared" si="7"/>
        <v>3.0235073527253901E-3</v>
      </c>
      <c r="AP81" s="115"/>
    </row>
    <row r="82" spans="3:42" ht="16" thickBot="1" x14ac:dyDescent="0.25">
      <c r="C82" s="13" t="s">
        <v>328</v>
      </c>
      <c r="D82" s="10">
        <f>D81*60/(2*PI())</f>
        <v>58816.50709426144</v>
      </c>
      <c r="W82">
        <v>20</v>
      </c>
      <c r="X82" s="118">
        <f t="shared" si="9"/>
        <v>-5.0184811025576525E-3</v>
      </c>
      <c r="Y82">
        <f t="shared" si="10"/>
        <v>3.173285964564572E-3</v>
      </c>
      <c r="Z82">
        <f t="shared" si="11"/>
        <v>2.9829313249929009E-3</v>
      </c>
      <c r="AA82">
        <f t="shared" si="12"/>
        <v>1.1377361869998204E-3</v>
      </c>
      <c r="AC82">
        <f t="shared" si="8"/>
        <v>-1.1843479506757267E-2</v>
      </c>
      <c r="AD82">
        <f t="shared" si="13"/>
        <v>1.4672650628898231E-2</v>
      </c>
      <c r="AE82">
        <f t="shared" si="5"/>
        <v>2.8291711221409641E-3</v>
      </c>
      <c r="AG82">
        <f t="shared" si="7"/>
        <v>3.0493692576605497E-3</v>
      </c>
      <c r="AP82" s="115"/>
    </row>
    <row r="83" spans="3:42" x14ac:dyDescent="0.2">
      <c r="W83">
        <v>22</v>
      </c>
      <c r="X83" s="118">
        <f t="shared" si="9"/>
        <v>-5.4594147351738542E-3</v>
      </c>
      <c r="Y83">
        <f t="shared" si="10"/>
        <v>3.3522670326878779E-3</v>
      </c>
      <c r="Z83">
        <f t="shared" si="11"/>
        <v>3.2401438170496203E-3</v>
      </c>
      <c r="AA83">
        <f t="shared" si="12"/>
        <v>1.132996114563644E-3</v>
      </c>
      <c r="AC83">
        <f t="shared" si="8"/>
        <v>-1.2884070939704688E-2</v>
      </c>
      <c r="AD83">
        <f t="shared" si="13"/>
        <v>1.5691584700349495E-2</v>
      </c>
      <c r="AE83">
        <f t="shared" si="5"/>
        <v>2.8075137606448069E-3</v>
      </c>
      <c r="AG83">
        <f t="shared" si="7"/>
        <v>3.0275094899646906E-3</v>
      </c>
      <c r="AP83" s="115"/>
    </row>
    <row r="84" spans="3:42" x14ac:dyDescent="0.2">
      <c r="W84">
        <v>24</v>
      </c>
      <c r="X84" s="118">
        <f t="shared" si="9"/>
        <v>-5.8829442313216088E-3</v>
      </c>
      <c r="Y84">
        <f t="shared" si="10"/>
        <v>3.5086739120388762E-3</v>
      </c>
      <c r="Z84">
        <f t="shared" si="11"/>
        <v>3.4856189832656054E-3</v>
      </c>
      <c r="AA84">
        <f t="shared" si="12"/>
        <v>1.1113486639828729E-3</v>
      </c>
      <c r="AC84">
        <f t="shared" si="8"/>
        <v>-1.3883589081872592E-2</v>
      </c>
      <c r="AD84">
        <f t="shared" si="13"/>
        <v>1.6629004046084663E-2</v>
      </c>
      <c r="AE84">
        <f t="shared" si="5"/>
        <v>2.7454149642120711E-3</v>
      </c>
      <c r="AG84">
        <f t="shared" si="7"/>
        <v>2.9618236238263891E-3</v>
      </c>
      <c r="AP84" s="115"/>
    </row>
    <row r="85" spans="3:42" x14ac:dyDescent="0.2">
      <c r="W85">
        <v>26</v>
      </c>
      <c r="X85" s="118">
        <f t="shared" si="9"/>
        <v>-6.2874873967765123E-3</v>
      </c>
      <c r="Y85">
        <f t="shared" si="10"/>
        <v>3.6431515794396311E-3</v>
      </c>
      <c r="Z85">
        <f t="shared" si="11"/>
        <v>3.7182897940189717E-3</v>
      </c>
      <c r="AA85">
        <f t="shared" si="12"/>
        <v>1.0739539766820906E-3</v>
      </c>
      <c r="AC85">
        <f t="shared" si="8"/>
        <v>-1.4838299997735569E-2</v>
      </c>
      <c r="AD85">
        <f t="shared" si="13"/>
        <v>1.7484908666103728E-2</v>
      </c>
      <c r="AE85">
        <f t="shared" si="5"/>
        <v>2.6466086683681594E-3</v>
      </c>
      <c r="AG85">
        <f t="shared" si="7"/>
        <v>2.8562063278959309E-3</v>
      </c>
      <c r="AP85" s="115"/>
    </row>
    <row r="86" spans="3:42" x14ac:dyDescent="0.2">
      <c r="W86">
        <v>28</v>
      </c>
      <c r="X86" s="118">
        <f t="shared" si="9"/>
        <v>-6.6714620373141608E-3</v>
      </c>
      <c r="Y86">
        <f t="shared" si="10"/>
        <v>3.7563450117122084E-3</v>
      </c>
      <c r="Z86">
        <f t="shared" si="11"/>
        <v>3.9370892196878325E-3</v>
      </c>
      <c r="AA86">
        <f t="shared" si="12"/>
        <v>1.0219721940858801E-3</v>
      </c>
      <c r="AC86">
        <f t="shared" si="8"/>
        <v>-1.5744469751768211E-2</v>
      </c>
      <c r="AD86">
        <f t="shared" si="13"/>
        <v>1.8259298560406687E-2</v>
      </c>
      <c r="AE86">
        <f t="shared" si="5"/>
        <v>2.5148288086384758E-3</v>
      </c>
      <c r="AG86">
        <f t="shared" si="7"/>
        <v>2.714551731362422E-3</v>
      </c>
      <c r="AP86" s="115"/>
    </row>
    <row r="87" spans="3:42" x14ac:dyDescent="0.2">
      <c r="W87">
        <v>30</v>
      </c>
      <c r="X87" s="118">
        <f t="shared" si="9"/>
        <v>-7.0332859587101497E-3</v>
      </c>
      <c r="Y87">
        <f t="shared" si="10"/>
        <v>3.8488991856786754E-3</v>
      </c>
      <c r="Z87">
        <f t="shared" si="11"/>
        <v>4.1409502306503053E-3</v>
      </c>
      <c r="AA87">
        <f t="shared" si="12"/>
        <v>9.5656345761883097E-4</v>
      </c>
      <c r="AC87">
        <f t="shared" si="8"/>
        <v>-1.6598364408445105E-2</v>
      </c>
      <c r="AD87">
        <f t="shared" si="13"/>
        <v>1.8952173728993549E-2</v>
      </c>
      <c r="AE87">
        <f t="shared" si="5"/>
        <v>2.3538093205484438E-3</v>
      </c>
      <c r="AG87">
        <f t="shared" si="7"/>
        <v>2.5407542120308331E-3</v>
      </c>
      <c r="AP87" s="115"/>
    </row>
    <row r="88" spans="3:42" x14ac:dyDescent="0.2">
      <c r="W88">
        <v>32</v>
      </c>
      <c r="X88" s="118">
        <f t="shared" si="9"/>
        <v>-7.3713769667400741E-3</v>
      </c>
      <c r="Y88">
        <f t="shared" si="10"/>
        <v>3.9214590781610969E-3</v>
      </c>
      <c r="Z88">
        <f t="shared" si="11"/>
        <v>4.328805797284503E-3</v>
      </c>
      <c r="AA88">
        <f t="shared" si="12"/>
        <v>8.7888790870552583E-4</v>
      </c>
      <c r="AC88">
        <f t="shared" si="8"/>
        <v>-1.739625003224084E-2</v>
      </c>
      <c r="AD88">
        <f t="shared" si="13"/>
        <v>1.9563534171864308E-2</v>
      </c>
      <c r="AE88">
        <f t="shared" si="5"/>
        <v>2.1672841396234675E-3</v>
      </c>
      <c r="AG88">
        <f t="shared" si="7"/>
        <v>2.3387100072330917E-3</v>
      </c>
      <c r="AP88" s="115"/>
    </row>
    <row r="89" spans="3:42" x14ac:dyDescent="0.2">
      <c r="W89">
        <v>34</v>
      </c>
      <c r="X89" s="118">
        <f t="shared" si="9"/>
        <v>-7.684152867179531E-3</v>
      </c>
      <c r="Y89">
        <f t="shared" si="10"/>
        <v>3.97466966598154E-3</v>
      </c>
      <c r="Z89">
        <f t="shared" si="11"/>
        <v>4.4995888899685421E-3</v>
      </c>
      <c r="AA89">
        <f t="shared" si="12"/>
        <v>7.9010568877055116E-4</v>
      </c>
      <c r="AC89">
        <f t="shared" si="8"/>
        <v>-1.8134392687630004E-2</v>
      </c>
      <c r="AD89">
        <f t="shared" si="13"/>
        <v>2.0093379889018968E-2</v>
      </c>
      <c r="AE89">
        <f t="shared" si="5"/>
        <v>1.9589872013889634E-3</v>
      </c>
      <c r="AG89">
        <f t="shared" si="7"/>
        <v>2.1123204905111699E-3</v>
      </c>
    </row>
    <row r="90" spans="3:42" x14ac:dyDescent="0.2">
      <c r="W90">
        <v>36</v>
      </c>
      <c r="X90" s="118">
        <f t="shared" si="9"/>
        <v>-7.9700314658041164E-3</v>
      </c>
      <c r="Y90">
        <f t="shared" si="10"/>
        <v>4.0091759259620685E-3</v>
      </c>
      <c r="Z90">
        <f t="shared" si="11"/>
        <v>4.6522324790805357E-3</v>
      </c>
      <c r="AA90">
        <f t="shared" si="12"/>
        <v>6.9137693923848782E-4</v>
      </c>
      <c r="AC90">
        <f t="shared" si="8"/>
        <v>-1.8809058439087194E-2</v>
      </c>
      <c r="AD90">
        <f t="shared" si="13"/>
        <v>2.0541710880457524E-2</v>
      </c>
      <c r="AE90">
        <f t="shared" si="5"/>
        <v>1.7326524413703304E-3</v>
      </c>
      <c r="AG90">
        <f t="shared" si="7"/>
        <v>1.8654990095675059E-3</v>
      </c>
    </row>
    <row r="91" spans="3:42" x14ac:dyDescent="0.2">
      <c r="W91">
        <v>38</v>
      </c>
      <c r="X91" s="118">
        <f t="shared" si="9"/>
        <v>-8.2274305683894232E-3</v>
      </c>
      <c r="Y91">
        <f t="shared" si="10"/>
        <v>4.0256228349247504E-3</v>
      </c>
      <c r="Z91">
        <f t="shared" si="11"/>
        <v>4.7856695349986021E-3</v>
      </c>
      <c r="AA91">
        <f t="shared" si="12"/>
        <v>5.8386180153392926E-4</v>
      </c>
      <c r="AC91">
        <f t="shared" si="8"/>
        <v>-1.9416513351086989E-2</v>
      </c>
      <c r="AD91">
        <f t="shared" si="13"/>
        <v>2.0908527146179981E-2</v>
      </c>
      <c r="AE91">
        <f t="shared" si="5"/>
        <v>1.4920137950929918E-3</v>
      </c>
      <c r="AG91">
        <f t="shared" si="7"/>
        <v>1.6021859342904737E-3</v>
      </c>
    </row>
    <row r="92" spans="3:42" x14ac:dyDescent="0.2">
      <c r="W92">
        <v>40</v>
      </c>
      <c r="X92" s="118">
        <f t="shared" si="9"/>
        <v>-8.454767980711049E-3</v>
      </c>
      <c r="Y92">
        <f t="shared" si="10"/>
        <v>4.0246553696916525E-3</v>
      </c>
      <c r="Z92">
        <f t="shared" si="11"/>
        <v>4.8988330281008532E-3</v>
      </c>
      <c r="AA92">
        <f t="shared" si="12"/>
        <v>4.6872041708145677E-4</v>
      </c>
      <c r="AC92">
        <f t="shared" si="8"/>
        <v>-1.9953023488103988E-2</v>
      </c>
      <c r="AD92">
        <f t="shared" si="13"/>
        <v>2.1193828686186335E-2</v>
      </c>
      <c r="AE92">
        <f t="shared" si="5"/>
        <v>1.2408051980823467E-3</v>
      </c>
      <c r="AG92">
        <f t="shared" si="7"/>
        <v>1.3263846987119487E-3</v>
      </c>
    </row>
    <row r="93" spans="3:42" x14ac:dyDescent="0.2">
      <c r="W93">
        <v>42</v>
      </c>
      <c r="X93" s="118">
        <f t="shared" si="9"/>
        <v>-8.6504615085445918E-3</v>
      </c>
      <c r="Y93">
        <f t="shared" si="10"/>
        <v>4.0069185070848376E-3</v>
      </c>
      <c r="Z93">
        <f t="shared" si="11"/>
        <v>4.990655928765405E-3</v>
      </c>
      <c r="AA93">
        <f t="shared" si="12"/>
        <v>3.4711292730565078E-4</v>
      </c>
      <c r="AC93">
        <f t="shared" si="8"/>
        <v>-2.0414854914612778E-2</v>
      </c>
      <c r="AD93">
        <f t="shared" si="13"/>
        <v>2.1397615500476589E-2</v>
      </c>
      <c r="AE93">
        <f t="shared" si="5"/>
        <v>9.8276058586381151E-4</v>
      </c>
      <c r="AG93">
        <f t="shared" si="7"/>
        <v>1.042259926040563E-3</v>
      </c>
    </row>
    <row r="94" spans="3:42" x14ac:dyDescent="0.2">
      <c r="W94">
        <v>44</v>
      </c>
      <c r="X94" s="118">
        <f t="shared" si="9"/>
        <v>-8.8129289576656458E-3</v>
      </c>
      <c r="Y94">
        <f t="shared" si="10"/>
        <v>3.9730572239263734E-3</v>
      </c>
      <c r="Z94">
        <f t="shared" si="11"/>
        <v>5.0600712073703737E-3</v>
      </c>
      <c r="AA94">
        <f t="shared" si="12"/>
        <v>2.2019947363110127E-4</v>
      </c>
      <c r="AC94">
        <f t="shared" si="8"/>
        <v>-2.0798273695087938E-2</v>
      </c>
      <c r="AD94">
        <f t="shared" si="13"/>
        <v>2.151988758905074E-2</v>
      </c>
      <c r="AE94">
        <f t="shared" si="5"/>
        <v>7.2161389396280251E-4</v>
      </c>
      <c r="AG94">
        <f t="shared" si="7"/>
        <v>7.5446300117870116E-4</v>
      </c>
    </row>
    <row r="95" spans="3:42" x14ac:dyDescent="0.2">
      <c r="W95">
        <v>46</v>
      </c>
      <c r="X95" s="118">
        <f t="shared" si="9"/>
        <v>-8.9405881338498038E-3</v>
      </c>
      <c r="Y95">
        <f t="shared" si="10"/>
        <v>3.9237164970383287E-3</v>
      </c>
      <c r="Z95">
        <f t="shared" si="11"/>
        <v>5.1060118342938733E-3</v>
      </c>
      <c r="AA95">
        <f t="shared" si="12"/>
        <v>8.9140197482398195E-5</v>
      </c>
      <c r="AC95">
        <f t="shared" si="8"/>
        <v>-2.1099545894004073E-2</v>
      </c>
      <c r="AD95">
        <f t="shared" si="13"/>
        <v>2.1560644951908788E-2</v>
      </c>
      <c r="AE95">
        <f t="shared" si="5"/>
        <v>4.6109905790471528E-4</v>
      </c>
      <c r="AG95">
        <f t="shared" si="7"/>
        <v>4.6963636572120023E-4</v>
      </c>
    </row>
    <row r="96" spans="3:42" x14ac:dyDescent="0.2">
      <c r="W96">
        <v>48</v>
      </c>
      <c r="X96" s="118">
        <f t="shared" si="9"/>
        <v>-9.0318568428726653E-3</v>
      </c>
      <c r="Y96">
        <f t="shared" si="10"/>
        <v>3.8595413032427636E-3</v>
      </c>
      <c r="Z96">
        <f t="shared" si="11"/>
        <v>5.1274107799140186E-3</v>
      </c>
      <c r="AA96">
        <f t="shared" si="12"/>
        <v>-4.4904759715883209E-5</v>
      </c>
      <c r="AC96">
        <f t="shared" si="8"/>
        <v>-2.1314937575835757E-2</v>
      </c>
      <c r="AD96">
        <f t="shared" si="13"/>
        <v>2.151988758905074E-2</v>
      </c>
      <c r="AE96">
        <f t="shared" si="5"/>
        <v>2.0495001321498355E-4</v>
      </c>
      <c r="AG96">
        <f t="shared" si="7"/>
        <v>2.0981169024142371E-4</v>
      </c>
    </row>
    <row r="97" spans="23:33" x14ac:dyDescent="0.2">
      <c r="W97">
        <v>50</v>
      </c>
      <c r="X97" s="118">
        <f t="shared" si="9"/>
        <v>-9.0851528905098247E-3</v>
      </c>
      <c r="Y97">
        <f t="shared" si="10"/>
        <v>3.7811766193617479E-3</v>
      </c>
      <c r="Z97">
        <f t="shared" si="11"/>
        <v>5.123201014608926E-3</v>
      </c>
      <c r="AA97">
        <f t="shared" si="12"/>
        <v>-1.8077525653915037E-4</v>
      </c>
      <c r="AC97">
        <f t="shared" si="8"/>
        <v>-2.1440714805057597E-2</v>
      </c>
      <c r="AD97">
        <f t="shared" si="13"/>
        <v>2.1397615500476589E-2</v>
      </c>
      <c r="AE97">
        <f t="shared" si="5"/>
        <v>-4.3099304581007553E-5</v>
      </c>
      <c r="AG97">
        <f t="shared" si="7"/>
        <v>1.8584198511682469E-4</v>
      </c>
    </row>
    <row r="98" spans="23:33" x14ac:dyDescent="0.2">
      <c r="W98">
        <v>52</v>
      </c>
      <c r="X98" s="118">
        <f t="shared" si="9"/>
        <v>-9.0988940825368764E-3</v>
      </c>
      <c r="Y98">
        <f t="shared" si="10"/>
        <v>3.6892674222173487E-3</v>
      </c>
      <c r="Z98">
        <f t="shared" si="11"/>
        <v>5.0923155087567104E-3</v>
      </c>
      <c r="AA98">
        <f t="shared" si="12"/>
        <v>-3.1731115156281679E-4</v>
      </c>
      <c r="AC98">
        <f t="shared" si="8"/>
        <v>-2.147314364614417E-2</v>
      </c>
      <c r="AD98">
        <f t="shared" si="13"/>
        <v>2.1193828686186335E-2</v>
      </c>
      <c r="AE98">
        <f t="shared" si="5"/>
        <v>-2.793149599578347E-4</v>
      </c>
      <c r="AG98">
        <f t="shared" si="7"/>
        <v>4.2273302894660087E-4</v>
      </c>
    </row>
    <row r="99" spans="23:33" x14ac:dyDescent="0.2">
      <c r="W99">
        <v>54</v>
      </c>
      <c r="X99" s="118">
        <f t="shared" si="9"/>
        <v>-9.0714982247294181E-3</v>
      </c>
      <c r="Y99">
        <f t="shared" si="10"/>
        <v>3.5844586886316283E-3</v>
      </c>
      <c r="Z99">
        <f t="shared" si="11"/>
        <v>5.0336872327354848E-3</v>
      </c>
      <c r="AA99">
        <f t="shared" si="12"/>
        <v>-4.5335230336230551E-4</v>
      </c>
      <c r="AC99">
        <f t="shared" si="8"/>
        <v>-2.1408490163570069E-2</v>
      </c>
      <c r="AD99">
        <f t="shared" si="13"/>
        <v>2.0908527146179981E-2</v>
      </c>
      <c r="AE99">
        <f t="shared" si="5"/>
        <v>-4.9996301739008847E-4</v>
      </c>
      <c r="AG99">
        <f t="shared" si="7"/>
        <v>6.7490097771577551E-4</v>
      </c>
    </row>
    <row r="100" spans="23:33" x14ac:dyDescent="0.2">
      <c r="W100">
        <v>56</v>
      </c>
      <c r="X100" s="118">
        <f t="shared" si="9"/>
        <v>-9.0013831228630443E-3</v>
      </c>
      <c r="Y100">
        <f t="shared" si="10"/>
        <v>3.4673953954266544E-3</v>
      </c>
      <c r="Z100">
        <f t="shared" si="11"/>
        <v>4.9462491569233656E-3</v>
      </c>
      <c r="AA100">
        <f t="shared" si="12"/>
        <v>-5.8773857051302395E-4</v>
      </c>
      <c r="AC100">
        <f t="shared" si="8"/>
        <v>-2.1243020421809884E-2</v>
      </c>
      <c r="AD100">
        <f t="shared" si="13"/>
        <v>2.0541710880457524E-2</v>
      </c>
      <c r="AE100">
        <f t="shared" si="5"/>
        <v>-7.0130954135235943E-4</v>
      </c>
      <c r="AG100">
        <f t="shared" si="7"/>
        <v>9.1502551880291814E-4</v>
      </c>
    </row>
    <row r="101" spans="23:33" x14ac:dyDescent="0.2">
      <c r="W101">
        <v>58</v>
      </c>
      <c r="X101" s="118">
        <f t="shared" si="9"/>
        <v>-8.8869665827133529E-3</v>
      </c>
      <c r="Y101">
        <f t="shared" si="10"/>
        <v>3.3387225194244936E-3</v>
      </c>
      <c r="Z101">
        <f t="shared" si="11"/>
        <v>4.8289342516984668E-3</v>
      </c>
      <c r="AA101">
        <f t="shared" si="12"/>
        <v>-7.1930981159039255E-4</v>
      </c>
      <c r="AC101">
        <f t="shared" si="8"/>
        <v>-2.0973000485338202E-2</v>
      </c>
      <c r="AD101">
        <f t="shared" si="13"/>
        <v>2.0093379889018964E-2</v>
      </c>
      <c r="AE101">
        <f t="shared" si="5"/>
        <v>-8.7962059631923814E-4</v>
      </c>
      <c r="AG101">
        <f t="shared" si="7"/>
        <v>1.1362829746674981E-3</v>
      </c>
    </row>
    <row r="102" spans="23:33" x14ac:dyDescent="0.2">
      <c r="W102">
        <v>60</v>
      </c>
      <c r="X102" s="118">
        <f t="shared" si="9"/>
        <v>-8.7266664100559381E-3</v>
      </c>
      <c r="Y102">
        <f t="shared" si="10"/>
        <v>3.1990850374472111E-3</v>
      </c>
      <c r="Z102">
        <f t="shared" si="11"/>
        <v>4.6806754874389065E-3</v>
      </c>
      <c r="AA102">
        <f t="shared" si="12"/>
        <v>-8.4690588516982048E-4</v>
      </c>
      <c r="AC102">
        <f t="shared" si="8"/>
        <v>-2.0594696418629613E-2</v>
      </c>
      <c r="AD102">
        <f t="shared" si="13"/>
        <v>1.9563534171864308E-2</v>
      </c>
      <c r="AE102">
        <f t="shared" si="5"/>
        <v>-1.0311622467653048E-3</v>
      </c>
      <c r="AG102">
        <f t="shared" si="7"/>
        <v>1.3343706971787668E-3</v>
      </c>
    </row>
    <row r="103" spans="23:33" x14ac:dyDescent="0.2">
      <c r="W103">
        <v>62</v>
      </c>
      <c r="X103" s="118">
        <f t="shared" si="9"/>
        <v>-8.5189004106663944E-3</v>
      </c>
      <c r="Y103">
        <f t="shared" si="10"/>
        <v>3.0491279263168717E-3</v>
      </c>
      <c r="Z103">
        <f t="shared" si="11"/>
        <v>4.5004058345227971E-3</v>
      </c>
      <c r="AA103">
        <f t="shared" si="12"/>
        <v>-9.6936664982672557E-4</v>
      </c>
      <c r="AC103">
        <f t="shared" si="8"/>
        <v>-2.0104374286158713E-2</v>
      </c>
      <c r="AD103">
        <f t="shared" si="13"/>
        <v>1.8952173728993549E-2</v>
      </c>
      <c r="AE103">
        <f t="shared" si="5"/>
        <v>-1.1522005571651638E-3</v>
      </c>
      <c r="AG103">
        <f t="shared" si="7"/>
        <v>1.5057349785828856E-3</v>
      </c>
    </row>
    <row r="104" spans="23:33" x14ac:dyDescent="0.2">
      <c r="W104">
        <v>64</v>
      </c>
      <c r="X104" s="118">
        <f t="shared" si="9"/>
        <v>-8.2620863903203196E-3</v>
      </c>
      <c r="Y104">
        <f t="shared" si="10"/>
        <v>2.889496162855546E-3</v>
      </c>
      <c r="Z104">
        <f t="shared" si="11"/>
        <v>4.287058263328254E-3</v>
      </c>
      <c r="AA104">
        <f t="shared" si="12"/>
        <v>-1.0855319641365196E-3</v>
      </c>
      <c r="AC104">
        <f t="shared" si="8"/>
        <v>-1.9498300152400085E-2</v>
      </c>
      <c r="AD104">
        <f t="shared" si="13"/>
        <v>1.8259298560406687E-2</v>
      </c>
      <c r="AE104">
        <f t="shared" si="5"/>
        <v>-1.2390015919933987E-3</v>
      </c>
      <c r="AG104">
        <f t="shared" si="7"/>
        <v>1.6472718628460412E-3</v>
      </c>
    </row>
    <row r="105" spans="23:33" x14ac:dyDescent="0.2">
      <c r="W105">
        <v>66</v>
      </c>
      <c r="X105" s="118">
        <f t="shared" si="9"/>
        <v>-7.9546421547933097E-3</v>
      </c>
      <c r="Y105">
        <f t="shared" si="10"/>
        <v>2.7208347238852938E-3</v>
      </c>
      <c r="Z105">
        <f t="shared" si="11"/>
        <v>4.039565744233393E-3</v>
      </c>
      <c r="AA105">
        <f t="shared" si="12"/>
        <v>-1.1942416866746229E-3</v>
      </c>
      <c r="AC105">
        <f t="shared" si="8"/>
        <v>-1.8772740081828318E-2</v>
      </c>
      <c r="AD105">
        <f t="shared" si="13"/>
        <v>1.7484908666103728E-2</v>
      </c>
      <c r="AE105">
        <f t="shared" si="5"/>
        <v>-1.2878314157245899E-3</v>
      </c>
      <c r="AG105">
        <f t="shared" si="7"/>
        <v>1.7563379405793891E-3</v>
      </c>
    </row>
    <row r="106" spans="23:33" x14ac:dyDescent="0.2">
      <c r="W106">
        <v>68</v>
      </c>
      <c r="X106" s="118">
        <f t="shared" si="9"/>
        <v>-7.5949855098609558E-3</v>
      </c>
      <c r="Y106">
        <f t="shared" si="10"/>
        <v>2.5437885862281857E-3</v>
      </c>
      <c r="Z106">
        <f t="shared" si="11"/>
        <v>3.7568612476163283E-3</v>
      </c>
      <c r="AA106">
        <f t="shared" si="12"/>
        <v>-1.2943356760164418E-3</v>
      </c>
      <c r="AC106">
        <f t="shared" si="8"/>
        <v>-1.7923960138918001E-2</v>
      </c>
      <c r="AD106">
        <f t="shared" si="13"/>
        <v>1.6629004046084663E-2</v>
      </c>
      <c r="AE106">
        <f t="shared" si="5"/>
        <v>-1.2949560928333381E-3</v>
      </c>
      <c r="AG106">
        <f t="shared" si="7"/>
        <v>1.8309058207824685E-3</v>
      </c>
    </row>
    <row r="107" spans="23:33" x14ac:dyDescent="0.2">
      <c r="W107">
        <v>70</v>
      </c>
      <c r="X107" s="118">
        <f t="shared" si="9"/>
        <v>-7.18153426129886E-3</v>
      </c>
      <c r="Y107">
        <f t="shared" si="10"/>
        <v>2.3590027267062844E-3</v>
      </c>
      <c r="Z107">
        <f t="shared" si="11"/>
        <v>3.4378777438551756E-3</v>
      </c>
      <c r="AA107">
        <f t="shared" si="12"/>
        <v>-1.3846537907374E-3</v>
      </c>
      <c r="AC107">
        <f t="shared" si="8"/>
        <v>-1.6948226388143729E-2</v>
      </c>
      <c r="AD107">
        <f t="shared" si="13"/>
        <v>1.5691584700349499E-2</v>
      </c>
      <c r="AE107">
        <f t="shared" si="5"/>
        <v>-1.2566416877942306E-3</v>
      </c>
      <c r="AG107">
        <f t="shared" si="7"/>
        <v>1.8698701697459597E-3</v>
      </c>
    </row>
    <row r="108" spans="23:33" x14ac:dyDescent="0.2">
      <c r="W108">
        <v>72</v>
      </c>
      <c r="X108" s="118">
        <f t="shared" si="9"/>
        <v>-6.7129849408872214E-3</v>
      </c>
      <c r="Y108">
        <f t="shared" si="10"/>
        <v>2.1671221221416588E-3</v>
      </c>
      <c r="Z108">
        <f t="shared" si="11"/>
        <v>3.0911347975871718E-3</v>
      </c>
      <c r="AA108">
        <f t="shared" si="12"/>
        <v>-1.4547280211583903E-3</v>
      </c>
      <c r="AC108">
        <f t="shared" si="8"/>
        <v>-1.584246267980334E-2</v>
      </c>
      <c r="AD108">
        <f t="shared" si="13"/>
        <v>1.4672650628898233E-2</v>
      </c>
      <c r="AE108">
        <f t="shared" si="5"/>
        <v>-1.1698120509051075E-3</v>
      </c>
      <c r="AG108">
        <f t="shared" si="7"/>
        <v>1.8667334705271183E-3</v>
      </c>
    </row>
    <row r="109" spans="23:33" x14ac:dyDescent="0.2">
      <c r="W109">
        <v>73</v>
      </c>
      <c r="X109" s="118">
        <f t="shared" si="9"/>
        <v>-6.45865698684292E-3</v>
      </c>
      <c r="Y109">
        <f t="shared" si="10"/>
        <v>2.068722845725218E-3</v>
      </c>
      <c r="Z109">
        <f t="shared" si="11"/>
        <v>2.9201057879199642E-3</v>
      </c>
      <c r="AA109">
        <f t="shared" si="12"/>
        <v>-1.4698283531977383E-3</v>
      </c>
      <c r="AC109">
        <f t="shared" si="8"/>
        <v>-1.5242255595196796E-2</v>
      </c>
      <c r="AD109">
        <f t="shared" si="13"/>
        <v>1.413261557102906E-2</v>
      </c>
      <c r="AE109">
        <f t="shared" si="5"/>
        <v>-1.1096400241677358E-3</v>
      </c>
      <c r="AG109">
        <f t="shared" si="7"/>
        <v>1.8416558774914896E-3</v>
      </c>
    </row>
    <row r="110" spans="23:33" x14ac:dyDescent="0.2">
      <c r="W110">
        <v>74</v>
      </c>
      <c r="X110" s="118">
        <f t="shared" si="9"/>
        <v>-6.1918180646447635E-3</v>
      </c>
      <c r="Y110">
        <f t="shared" si="10"/>
        <v>1.9687917493563752E-3</v>
      </c>
      <c r="Z110">
        <f t="shared" si="11"/>
        <v>2.7516109736047331E-3</v>
      </c>
      <c r="AA110">
        <f t="shared" si="12"/>
        <v>-1.4714153416836556E-3</v>
      </c>
      <c r="AC110">
        <f t="shared" si="8"/>
        <v>-1.4612522964531229E-2</v>
      </c>
      <c r="AD110">
        <f t="shared" si="13"/>
        <v>1.3572201831730864E-2</v>
      </c>
      <c r="AE110">
        <f t="shared" si="5"/>
        <v>-1.0403211328003648E-3</v>
      </c>
      <c r="AG110">
        <f t="shared" si="7"/>
        <v>1.8020352846415252E-3</v>
      </c>
    </row>
    <row r="111" spans="23:33" x14ac:dyDescent="0.2">
      <c r="W111">
        <v>76</v>
      </c>
      <c r="X111" s="118">
        <f t="shared" si="9"/>
        <v>-5.623241203819275E-3</v>
      </c>
      <c r="Y111">
        <f t="shared" si="10"/>
        <v>1.7646565851724911E-3</v>
      </c>
      <c r="Z111">
        <f t="shared" si="11"/>
        <v>2.4216904162192598E-3</v>
      </c>
      <c r="AA111">
        <f t="shared" si="12"/>
        <v>-1.4368942024275242E-3</v>
      </c>
      <c r="AC111">
        <f t="shared" si="8"/>
        <v>-1.3270696969456519E-2</v>
      </c>
      <c r="AD111">
        <f t="shared" si="13"/>
        <v>1.2390238308847395E-2</v>
      </c>
      <c r="AE111">
        <f t="shared" si="5"/>
        <v>-8.8045866060912359E-4</v>
      </c>
      <c r="AG111">
        <f t="shared" si="7"/>
        <v>1.6851920964719254E-3</v>
      </c>
    </row>
    <row r="112" spans="23:33" x14ac:dyDescent="0.2">
      <c r="W112">
        <v>78</v>
      </c>
      <c r="X112" s="118">
        <f t="shared" si="9"/>
        <v>-5.0125221344755376E-3</v>
      </c>
      <c r="Y112">
        <f t="shared" si="10"/>
        <v>1.555361606412086E-3</v>
      </c>
      <c r="Z112">
        <f t="shared" si="11"/>
        <v>2.1003060958088658E-3</v>
      </c>
      <c r="AA112">
        <f t="shared" si="12"/>
        <v>-1.3568544322545856E-3</v>
      </c>
      <c r="AC112">
        <f t="shared" si="8"/>
        <v>-1.1829416503446167E-2</v>
      </c>
      <c r="AD112">
        <f t="shared" si="13"/>
        <v>1.1126760060247825E-2</v>
      </c>
      <c r="AE112">
        <f t="shared" si="5"/>
        <v>-7.0265644319834203E-4</v>
      </c>
      <c r="AG112">
        <f t="shared" si="7"/>
        <v>1.5279987000966523E-3</v>
      </c>
    </row>
    <row r="113" spans="23:33" x14ac:dyDescent="0.2">
      <c r="W113">
        <v>80</v>
      </c>
      <c r="X113" s="118">
        <f t="shared" si="9"/>
        <v>-4.3649286326783304E-3</v>
      </c>
      <c r="Y113">
        <f t="shared" si="10"/>
        <v>1.3415517898972187E-3</v>
      </c>
      <c r="Z113">
        <f t="shared" si="11"/>
        <v>1.7863909827516662E-3</v>
      </c>
      <c r="AA113">
        <f t="shared" si="12"/>
        <v>-1.2369858600294456E-3</v>
      </c>
      <c r="AC113">
        <f t="shared" si="8"/>
        <v>-1.0301113375367134E-2</v>
      </c>
      <c r="AD113">
        <f t="shared" si="13"/>
        <v>9.781767085932154E-3</v>
      </c>
      <c r="AE113">
        <f t="shared" si="5"/>
        <v>-5.1934628943497985E-4</v>
      </c>
      <c r="AG113">
        <f t="shared" si="7"/>
        <v>1.341586592905083E-3</v>
      </c>
    </row>
    <row r="114" spans="23:33" x14ac:dyDescent="0.2">
      <c r="W114">
        <v>82</v>
      </c>
      <c r="X114" s="118">
        <f t="shared" si="9"/>
        <v>-3.6857284744924372E-3</v>
      </c>
      <c r="Y114">
        <f t="shared" si="10"/>
        <v>1.1238721124499505E-3</v>
      </c>
      <c r="Z114">
        <f t="shared" si="11"/>
        <v>1.4788780474257765E-3</v>
      </c>
      <c r="AA114">
        <f t="shared" si="12"/>
        <v>-1.0829783146167101E-3</v>
      </c>
      <c r="AC114">
        <f t="shared" si="8"/>
        <v>-8.6982193940863661E-3</v>
      </c>
      <c r="AD114">
        <f t="shared" si="13"/>
        <v>8.3552593859003814E-3</v>
      </c>
      <c r="AE114">
        <f t="shared" si="5"/>
        <v>-3.4296000818598467E-4</v>
      </c>
      <c r="AG114">
        <f t="shared" si="7"/>
        <v>1.1359857380904834E-3</v>
      </c>
    </row>
    <row r="115" spans="23:33" x14ac:dyDescent="0.2">
      <c r="W115">
        <v>84</v>
      </c>
      <c r="X115" s="118">
        <f t="shared" si="9"/>
        <v>-2.9801894359826374E-3</v>
      </c>
      <c r="Y115">
        <f t="shared" si="10"/>
        <v>9.0296755089235708E-4</v>
      </c>
      <c r="Z115">
        <f t="shared" si="11"/>
        <v>1.1767002602093115E-3</v>
      </c>
      <c r="AA115">
        <f t="shared" si="12"/>
        <v>-9.0052162488096885E-4</v>
      </c>
      <c r="AC115">
        <f t="shared" si="8"/>
        <v>-7.0331663684708228E-3</v>
      </c>
      <c r="AD115">
        <f t="shared" si="13"/>
        <v>6.8472369601525083E-3</v>
      </c>
      <c r="AE115">
        <f t="shared" si="5"/>
        <v>-1.8592940831831453E-4</v>
      </c>
      <c r="AG115">
        <f t="shared" si="7"/>
        <v>9.1951560169246656E-4</v>
      </c>
    </row>
    <row r="116" spans="23:33" x14ac:dyDescent="0.2">
      <c r="W116">
        <v>86</v>
      </c>
      <c r="X116" s="118">
        <f t="shared" si="9"/>
        <v>-2.2535792932137119E-3</v>
      </c>
      <c r="Y116">
        <f t="shared" si="10"/>
        <v>6.7948308204649984E-4</v>
      </c>
      <c r="Z116">
        <f t="shared" si="11"/>
        <v>8.7879059148038622E-4</v>
      </c>
      <c r="AA116">
        <f t="shared" si="12"/>
        <v>-6.9530561968682585E-4</v>
      </c>
      <c r="AC116">
        <f t="shared" si="8"/>
        <v>-5.3183861073874596E-3</v>
      </c>
      <c r="AD116">
        <f t="shared" si="13"/>
        <v>5.257699808688533E-3</v>
      </c>
      <c r="AE116">
        <f t="shared" si="5"/>
        <v>-6.0686298698926604E-5</v>
      </c>
      <c r="AG116">
        <f t="shared" si="7"/>
        <v>6.9794894628321931E-4</v>
      </c>
    </row>
    <row r="117" spans="23:33" x14ac:dyDescent="0.2">
      <c r="W117">
        <v>88</v>
      </c>
      <c r="X117" s="118">
        <f t="shared" si="9"/>
        <v>-1.5111658222504436E-3</v>
      </c>
      <c r="Y117">
        <f t="shared" si="10"/>
        <v>4.5406368273444059E-4</v>
      </c>
      <c r="Z117">
        <f t="shared" si="11"/>
        <v>5.8408201161711589E-4</v>
      </c>
      <c r="AA117">
        <f t="shared" si="12"/>
        <v>-4.7302012789888711E-4</v>
      </c>
      <c r="AC117">
        <f t="shared" si="8"/>
        <v>-3.5663104197032319E-3</v>
      </c>
      <c r="AD117">
        <f t="shared" si="13"/>
        <v>3.5866479315084564E-3</v>
      </c>
      <c r="AE117">
        <f t="shared" si="5"/>
        <v>2.0337511805224549E-5</v>
      </c>
      <c r="AG117">
        <f t="shared" si="7"/>
        <v>4.7345713193900371E-4</v>
      </c>
    </row>
    <row r="118" spans="23:33" x14ac:dyDescent="0.2">
      <c r="W118">
        <v>90</v>
      </c>
      <c r="X118" s="118">
        <f t="shared" si="9"/>
        <v>-7.582167991576123E-4</v>
      </c>
      <c r="Y118">
        <f t="shared" si="10"/>
        <v>2.2735432977825451E-4</v>
      </c>
      <c r="Z118">
        <f t="shared" si="11"/>
        <v>2.9150749099761549E-4</v>
      </c>
      <c r="AA118">
        <f t="shared" si="12"/>
        <v>-2.3935497838174227E-4</v>
      </c>
      <c r="AC118">
        <f>IF($W118&lt;$D$24,-(-$J$3*$D$25*$W118^3+$J$3*$D$25*($D$19^2-$D$25^2)*$W118)/(6*$D$19*206000*$D$7),-(-$J$3*$D$24*($D$19-$W118)^3+$J$3*$D$24*($D$19^2-$D$24^2)*($D$19-$W118))/(6*$D$19*206000*$D$7))</f>
        <v>-1.7893711142850936E-3</v>
      </c>
      <c r="AD118">
        <f t="shared" si="13"/>
        <v>1.8340813286122789E-3</v>
      </c>
      <c r="AE118">
        <f t="shared" si="5"/>
        <v>4.4710214327185228E-5</v>
      </c>
      <c r="AG118">
        <f t="shared" si="7"/>
        <v>2.4349498750756072E-4</v>
      </c>
    </row>
    <row r="119" spans="23:33" x14ac:dyDescent="0.2">
      <c r="W119">
        <v>91</v>
      </c>
      <c r="X119" s="118">
        <f t="shared" si="9"/>
        <v>-3.79437635582855E-4</v>
      </c>
      <c r="Y119">
        <f t="shared" si="10"/>
        <v>1.1371747594050675E-4</v>
      </c>
      <c r="Z119">
        <f t="shared" si="11"/>
        <v>1.4568705614743994E-4</v>
      </c>
      <c r="AA119">
        <f t="shared" si="12"/>
        <v>-1.2003310349490833E-4</v>
      </c>
      <c r="AC119">
        <f t="shared" si="8"/>
        <v>-8.9546254519673148E-4</v>
      </c>
      <c r="AD119">
        <f t="shared" si="13"/>
        <v>9.272300050206521E-4</v>
      </c>
      <c r="AE119">
        <f t="shared" si="5"/>
        <v>3.1767459823920621E-5</v>
      </c>
      <c r="AG119">
        <f t="shared" si="7"/>
        <v>1.241656854299278E-4</v>
      </c>
    </row>
    <row r="120" spans="23:33" x14ac:dyDescent="0.2">
      <c r="W120">
        <v>92</v>
      </c>
      <c r="X120" s="118">
        <f t="shared" si="9"/>
        <v>0</v>
      </c>
      <c r="Y120">
        <f t="shared" si="10"/>
        <v>3.3729672640032066E-18</v>
      </c>
      <c r="Z120">
        <f t="shared" si="11"/>
        <v>0</v>
      </c>
      <c r="AA120">
        <f t="shared" si="12"/>
        <v>3.3729672640032066E-18</v>
      </c>
      <c r="AC120">
        <f t="shared" si="8"/>
        <v>0</v>
      </c>
      <c r="AD120">
        <f t="shared" si="13"/>
        <v>0</v>
      </c>
      <c r="AE120">
        <f t="shared" si="5"/>
        <v>0</v>
      </c>
      <c r="AG120">
        <f t="shared" si="7"/>
        <v>3.3729672640032066E-18</v>
      </c>
    </row>
    <row r="121" spans="23:33" x14ac:dyDescent="0.2">
      <c r="W121">
        <v>94</v>
      </c>
      <c r="X121" s="118">
        <f t="shared" si="9"/>
        <v>7.582167991576123E-4</v>
      </c>
      <c r="Y121">
        <f t="shared" si="10"/>
        <v>-2.2735432977825451E-4</v>
      </c>
      <c r="Z121">
        <f t="shared" si="11"/>
        <v>-2.9150749099761549E-4</v>
      </c>
      <c r="AA121">
        <f t="shared" si="12"/>
        <v>2.3935497838174227E-4</v>
      </c>
      <c r="AC121">
        <f t="shared" si="8"/>
        <v>1.7893711142850936E-3</v>
      </c>
      <c r="AD121">
        <f t="shared" si="13"/>
        <v>-1.9155960543283802E-3</v>
      </c>
      <c r="AE121">
        <f t="shared" si="5"/>
        <v>-1.2622494004328657E-4</v>
      </c>
      <c r="AG121">
        <f t="shared" si="7"/>
        <v>2.7059848699698157E-4</v>
      </c>
    </row>
    <row r="122" spans="23:33" x14ac:dyDescent="0.2">
      <c r="W122">
        <v>95</v>
      </c>
      <c r="X122" s="118">
        <f t="shared" si="9"/>
        <v>1.1356790187161741E-3</v>
      </c>
      <c r="Y122">
        <f t="shared" si="10"/>
        <v>-3.4082993941048436E-4</v>
      </c>
      <c r="Z122">
        <f t="shared" si="11"/>
        <v>-4.3759468325326226E-4</v>
      </c>
      <c r="AA122">
        <f t="shared" si="12"/>
        <v>3.572543960524275E-4</v>
      </c>
      <c r="AC122">
        <f t="shared" si="8"/>
        <v>2.6801717311567171E-3</v>
      </c>
      <c r="AD122">
        <f t="shared" si="13"/>
        <v>-2.9039621036361083E-3</v>
      </c>
      <c r="AE122">
        <f t="shared" si="5"/>
        <v>-2.2379037247939127E-4</v>
      </c>
      <c r="AG122">
        <f t="shared" si="7"/>
        <v>4.2156000084596427E-4</v>
      </c>
    </row>
    <row r="127" spans="23:33" x14ac:dyDescent="0.2">
      <c r="W127">
        <v>96</v>
      </c>
      <c r="X127" s="118">
        <f t="shared" ref="X127:X135" si="14">IF($W127&lt;$D$24,-(-$J$4*$D$25*$W127^3+$J$4*$D$25*($D$19^2-$D$25^2)*$W127)/(6*$D$19*206000*$D$7),-(-$J$4*$D$24*($D$19-$W127)^3+$J$4*$D$24*($D$19^2-$D$24^2)*($D$19-$W127))/(6*$D$19*206000*$D$7))</f>
        <v>1.5111658222504436E-3</v>
      </c>
      <c r="Y127">
        <f t="shared" ref="Y127:Y135" si="15">($M$4*$D$22/(206000*$D$7))*($W127^3/(6*$D$19) - $W127^2/2 + $D$19*$W127/3)</f>
        <v>-4.5406368273444395E-4</v>
      </c>
      <c r="Z127">
        <f t="shared" ref="Z127:Z135" si="16">IF($W127&lt;$D$24,(-$J$7)*$W127/(6*$D$19*206000*$D$7)*($W127^2+3*$D$24^2-6*$D$24*$D$19+2*$D$19^2),($J$7*($D$19-$W127)/(6*$D$19*206000*$D$7)*(($D$19-$W127)^2+3*$D$25^2-6*$D$25*$D$19+2*$D$19^2)))</f>
        <v>-5.8408201161711589E-4</v>
      </c>
      <c r="AA127">
        <f t="shared" ref="AA127:AA135" si="17">SUM(X127:Z127)</f>
        <v>4.7302012789888386E-4</v>
      </c>
      <c r="AC127">
        <f t="shared" ref="AC127:AC135" si="18">IF($W127&lt;$D$24,-(-$J$3*$D$25*$W127^3+$J$3*$D$25*($D$19^2-$D$25^2)*$W127)/(6*$D$19*206000*$D$7),-(-$J$3*$D$24*($D$19-$W127)^3+$J$3*$D$24*($D$19^2-$D$24^2)*($D$19-$W127))/(6*$D$19*206000*$D$7))</f>
        <v>3.5663104197032319E-3</v>
      </c>
      <c r="AD127">
        <f t="shared" ref="AD127:AD135" si="19">-$M$3*$D$22/(2*206000*$D$7)*$W127*($W127-$D$19)</f>
        <v>-3.9127068343728618E-3</v>
      </c>
      <c r="AE127">
        <f t="shared" ref="AE127:AE135" si="20">SUM($AC127:$AD127)</f>
        <v>-3.4639641466962991E-4</v>
      </c>
      <c r="AG127">
        <f>SQRT($AA127^2+$AE127^2)</f>
        <v>5.8629217758166506E-4</v>
      </c>
    </row>
    <row r="128" spans="23:33" x14ac:dyDescent="0.2">
      <c r="W128">
        <v>97</v>
      </c>
      <c r="X128" s="118">
        <f t="shared" si="14"/>
        <v>1.884018737752322E-3</v>
      </c>
      <c r="Y128" s="68">
        <f t="shared" si="15"/>
        <v>-5.6697493764736766E-4</v>
      </c>
      <c r="Z128">
        <f t="shared" si="16"/>
        <v>-7.3110285479191213E-4</v>
      </c>
      <c r="AA128">
        <f t="shared" si="17"/>
        <v>5.8594094531304233E-4</v>
      </c>
      <c r="AC128">
        <f t="shared" si="18"/>
        <v>4.4462332038162694E-3</v>
      </c>
      <c r="AD128">
        <f t="shared" si="19"/>
        <v>-4.9418302465386406E-3</v>
      </c>
      <c r="AE128">
        <f t="shared" si="20"/>
        <v>-4.9559704272237118E-4</v>
      </c>
      <c r="AG128">
        <f>SQRT($AA128^2+$AE128^2)</f>
        <v>7.6742636138557379E-4</v>
      </c>
    </row>
    <row r="129" spans="23:31" x14ac:dyDescent="0.2">
      <c r="W129">
        <v>98</v>
      </c>
      <c r="X129" s="118">
        <f t="shared" si="14"/>
        <v>2.2535792932137119E-3</v>
      </c>
      <c r="Y129">
        <f t="shared" si="15"/>
        <v>-6.7948308204649648E-4</v>
      </c>
      <c r="Z129">
        <f t="shared" si="16"/>
        <v>-8.7879059148038622E-4</v>
      </c>
      <c r="AA129">
        <f t="shared" si="17"/>
        <v>6.953056196868291E-4</v>
      </c>
      <c r="AC129">
        <f t="shared" si="18"/>
        <v>5.3183861073874596E-3</v>
      </c>
      <c r="AD129">
        <f t="shared" si="19"/>
        <v>-5.9913323401334442E-3</v>
      </c>
      <c r="AE129">
        <f t="shared" si="20"/>
        <v>-6.729462327459846E-4</v>
      </c>
    </row>
    <row r="130" spans="23:31" x14ac:dyDescent="0.2">
      <c r="W130">
        <v>100</v>
      </c>
      <c r="X130" s="118">
        <f t="shared" si="14"/>
        <v>2.9801894359826374E-3</v>
      </c>
      <c r="Y130">
        <f t="shared" si="15"/>
        <v>-9.0296755089235708E-4</v>
      </c>
      <c r="Z130">
        <f t="shared" si="16"/>
        <v>-1.1767002602093115E-3</v>
      </c>
      <c r="AA130">
        <f t="shared" si="17"/>
        <v>9.0052162488096885E-4</v>
      </c>
      <c r="AC130">
        <f t="shared" si="18"/>
        <v>7.0331663684708228E-3</v>
      </c>
      <c r="AD130">
        <f t="shared" si="19"/>
        <v>-8.1514725716101289E-3</v>
      </c>
      <c r="AE130">
        <f t="shared" si="20"/>
        <v>-1.1183062031393061E-3</v>
      </c>
    </row>
    <row r="131" spans="23:31" x14ac:dyDescent="0.2">
      <c r="W131">
        <v>102</v>
      </c>
      <c r="X131" s="118">
        <f t="shared" si="14"/>
        <v>3.6857284744924372E-3</v>
      </c>
      <c r="Y131">
        <f t="shared" si="15"/>
        <v>-1.123872112449954E-3</v>
      </c>
      <c r="Z131">
        <f t="shared" si="16"/>
        <v>-1.4788780474257765E-3</v>
      </c>
      <c r="AA131">
        <f t="shared" si="17"/>
        <v>1.0829783146167067E-3</v>
      </c>
      <c r="AC131">
        <f t="shared" si="18"/>
        <v>8.6982193940863661E-3</v>
      </c>
      <c r="AD131">
        <f t="shared" si="19"/>
        <v>-1.0393127528802915E-2</v>
      </c>
      <c r="AE131">
        <f t="shared" si="20"/>
        <v>-1.6949081347165489E-3</v>
      </c>
    </row>
    <row r="132" spans="23:31" x14ac:dyDescent="0.2">
      <c r="W132">
        <v>104</v>
      </c>
      <c r="X132" s="118">
        <f t="shared" si="14"/>
        <v>4.3649286326783304E-3</v>
      </c>
      <c r="Y132">
        <f t="shared" si="15"/>
        <v>-1.3415517898972187E-3</v>
      </c>
      <c r="Z132">
        <f t="shared" si="16"/>
        <v>-1.7863909827516662E-3</v>
      </c>
      <c r="AA132">
        <f t="shared" si="17"/>
        <v>1.2369858600294456E-3</v>
      </c>
      <c r="AC132">
        <f t="shared" si="18"/>
        <v>1.0301113375367134E-2</v>
      </c>
      <c r="AD132">
        <f t="shared" si="19"/>
        <v>-1.2716297211711802E-2</v>
      </c>
      <c r="AE132">
        <f t="shared" si="20"/>
        <v>-2.4151838363446684E-3</v>
      </c>
    </row>
    <row r="133" spans="23:31" x14ac:dyDescent="0.2">
      <c r="W133">
        <v>106</v>
      </c>
      <c r="X133" s="118">
        <f t="shared" si="14"/>
        <v>5.0125221344755376E-3</v>
      </c>
      <c r="Y133">
        <f t="shared" si="15"/>
        <v>-1.555361606412086E-3</v>
      </c>
      <c r="Z133">
        <f t="shared" si="16"/>
        <v>-2.1003060958088658E-3</v>
      </c>
      <c r="AA133">
        <f t="shared" si="17"/>
        <v>1.3568544322545856E-3</v>
      </c>
      <c r="AC133">
        <f t="shared" si="18"/>
        <v>1.1829416503446167E-2</v>
      </c>
      <c r="AD133">
        <f t="shared" si="19"/>
        <v>-1.5120981620336789E-2</v>
      </c>
      <c r="AE133">
        <f t="shared" si="20"/>
        <v>-3.291565116890622E-3</v>
      </c>
    </row>
    <row r="134" spans="23:31" x14ac:dyDescent="0.2">
      <c r="W134">
        <v>108</v>
      </c>
      <c r="X134" s="118">
        <f t="shared" si="14"/>
        <v>5.623241203819275E-3</v>
      </c>
      <c r="Y134">
        <f t="shared" si="15"/>
        <v>-1.7646565851724945E-3</v>
      </c>
      <c r="Z134">
        <f t="shared" si="16"/>
        <v>-2.4216904162192598E-3</v>
      </c>
      <c r="AA134">
        <f t="shared" si="17"/>
        <v>1.4368942024275207E-3</v>
      </c>
      <c r="AC134">
        <f t="shared" si="18"/>
        <v>1.3270696969456519E-2</v>
      </c>
      <c r="AD134">
        <f t="shared" si="19"/>
        <v>-1.7607180754677879E-2</v>
      </c>
      <c r="AE134">
        <f t="shared" si="20"/>
        <v>-4.3364837852213605E-3</v>
      </c>
    </row>
    <row r="135" spans="23:31" x14ac:dyDescent="0.2">
      <c r="W135">
        <v>109.5</v>
      </c>
      <c r="X135" s="118">
        <f t="shared" si="14"/>
        <v>6.0539127629905204E-3</v>
      </c>
      <c r="Y135">
        <f t="shared" si="15"/>
        <v>-1.91827696309691E-3</v>
      </c>
      <c r="Z135">
        <f t="shared" si="16"/>
        <v>-2.6682722088595045E-3</v>
      </c>
      <c r="AA135">
        <f t="shared" si="17"/>
        <v>1.4673635910341055E-3</v>
      </c>
      <c r="AC135">
        <f t="shared" si="18"/>
        <v>1.4287070186960179E-2</v>
      </c>
      <c r="AD135">
        <f t="shared" si="19"/>
        <v>-1.9525324144184886E-2</v>
      </c>
      <c r="AE135">
        <f t="shared" si="20"/>
        <v>-5.2382539572247075E-3</v>
      </c>
    </row>
  </sheetData>
  <mergeCells count="36">
    <mergeCell ref="C41:G41"/>
    <mergeCell ref="C45:D45"/>
    <mergeCell ref="C54:C55"/>
    <mergeCell ref="E42:E49"/>
    <mergeCell ref="C52:I52"/>
    <mergeCell ref="C53:D53"/>
    <mergeCell ref="H53:H59"/>
    <mergeCell ref="C56:G56"/>
    <mergeCell ref="C28:D28"/>
    <mergeCell ref="F28:G28"/>
    <mergeCell ref="J28:K28"/>
    <mergeCell ref="C10:D10"/>
    <mergeCell ref="L10:M10"/>
    <mergeCell ref="I12:J12"/>
    <mergeCell ref="L12:M12"/>
    <mergeCell ref="I2:J2"/>
    <mergeCell ref="O41:S41"/>
    <mergeCell ref="Q42:Q49"/>
    <mergeCell ref="I41:M41"/>
    <mergeCell ref="C75:D75"/>
    <mergeCell ref="O45:P45"/>
    <mergeCell ref="O48:P49"/>
    <mergeCell ref="C61:G61"/>
    <mergeCell ref="C48:D49"/>
    <mergeCell ref="N56:N57"/>
    <mergeCell ref="C57:D57"/>
    <mergeCell ref="C58:C59"/>
    <mergeCell ref="I48:J49"/>
    <mergeCell ref="L2:M2"/>
    <mergeCell ref="L6:M6"/>
    <mergeCell ref="C68:D68"/>
    <mergeCell ref="K42:K49"/>
    <mergeCell ref="C80:D80"/>
    <mergeCell ref="I45:J45"/>
    <mergeCell ref="C71:D71"/>
    <mergeCell ref="E62:E63"/>
  </mergeCells>
  <conditionalFormatting sqref="D36">
    <cfRule type="colorScale" priority="14">
      <colorScale>
        <cfvo type="num" val="1.2"/>
        <cfvo type="num" val="1.3"/>
        <cfvo type="num" val="1.5"/>
        <color rgb="FFF8696B"/>
        <color rgb="FFFFEB84"/>
        <color rgb="FF63BE7B"/>
      </colorScale>
    </cfRule>
  </conditionalFormatting>
  <conditionalFormatting sqref="D47">
    <cfRule type="colorScale" priority="12">
      <colorScale>
        <cfvo type="num" val="1.2"/>
        <cfvo type="num" val="1.3"/>
        <cfvo type="num" val="1.5"/>
        <color rgb="FFF8696B"/>
        <color rgb="FFFFEB84"/>
        <color rgb="FF63BE7B"/>
      </colorScale>
    </cfRule>
  </conditionalFormatting>
  <conditionalFormatting sqref="G36">
    <cfRule type="colorScale" priority="13">
      <colorScale>
        <cfvo type="num" val="1.2"/>
        <cfvo type="num" val="1.3"/>
        <cfvo type="num" val="1.5"/>
        <color rgb="FFF8696B"/>
        <color rgb="FFFFEB84"/>
        <color rgb="FF63BE7B"/>
      </colorScale>
    </cfRule>
  </conditionalFormatting>
  <conditionalFormatting sqref="G62">
    <cfRule type="cellIs" dxfId="15" priority="5" operator="lessThan">
      <formula>$G$63</formula>
    </cfRule>
    <cfRule type="cellIs" dxfId="14" priority="4" operator="greaterThan">
      <formula>$G$63</formula>
    </cfRule>
  </conditionalFormatting>
  <conditionalFormatting sqref="J47">
    <cfRule type="colorScale" priority="11">
      <colorScale>
        <cfvo type="num" val="1.2"/>
        <cfvo type="num" val="1.3"/>
        <cfvo type="num" val="1.5"/>
        <color rgb="FFF8696B"/>
        <color rgb="FFFFEB84"/>
        <color rgb="FF63BE7B"/>
      </colorScale>
    </cfRule>
  </conditionalFormatting>
  <conditionalFormatting sqref="K36">
    <cfRule type="colorScale" priority="9">
      <colorScale>
        <cfvo type="num" val="1.2"/>
        <cfvo type="num" val="1.3"/>
        <cfvo type="num" val="1.5"/>
        <color rgb="FFF8696B"/>
        <color rgb="FFFFEB84"/>
        <color rgb="FF63BE7B"/>
      </colorScale>
    </cfRule>
  </conditionalFormatting>
  <conditionalFormatting sqref="M56:M57">
    <cfRule type="cellIs" dxfId="13" priority="22" operator="greaterThan">
      <formula>$N$56</formula>
    </cfRule>
    <cfRule type="cellIs" dxfId="12" priority="21" operator="lessThan">
      <formula>$N$56</formula>
    </cfRule>
  </conditionalFormatting>
  <conditionalFormatting sqref="P47">
    <cfRule type="colorScale" priority="3">
      <colorScale>
        <cfvo type="num" val="1.2"/>
        <cfvo type="num" val="1.3"/>
        <cfvo type="num" val="1.5"/>
        <color rgb="FFF8696B"/>
        <color rgb="FFFFEB84"/>
        <color rgb="FF63BE7B"/>
      </colorScale>
    </cfRule>
  </conditionalFormatting>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88065-4391-42A9-847B-C86AD863B4F0}">
  <dimension ref="B1:M33"/>
  <sheetViews>
    <sheetView topLeftCell="A9" zoomScale="85" zoomScaleNormal="85" workbookViewId="0">
      <selection activeCell="C32" sqref="C32"/>
    </sheetView>
  </sheetViews>
  <sheetFormatPr baseColWidth="10" defaultColWidth="8.83203125" defaultRowHeight="15" x14ac:dyDescent="0.2"/>
  <cols>
    <col min="2" max="2" width="25.33203125" customWidth="1"/>
    <col min="3" max="3" width="9.5" customWidth="1"/>
    <col min="6" max="6" width="16.33203125" customWidth="1"/>
  </cols>
  <sheetData>
    <row r="1" spans="2:13" x14ac:dyDescent="0.2">
      <c r="B1" t="s">
        <v>413</v>
      </c>
    </row>
    <row r="2" spans="2:13" x14ac:dyDescent="0.2">
      <c r="B2" t="s">
        <v>414</v>
      </c>
    </row>
    <row r="4" spans="2:13" ht="16" thickBot="1" x14ac:dyDescent="0.25"/>
    <row r="5" spans="2:13" x14ac:dyDescent="0.2">
      <c r="B5" s="101" t="s">
        <v>415</v>
      </c>
      <c r="C5" s="102"/>
      <c r="F5" s="338" t="s">
        <v>360</v>
      </c>
      <c r="G5" s="339"/>
      <c r="H5" s="340"/>
      <c r="J5" s="341" t="s">
        <v>595</v>
      </c>
      <c r="K5" s="342"/>
      <c r="L5" s="343"/>
    </row>
    <row r="6" spans="2:13" x14ac:dyDescent="0.2">
      <c r="B6" s="93" t="s">
        <v>417</v>
      </c>
      <c r="C6" s="94">
        <f>-Albero_2!M13</f>
        <v>2114.4809879004142</v>
      </c>
      <c r="D6" t="s">
        <v>418</v>
      </c>
      <c r="F6" s="105" t="s">
        <v>419</v>
      </c>
      <c r="G6" s="111" t="s">
        <v>420</v>
      </c>
      <c r="H6" s="112" t="s">
        <v>421</v>
      </c>
      <c r="J6" s="119" t="s">
        <v>419</v>
      </c>
      <c r="K6" s="111" t="s">
        <v>420</v>
      </c>
      <c r="L6" s="120" t="s">
        <v>421</v>
      </c>
    </row>
    <row r="7" spans="2:13" x14ac:dyDescent="0.2">
      <c r="B7" s="93" t="s">
        <v>422</v>
      </c>
      <c r="C7" s="94">
        <f xml:space="preserve"> SQRT(SUMSQ(Albero_2!J14,Albero_2!J15))</f>
        <v>1294.4362520382535</v>
      </c>
      <c r="F7" s="105" t="s">
        <v>262</v>
      </c>
      <c r="G7" s="99">
        <v>17</v>
      </c>
      <c r="H7" s="100">
        <f>G7</f>
        <v>17</v>
      </c>
      <c r="J7" s="119" t="s">
        <v>423</v>
      </c>
      <c r="K7" s="99">
        <f>IF(C32/C7&lt;=G15, C7,0.4*C7+G16*C32)</f>
        <v>1294.4362520382535</v>
      </c>
      <c r="L7" s="121">
        <f>IF(C33/C8&lt;=H15, C8,0.4*C8+H16*C33)</f>
        <v>3212.7750527638491</v>
      </c>
    </row>
    <row r="8" spans="2:13" x14ac:dyDescent="0.2">
      <c r="B8" s="93" t="s">
        <v>424</v>
      </c>
      <c r="C8" s="94">
        <f>SQRT(SUMSQ(Albero_2!M14,Albero_2!M15))</f>
        <v>3212.7750527638491</v>
      </c>
      <c r="F8" s="105" t="s">
        <v>267</v>
      </c>
      <c r="G8" s="99">
        <v>47</v>
      </c>
      <c r="H8" s="100">
        <f t="shared" ref="H8:H17" si="0">G8</f>
        <v>47</v>
      </c>
      <c r="J8" s="119" t="s">
        <v>425</v>
      </c>
      <c r="K8" s="99">
        <f>IF(0.5*C7+G17*C32&lt;C7, C7,0.5*C7+G17*C32)</f>
        <v>1294.4362520382535</v>
      </c>
      <c r="L8" s="121">
        <f>IF(0.5*C8+H17*C33&lt;C8, C8,0.5*C8+H17*C33)</f>
        <v>3212.7750527638491</v>
      </c>
    </row>
    <row r="9" spans="2:13" x14ac:dyDescent="0.2">
      <c r="B9" s="93" t="s">
        <v>426</v>
      </c>
      <c r="C9" s="94">
        <f>G16</f>
        <v>2.1</v>
      </c>
      <c r="F9" s="105" t="s">
        <v>427</v>
      </c>
      <c r="G9" s="99">
        <v>23.5</v>
      </c>
      <c r="H9" s="100">
        <f t="shared" si="0"/>
        <v>23.5</v>
      </c>
      <c r="J9" s="119" t="s">
        <v>428</v>
      </c>
      <c r="K9" s="99">
        <f>K10/K11</f>
        <v>3</v>
      </c>
      <c r="L9" s="121">
        <f>L10/L11</f>
        <v>3</v>
      </c>
    </row>
    <row r="10" spans="2:13" x14ac:dyDescent="0.2">
      <c r="B10" s="93" t="s">
        <v>429</v>
      </c>
      <c r="C10" s="94">
        <f>H16</f>
        <v>2.1</v>
      </c>
      <c r="F10" s="105" t="s">
        <v>223</v>
      </c>
      <c r="G10" s="99">
        <v>15.25</v>
      </c>
      <c r="H10" s="100">
        <f t="shared" si="0"/>
        <v>15.25</v>
      </c>
      <c r="J10" s="119" t="s">
        <v>430</v>
      </c>
      <c r="K10" s="99">
        <v>150</v>
      </c>
      <c r="L10" s="121">
        <f>K10</f>
        <v>150</v>
      </c>
    </row>
    <row r="11" spans="2:13" x14ac:dyDescent="0.2">
      <c r="B11" s="93" t="s">
        <v>431</v>
      </c>
      <c r="C11" s="94">
        <f>C7/C9</f>
        <v>616.39821525631123</v>
      </c>
      <c r="F11" s="105" t="s">
        <v>432</v>
      </c>
      <c r="G11" s="99">
        <v>34200</v>
      </c>
      <c r="H11" s="100">
        <f t="shared" si="0"/>
        <v>34200</v>
      </c>
      <c r="J11" s="119" t="s">
        <v>433</v>
      </c>
      <c r="K11" s="99">
        <v>50</v>
      </c>
      <c r="L11" s="121">
        <v>50</v>
      </c>
    </row>
    <row r="12" spans="2:13" x14ac:dyDescent="0.2">
      <c r="B12" s="93" t="s">
        <v>434</v>
      </c>
      <c r="C12" s="94">
        <f>C8/C10</f>
        <v>1529.8928822684995</v>
      </c>
      <c r="F12" s="105" t="s">
        <v>435</v>
      </c>
      <c r="G12" s="99">
        <v>25000</v>
      </c>
      <c r="H12" s="100">
        <f t="shared" si="0"/>
        <v>25000</v>
      </c>
      <c r="J12" s="122"/>
      <c r="L12" s="29"/>
    </row>
    <row r="13" spans="2:13" x14ac:dyDescent="0.2">
      <c r="B13" s="69"/>
      <c r="C13" s="70"/>
      <c r="F13" s="105" t="s">
        <v>437</v>
      </c>
      <c r="G13" s="99">
        <v>2700</v>
      </c>
      <c r="H13" s="100">
        <f t="shared" si="0"/>
        <v>2700</v>
      </c>
      <c r="J13" s="122" t="s">
        <v>487</v>
      </c>
      <c r="K13">
        <f>$G$30*G13/K7</f>
        <v>1.2515100666016616</v>
      </c>
      <c r="L13">
        <f>$G$30*H13/L7</f>
        <v>0.50423698310479759</v>
      </c>
    </row>
    <row r="14" spans="2:13" x14ac:dyDescent="0.2">
      <c r="B14" s="93" t="s">
        <v>438</v>
      </c>
      <c r="C14" s="94"/>
      <c r="F14" s="105" t="s">
        <v>92</v>
      </c>
      <c r="G14" s="99">
        <v>10</v>
      </c>
      <c r="H14" s="100">
        <f t="shared" si="0"/>
        <v>10</v>
      </c>
      <c r="J14" s="122"/>
      <c r="L14" s="29"/>
    </row>
    <row r="15" spans="2:13" x14ac:dyDescent="0.2">
      <c r="B15" s="93" t="s">
        <v>440</v>
      </c>
      <c r="C15" s="94"/>
      <c r="F15" s="105" t="s">
        <v>441</v>
      </c>
      <c r="G15" s="99">
        <v>0.28000000000000003</v>
      </c>
      <c r="H15" s="100">
        <f t="shared" si="0"/>
        <v>0.28000000000000003</v>
      </c>
      <c r="J15" s="119" t="s">
        <v>439</v>
      </c>
      <c r="K15" s="99">
        <v>0.64</v>
      </c>
      <c r="L15" s="121">
        <v>0.64</v>
      </c>
      <c r="M15" t="s">
        <v>443</v>
      </c>
    </row>
    <row r="16" spans="2:13" x14ac:dyDescent="0.2">
      <c r="B16" s="103" t="s">
        <v>444</v>
      </c>
      <c r="C16" s="94">
        <f>IF(C11&lt;C12,1,0)</f>
        <v>1</v>
      </c>
      <c r="F16" s="105" t="s">
        <v>445</v>
      </c>
      <c r="G16" s="99">
        <v>2.1</v>
      </c>
      <c r="H16" s="100">
        <f t="shared" si="0"/>
        <v>2.1</v>
      </c>
      <c r="J16" s="119" t="s">
        <v>442</v>
      </c>
      <c r="K16" s="99">
        <v>50</v>
      </c>
      <c r="L16" s="121">
        <v>10</v>
      </c>
    </row>
    <row r="17" spans="2:12" x14ac:dyDescent="0.2">
      <c r="B17" s="103" t="s">
        <v>446</v>
      </c>
      <c r="C17" s="94">
        <f>IF(-C6&gt;=0.5*(C12-C11),1,0)</f>
        <v>0</v>
      </c>
      <c r="F17" s="105" t="s">
        <v>447</v>
      </c>
      <c r="G17" s="99">
        <v>1.1000000000000001</v>
      </c>
      <c r="H17" s="100">
        <f t="shared" si="0"/>
        <v>1.1000000000000001</v>
      </c>
      <c r="J17" s="119" t="s">
        <v>419</v>
      </c>
      <c r="K17" s="99"/>
      <c r="L17" s="121" t="s">
        <v>419</v>
      </c>
    </row>
    <row r="18" spans="2:12" ht="16" thickBot="1" x14ac:dyDescent="0.25">
      <c r="B18" s="93"/>
      <c r="C18" s="94"/>
      <c r="F18" s="105" t="s">
        <v>449</v>
      </c>
      <c r="G18" s="99">
        <v>3.3333330000000001</v>
      </c>
      <c r="H18" s="100">
        <v>3.3333330000000001</v>
      </c>
      <c r="J18" s="123" t="s">
        <v>448</v>
      </c>
      <c r="K18" s="124">
        <f>K7*($G$28*60*$G$33/(K15*K16*10^6))^(1/G18)</f>
        <v>4176.8995770783113</v>
      </c>
      <c r="L18" s="125">
        <f>L7*($G$28*60*$G$33/(L15*L16*10^6))^(1/H18)</f>
        <v>16801.370453539876</v>
      </c>
    </row>
    <row r="19" spans="2:12" x14ac:dyDescent="0.2">
      <c r="B19" s="103" t="s">
        <v>451</v>
      </c>
      <c r="C19" s="94"/>
      <c r="F19" s="105" t="s">
        <v>419</v>
      </c>
      <c r="G19" s="99"/>
      <c r="H19" s="100" t="s">
        <v>419</v>
      </c>
    </row>
    <row r="20" spans="2:12" x14ac:dyDescent="0.2">
      <c r="B20" s="103" t="s">
        <v>444</v>
      </c>
      <c r="C20" s="94">
        <f>IF(C11&lt;C12,1,0)</f>
        <v>1</v>
      </c>
      <c r="F20" s="344" t="s">
        <v>453</v>
      </c>
      <c r="G20" s="296"/>
      <c r="H20" s="345"/>
    </row>
    <row r="21" spans="2:12" x14ac:dyDescent="0.2">
      <c r="B21" s="103" t="s">
        <v>454</v>
      </c>
      <c r="C21" s="94">
        <f>IF(-C6&lt;0.5*(C12-C11),1,0)</f>
        <v>1</v>
      </c>
      <c r="F21" s="105" t="s">
        <v>455</v>
      </c>
      <c r="G21" s="99">
        <f>C7</f>
        <v>1294.4362520382535</v>
      </c>
      <c r="H21" s="100">
        <f>C8</f>
        <v>3212.7750527638491</v>
      </c>
    </row>
    <row r="22" spans="2:12" x14ac:dyDescent="0.2">
      <c r="B22" s="103" t="s">
        <v>419</v>
      </c>
      <c r="C22" s="94"/>
      <c r="F22" s="105" t="s">
        <v>456</v>
      </c>
      <c r="G22" s="99">
        <f>C32</f>
        <v>-1349.5345467661646</v>
      </c>
      <c r="H22" s="100">
        <f>C33</f>
        <v>764.94644113424977</v>
      </c>
    </row>
    <row r="23" spans="2:12" x14ac:dyDescent="0.2">
      <c r="B23" s="103" t="s">
        <v>457</v>
      </c>
      <c r="C23" s="94"/>
      <c r="F23" s="105" t="s">
        <v>419</v>
      </c>
      <c r="G23" s="99"/>
      <c r="H23" s="100" t="s">
        <v>419</v>
      </c>
    </row>
    <row r="24" spans="2:12" x14ac:dyDescent="0.2">
      <c r="B24" s="103" t="s">
        <v>458</v>
      </c>
      <c r="C24" s="94">
        <f>IF(C11&gt;C12,1,0)</f>
        <v>0</v>
      </c>
      <c r="F24" s="105"/>
      <c r="G24" s="99"/>
      <c r="H24" s="100"/>
    </row>
    <row r="25" spans="2:12" x14ac:dyDescent="0.2">
      <c r="B25" s="103" t="s">
        <v>460</v>
      </c>
      <c r="C25" s="94">
        <f>IF(C6&gt;=0.5*(C11-C12),1,0)</f>
        <v>1</v>
      </c>
      <c r="F25" s="105" t="s">
        <v>596</v>
      </c>
      <c r="G25" s="99">
        <f>(G7+G8)/2</f>
        <v>32</v>
      </c>
      <c r="H25" s="99">
        <f>(H7+H8)/2</f>
        <v>32</v>
      </c>
    </row>
    <row r="26" spans="2:12" x14ac:dyDescent="0.2">
      <c r="B26" s="103" t="s">
        <v>419</v>
      </c>
      <c r="C26" s="94"/>
      <c r="F26" s="105" t="s">
        <v>419</v>
      </c>
      <c r="G26" s="99"/>
      <c r="H26" s="100" t="s">
        <v>419</v>
      </c>
    </row>
    <row r="27" spans="2:12" x14ac:dyDescent="0.2">
      <c r="B27" s="104" t="s">
        <v>461</v>
      </c>
      <c r="C27" s="94"/>
      <c r="F27" s="346" t="s">
        <v>597</v>
      </c>
      <c r="G27" s="347"/>
      <c r="H27" s="348"/>
    </row>
    <row r="28" spans="2:12" x14ac:dyDescent="0.2">
      <c r="B28" s="103" t="s">
        <v>458</v>
      </c>
      <c r="C28" s="94">
        <f>IF(C11&gt;C12,1,0)</f>
        <v>0</v>
      </c>
      <c r="F28" s="105" t="s">
        <v>464</v>
      </c>
      <c r="G28" s="99">
        <v>50000</v>
      </c>
      <c r="H28" s="100" t="s">
        <v>598</v>
      </c>
    </row>
    <row r="29" spans="2:12" x14ac:dyDescent="0.2">
      <c r="B29" s="103" t="s">
        <v>466</v>
      </c>
      <c r="C29" s="94">
        <f>IF(C6&lt;0.5*(C11-C12),1,0)</f>
        <v>0</v>
      </c>
      <c r="F29" s="105" t="s">
        <v>467</v>
      </c>
      <c r="G29" s="99">
        <v>60</v>
      </c>
      <c r="H29" s="100" t="s">
        <v>419</v>
      </c>
    </row>
    <row r="30" spans="2:12" x14ac:dyDescent="0.2">
      <c r="B30" s="69"/>
      <c r="C30" s="70"/>
      <c r="F30" s="105" t="s">
        <v>468</v>
      </c>
      <c r="G30" s="99">
        <v>0.6</v>
      </c>
      <c r="H30" s="100" t="s">
        <v>419</v>
      </c>
    </row>
    <row r="31" spans="2:12" x14ac:dyDescent="0.2">
      <c r="B31" s="105" t="s">
        <v>470</v>
      </c>
      <c r="C31" s="70"/>
      <c r="F31" s="105" t="s">
        <v>471</v>
      </c>
      <c r="G31" s="99">
        <v>0.95</v>
      </c>
      <c r="H31" s="100" t="s">
        <v>419</v>
      </c>
    </row>
    <row r="32" spans="2:12" x14ac:dyDescent="0.2">
      <c r="B32" s="106" t="s">
        <v>472</v>
      </c>
      <c r="C32" s="70">
        <f>C33-C6</f>
        <v>-1349.5345467661646</v>
      </c>
      <c r="F32" s="105" t="s">
        <v>599</v>
      </c>
      <c r="G32" s="99">
        <v>320</v>
      </c>
      <c r="H32" s="100"/>
    </row>
    <row r="33" spans="2:8" ht="16" thickBot="1" x14ac:dyDescent="0.25">
      <c r="B33" s="107" t="s">
        <v>474</v>
      </c>
      <c r="C33" s="72">
        <f>0.5*C8/C10</f>
        <v>764.94644113424977</v>
      </c>
      <c r="F33" s="108" t="s">
        <v>475</v>
      </c>
      <c r="G33" s="109">
        <f>'Forze e verifica 3-4'!C11</f>
        <v>529.58999999999992</v>
      </c>
      <c r="H33" s="110" t="s">
        <v>419</v>
      </c>
    </row>
  </sheetData>
  <mergeCells count="4">
    <mergeCell ref="F5:H5"/>
    <mergeCell ref="J5:L5"/>
    <mergeCell ref="F20:H20"/>
    <mergeCell ref="F27:H27"/>
  </mergeCells>
  <conditionalFormatting sqref="B15">
    <cfRule type="expression" dxfId="11" priority="8">
      <formula>$C$16*$C$17=1</formula>
    </cfRule>
  </conditionalFormatting>
  <conditionalFormatting sqref="B19">
    <cfRule type="expression" dxfId="10" priority="5">
      <formula>$C$20*$C$21=1</formula>
    </cfRule>
  </conditionalFormatting>
  <conditionalFormatting sqref="B23">
    <cfRule type="expression" dxfId="9" priority="6">
      <formula>$C$24*$C$25=1</formula>
    </cfRule>
  </conditionalFormatting>
  <conditionalFormatting sqref="B27">
    <cfRule type="expression" dxfId="8" priority="7">
      <formula>$C$28*$C$29=1</formula>
    </cfRule>
  </conditionalFormatting>
  <conditionalFormatting sqref="K18">
    <cfRule type="cellIs" dxfId="7" priority="3" operator="greaterThan">
      <formula>$G$11</formula>
    </cfRule>
    <cfRule type="cellIs" dxfId="6" priority="4" operator="lessThan">
      <formula>$G$11</formula>
    </cfRule>
  </conditionalFormatting>
  <conditionalFormatting sqref="L18">
    <cfRule type="cellIs" dxfId="5" priority="2" operator="lessThan">
      <formula>$H$11</formula>
    </cfRule>
    <cfRule type="cellIs" dxfId="4" priority="1" operator="greaterThan">
      <formula>$H$11</formula>
    </cfRule>
  </conditionalFormatting>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7DCED-055C-4275-B996-EB2A76AAAB32}">
  <dimension ref="C1:AP134"/>
  <sheetViews>
    <sheetView zoomScale="78" zoomScaleNormal="100" workbookViewId="0">
      <selection activeCell="G7" sqref="G7"/>
    </sheetView>
  </sheetViews>
  <sheetFormatPr baseColWidth="10" defaultColWidth="8.83203125" defaultRowHeight="15" x14ac:dyDescent="0.2"/>
  <cols>
    <col min="3" max="4" width="9.5" bestFit="1" customWidth="1"/>
    <col min="5" max="5" width="8.33203125" customWidth="1"/>
    <col min="6" max="6" width="10.33203125" customWidth="1"/>
    <col min="7" max="7" width="10" customWidth="1"/>
    <col min="8" max="8" width="10.6640625" customWidth="1"/>
    <col min="9" max="9" width="13.5" bestFit="1" customWidth="1"/>
    <col min="10" max="10" width="13.33203125" bestFit="1" customWidth="1"/>
    <col min="11" max="11" width="13.5" bestFit="1" customWidth="1"/>
    <col min="12" max="12" width="9.6640625" bestFit="1" customWidth="1"/>
    <col min="13" max="13" width="9.33203125" bestFit="1" customWidth="1"/>
    <col min="14" max="14" width="7.5" customWidth="1"/>
    <col min="15" max="15" width="8.33203125" customWidth="1"/>
    <col min="16" max="16" width="9.1640625" bestFit="1" customWidth="1"/>
    <col min="18" max="18" width="9.1640625" bestFit="1" customWidth="1"/>
    <col min="20" max="20" width="9" bestFit="1" customWidth="1"/>
    <col min="23" max="23" width="9.33203125" bestFit="1" customWidth="1"/>
    <col min="24" max="24" width="9.6640625" bestFit="1" customWidth="1"/>
    <col min="25" max="25" width="13.6640625" bestFit="1" customWidth="1"/>
    <col min="26" max="27" width="15.6640625" bestFit="1" customWidth="1"/>
    <col min="29" max="29" width="9.6640625" customWidth="1"/>
    <col min="30" max="30" width="9.6640625" bestFit="1" customWidth="1"/>
    <col min="31" max="31" width="15.6640625" bestFit="1" customWidth="1"/>
  </cols>
  <sheetData>
    <row r="1" spans="3:42" ht="16" thickBot="1" x14ac:dyDescent="0.25"/>
    <row r="2" spans="3:42" ht="16" thickBot="1" x14ac:dyDescent="0.25">
      <c r="I2" s="249" t="s">
        <v>348</v>
      </c>
      <c r="J2" s="250"/>
      <c r="L2" s="274" t="s">
        <v>349</v>
      </c>
      <c r="M2" s="275"/>
    </row>
    <row r="3" spans="3:42" x14ac:dyDescent="0.2">
      <c r="C3" t="s">
        <v>156</v>
      </c>
      <c r="D3">
        <f>'Forze e verifica 3-4'!G26</f>
        <v>17.248477344557106</v>
      </c>
      <c r="I3" s="19" t="str" cm="1">
        <f t="array" ref="I3:J5">'Forze e verifica 3-4'!E6:F8</f>
        <v>Ft [N]</v>
      </c>
      <c r="J3" s="75">
        <v>3547.0748564924966</v>
      </c>
      <c r="L3" s="19" t="s">
        <v>350</v>
      </c>
      <c r="M3" s="75">
        <f>'Forze e verifica 3-4'!F12*1000/'Albero_2 (2)'!D8*2</f>
        <v>1083.9937384229702</v>
      </c>
    </row>
    <row r="4" spans="3:42" ht="14.5" customHeight="1" x14ac:dyDescent="0.2">
      <c r="C4" t="s">
        <v>191</v>
      </c>
      <c r="D4">
        <f>'Forze e verifica 3-4'!C6</f>
        <v>20.373477344557106</v>
      </c>
      <c r="F4" t="s">
        <v>351</v>
      </c>
      <c r="G4">
        <v>27</v>
      </c>
      <c r="I4" s="12" t="str">
        <v>Fr [N]</v>
      </c>
      <c r="J4" s="7">
        <v>1503.0150663501142</v>
      </c>
      <c r="L4" s="12" t="s">
        <v>352</v>
      </c>
      <c r="M4" s="7">
        <f>M3*TAN(RADIANS(20))</f>
        <v>394.54145491690491</v>
      </c>
      <c r="AP4" s="114"/>
    </row>
    <row r="5" spans="3:42" x14ac:dyDescent="0.2">
      <c r="C5" t="s">
        <v>288</v>
      </c>
      <c r="D5">
        <f>'Forze e verifica 3-4'!C19</f>
        <v>28</v>
      </c>
      <c r="F5" t="s">
        <v>353</v>
      </c>
      <c r="G5">
        <f>(1/G21)*(D6*(D22+D12+D11-D12)+(G4+D3)/2*D20+D3*(D5+1))</f>
        <v>20.331300705823384</v>
      </c>
      <c r="I5" s="12" t="str">
        <v>Fa [N]</v>
      </c>
      <c r="J5" s="7">
        <v>2114.4809879004142</v>
      </c>
      <c r="L5" s="12" t="s">
        <v>354</v>
      </c>
      <c r="M5" s="7">
        <v>0</v>
      </c>
      <c r="AP5" s="115"/>
    </row>
    <row r="6" spans="3:42" x14ac:dyDescent="0.2">
      <c r="C6" t="s">
        <v>355</v>
      </c>
      <c r="D6">
        <v>15</v>
      </c>
      <c r="I6" s="64"/>
      <c r="J6" s="65"/>
      <c r="L6" s="281"/>
      <c r="M6" s="282"/>
      <c r="AP6" s="115"/>
    </row>
    <row r="7" spans="3:42" x14ac:dyDescent="0.2">
      <c r="C7" t="s">
        <v>356</v>
      </c>
      <c r="D7">
        <f>PI()*G5^4/64</f>
        <v>8387.4617706476092</v>
      </c>
      <c r="I7" s="12" t="s">
        <v>357</v>
      </c>
      <c r="J7" s="7">
        <f>J5*D4/2</f>
        <v>21539.66525124291</v>
      </c>
      <c r="L7" s="12" t="s">
        <v>357</v>
      </c>
      <c r="M7" s="7">
        <v>0</v>
      </c>
      <c r="AP7" s="115"/>
    </row>
    <row r="8" spans="3:42" ht="16" thickBot="1" x14ac:dyDescent="0.25">
      <c r="C8" t="s">
        <v>358</v>
      </c>
      <c r="D8">
        <f>'[2]Pre-dime 5-6'!S11</f>
        <v>66.666666666666671</v>
      </c>
      <c r="I8" s="13" t="s">
        <v>359</v>
      </c>
      <c r="J8" s="10">
        <f>J3*D4/2</f>
        <v>36133.124614099012</v>
      </c>
      <c r="L8" s="13" t="s">
        <v>359</v>
      </c>
      <c r="M8" s="10">
        <f>M3*D8/2</f>
        <v>36133.124614099012</v>
      </c>
      <c r="AP8" s="115"/>
    </row>
    <row r="9" spans="3:42" ht="16" thickBot="1" x14ac:dyDescent="0.25">
      <c r="AP9" s="115"/>
    </row>
    <row r="10" spans="3:42" x14ac:dyDescent="0.2">
      <c r="C10" s="271" t="s">
        <v>360</v>
      </c>
      <c r="D10" s="258"/>
      <c r="L10" s="254" t="s">
        <v>361</v>
      </c>
      <c r="M10" s="254"/>
      <c r="AP10" s="115"/>
    </row>
    <row r="11" spans="3:42" ht="16" thickBot="1" x14ac:dyDescent="0.25">
      <c r="C11" s="12" t="s">
        <v>362</v>
      </c>
      <c r="D11" s="7">
        <v>14.25</v>
      </c>
      <c r="AP11" s="115"/>
    </row>
    <row r="12" spans="3:42" x14ac:dyDescent="0.2">
      <c r="C12" s="12" t="s">
        <v>363</v>
      </c>
      <c r="D12" s="7">
        <v>9</v>
      </c>
      <c r="I12" s="271" t="s">
        <v>364</v>
      </c>
      <c r="J12" s="258"/>
      <c r="L12" s="271" t="s">
        <v>365</v>
      </c>
      <c r="M12" s="258"/>
      <c r="AP12" s="115"/>
    </row>
    <row r="13" spans="3:42" x14ac:dyDescent="0.2">
      <c r="C13" s="12" t="s">
        <v>224</v>
      </c>
      <c r="D13" s="7">
        <v>15</v>
      </c>
      <c r="I13" s="12" t="s">
        <v>366</v>
      </c>
      <c r="J13" s="7">
        <f>0</f>
        <v>0</v>
      </c>
      <c r="L13" s="12" t="s">
        <v>367</v>
      </c>
      <c r="M13" s="7">
        <f>-J5</f>
        <v>-2114.4809879004142</v>
      </c>
      <c r="AP13" s="115"/>
    </row>
    <row r="14" spans="3:42" ht="16" thickBot="1" x14ac:dyDescent="0.25">
      <c r="C14" s="13" t="s">
        <v>368</v>
      </c>
      <c r="D14" s="10">
        <v>32</v>
      </c>
      <c r="I14" s="12" t="s">
        <v>369</v>
      </c>
      <c r="J14" s="7">
        <f>M4+J4-M14</f>
        <v>932.3145388370898</v>
      </c>
      <c r="L14" s="12" t="s">
        <v>370</v>
      </c>
      <c r="M14" s="7">
        <f>(-M4*D22+J4*(D19-D21)-J7)/D19</f>
        <v>965.24198242992941</v>
      </c>
      <c r="AP14" s="115"/>
    </row>
    <row r="15" spans="3:42" ht="16" thickBot="1" x14ac:dyDescent="0.25">
      <c r="I15" s="13" t="s">
        <v>371</v>
      </c>
      <c r="J15" s="10">
        <f>M3-J3-M15</f>
        <v>407.37562648990661</v>
      </c>
      <c r="L15" s="13" t="s">
        <v>372</v>
      </c>
      <c r="M15" s="10">
        <f>(M3*D22+J3*(D19-D21))/D19*(-1)</f>
        <v>-2870.456744559433</v>
      </c>
      <c r="AP15" s="115"/>
    </row>
    <row r="16" spans="3:42" x14ac:dyDescent="0.2">
      <c r="C16" t="s">
        <v>373</v>
      </c>
      <c r="D16">
        <f>120-5+D17</f>
        <v>130</v>
      </c>
      <c r="AP16" s="115"/>
    </row>
    <row r="17" spans="3:42" x14ac:dyDescent="0.2">
      <c r="C17" t="s">
        <v>374</v>
      </c>
      <c r="D17">
        <f>(108-135/2)/3+1.5</f>
        <v>15</v>
      </c>
      <c r="J17" s="3"/>
      <c r="K17" s="3" t="s">
        <v>375</v>
      </c>
      <c r="L17" s="3" t="s">
        <v>376</v>
      </c>
      <c r="M17" s="3" t="s">
        <v>377</v>
      </c>
      <c r="AP17" s="115"/>
    </row>
    <row r="18" spans="3:42" x14ac:dyDescent="0.2">
      <c r="J18" s="76">
        <v>0</v>
      </c>
      <c r="K18" s="3">
        <v>0</v>
      </c>
      <c r="L18" s="3">
        <v>0</v>
      </c>
      <c r="M18" s="3">
        <v>0</v>
      </c>
      <c r="AP18" s="115"/>
    </row>
    <row r="19" spans="3:42" x14ac:dyDescent="0.2">
      <c r="C19" t="s">
        <v>273</v>
      </c>
      <c r="D19">
        <f>D16-D22-D12</f>
        <v>113</v>
      </c>
      <c r="J19" s="76" t="s">
        <v>252</v>
      </c>
      <c r="K19" s="3">
        <f>D22</f>
        <v>8</v>
      </c>
      <c r="L19" s="3">
        <f>-M3*K19</f>
        <v>-8671.9499073837615</v>
      </c>
      <c r="M19" s="3">
        <f>-$M$4*K19</f>
        <v>-3156.3316393352393</v>
      </c>
      <c r="AP19" s="115"/>
    </row>
    <row r="20" spans="3:42" x14ac:dyDescent="0.2">
      <c r="C20" t="s">
        <v>378</v>
      </c>
      <c r="D20">
        <f>D19-1-D5-2*(D11-D12)</f>
        <v>73.5</v>
      </c>
      <c r="J20" s="76" t="s">
        <v>581</v>
      </c>
      <c r="K20" s="3">
        <f>D22+(D11-D12)</f>
        <v>13.25</v>
      </c>
      <c r="L20" s="3">
        <f>-M3*K20+J15*(K20-K19)</f>
        <v>-12224.194995032347</v>
      </c>
      <c r="M20" s="3">
        <f>-$M$4*K20+$J$14*(K20-$K$19)</f>
        <v>-333.02294875426833</v>
      </c>
      <c r="AP20" s="115"/>
    </row>
    <row r="21" spans="3:42" x14ac:dyDescent="0.2">
      <c r="C21" t="s">
        <v>379</v>
      </c>
      <c r="D21">
        <f>D12+D5/2+1</f>
        <v>24</v>
      </c>
      <c r="F21" t="s">
        <v>380</v>
      </c>
      <c r="G21">
        <f>D19+D22</f>
        <v>121</v>
      </c>
      <c r="J21" s="76" t="s">
        <v>582</v>
      </c>
      <c r="K21" s="3">
        <f>K22</f>
        <v>97</v>
      </c>
      <c r="L21" s="3">
        <f>-M3*K21+J15*(K21-K19)</f>
        <v>-68890.961869426421</v>
      </c>
      <c r="M21" s="3">
        <f>-M4*(K21)+J14*(K21-K19)</f>
        <v>44705.472829561222</v>
      </c>
      <c r="AP21" s="115"/>
    </row>
    <row r="22" spans="3:42" x14ac:dyDescent="0.2">
      <c r="C22" t="s">
        <v>381</v>
      </c>
      <c r="D22">
        <f>D17-D12+2</f>
        <v>8</v>
      </c>
      <c r="J22" s="76" t="s">
        <v>584</v>
      </c>
      <c r="K22" s="3">
        <f>D22+(D19-D21)</f>
        <v>97</v>
      </c>
      <c r="L22" s="3">
        <f>-M3*K22+J15*(K22-K19)</f>
        <v>-68890.961869426421</v>
      </c>
      <c r="M22" s="3">
        <f>M21-J7</f>
        <v>23165.807578318312</v>
      </c>
      <c r="AP22" s="115"/>
    </row>
    <row r="23" spans="3:42" x14ac:dyDescent="0.2">
      <c r="J23" s="76"/>
      <c r="K23" s="3">
        <f>K22+D5/2</f>
        <v>111</v>
      </c>
      <c r="L23" s="3">
        <f>L22/(K24-K22)*(K24-K23)</f>
        <v>-28704.567445594344</v>
      </c>
      <c r="M23" s="3">
        <f>M22/(K24-K22)*(K24-K23)</f>
        <v>9652.419824299297</v>
      </c>
      <c r="AP23" s="115"/>
    </row>
    <row r="24" spans="3:42" x14ac:dyDescent="0.2">
      <c r="C24" t="s">
        <v>92</v>
      </c>
      <c r="D24">
        <f>D19-D21</f>
        <v>89</v>
      </c>
      <c r="J24" s="76" t="s">
        <v>258</v>
      </c>
      <c r="K24" s="3">
        <f>D22+D19</f>
        <v>121</v>
      </c>
      <c r="L24" s="3">
        <f>-M3*K24+J15*(K24-K19)+J3*D21</f>
        <v>0</v>
      </c>
      <c r="M24" s="3">
        <f>M22-M14*D21</f>
        <v>0</v>
      </c>
      <c r="AP24" s="115"/>
    </row>
    <row r="25" spans="3:42" x14ac:dyDescent="0.2">
      <c r="C25" t="s">
        <v>50</v>
      </c>
      <c r="D25">
        <f>D19-D24</f>
        <v>24</v>
      </c>
      <c r="AP25" s="115"/>
    </row>
    <row r="26" spans="3:42" x14ac:dyDescent="0.2">
      <c r="AP26" s="115"/>
    </row>
    <row r="27" spans="3:42" ht="16" thickBot="1" x14ac:dyDescent="0.25">
      <c r="AP27" s="115"/>
    </row>
    <row r="28" spans="3:42" ht="18" customHeight="1" thickBot="1" x14ac:dyDescent="0.25">
      <c r="C28" s="274" t="s">
        <v>382</v>
      </c>
      <c r="D28" s="275"/>
      <c r="F28" s="249" t="s">
        <v>383</v>
      </c>
      <c r="G28" s="250"/>
      <c r="J28" s="249" t="s">
        <v>585</v>
      </c>
      <c r="K28" s="250"/>
      <c r="M28" t="s">
        <v>283</v>
      </c>
      <c r="N28" t="s">
        <v>276</v>
      </c>
      <c r="AB28" s="114"/>
      <c r="AP28" s="115"/>
    </row>
    <row r="29" spans="3:42" x14ac:dyDescent="0.2">
      <c r="C29" s="19" t="s">
        <v>384</v>
      </c>
      <c r="D29" s="75">
        <f>SQRT(L21^2+M21^2)</f>
        <v>82125.172317684686</v>
      </c>
      <c r="F29" s="19" t="s">
        <v>384</v>
      </c>
      <c r="G29" s="75">
        <f>SQRT(M23^2+L23^2)</f>
        <v>30284.01229532178</v>
      </c>
      <c r="J29" s="19" t="s">
        <v>384</v>
      </c>
      <c r="K29" s="75">
        <f>SQRT(L20^2+M20^2)</f>
        <v>12228.730414927415</v>
      </c>
      <c r="M29">
        <f>G4/D6</f>
        <v>1.8</v>
      </c>
      <c r="N29">
        <f>0.75/D6</f>
        <v>0.05</v>
      </c>
      <c r="AB29" s="115"/>
      <c r="AP29" s="115"/>
    </row>
    <row r="30" spans="3:42" x14ac:dyDescent="0.2">
      <c r="C30" s="12" t="s">
        <v>359</v>
      </c>
      <c r="D30" s="7">
        <f>J8</f>
        <v>36133.124614099012</v>
      </c>
      <c r="F30" s="12" t="s">
        <v>359</v>
      </c>
      <c r="G30" s="7">
        <f>M8</f>
        <v>36133.124614099012</v>
      </c>
      <c r="J30" s="12" t="s">
        <v>359</v>
      </c>
      <c r="K30" s="7">
        <f>M8</f>
        <v>36133.124614099012</v>
      </c>
      <c r="AB30" s="115"/>
      <c r="AP30" s="115"/>
    </row>
    <row r="31" spans="3:42" x14ac:dyDescent="0.2">
      <c r="C31" s="12"/>
      <c r="D31" s="7"/>
      <c r="F31" s="12"/>
      <c r="G31" s="7"/>
      <c r="H31" s="116" t="s">
        <v>385</v>
      </c>
      <c r="J31" s="12"/>
      <c r="K31" s="7"/>
      <c r="L31" s="116" t="s">
        <v>385</v>
      </c>
      <c r="AB31" s="115"/>
      <c r="AP31" s="115"/>
    </row>
    <row r="32" spans="3:42" x14ac:dyDescent="0.2">
      <c r="C32" s="12" t="s">
        <v>386</v>
      </c>
      <c r="D32" s="7">
        <f>32*D29/(PI()*D3^3)</f>
        <v>163.01370252920242</v>
      </c>
      <c r="F32" s="12" t="s">
        <v>386</v>
      </c>
      <c r="G32" s="7">
        <f>32*G29/(PI()*(D6)^3)</f>
        <v>91.398641843317506</v>
      </c>
      <c r="H32">
        <v>2.2000000000000002</v>
      </c>
      <c r="J32" s="12" t="s">
        <v>386</v>
      </c>
      <c r="K32" s="7">
        <f>32*K29/(PI()*D6^3)</f>
        <v>36.906911161342151</v>
      </c>
      <c r="L32">
        <v>2.2999999999999998</v>
      </c>
      <c r="AB32" s="115"/>
      <c r="AP32" s="115"/>
    </row>
    <row r="33" spans="3:42" x14ac:dyDescent="0.2">
      <c r="C33" s="12" t="s">
        <v>387</v>
      </c>
      <c r="D33" s="7">
        <f>16*D30/(PI()*D3^3)</f>
        <v>35.86107804138485</v>
      </c>
      <c r="F33" s="12" t="s">
        <v>387</v>
      </c>
      <c r="G33" s="7">
        <f>16*G30/(PI()*(D6)^3)</f>
        <v>54.525775565646612</v>
      </c>
      <c r="H33">
        <v>1.5</v>
      </c>
      <c r="J33" s="12" t="s">
        <v>387</v>
      </c>
      <c r="K33" s="7">
        <f>16*K30/(PI()*(D6)^3)</f>
        <v>54.525775565646612</v>
      </c>
      <c r="L33">
        <v>1.7</v>
      </c>
      <c r="AB33" s="115"/>
      <c r="AP33" s="115"/>
    </row>
    <row r="34" spans="3:42" x14ac:dyDescent="0.2">
      <c r="C34" s="12"/>
      <c r="D34" s="7"/>
      <c r="F34" s="12"/>
      <c r="G34" s="7"/>
      <c r="J34" s="12"/>
      <c r="K34" s="7"/>
      <c r="AB34" s="115"/>
      <c r="AP34" s="115"/>
    </row>
    <row r="35" spans="3:42" x14ac:dyDescent="0.2">
      <c r="C35" s="12" t="s">
        <v>388</v>
      </c>
      <c r="D35" s="7">
        <f>SQRT(D32^2+3*D33^2)*1.6</f>
        <v>279.11410927415415</v>
      </c>
      <c r="F35" s="12" t="s">
        <v>388</v>
      </c>
      <c r="G35" s="7">
        <f>SQRT((G32*H32)^2+3*(G33*H33)^2)*1.6</f>
        <v>393.54835802380285</v>
      </c>
      <c r="J35" s="12" t="s">
        <v>388</v>
      </c>
      <c r="K35" s="7">
        <f>SQRT((K32*L32)^2+3*(K33*L33)^2)*1.6</f>
        <v>290.57536182676864</v>
      </c>
      <c r="AB35" s="115"/>
      <c r="AP35" s="115"/>
    </row>
    <row r="36" spans="3:42" ht="16" thickBot="1" x14ac:dyDescent="0.25">
      <c r="C36" s="13" t="s">
        <v>145</v>
      </c>
      <c r="D36" s="10">
        <f>[2]Materiali!G3/D35</f>
        <v>2.6333315858212716</v>
      </c>
      <c r="F36" s="13" t="s">
        <v>145</v>
      </c>
      <c r="G36" s="10">
        <f>[2]Materiali!G3/G35</f>
        <v>1.8676230887883549</v>
      </c>
      <c r="J36" s="13" t="s">
        <v>145</v>
      </c>
      <c r="K36" s="10">
        <f>[2]Materiali!G3/K35</f>
        <v>2.5294642855445622</v>
      </c>
      <c r="AB36" s="115"/>
      <c r="AP36" s="115"/>
    </row>
    <row r="37" spans="3:42" x14ac:dyDescent="0.2">
      <c r="AB37" s="115"/>
      <c r="AP37" s="115"/>
    </row>
    <row r="38" spans="3:42" x14ac:dyDescent="0.2">
      <c r="AB38" s="115"/>
      <c r="AP38" s="115"/>
    </row>
    <row r="39" spans="3:42" x14ac:dyDescent="0.2">
      <c r="P39">
        <v>14.25</v>
      </c>
      <c r="R39">
        <f>135-15-P39</f>
        <v>105.75</v>
      </c>
      <c r="T39">
        <f>R39-P39/2-D5/2</f>
        <v>84.625</v>
      </c>
      <c r="AB39" s="115"/>
      <c r="AP39" s="115"/>
    </row>
    <row r="40" spans="3:42" ht="16" thickBot="1" x14ac:dyDescent="0.25">
      <c r="N40" s="16"/>
      <c r="P40">
        <f>15+P39/2</f>
        <v>22.125</v>
      </c>
      <c r="AB40" s="115"/>
      <c r="AP40" s="115"/>
    </row>
    <row r="41" spans="3:42" ht="16" thickBot="1" x14ac:dyDescent="0.25">
      <c r="C41" s="249" t="s">
        <v>389</v>
      </c>
      <c r="D41" s="304"/>
      <c r="E41" s="304"/>
      <c r="F41" s="304"/>
      <c r="G41" s="250"/>
      <c r="K41" s="274" t="s">
        <v>390</v>
      </c>
      <c r="L41" s="305"/>
      <c r="M41" s="305"/>
      <c r="N41" s="305"/>
      <c r="O41" s="275"/>
      <c r="AB41" s="115"/>
      <c r="AP41" s="115"/>
    </row>
    <row r="42" spans="3:42" x14ac:dyDescent="0.2">
      <c r="C42" s="19" t="s">
        <v>391</v>
      </c>
      <c r="D42" s="95">
        <f>32*D29/(PI()*D3^3)</f>
        <v>163.01370252920242</v>
      </c>
      <c r="E42" s="254"/>
      <c r="F42" s="95" t="s">
        <v>392</v>
      </c>
      <c r="G42" s="75">
        <f>[2]Materiali!F3*0.5</f>
        <v>515</v>
      </c>
      <c r="K42" s="19" t="s">
        <v>391</v>
      </c>
      <c r="L42" s="95">
        <f>32*G29/(PI()*D6^3)</f>
        <v>91.398641843317506</v>
      </c>
      <c r="M42" s="307"/>
      <c r="N42" s="95" t="s">
        <v>392</v>
      </c>
      <c r="O42" s="75">
        <f>[2]Materiali!F3*0.5</f>
        <v>515</v>
      </c>
      <c r="AB42" s="115"/>
      <c r="AP42" s="115"/>
    </row>
    <row r="43" spans="3:42" x14ac:dyDescent="0.2">
      <c r="C43" s="12" t="s">
        <v>393</v>
      </c>
      <c r="D43" s="3">
        <f>16*D30/(PI()*D3^3)</f>
        <v>35.86107804138485</v>
      </c>
      <c r="E43" s="254"/>
      <c r="F43" s="3" t="s">
        <v>286</v>
      </c>
      <c r="G43" s="7">
        <v>0.9</v>
      </c>
      <c r="K43" s="12" t="s">
        <v>393</v>
      </c>
      <c r="L43" s="3">
        <f>16*G30/(PI()*D6^3) *H33</f>
        <v>81.788663348469925</v>
      </c>
      <c r="M43" s="307"/>
      <c r="N43" s="3" t="s">
        <v>286</v>
      </c>
      <c r="O43" s="7">
        <v>0.9</v>
      </c>
      <c r="AP43" s="115"/>
    </row>
    <row r="44" spans="3:42" ht="26" x14ac:dyDescent="0.2">
      <c r="C44" s="12" t="s">
        <v>394</v>
      </c>
      <c r="D44" s="3">
        <f>M13/(PI()*D3^2/4)</f>
        <v>-9.0492456572108484</v>
      </c>
      <c r="E44" s="254"/>
      <c r="F44" s="3" t="s">
        <v>288</v>
      </c>
      <c r="G44" s="7">
        <v>0.95</v>
      </c>
      <c r="K44" s="12" t="s">
        <v>394</v>
      </c>
      <c r="L44" s="3">
        <f>M13/(PI()*D6^2/4)</f>
        <v>-11.965514712824358</v>
      </c>
      <c r="M44" s="307"/>
      <c r="N44" s="3" t="s">
        <v>288</v>
      </c>
      <c r="O44" s="7">
        <v>0.95</v>
      </c>
      <c r="AP44" s="114"/>
    </row>
    <row r="45" spans="3:42" ht="26" x14ac:dyDescent="0.2">
      <c r="C45" s="259"/>
      <c r="D45" s="280"/>
      <c r="E45" s="254"/>
      <c r="F45" s="3" t="s">
        <v>395</v>
      </c>
      <c r="G45" s="7">
        <f>1+G49*(1-1)</f>
        <v>1</v>
      </c>
      <c r="K45" s="259"/>
      <c r="L45" s="280"/>
      <c r="M45" s="307"/>
      <c r="N45" s="3" t="s">
        <v>395</v>
      </c>
      <c r="O45" s="7">
        <f>1+O49*(H32-1)</f>
        <v>2.0065229374248408</v>
      </c>
      <c r="AP45" s="114"/>
    </row>
    <row r="46" spans="3:42" x14ac:dyDescent="0.2">
      <c r="C46" s="12" t="s">
        <v>396</v>
      </c>
      <c r="D46" s="3">
        <f>SQRT(D42^2+(G48*D43)^2)</f>
        <v>167.20680909730928</v>
      </c>
      <c r="E46" s="254"/>
      <c r="F46" s="3" t="s">
        <v>397</v>
      </c>
      <c r="G46" s="7">
        <f>G42*G43*G44/G45</f>
        <v>440.32499999999999</v>
      </c>
      <c r="K46" s="12" t="s">
        <v>396</v>
      </c>
      <c r="L46" s="3">
        <f>SQRT(L42^2+(O48*L43)^2)</f>
        <v>100.71063996350544</v>
      </c>
      <c r="M46" s="307"/>
      <c r="N46" s="3" t="s">
        <v>397</v>
      </c>
      <c r="O46" s="7">
        <f>O42*O43*O44/O45</f>
        <v>219.44678118911034</v>
      </c>
      <c r="AP46" s="115"/>
    </row>
    <row r="47" spans="3:42" x14ac:dyDescent="0.2">
      <c r="C47" s="96" t="s">
        <v>145</v>
      </c>
      <c r="D47" s="97">
        <f>G46/D46</f>
        <v>2.6334154833595576</v>
      </c>
      <c r="E47" s="254"/>
      <c r="F47" s="3" t="s">
        <v>398</v>
      </c>
      <c r="G47" s="7">
        <f>[2]Materiali!G3/SQRT(3)</f>
        <v>424.35244785437499</v>
      </c>
      <c r="K47" s="12" t="s">
        <v>145</v>
      </c>
      <c r="L47" s="3">
        <f>O46/L46</f>
        <v>2.1789830872749034</v>
      </c>
      <c r="M47" s="307"/>
      <c r="N47" s="3" t="s">
        <v>398</v>
      </c>
      <c r="O47" s="7">
        <f>[2]Materiali!G3/SQRT(3)</f>
        <v>424.35244785437499</v>
      </c>
      <c r="AP47" s="115"/>
    </row>
    <row r="48" spans="3:42" x14ac:dyDescent="0.2">
      <c r="C48" s="309"/>
      <c r="D48" s="310"/>
      <c r="E48" s="254"/>
      <c r="F48" s="3" t="s">
        <v>285</v>
      </c>
      <c r="G48" s="7">
        <f>G46/G47</f>
        <v>1.0376398256364161</v>
      </c>
      <c r="K48" s="309"/>
      <c r="L48" s="310"/>
      <c r="M48" s="307"/>
      <c r="N48" s="3" t="s">
        <v>285</v>
      </c>
      <c r="O48" s="7">
        <f>O46/O47</f>
        <v>0.517133298744203</v>
      </c>
      <c r="AP48" s="115"/>
    </row>
    <row r="49" spans="3:42" ht="16" thickBot="1" x14ac:dyDescent="0.25">
      <c r="C49" s="311"/>
      <c r="D49" s="312"/>
      <c r="E49" s="306"/>
      <c r="F49" s="9" t="s">
        <v>292</v>
      </c>
      <c r="G49" s="10">
        <v>0</v>
      </c>
      <c r="K49" s="311"/>
      <c r="L49" s="312"/>
      <c r="M49" s="308"/>
      <c r="N49" s="9" t="s">
        <v>292</v>
      </c>
      <c r="O49" s="10">
        <f>1/(1+SQRT((140/[2]Materiali!F3)^2/R49))</f>
        <v>0.83876911452070058</v>
      </c>
      <c r="Q49" t="s">
        <v>272</v>
      </c>
      <c r="R49">
        <v>0.5</v>
      </c>
      <c r="AP49" s="115"/>
    </row>
    <row r="50" spans="3:42" x14ac:dyDescent="0.2">
      <c r="AP50" s="115"/>
    </row>
    <row r="51" spans="3:42" ht="16" thickBot="1" x14ac:dyDescent="0.25">
      <c r="AP51" s="115"/>
    </row>
    <row r="52" spans="3:42" ht="16" thickBot="1" x14ac:dyDescent="0.25">
      <c r="C52" s="274" t="s">
        <v>587</v>
      </c>
      <c r="D52" s="305"/>
      <c r="E52" s="305"/>
      <c r="F52" s="305"/>
      <c r="G52" s="305"/>
      <c r="H52" s="305"/>
      <c r="I52" s="275"/>
      <c r="AO52" s="115"/>
    </row>
    <row r="53" spans="3:42" x14ac:dyDescent="0.2">
      <c r="C53" s="277"/>
      <c r="D53" s="336"/>
      <c r="E53" s="95" t="s">
        <v>400</v>
      </c>
      <c r="F53" s="95" t="s">
        <v>401</v>
      </c>
      <c r="G53" s="95" t="s">
        <v>402</v>
      </c>
      <c r="H53" s="337"/>
      <c r="I53" s="75" t="s">
        <v>403</v>
      </c>
      <c r="AO53" s="115"/>
    </row>
    <row r="54" spans="3:42" x14ac:dyDescent="0.2">
      <c r="C54" s="333" t="s">
        <v>404</v>
      </c>
      <c r="D54" s="26" t="s">
        <v>252</v>
      </c>
      <c r="E54" s="3">
        <f>-(D21*(D19-D21)*(D19+D21))/(6*D19*206000*D7)*J4</f>
        <v>-3.7545481785361816E-4</v>
      </c>
      <c r="F54" s="3">
        <f>M4*D22*D19/(3*206000*D7)</f>
        <v>6.8808492545333278E-5</v>
      </c>
      <c r="G54" s="3">
        <f>(D19^2-3*D25^2)*(J7)/(6*D19*206000*D7)</f>
        <v>2.0301115009521836E-4</v>
      </c>
      <c r="H54" s="307"/>
      <c r="I54" s="7">
        <f>SUM(E54:G54)</f>
        <v>-1.0363517521306656E-4</v>
      </c>
      <c r="AO54" s="115"/>
    </row>
    <row r="55" spans="3:42" x14ac:dyDescent="0.2">
      <c r="C55" s="333"/>
      <c r="D55" s="26" t="s">
        <v>258</v>
      </c>
      <c r="E55" s="3">
        <f>(D21*(D19-D21)*(D19+(D19-D21)))/(6*D19*206000*D7)*J4</f>
        <v>5.5359031537540783E-4</v>
      </c>
      <c r="F55" s="3">
        <f>-M4*D22*D19/(6*206000*D7)</f>
        <v>-3.4404246272666639E-5</v>
      </c>
      <c r="G55" s="3">
        <f>(D19^2-3*D24^2)*(J7)/(6*D19*206000*D7)</f>
        <v>-2.0214695989012141E-4</v>
      </c>
      <c r="H55" s="307"/>
      <c r="I55" s="7">
        <f>SUM(E55:G55)</f>
        <v>3.1703910921261971E-4</v>
      </c>
      <c r="M55" t="s">
        <v>405</v>
      </c>
      <c r="O55" t="s">
        <v>406</v>
      </c>
      <c r="AO55" s="115"/>
    </row>
    <row r="56" spans="3:42" x14ac:dyDescent="0.2">
      <c r="C56" s="259"/>
      <c r="D56" s="260"/>
      <c r="E56" s="260"/>
      <c r="F56" s="260"/>
      <c r="G56" s="280"/>
      <c r="H56" s="307"/>
      <c r="I56" s="113"/>
      <c r="K56" s="116" t="s">
        <v>252</v>
      </c>
      <c r="L56">
        <f>SQRT(I54^2+I58^2)</f>
        <v>1.0800963731077006E-3</v>
      </c>
      <c r="M56">
        <f>DEGREES(L56)</f>
        <v>6.1884963646458707E-2</v>
      </c>
      <c r="O56" s="248">
        <f>4/60</f>
        <v>6.6666666666666666E-2</v>
      </c>
      <c r="AO56" s="115"/>
    </row>
    <row r="57" spans="3:42" x14ac:dyDescent="0.2">
      <c r="C57" s="259"/>
      <c r="D57" s="280"/>
      <c r="E57" s="3" t="s">
        <v>407</v>
      </c>
      <c r="F57" s="3" t="s">
        <v>408</v>
      </c>
      <c r="G57" s="3"/>
      <c r="H57" s="307"/>
      <c r="I57" s="7"/>
      <c r="K57" s="116" t="s">
        <v>258</v>
      </c>
      <c r="L57">
        <f>SQRT(I55^2+I59^2)</f>
        <v>1.4364077710264467E-3</v>
      </c>
      <c r="M57">
        <f>DEGREES(L57)</f>
        <v>8.2300102939609335E-2</v>
      </c>
      <c r="O57" s="248"/>
      <c r="AO57" s="115"/>
    </row>
    <row r="58" spans="3:42" x14ac:dyDescent="0.2">
      <c r="C58" s="333" t="s">
        <v>409</v>
      </c>
      <c r="D58" s="26" t="s">
        <v>252</v>
      </c>
      <c r="E58" s="3">
        <f>-(D21*(D19-D21)*(D19+D21))/(6*D19*206000*D7)*J3</f>
        <v>-8.8606320320631818E-4</v>
      </c>
      <c r="F58" s="3">
        <f>-M3*D22*D19/(3*206000*D7)</f>
        <v>-1.8904977953501488E-4</v>
      </c>
      <c r="G58" s="3"/>
      <c r="H58" s="307"/>
      <c r="I58" s="7">
        <f>SUM(E58:F58)</f>
        <v>-1.075112982741333E-3</v>
      </c>
      <c r="X58" t="s">
        <v>400</v>
      </c>
      <c r="Y58" t="s">
        <v>401</v>
      </c>
      <c r="Z58" t="s">
        <v>402</v>
      </c>
      <c r="AA58" t="s">
        <v>410</v>
      </c>
      <c r="AC58" t="s">
        <v>407</v>
      </c>
      <c r="AD58" t="s">
        <v>408</v>
      </c>
      <c r="AE58" t="s">
        <v>588</v>
      </c>
      <c r="AG58" t="s">
        <v>589</v>
      </c>
      <c r="AO58" s="115"/>
    </row>
    <row r="59" spans="3:42" ht="16" thickBot="1" x14ac:dyDescent="0.25">
      <c r="C59" s="335"/>
      <c r="D59" s="117" t="s">
        <v>258</v>
      </c>
      <c r="E59" s="9">
        <f>(D21*(D19-D21)*(D19+(D19-D21)))/(6*D19*206000*D7)*J3</f>
        <v>1.3064581536326736E-3</v>
      </c>
      <c r="F59" s="9">
        <f>M3*D22*D19/(6*206000*D7)</f>
        <v>9.452488976750744E-5</v>
      </c>
      <c r="G59" s="9"/>
      <c r="H59" s="308"/>
      <c r="I59" s="10">
        <f>SUM(E59:F59)</f>
        <v>1.400983043400181E-3</v>
      </c>
      <c r="W59">
        <v>-26</v>
      </c>
      <c r="X59">
        <f t="shared" ref="X59:X71" si="0">-$E$54*ABS($W59)</f>
        <v>9.7618252641940729E-3</v>
      </c>
      <c r="Y59">
        <f t="shared" ref="Y59:Y71" si="1">$F$54*$W59+$M$4/(206000*$D$7)*(ABS($W59)^3 / 6 -ABS($W59)^2*$D$22 /2)</f>
        <v>-1.7375666679478629E-3</v>
      </c>
      <c r="Z59">
        <f t="shared" ref="Z59:Z70" si="2">$G$55*(-W59)</f>
        <v>-5.2558209571431569E-3</v>
      </c>
      <c r="AA59">
        <f t="shared" ref="AA59:AA70" si="3">SUM(X59:Z59)</f>
        <v>2.7684376391030529E-3</v>
      </c>
      <c r="AC59">
        <f t="shared" ref="AC59:AC71" si="4">-$E$58*ABS($W59)</f>
        <v>2.3037643283364273E-2</v>
      </c>
      <c r="AD59">
        <f>$F$58*(-$W59)+$M$3/(206000*$D$7)*(ABS($W59)^3 / 6 -ABS($W59)^2*$D$22 /2)</f>
        <v>-4.773925184983761E-3</v>
      </c>
      <c r="AE59">
        <f t="shared" ref="AE59:AE123" si="5">SUM($AC59:$AD59)</f>
        <v>1.826371809838051E-2</v>
      </c>
      <c r="AG59">
        <f>SQRT($AA59^2+$AE59^2)</f>
        <v>1.8472348138196027E-2</v>
      </c>
      <c r="AO59" s="115"/>
    </row>
    <row r="60" spans="3:42" ht="16" thickBot="1" x14ac:dyDescent="0.25">
      <c r="W60">
        <v>-24</v>
      </c>
      <c r="X60">
        <f t="shared" si="0"/>
        <v>9.0109156284868368E-3</v>
      </c>
      <c r="Y60">
        <f t="shared" si="1"/>
        <v>-1.6514038210879987E-3</v>
      </c>
      <c r="Z60">
        <f t="shared" si="2"/>
        <v>-4.8515270373629136E-3</v>
      </c>
      <c r="AA60">
        <f t="shared" si="3"/>
        <v>2.5079847700359243E-3</v>
      </c>
      <c r="AC60">
        <f t="shared" si="4"/>
        <v>2.1265516876951635E-2</v>
      </c>
      <c r="AD60">
        <f t="shared" ref="AD60:AD71" si="6">$F$58*(-$W60)+$M$3/(206000*$D$7)*(ABS($W60)^3 / 6 -ABS($W60)^2*$D$22 /2)</f>
        <v>-4.5371947088403575E-3</v>
      </c>
      <c r="AE60">
        <f t="shared" si="5"/>
        <v>1.6728322168111279E-2</v>
      </c>
      <c r="AG60">
        <f t="shared" ref="AG60:AG124" si="7">SQRT($AA60^2+$AE60^2)</f>
        <v>1.6915281557421839E-2</v>
      </c>
      <c r="AP60" s="115"/>
    </row>
    <row r="61" spans="3:42" ht="16" thickBot="1" x14ac:dyDescent="0.25">
      <c r="C61" s="274" t="s">
        <v>411</v>
      </c>
      <c r="D61" s="305"/>
      <c r="E61" s="305"/>
      <c r="F61" s="305"/>
      <c r="G61" s="275"/>
      <c r="W61">
        <v>-22</v>
      </c>
      <c r="X61">
        <f t="shared" si="0"/>
        <v>8.2600059927795989E-3</v>
      </c>
      <c r="Y61">
        <f t="shared" si="1"/>
        <v>-1.5506267811211611E-3</v>
      </c>
      <c r="Z61">
        <f t="shared" si="2"/>
        <v>-4.4472331175826711E-3</v>
      </c>
      <c r="AA61">
        <f t="shared" si="3"/>
        <v>2.2621460940757667E-3</v>
      </c>
      <c r="AC61">
        <f t="shared" si="4"/>
        <v>1.9493390470538999E-2</v>
      </c>
      <c r="AD61">
        <f t="shared" si="6"/>
        <v>-4.260312067131994E-3</v>
      </c>
      <c r="AE61">
        <f t="shared" si="5"/>
        <v>1.5233078403407006E-2</v>
      </c>
      <c r="AG61">
        <f t="shared" si="7"/>
        <v>1.5400129304498947E-2</v>
      </c>
      <c r="AP61" s="115"/>
    </row>
    <row r="62" spans="3:42" x14ac:dyDescent="0.2">
      <c r="C62" s="19" t="s">
        <v>412</v>
      </c>
      <c r="D62" s="95" cm="1">
        <f t="array" ref="D62">MAX(ABS(AA59:AA119))</f>
        <v>6.5606921742502895E-3</v>
      </c>
      <c r="E62" s="325"/>
      <c r="F62" s="95" t="s">
        <v>590</v>
      </c>
      <c r="G62" s="75" cm="1">
        <f t="array" ref="G62">MAX(ABS(AG59:AG123))</f>
        <v>3.0499166583058169E-2</v>
      </c>
      <c r="W62">
        <v>-20</v>
      </c>
      <c r="X62">
        <f t="shared" si="0"/>
        <v>7.5090963570723628E-3</v>
      </c>
      <c r="Y62">
        <f t="shared" si="1"/>
        <v>-1.4370623221857215E-3</v>
      </c>
      <c r="Z62">
        <f t="shared" si="2"/>
        <v>-4.0429391978024278E-3</v>
      </c>
      <c r="AA62">
        <f t="shared" si="3"/>
        <v>2.0290948370842131E-3</v>
      </c>
      <c r="AC62">
        <f t="shared" si="4"/>
        <v>1.7721264064126364E-2</v>
      </c>
      <c r="AD62">
        <f t="shared" si="6"/>
        <v>-3.9482962805542929E-3</v>
      </c>
      <c r="AE62">
        <f t="shared" si="5"/>
        <v>1.3772967783572072E-2</v>
      </c>
      <c r="AG62">
        <f t="shared" si="7"/>
        <v>1.3921633073213646E-2</v>
      </c>
      <c r="AP62" s="115"/>
    </row>
    <row r="63" spans="3:42" ht="16" thickBot="1" x14ac:dyDescent="0.25">
      <c r="C63" s="13" t="s">
        <v>591</v>
      </c>
      <c r="D63" s="9" cm="1">
        <f t="array" ref="D63">MAX(ABS(AE59:AE119))</f>
        <v>2.9803385668324169E-2</v>
      </c>
      <c r="E63" s="313"/>
      <c r="F63" s="9" t="s">
        <v>592</v>
      </c>
      <c r="G63" s="10">
        <f>G21/2000</f>
        <v>6.0499999999999998E-2</v>
      </c>
      <c r="S63" s="98"/>
      <c r="W63">
        <v>-18</v>
      </c>
      <c r="X63">
        <f t="shared" si="0"/>
        <v>6.7581867213651267E-3</v>
      </c>
      <c r="Y63">
        <f t="shared" si="1"/>
        <v>-1.3125372184200519E-3</v>
      </c>
      <c r="Z63">
        <f t="shared" si="2"/>
        <v>-3.6386452780221854E-3</v>
      </c>
      <c r="AA63">
        <f t="shared" si="3"/>
        <v>1.8070042249228894E-3</v>
      </c>
      <c r="AC63">
        <f t="shared" si="4"/>
        <v>1.5949137657713726E-2</v>
      </c>
      <c r="AD63">
        <f t="shared" si="6"/>
        <v>-3.6061663698028724E-3</v>
      </c>
      <c r="AE63">
        <f t="shared" si="5"/>
        <v>1.2342971287910853E-2</v>
      </c>
      <c r="AG63">
        <f t="shared" si="7"/>
        <v>1.2474542255452938E-2</v>
      </c>
      <c r="AP63" s="115"/>
    </row>
    <row r="64" spans="3:42" x14ac:dyDescent="0.2">
      <c r="W64">
        <v>-16</v>
      </c>
      <c r="X64">
        <f t="shared" si="0"/>
        <v>6.0072770856578906E-3</v>
      </c>
      <c r="Y64">
        <f t="shared" si="1"/>
        <v>-1.1788782439625242E-3</v>
      </c>
      <c r="Z64">
        <f t="shared" si="2"/>
        <v>-3.2343513582419425E-3</v>
      </c>
      <c r="AA64">
        <f t="shared" si="3"/>
        <v>1.5940474834534239E-3</v>
      </c>
      <c r="AC64">
        <f t="shared" si="4"/>
        <v>1.4177011251301091E-2</v>
      </c>
      <c r="AD64">
        <f t="shared" si="6"/>
        <v>-3.2389413555733524E-3</v>
      </c>
      <c r="AE64">
        <f t="shared" si="5"/>
        <v>1.0938069895727738E-2</v>
      </c>
      <c r="AG64">
        <f t="shared" si="7"/>
        <v>1.1053613003146509E-2</v>
      </c>
      <c r="AP64" s="115"/>
    </row>
    <row r="65" spans="23:42" x14ac:dyDescent="0.2">
      <c r="W65">
        <v>-14</v>
      </c>
      <c r="X65">
        <f t="shared" si="0"/>
        <v>5.2563674499506545E-3</v>
      </c>
      <c r="Y65">
        <f t="shared" si="1"/>
        <v>-1.0379121729515094E-3</v>
      </c>
      <c r="Z65">
        <f t="shared" si="2"/>
        <v>-2.8300574384616996E-3</v>
      </c>
      <c r="AA65">
        <f t="shared" si="3"/>
        <v>1.3883978385374456E-3</v>
      </c>
      <c r="AC65">
        <f t="shared" si="4"/>
        <v>1.2404884844888454E-2</v>
      </c>
      <c r="AD65">
        <f t="shared" si="6"/>
        <v>-2.8516402585613528E-3</v>
      </c>
      <c r="AE65">
        <f t="shared" si="5"/>
        <v>9.5532445863271004E-3</v>
      </c>
      <c r="AG65">
        <f t="shared" si="7"/>
        <v>9.6536071333073997E-3</v>
      </c>
      <c r="AP65" s="115"/>
    </row>
    <row r="66" spans="23:42" x14ac:dyDescent="0.2">
      <c r="W66">
        <v>-12</v>
      </c>
      <c r="X66">
        <f t="shared" si="0"/>
        <v>4.5054578142434184E-3</v>
      </c>
      <c r="Y66">
        <f t="shared" si="1"/>
        <v>-8.9146577952537982E-4</v>
      </c>
      <c r="Z66">
        <f t="shared" si="2"/>
        <v>-2.4257635186814568E-3</v>
      </c>
      <c r="AA66">
        <f t="shared" si="3"/>
        <v>1.1882285160365819E-3</v>
      </c>
      <c r="AC66">
        <f t="shared" si="4"/>
        <v>1.0632758438475817E-2</v>
      </c>
      <c r="AD66">
        <f t="shared" si="6"/>
        <v>-2.4492820994624939E-3</v>
      </c>
      <c r="AE66">
        <f t="shared" si="5"/>
        <v>8.1834763390133229E-3</v>
      </c>
      <c r="AG66">
        <f t="shared" si="7"/>
        <v>8.269290900525474E-3</v>
      </c>
      <c r="AP66" s="115"/>
    </row>
    <row r="67" spans="23:42" x14ac:dyDescent="0.2">
      <c r="W67">
        <v>-10</v>
      </c>
      <c r="X67">
        <f t="shared" si="0"/>
        <v>3.7545481785361814E-3</v>
      </c>
      <c r="Y67">
        <f t="shared" si="1"/>
        <v>-7.413658378225067E-4</v>
      </c>
      <c r="Z67">
        <f t="shared" si="2"/>
        <v>-2.0214695989012139E-3</v>
      </c>
      <c r="AA67">
        <f t="shared" si="3"/>
        <v>9.9171274181246091E-4</v>
      </c>
      <c r="AC67">
        <f t="shared" si="4"/>
        <v>8.8606320320631822E-3</v>
      </c>
      <c r="AD67">
        <f t="shared" si="6"/>
        <v>-2.0368858989723948E-3</v>
      </c>
      <c r="AE67">
        <f t="shared" si="5"/>
        <v>6.823746133090787E-3</v>
      </c>
      <c r="AG67">
        <f t="shared" si="7"/>
        <v>6.8954336666481432E-3</v>
      </c>
      <c r="AP67" s="115"/>
    </row>
    <row r="68" spans="23:42" x14ac:dyDescent="0.2">
      <c r="W68">
        <v>-8</v>
      </c>
      <c r="X68">
        <f t="shared" si="0"/>
        <v>3.0036385428289453E-3</v>
      </c>
      <c r="Y68">
        <f t="shared" si="1"/>
        <v>-5.8943912198126209E-4</v>
      </c>
      <c r="Z68">
        <f t="shared" si="2"/>
        <v>-1.6171756791209713E-3</v>
      </c>
      <c r="AA68">
        <f t="shared" si="3"/>
        <v>7.9702374172671195E-4</v>
      </c>
      <c r="AC68">
        <f t="shared" si="4"/>
        <v>7.0885056256505454E-3</v>
      </c>
      <c r="AD68">
        <f t="shared" si="6"/>
        <v>-1.6194706777866762E-3</v>
      </c>
      <c r="AE68">
        <f t="shared" si="5"/>
        <v>5.4690349478638692E-3</v>
      </c>
      <c r="AG68">
        <f t="shared" si="7"/>
        <v>5.5268065015732547E-3</v>
      </c>
      <c r="AP68" s="115"/>
    </row>
    <row r="69" spans="23:42" x14ac:dyDescent="0.2">
      <c r="W69">
        <v>-6</v>
      </c>
      <c r="X69">
        <f t="shared" si="0"/>
        <v>2.2527289071217092E-3</v>
      </c>
      <c r="Y69">
        <f t="shared" si="1"/>
        <v>-4.3751240614001732E-4</v>
      </c>
      <c r="Z69">
        <f t="shared" si="2"/>
        <v>-1.2128817593407284E-3</v>
      </c>
      <c r="AA69">
        <f t="shared" si="3"/>
        <v>6.0233474164096343E-4</v>
      </c>
      <c r="AC69">
        <f t="shared" si="4"/>
        <v>5.3163792192379086E-3</v>
      </c>
      <c r="AD69">
        <f t="shared" si="6"/>
        <v>-1.2020554566009576E-3</v>
      </c>
      <c r="AE69">
        <f t="shared" si="5"/>
        <v>4.1143237626369514E-3</v>
      </c>
      <c r="AG69">
        <f t="shared" si="7"/>
        <v>4.1581807518176464E-3</v>
      </c>
      <c r="AP69" s="115"/>
    </row>
    <row r="70" spans="23:42" x14ac:dyDescent="0.2">
      <c r="W70">
        <v>-4</v>
      </c>
      <c r="X70">
        <f t="shared" si="0"/>
        <v>1.5018192714144727E-3</v>
      </c>
      <c r="Y70">
        <f t="shared" si="1"/>
        <v>-2.8741246443714431E-4</v>
      </c>
      <c r="Z70">
        <f t="shared" si="2"/>
        <v>-8.0858783956048563E-4</v>
      </c>
      <c r="AA70">
        <f t="shared" si="3"/>
        <v>4.0581896741684277E-4</v>
      </c>
      <c r="AC70">
        <f t="shared" si="4"/>
        <v>3.5442528128252727E-3</v>
      </c>
      <c r="AD70">
        <f t="shared" si="6"/>
        <v>-7.896592561108586E-4</v>
      </c>
      <c r="AE70">
        <f t="shared" si="5"/>
        <v>2.7545935567144142E-3</v>
      </c>
      <c r="AG70">
        <f t="shared" si="7"/>
        <v>2.7843266146427288E-3</v>
      </c>
      <c r="AP70" s="115"/>
    </row>
    <row r="71" spans="23:42" x14ac:dyDescent="0.2">
      <c r="W71">
        <v>-2</v>
      </c>
      <c r="X71">
        <f t="shared" si="0"/>
        <v>7.5090963570723633E-4</v>
      </c>
      <c r="Y71">
        <f t="shared" si="1"/>
        <v>-1.4096607101101463E-4</v>
      </c>
      <c r="Z71">
        <f>$G$55*(-W71)</f>
        <v>-4.0429391978024281E-4</v>
      </c>
      <c r="AA71">
        <f>SUM(X71:Z71)</f>
        <v>2.0564964491597888E-4</v>
      </c>
      <c r="AC71">
        <f t="shared" si="4"/>
        <v>1.7721264064126364E-3</v>
      </c>
      <c r="AD71">
        <f t="shared" si="6"/>
        <v>-3.8730109701199951E-4</v>
      </c>
      <c r="AE71">
        <f t="shared" si="5"/>
        <v>1.3848253094006367E-3</v>
      </c>
      <c r="AG71">
        <f t="shared" si="7"/>
        <v>1.4000117549544495E-3</v>
      </c>
      <c r="AP71" s="115"/>
    </row>
    <row r="72" spans="23:42" x14ac:dyDescent="0.2">
      <c r="W72">
        <v>0</v>
      </c>
      <c r="X72" s="118">
        <f>IF($W72&lt;$D$24,-(-$J$4*$D$25*$W72^3+$J$4*$D$25*($D$19^2-$D$25^2)*$W72)/(6*$D$19*206000*$D$7),-(-$J$4*$D$24*($D$19-$W72)^3+$J$4*$D$24*($D$19^2-$D$24^2)*($D$19-$W72))/(6*$D$19*206000*$D$7))</f>
        <v>0</v>
      </c>
      <c r="Y72">
        <f>($M$4*$D$22/(206000*$D$7))*($W72^3/(6*$D$19) - $W72^2/2 + $D$19*$W72/3)</f>
        <v>0</v>
      </c>
      <c r="Z72">
        <f>IF($W72&lt;$D$24,(-$J$7)*$W72/(6*$D$19*206000*$D$7)*($W72^2+3*$D$24^2-6*$D$24*$D$19+2*$D$19^2),($J$7*($D$19-$W72)/(6*$D$19*206000*$D$7)*(($D$19-$W72)^2+3*$D$25^2-6*$D$25*$D$19+2*$D$19^2)))</f>
        <v>0</v>
      </c>
      <c r="AA72">
        <f>SUM(X72:Z72)</f>
        <v>0</v>
      </c>
      <c r="AC72">
        <f t="shared" ref="AC72:AC134" si="8">IF($W72&lt;$D$24,-(-$J$3*$D$25*$W72^3+$J$3*$D$25*($D$19^2-$D$25^2)*$W72)/(6*$D$19*206000*$D$7),-(-$J$3*$D$24*($D$19-$W72)^3+$J$3*$D$24*($D$19^2-$D$24^2)*($D$19-$W72))/(6*$D$19*206000*$D$7))</f>
        <v>0</v>
      </c>
      <c r="AD72">
        <f>-$M$4*$D$22/(2*206000*$D$7)*$W72*($W72-$D$19)</f>
        <v>0</v>
      </c>
      <c r="AE72">
        <f t="shared" si="5"/>
        <v>0</v>
      </c>
      <c r="AG72">
        <f t="shared" si="7"/>
        <v>0</v>
      </c>
      <c r="AP72" s="115"/>
    </row>
    <row r="73" spans="23:42" x14ac:dyDescent="0.2">
      <c r="W73">
        <v>2</v>
      </c>
      <c r="X73" s="118">
        <f t="shared" ref="X73:X134" si="9">IF($W73&lt;$D$24,-(-$J$4*$D$25*$W73^3+$J$4*$D$25*($D$19^2-$D$25^2)*$W73)/(6*$D$19*206000*$D$7),-(-$J$4*$D$24*($D$19-$W73)^3+$J$4*$D$24*($D$19^2-$D$24^2)*($D$19-$W73))/(6*$D$19*206000*$D$7))</f>
        <v>-7.5066329448335138E-4</v>
      </c>
      <c r="Y73">
        <f t="shared" ref="Y73:Y134" si="10">($M$4*$D$22/(206000*$D$7))*($W73^3/(6*$D$19) - $W73^2/2 + $D$19*$W73/3)</f>
        <v>1.3398499167101313E-4</v>
      </c>
      <c r="Z73">
        <f t="shared" ref="Z73:Z134" si="11">IF($W73&lt;$D$24,(-$J$7)*$W73/(6*$D$19*206000*$D$7)*($W73^2+3*$D$24^2-6*$D$24*$D$19+2*$D$19^2),($J$7*($D$19-$W73)/(6*$D$19*206000*$D$7)*(($D$19-$W73)^2+3*$D$25^2-6*$D$25*$D$19+2*$D$19^2)))</f>
        <v>4.0587520398531381E-4</v>
      </c>
      <c r="AA73">
        <f t="shared" ref="AA73:AA134" si="12">SUM(X73:Z73)</f>
        <v>-2.1080309882702438E-4</v>
      </c>
      <c r="AC73">
        <f t="shared" si="8"/>
        <v>-1.7715450477949336E-3</v>
      </c>
      <c r="AD73">
        <f t="shared" ref="AD73:AD134" si="13">-$M$3*$D$22/(2*206000*$D$7)*$W73*($W73-$D$19)</f>
        <v>5.57111297213805E-4</v>
      </c>
      <c r="AE73">
        <f t="shared" si="5"/>
        <v>-1.2144337505811285E-3</v>
      </c>
      <c r="AG73">
        <f t="shared" si="7"/>
        <v>1.2325937209906688E-3</v>
      </c>
      <c r="AP73" s="115"/>
    </row>
    <row r="74" spans="23:42" x14ac:dyDescent="0.2">
      <c r="W74">
        <v>4</v>
      </c>
      <c r="X74" s="118">
        <f t="shared" si="9"/>
        <v>-1.4998485416233931E-3</v>
      </c>
      <c r="Y74">
        <f t="shared" si="10"/>
        <v>2.6079221593107915E-4</v>
      </c>
      <c r="Z74">
        <f t="shared" si="11"/>
        <v>8.1086783073989034E-4</v>
      </c>
      <c r="AA74">
        <f t="shared" si="12"/>
        <v>-4.2818849495242358E-4</v>
      </c>
      <c r="AC74">
        <f>IF($W74&lt;$D$24,-(-$J$3*$D$25*$W74^3+$J$3*$D$25*($D$19^2-$D$25^2)*$W74)/(6*$D$19*206000*$D$7),-(-$J$3*$D$24*($D$19-$W74)^3+$J$3*$D$24*($D$19^2-$D$24^2)*($D$19-$W74))/(6*$D$19*206000*$D$7))</f>
        <v>-3.5396019438836504E-3</v>
      </c>
      <c r="AD74">
        <f t="shared" si="13"/>
        <v>1.0941465116451304E-3</v>
      </c>
      <c r="AE74">
        <f t="shared" si="5"/>
        <v>-2.4454554322385202E-3</v>
      </c>
      <c r="AG74">
        <f t="shared" si="7"/>
        <v>2.4826593923199594E-3</v>
      </c>
      <c r="AP74" s="115"/>
    </row>
    <row r="75" spans="23:42" x14ac:dyDescent="0.2">
      <c r="W75">
        <v>6</v>
      </c>
      <c r="X75" s="118">
        <f t="shared" si="9"/>
        <v>-2.246077694076816E-3</v>
      </c>
      <c r="Y75">
        <f t="shared" si="10"/>
        <v>3.805510019227376E-4</v>
      </c>
      <c r="Z75">
        <f t="shared" si="11"/>
        <v>1.214095303032992E-3</v>
      </c>
      <c r="AA75">
        <f t="shared" si="12"/>
        <v>-6.5143138912108632E-4</v>
      </c>
      <c r="AC75">
        <f t="shared" si="8"/>
        <v>-5.3006825365599329E-3</v>
      </c>
      <c r="AD75">
        <f t="shared" si="13"/>
        <v>1.6111056432939765E-3</v>
      </c>
      <c r="AE75">
        <f t="shared" si="5"/>
        <v>-3.6895768932659564E-3</v>
      </c>
      <c r="AG75">
        <f t="shared" si="7"/>
        <v>3.7466438990187332E-3</v>
      </c>
      <c r="AP75" s="115"/>
    </row>
    <row r="76" spans="23:42" x14ac:dyDescent="0.2">
      <c r="W76">
        <v>8</v>
      </c>
      <c r="X76" s="118">
        <f t="shared" si="9"/>
        <v>-2.9878727045003096E-3</v>
      </c>
      <c r="Y76">
        <f t="shared" si="10"/>
        <v>4.9339067878852801E-4</v>
      </c>
      <c r="Z76">
        <f t="shared" si="11"/>
        <v>1.6146750436338824E-3</v>
      </c>
      <c r="AA76">
        <f t="shared" si="12"/>
        <v>-8.7980698207789938E-4</v>
      </c>
      <c r="AC76">
        <f t="shared" si="8"/>
        <v>-7.051298674117564E-3</v>
      </c>
      <c r="AD76">
        <f t="shared" si="13"/>
        <v>2.1079886921603432E-3</v>
      </c>
      <c r="AE76">
        <f t="shared" si="5"/>
        <v>-4.9433099819572203E-3</v>
      </c>
      <c r="AG76">
        <f t="shared" si="7"/>
        <v>5.0209933184013414E-3</v>
      </c>
      <c r="AP76" s="115"/>
    </row>
    <row r="77" spans="23:42" x14ac:dyDescent="0.2">
      <c r="W77">
        <v>10</v>
      </c>
      <c r="X77" s="118">
        <f t="shared" si="9"/>
        <v>-3.7237555255505653E-3</v>
      </c>
      <c r="Y77">
        <f t="shared" si="10"/>
        <v>5.9944057567099028E-4</v>
      </c>
      <c r="Z77">
        <f t="shared" si="11"/>
        <v>2.0117244753118232E-3</v>
      </c>
      <c r="AA77">
        <f t="shared" si="12"/>
        <v>-1.112590474567752E-3</v>
      </c>
      <c r="AC77">
        <f t="shared" si="8"/>
        <v>-8.7879622048503275E-3</v>
      </c>
      <c r="AD77">
        <f t="shared" si="13"/>
        <v>2.5847956582442304E-3</v>
      </c>
      <c r="AE77">
        <f t="shared" si="5"/>
        <v>-6.2031665466060967E-3</v>
      </c>
      <c r="AG77">
        <f t="shared" si="7"/>
        <v>6.3021530264689629E-3</v>
      </c>
      <c r="AP77" s="115"/>
    </row>
    <row r="78" spans="23:42" x14ac:dyDescent="0.2">
      <c r="W78">
        <v>12</v>
      </c>
      <c r="X78" s="118">
        <f t="shared" si="9"/>
        <v>-4.4522481098842734E-3</v>
      </c>
      <c r="Y78">
        <f t="shared" si="10"/>
        <v>6.9883002171266357E-4</v>
      </c>
      <c r="Z78">
        <f t="shared" si="11"/>
        <v>2.4043610208360775E-3</v>
      </c>
      <c r="AA78">
        <f t="shared" si="12"/>
        <v>-1.3490570673355324E-3</v>
      </c>
      <c r="AC78">
        <f t="shared" si="8"/>
        <v>-1.0507184977052006E-2</v>
      </c>
      <c r="AD78">
        <f t="shared" si="13"/>
        <v>3.0415265415456383E-3</v>
      </c>
      <c r="AE78">
        <f t="shared" si="5"/>
        <v>-7.465658435506368E-3</v>
      </c>
      <c r="AG78">
        <f t="shared" si="7"/>
        <v>7.5865677909431042E-3</v>
      </c>
      <c r="AP78" s="115"/>
    </row>
    <row r="79" spans="23:42" x14ac:dyDescent="0.2">
      <c r="W79">
        <v>14</v>
      </c>
      <c r="X79" s="118">
        <f t="shared" si="9"/>
        <v>-5.1718724101581228E-3</v>
      </c>
      <c r="Y79">
        <f t="shared" si="10"/>
        <v>7.9168834605608778E-4</v>
      </c>
      <c r="Z79">
        <f t="shared" si="11"/>
        <v>2.7917021029759083E-3</v>
      </c>
      <c r="AA79">
        <f t="shared" si="12"/>
        <v>-1.5884819611261267E-3</v>
      </c>
      <c r="AC79">
        <f t="shared" si="8"/>
        <v>-1.2205478839016385E-2</v>
      </c>
      <c r="AD79">
        <f t="shared" si="13"/>
        <v>3.4781813420645658E-3</v>
      </c>
      <c r="AE79">
        <f t="shared" si="5"/>
        <v>-8.7272974969518184E-3</v>
      </c>
      <c r="AG79">
        <f t="shared" si="7"/>
        <v>8.870681853224394E-3</v>
      </c>
      <c r="AP79" s="115"/>
    </row>
    <row r="80" spans="23:42" x14ac:dyDescent="0.2">
      <c r="W80">
        <v>16</v>
      </c>
      <c r="X80" s="118">
        <f t="shared" si="9"/>
        <v>-5.8811503790288065E-3</v>
      </c>
      <c r="Y80">
        <f t="shared" si="10"/>
        <v>8.7814487784380218E-4</v>
      </c>
      <c r="Z80">
        <f t="shared" si="11"/>
        <v>3.1728651445005777E-3</v>
      </c>
      <c r="AA80">
        <f t="shared" si="12"/>
        <v>-1.8301403566844269E-3</v>
      </c>
      <c r="AC80">
        <f t="shared" si="8"/>
        <v>-1.3879355639037244E-2</v>
      </c>
      <c r="AD80">
        <f t="shared" si="13"/>
        <v>3.894760059801015E-3</v>
      </c>
      <c r="AE80">
        <f t="shared" si="5"/>
        <v>-9.984595579236229E-3</v>
      </c>
      <c r="AG80">
        <f t="shared" si="7"/>
        <v>1.0150939001199281E-2</v>
      </c>
      <c r="AP80" s="115"/>
    </row>
    <row r="81" spans="23:42" x14ac:dyDescent="0.2">
      <c r="W81">
        <v>18</v>
      </c>
      <c r="X81" s="118">
        <f t="shared" si="9"/>
        <v>-6.5786039691530136E-3</v>
      </c>
      <c r="Y81">
        <f t="shared" si="10"/>
        <v>9.5832894621834688E-4</v>
      </c>
      <c r="Z81">
        <f t="shared" si="11"/>
        <v>3.5469675681793485E-3</v>
      </c>
      <c r="AA81">
        <f t="shared" si="12"/>
        <v>-2.073307454755318E-3</v>
      </c>
      <c r="AC81">
        <f t="shared" si="8"/>
        <v>-1.5525327225408369E-2</v>
      </c>
      <c r="AD81">
        <f t="shared" si="13"/>
        <v>4.2912626947549841E-3</v>
      </c>
      <c r="AE81">
        <f t="shared" si="5"/>
        <v>-1.1234064530653384E-2</v>
      </c>
      <c r="AG81">
        <f t="shared" si="7"/>
        <v>1.1423782634522964E-2</v>
      </c>
      <c r="AP81" s="115"/>
    </row>
    <row r="82" spans="23:42" x14ac:dyDescent="0.2">
      <c r="W82">
        <v>20</v>
      </c>
      <c r="X82" s="118">
        <f t="shared" si="9"/>
        <v>-7.2627551331874334E-3</v>
      </c>
      <c r="Y82">
        <f t="shared" si="10"/>
        <v>1.032369880322261E-3</v>
      </c>
      <c r="Z82">
        <f t="shared" si="11"/>
        <v>3.9131267967814848E-3</v>
      </c>
      <c r="AA82">
        <f t="shared" si="12"/>
        <v>-2.3172584560836873E-3</v>
      </c>
      <c r="AC82">
        <f t="shared" si="8"/>
        <v>-1.7139905446423537E-2</v>
      </c>
      <c r="AD82">
        <f t="shared" si="13"/>
        <v>4.6676892469264741E-3</v>
      </c>
      <c r="AE82">
        <f t="shared" si="5"/>
        <v>-1.2472216199497062E-2</v>
      </c>
      <c r="AG82">
        <f t="shared" si="7"/>
        <v>1.2685655823775462E-2</v>
      </c>
      <c r="AP82" s="115"/>
    </row>
    <row r="83" spans="23:42" x14ac:dyDescent="0.2">
      <c r="W83">
        <v>22</v>
      </c>
      <c r="X83" s="118">
        <f t="shared" si="9"/>
        <v>-7.9321258237887576E-3</v>
      </c>
      <c r="Y83">
        <f t="shared" si="10"/>
        <v>1.1003970092980841E-3</v>
      </c>
      <c r="Z83">
        <f t="shared" si="11"/>
        <v>4.2704602530762468E-3</v>
      </c>
      <c r="AA83">
        <f t="shared" si="12"/>
        <v>-2.5612685614144265E-3</v>
      </c>
      <c r="AC83">
        <f t="shared" si="8"/>
        <v>-1.8719602150376536E-2</v>
      </c>
      <c r="AD83">
        <f t="shared" si="13"/>
        <v>5.0240397163154845E-3</v>
      </c>
      <c r="AE83">
        <f t="shared" si="5"/>
        <v>-1.3695562434061052E-2</v>
      </c>
      <c r="AG83">
        <f t="shared" si="7"/>
        <v>1.3933001364707973E-2</v>
      </c>
      <c r="AP83" s="115"/>
    </row>
    <row r="84" spans="23:42" x14ac:dyDescent="0.2">
      <c r="W84">
        <v>24</v>
      </c>
      <c r="X84" s="118">
        <f t="shared" si="9"/>
        <v>-8.5852379936136782E-3</v>
      </c>
      <c r="Y84">
        <f t="shared" si="10"/>
        <v>1.1625396622883561E-3</v>
      </c>
      <c r="Z84">
        <f t="shared" si="11"/>
        <v>4.6180853598328988E-3</v>
      </c>
      <c r="AA84">
        <f t="shared" si="12"/>
        <v>-2.8046129714924236E-3</v>
      </c>
      <c r="AC84">
        <f t="shared" si="8"/>
        <v>-2.0260929185561154E-2</v>
      </c>
      <c r="AD84">
        <f t="shared" si="13"/>
        <v>5.3603141029220161E-3</v>
      </c>
      <c r="AE84">
        <f t="shared" si="5"/>
        <v>-1.4900615082639138E-2</v>
      </c>
      <c r="AG84">
        <f t="shared" si="7"/>
        <v>1.5162261828659882E-2</v>
      </c>
      <c r="AP84" s="115"/>
    </row>
    <row r="85" spans="23:42" x14ac:dyDescent="0.2">
      <c r="W85">
        <v>26</v>
      </c>
      <c r="X85" s="118">
        <f t="shared" si="9"/>
        <v>-9.2206135953188835E-3</v>
      </c>
      <c r="Y85">
        <f t="shared" si="10"/>
        <v>1.2189271684356167E-3</v>
      </c>
      <c r="Z85">
        <f t="shared" si="11"/>
        <v>4.9551195398207038E-3</v>
      </c>
      <c r="AA85">
        <f t="shared" si="12"/>
        <v>-3.0465668870625637E-3</v>
      </c>
      <c r="AC85">
        <f t="shared" si="8"/>
        <v>-2.1760398400271167E-2</v>
      </c>
      <c r="AD85">
        <f t="shared" si="13"/>
        <v>5.6765124067460664E-3</v>
      </c>
      <c r="AE85">
        <f t="shared" si="5"/>
        <v>-1.6083885993525102E-2</v>
      </c>
      <c r="AG85">
        <f t="shared" si="7"/>
        <v>1.6369879610127223E-2</v>
      </c>
      <c r="AP85" s="115"/>
    </row>
    <row r="86" spans="23:42" x14ac:dyDescent="0.2">
      <c r="W86">
        <v>28</v>
      </c>
      <c r="X86" s="118">
        <f t="shared" si="9"/>
        <v>-9.836774581561061E-3</v>
      </c>
      <c r="Y86">
        <f t="shared" si="10"/>
        <v>1.2696888568824048E-3</v>
      </c>
      <c r="Z86">
        <f t="shared" si="11"/>
        <v>5.280680215808924E-3</v>
      </c>
      <c r="AA86">
        <f t="shared" si="12"/>
        <v>-3.286405508869732E-3</v>
      </c>
      <c r="AC86">
        <f t="shared" si="8"/>
        <v>-2.3214521642800356E-2</v>
      </c>
      <c r="AD86">
        <f t="shared" si="13"/>
        <v>5.9726346277876388E-3</v>
      </c>
      <c r="AE86">
        <f t="shared" si="5"/>
        <v>-1.7241887015012718E-2</v>
      </c>
      <c r="AG86">
        <f t="shared" si="7"/>
        <v>1.7552296972396332E-2</v>
      </c>
      <c r="AP86" s="115"/>
    </row>
    <row r="87" spans="23:42" x14ac:dyDescent="0.2">
      <c r="W87">
        <v>30</v>
      </c>
      <c r="X87" s="118">
        <f t="shared" si="9"/>
        <v>-1.0432242904996909E-2</v>
      </c>
      <c r="Y87">
        <f t="shared" si="10"/>
        <v>1.3149540567712606E-3</v>
      </c>
      <c r="Z87">
        <f t="shared" si="11"/>
        <v>5.5938848105668215E-3</v>
      </c>
      <c r="AA87">
        <f t="shared" si="12"/>
        <v>-3.5234040376588257E-3</v>
      </c>
      <c r="AC87">
        <f t="shared" si="8"/>
        <v>-2.4619810761442509E-2</v>
      </c>
      <c r="AD87">
        <f t="shared" si="13"/>
        <v>6.2486807660467316E-3</v>
      </c>
      <c r="AE87">
        <f t="shared" si="5"/>
        <v>-1.8371129995395776E-2</v>
      </c>
      <c r="AG87">
        <f t="shared" si="7"/>
        <v>1.8705956092119988E-2</v>
      </c>
      <c r="AP87" s="115"/>
    </row>
    <row r="88" spans="23:42" x14ac:dyDescent="0.2">
      <c r="W88">
        <v>32</v>
      </c>
      <c r="X88" s="118">
        <f t="shared" si="9"/>
        <v>-1.1005540518283109E-2</v>
      </c>
      <c r="Y88">
        <f t="shared" si="10"/>
        <v>1.3548520972447233E-3</v>
      </c>
      <c r="Z88">
        <f t="shared" si="11"/>
        <v>5.8938507468636603E-3</v>
      </c>
      <c r="AA88">
        <f t="shared" si="12"/>
        <v>-3.7568376741747254E-3</v>
      </c>
      <c r="AC88">
        <f t="shared" si="8"/>
        <v>-2.5972777604491411E-2</v>
      </c>
      <c r="AD88">
        <f t="shared" si="13"/>
        <v>6.5046508215233449E-3</v>
      </c>
      <c r="AE88">
        <f t="shared" si="5"/>
        <v>-1.9468126782968068E-2</v>
      </c>
      <c r="AG88">
        <f t="shared" si="7"/>
        <v>1.9827299103705912E-2</v>
      </c>
      <c r="AP88" s="115"/>
    </row>
    <row r="89" spans="23:42" x14ac:dyDescent="0.2">
      <c r="W89">
        <v>34</v>
      </c>
      <c r="X89" s="118">
        <f t="shared" si="9"/>
        <v>-1.1555189374076359E-2</v>
      </c>
      <c r="Y89">
        <f t="shared" si="10"/>
        <v>1.3895123074453332E-3</v>
      </c>
      <c r="Z89">
        <f t="shared" si="11"/>
        <v>6.1796954474687025E-3</v>
      </c>
      <c r="AA89">
        <f t="shared" si="12"/>
        <v>-3.9859816191623225E-3</v>
      </c>
      <c r="AC89">
        <f t="shared" si="8"/>
        <v>-2.7269934020240839E-2</v>
      </c>
      <c r="AD89">
        <f t="shared" si="13"/>
        <v>6.7405447942174776E-3</v>
      </c>
      <c r="AE89">
        <f t="shared" si="5"/>
        <v>-2.0529389226023362E-2</v>
      </c>
      <c r="AG89">
        <f t="shared" si="7"/>
        <v>2.0912768144410343E-2</v>
      </c>
    </row>
    <row r="90" spans="23:42" x14ac:dyDescent="0.2">
      <c r="W90">
        <v>36</v>
      </c>
      <c r="X90" s="118">
        <f t="shared" si="9"/>
        <v>-1.2079711425033345E-2</v>
      </c>
      <c r="Y90">
        <f t="shared" si="10"/>
        <v>1.4190640165156288E-3</v>
      </c>
      <c r="Z90">
        <f t="shared" si="11"/>
        <v>6.4505363351512086E-3</v>
      </c>
      <c r="AA90">
        <f t="shared" si="12"/>
        <v>-4.2101110733665081E-3</v>
      </c>
      <c r="AC90">
        <f t="shared" si="8"/>
        <v>-2.8507791856984582E-2</v>
      </c>
      <c r="AD90">
        <f t="shared" si="13"/>
        <v>6.9563626841291325E-3</v>
      </c>
      <c r="AE90">
        <f t="shared" si="5"/>
        <v>-2.1551429172855449E-2</v>
      </c>
      <c r="AG90">
        <f t="shared" si="7"/>
        <v>2.1958805401084282E-2</v>
      </c>
    </row>
    <row r="91" spans="23:42" x14ac:dyDescent="0.2">
      <c r="W91">
        <v>38</v>
      </c>
      <c r="X91" s="118">
        <f t="shared" si="9"/>
        <v>-1.2577628623810759E-2</v>
      </c>
      <c r="Y91">
        <f t="shared" si="10"/>
        <v>1.4436365535981505E-3</v>
      </c>
      <c r="Z91">
        <f t="shared" si="11"/>
        <v>6.7054908326804451E-3</v>
      </c>
      <c r="AA91">
        <f t="shared" si="12"/>
        <v>-4.4285012375321637E-3</v>
      </c>
      <c r="AC91">
        <f t="shared" si="8"/>
        <v>-2.9682862963016407E-2</v>
      </c>
      <c r="AD91">
        <f t="shared" si="13"/>
        <v>7.1521044912583069E-3</v>
      </c>
      <c r="AE91">
        <f t="shared" si="5"/>
        <v>-2.2530758471758099E-2</v>
      </c>
      <c r="AG91">
        <f t="shared" si="7"/>
        <v>2.2961853159610687E-2</v>
      </c>
    </row>
    <row r="92" spans="23:42" x14ac:dyDescent="0.2">
      <c r="W92">
        <v>40</v>
      </c>
      <c r="X92" s="118">
        <f t="shared" si="9"/>
        <v>-1.3047462923065288E-2</v>
      </c>
      <c r="Y92">
        <f t="shared" si="10"/>
        <v>1.4633592478354377E-3</v>
      </c>
      <c r="Z92">
        <f t="shared" si="11"/>
        <v>6.9436763628256733E-3</v>
      </c>
      <c r="AA92">
        <f t="shared" si="12"/>
        <v>-4.640427312404178E-3</v>
      </c>
      <c r="AC92">
        <f t="shared" si="8"/>
        <v>-3.079165918663013E-2</v>
      </c>
      <c r="AD92">
        <f t="shared" si="13"/>
        <v>7.3277702156050017E-3</v>
      </c>
      <c r="AE92">
        <f t="shared" si="5"/>
        <v>-2.3463888971025131E-2</v>
      </c>
      <c r="AG92">
        <f t="shared" si="7"/>
        <v>2.3918353858204823E-2</v>
      </c>
    </row>
    <row r="93" spans="23:42" x14ac:dyDescent="0.2">
      <c r="W93">
        <v>42</v>
      </c>
      <c r="X93" s="118">
        <f t="shared" si="9"/>
        <v>-1.3487736275453632E-2</v>
      </c>
      <c r="Y93">
        <f t="shared" si="10"/>
        <v>1.4783614283700301E-3</v>
      </c>
      <c r="Z93">
        <f t="shared" si="11"/>
        <v>7.1642103483561545E-3</v>
      </c>
      <c r="AA93">
        <f t="shared" si="12"/>
        <v>-4.8451644987274481E-3</v>
      </c>
      <c r="AC93">
        <f t="shared" si="8"/>
        <v>-3.1830692376119504E-2</v>
      </c>
      <c r="AD93">
        <f t="shared" si="13"/>
        <v>7.4833598571692186E-3</v>
      </c>
      <c r="AE93">
        <f t="shared" si="5"/>
        <v>-2.4347332518950285E-2</v>
      </c>
      <c r="AG93">
        <f t="shared" si="7"/>
        <v>2.4824750145934254E-2</v>
      </c>
    </row>
    <row r="94" spans="23:42" x14ac:dyDescent="0.2">
      <c r="W94">
        <v>44</v>
      </c>
      <c r="X94" s="118">
        <f t="shared" si="9"/>
        <v>-1.3896970633632469E-2</v>
      </c>
      <c r="Y94">
        <f t="shared" si="10"/>
        <v>1.4887724243444667E-3</v>
      </c>
      <c r="Z94">
        <f t="shared" si="11"/>
        <v>7.3662102120411535E-3</v>
      </c>
      <c r="AA94">
        <f t="shared" si="12"/>
        <v>-5.0419879972468488E-3</v>
      </c>
      <c r="AC94">
        <f t="shared" si="8"/>
        <v>-3.2796474379778312E-2</v>
      </c>
      <c r="AD94">
        <f t="shared" si="13"/>
        <v>7.6188734159509542E-3</v>
      </c>
      <c r="AE94">
        <f t="shared" si="5"/>
        <v>-2.517760096382736E-2</v>
      </c>
      <c r="AG94">
        <f t="shared" si="7"/>
        <v>2.5677484948064943E-2</v>
      </c>
    </row>
    <row r="95" spans="23:42" x14ac:dyDescent="0.2">
      <c r="W95">
        <v>46</v>
      </c>
      <c r="X95" s="118">
        <f t="shared" si="9"/>
        <v>-1.4273687950258497E-2</v>
      </c>
      <c r="Y95">
        <f t="shared" si="10"/>
        <v>1.4947215649012879E-3</v>
      </c>
      <c r="Z95">
        <f t="shared" si="11"/>
        <v>7.5487933766499307E-3</v>
      </c>
      <c r="AA95">
        <f t="shared" si="12"/>
        <v>-5.2301730087072782E-3</v>
      </c>
      <c r="AC95">
        <f t="shared" si="8"/>
        <v>-3.3685517045900358E-2</v>
      </c>
      <c r="AD95">
        <f t="shared" si="13"/>
        <v>7.7343108919502111E-3</v>
      </c>
      <c r="AE95">
        <f t="shared" si="5"/>
        <v>-2.5951206153950149E-2</v>
      </c>
      <c r="AG95">
        <f t="shared" si="7"/>
        <v>2.6473001540169756E-2</v>
      </c>
    </row>
    <row r="96" spans="23:42" x14ac:dyDescent="0.2">
      <c r="W96">
        <v>48</v>
      </c>
      <c r="X96" s="118">
        <f t="shared" si="9"/>
        <v>-1.4616410177988405E-2</v>
      </c>
      <c r="Y96">
        <f t="shared" si="10"/>
        <v>1.4963381791830328E-3</v>
      </c>
      <c r="Z96">
        <f t="shared" si="11"/>
        <v>7.7110772649517509E-3</v>
      </c>
      <c r="AA96">
        <f t="shared" si="12"/>
        <v>-5.4089947338536214E-3</v>
      </c>
      <c r="AC96">
        <f t="shared" si="8"/>
        <v>-3.4494332222779422E-2</v>
      </c>
      <c r="AD96">
        <f t="shared" si="13"/>
        <v>7.82967228516699E-3</v>
      </c>
      <c r="AE96">
        <f t="shared" si="5"/>
        <v>-2.6664659937612432E-2</v>
      </c>
      <c r="AG96">
        <f t="shared" si="7"/>
        <v>2.7207743633373381E-2</v>
      </c>
    </row>
    <row r="97" spans="23:33" x14ac:dyDescent="0.2">
      <c r="W97">
        <v>50</v>
      </c>
      <c r="X97" s="118">
        <f t="shared" si="9"/>
        <v>-1.4923659269478884E-2</v>
      </c>
      <c r="Y97">
        <f t="shared" si="10"/>
        <v>1.4937515963322409E-3</v>
      </c>
      <c r="Z97">
        <f t="shared" si="11"/>
        <v>7.8521792997158762E-3</v>
      </c>
      <c r="AA97">
        <f t="shared" si="12"/>
        <v>-5.5777283734307678E-3</v>
      </c>
      <c r="AC97">
        <f t="shared" si="8"/>
        <v>-3.5219431758709265E-2</v>
      </c>
      <c r="AD97">
        <f t="shared" si="13"/>
        <v>7.904957595601286E-3</v>
      </c>
      <c r="AE97">
        <f t="shared" si="5"/>
        <v>-2.7314474163107977E-2</v>
      </c>
      <c r="AG97">
        <f t="shared" si="7"/>
        <v>2.7878155473683473E-2</v>
      </c>
    </row>
    <row r="98" spans="23:33" x14ac:dyDescent="0.2">
      <c r="W98">
        <v>52</v>
      </c>
      <c r="X98" s="118">
        <f t="shared" si="9"/>
        <v>-1.5193957177386624E-2</v>
      </c>
      <c r="Y98">
        <f t="shared" si="10"/>
        <v>1.4870911454914523E-3</v>
      </c>
      <c r="Z98">
        <f t="shared" si="11"/>
        <v>7.9712169037115688E-3</v>
      </c>
      <c r="AA98">
        <f t="shared" si="12"/>
        <v>-5.7356491281836033E-3</v>
      </c>
      <c r="AC98">
        <f t="shared" si="8"/>
        <v>-3.5857327501983692E-2</v>
      </c>
      <c r="AD98">
        <f t="shared" si="13"/>
        <v>7.9601668232531057E-3</v>
      </c>
      <c r="AE98">
        <f t="shared" si="5"/>
        <v>-2.7897160678730586E-2</v>
      </c>
      <c r="AG98">
        <f t="shared" si="7"/>
        <v>2.8480681959120031E-2</v>
      </c>
    </row>
    <row r="99" spans="23:33" x14ac:dyDescent="0.2">
      <c r="W99">
        <v>54</v>
      </c>
      <c r="X99" s="118">
        <f t="shared" si="9"/>
        <v>-1.5425825854368313E-2</v>
      </c>
      <c r="Y99">
        <f t="shared" si="10"/>
        <v>1.476486155803206E-3</v>
      </c>
      <c r="Z99">
        <f t="shared" si="11"/>
        <v>8.0673074997080919E-3</v>
      </c>
      <c r="AA99">
        <f t="shared" si="12"/>
        <v>-5.8820321988570148E-3</v>
      </c>
      <c r="AC99">
        <f t="shared" si="8"/>
        <v>-3.6404531300896478E-2</v>
      </c>
      <c r="AD99">
        <f t="shared" si="13"/>
        <v>7.9952999681224442E-3</v>
      </c>
      <c r="AE99">
        <f t="shared" si="5"/>
        <v>-2.8409231332774034E-2</v>
      </c>
      <c r="AG99">
        <f t="shared" si="7"/>
        <v>2.9011768779367116E-2</v>
      </c>
    </row>
    <row r="100" spans="23:33" x14ac:dyDescent="0.2">
      <c r="W100">
        <v>56</v>
      </c>
      <c r="X100" s="118">
        <f t="shared" si="9"/>
        <v>-1.5617787253080643E-2</v>
      </c>
      <c r="Y100">
        <f t="shared" si="10"/>
        <v>1.4620659564100421E-3</v>
      </c>
      <c r="Z100">
        <f t="shared" si="11"/>
        <v>8.1395685104747092E-3</v>
      </c>
      <c r="AA100">
        <f t="shared" si="12"/>
        <v>-6.0161527861958917E-3</v>
      </c>
      <c r="AC100">
        <f t="shared" si="8"/>
        <v>-3.6857555003741403E-2</v>
      </c>
      <c r="AD100">
        <f t="shared" si="13"/>
        <v>8.010357030209303E-3</v>
      </c>
      <c r="AE100">
        <f t="shared" si="5"/>
        <v>-2.88471979735321E-2</v>
      </c>
      <c r="AG100">
        <f t="shared" si="7"/>
        <v>2.946786258402545E-2</v>
      </c>
    </row>
    <row r="101" spans="23:33" x14ac:dyDescent="0.2">
      <c r="W101">
        <v>58</v>
      </c>
      <c r="X101" s="118">
        <f t="shared" si="9"/>
        <v>-1.5768363326180309E-2</v>
      </c>
      <c r="Y101">
        <f t="shared" si="10"/>
        <v>1.4439598764544993E-3</v>
      </c>
      <c r="Z101">
        <f t="shared" si="11"/>
        <v>8.1871173587806795E-3</v>
      </c>
      <c r="AA101">
        <f t="shared" si="12"/>
        <v>-6.1372860909451304E-3</v>
      </c>
      <c r="AC101">
        <f t="shared" si="8"/>
        <v>-3.7212910458812254E-2</v>
      </c>
      <c r="AD101">
        <f t="shared" si="13"/>
        <v>8.005338009513684E-3</v>
      </c>
      <c r="AE101">
        <f t="shared" si="5"/>
        <v>-2.9207572449298572E-2</v>
      </c>
      <c r="AG101">
        <f t="shared" si="7"/>
        <v>2.9845411187369046E-2</v>
      </c>
    </row>
    <row r="102" spans="23:33" x14ac:dyDescent="0.2">
      <c r="W102">
        <v>60</v>
      </c>
      <c r="X102" s="118">
        <f t="shared" si="9"/>
        <v>-1.5876076026323991E-2</v>
      </c>
      <c r="Y102">
        <f t="shared" si="10"/>
        <v>1.4222972450791188E-3</v>
      </c>
      <c r="Z102">
        <f t="shared" si="11"/>
        <v>8.2090714673952701E-3</v>
      </c>
      <c r="AA102">
        <f t="shared" si="12"/>
        <v>-6.2447073138496012E-3</v>
      </c>
      <c r="AC102">
        <f t="shared" si="8"/>
        <v>-3.7467109514402817E-2</v>
      </c>
      <c r="AD102">
        <f t="shared" si="13"/>
        <v>7.9802429060355853E-3</v>
      </c>
      <c r="AE102">
        <f t="shared" si="5"/>
        <v>-2.9486866608367232E-2</v>
      </c>
      <c r="AG102">
        <f t="shared" si="7"/>
        <v>3.0140863819991776E-2</v>
      </c>
    </row>
    <row r="103" spans="23:33" x14ac:dyDescent="0.2">
      <c r="W103">
        <v>62</v>
      </c>
      <c r="X103" s="118">
        <f t="shared" si="9"/>
        <v>-1.5939447306168392E-2</v>
      </c>
      <c r="Y103">
        <f t="shared" si="10"/>
        <v>1.3972073914264389E-3</v>
      </c>
      <c r="Z103">
        <f t="shared" si="11"/>
        <v>8.2045482590877416E-3</v>
      </c>
      <c r="AA103">
        <f t="shared" si="12"/>
        <v>-6.3376916556542109E-3</v>
      </c>
      <c r="AC103">
        <f t="shared" si="8"/>
        <v>-3.7616664018806867E-2</v>
      </c>
      <c r="AD103">
        <f t="shared" si="13"/>
        <v>7.9350717197750054E-3</v>
      </c>
      <c r="AE103">
        <f t="shared" si="5"/>
        <v>-2.9681592299031861E-2</v>
      </c>
      <c r="AG103">
        <f t="shared" si="7"/>
        <v>3.0350671441141078E-2</v>
      </c>
    </row>
    <row r="104" spans="23:33" x14ac:dyDescent="0.2">
      <c r="W104">
        <v>64</v>
      </c>
      <c r="X104" s="118">
        <f t="shared" si="9"/>
        <v>-1.5956999118370192E-2</v>
      </c>
      <c r="Y104">
        <f t="shared" si="10"/>
        <v>1.3688196446389987E-3</v>
      </c>
      <c r="Z104">
        <f t="shared" si="11"/>
        <v>8.1726651566273577E-3</v>
      </c>
      <c r="AA104">
        <f t="shared" si="12"/>
        <v>-6.4155143171038351E-3</v>
      </c>
      <c r="AC104">
        <f t="shared" si="8"/>
        <v>-3.7658085820318189E-2</v>
      </c>
      <c r="AD104">
        <f t="shared" si="13"/>
        <v>7.8698244507319475E-3</v>
      </c>
      <c r="AE104">
        <f t="shared" si="5"/>
        <v>-2.978826136958624E-2</v>
      </c>
      <c r="AG104">
        <f t="shared" si="7"/>
        <v>3.04712871302764E-2</v>
      </c>
    </row>
    <row r="105" spans="23:33" x14ac:dyDescent="0.2">
      <c r="W105">
        <v>66</v>
      </c>
      <c r="X105" s="118">
        <f t="shared" si="9"/>
        <v>-1.5927253415586089E-2</v>
      </c>
      <c r="Y105">
        <f t="shared" si="10"/>
        <v>1.3372633338593395E-3</v>
      </c>
      <c r="Z105">
        <f t="shared" si="11"/>
        <v>8.1125395827833791E-3</v>
      </c>
      <c r="AA105">
        <f t="shared" si="12"/>
        <v>-6.4774504989433702E-3</v>
      </c>
      <c r="AC105">
        <f t="shared" si="8"/>
        <v>-3.7587886767230579E-2</v>
      </c>
      <c r="AD105">
        <f t="shared" si="13"/>
        <v>7.7845010989064101E-3</v>
      </c>
      <c r="AE105">
        <f t="shared" si="5"/>
        <v>-2.9803385668324169E-2</v>
      </c>
      <c r="AG105">
        <f t="shared" si="7"/>
        <v>3.0499166583058169E-2</v>
      </c>
    </row>
    <row r="106" spans="23:33" x14ac:dyDescent="0.2">
      <c r="W106">
        <v>68</v>
      </c>
      <c r="X106" s="118">
        <f t="shared" si="9"/>
        <v>-1.5848732150472767E-2</v>
      </c>
      <c r="Y106">
        <f t="shared" si="10"/>
        <v>1.3026677882300001E-3</v>
      </c>
      <c r="Z106">
        <f t="shared" si="11"/>
        <v>8.0232889603250711E-3</v>
      </c>
      <c r="AA106">
        <f t="shared" si="12"/>
        <v>-6.5227754019176951E-3</v>
      </c>
      <c r="AC106">
        <f t="shared" si="8"/>
        <v>-3.7402578707837801E-2</v>
      </c>
      <c r="AD106">
        <f t="shared" si="13"/>
        <v>7.6791016642983921E-3</v>
      </c>
      <c r="AE106">
        <f t="shared" si="5"/>
        <v>-2.972347704353941E-2</v>
      </c>
      <c r="AG106">
        <f t="shared" si="7"/>
        <v>3.04307687464789E-2</v>
      </c>
    </row>
    <row r="107" spans="23:33" x14ac:dyDescent="0.2">
      <c r="W107">
        <v>70</v>
      </c>
      <c r="X107" s="118">
        <f t="shared" si="9"/>
        <v>-1.5719957275686917E-2</v>
      </c>
      <c r="Y107">
        <f t="shared" si="10"/>
        <v>1.2651623368935192E-3</v>
      </c>
      <c r="Z107">
        <f t="shared" si="11"/>
        <v>7.9040307120216927E-3</v>
      </c>
      <c r="AA107">
        <f t="shared" si="12"/>
        <v>-6.5507642267717062E-3</v>
      </c>
      <c r="AC107">
        <f t="shared" si="8"/>
        <v>-3.7098673490433651E-2</v>
      </c>
      <c r="AD107">
        <f t="shared" si="13"/>
        <v>7.5536261469078964E-3</v>
      </c>
      <c r="AE107">
        <f t="shared" si="5"/>
        <v>-2.9545047343525754E-2</v>
      </c>
      <c r="AG107">
        <f t="shared" si="7"/>
        <v>3.0262556641598048E-2</v>
      </c>
    </row>
    <row r="108" spans="23:33" x14ac:dyDescent="0.2">
      <c r="W108">
        <v>72</v>
      </c>
      <c r="X108" s="118">
        <f t="shared" si="9"/>
        <v>-1.5539450743885236E-2</v>
      </c>
      <c r="Y108">
        <f t="shared" si="10"/>
        <v>1.2248763089924377E-3</v>
      </c>
      <c r="Z108">
        <f t="shared" si="11"/>
        <v>7.7538822606425094E-3</v>
      </c>
      <c r="AA108">
        <f t="shared" si="12"/>
        <v>-6.5606921742502895E-3</v>
      </c>
      <c r="AC108">
        <f t="shared" si="8"/>
        <v>-3.6672682963311914E-2</v>
      </c>
      <c r="AD108">
        <f t="shared" si="13"/>
        <v>7.4080745467349201E-3</v>
      </c>
      <c r="AE108">
        <f t="shared" si="5"/>
        <v>-2.9264608416576993E-2</v>
      </c>
      <c r="AG108">
        <f t="shared" si="7"/>
        <v>2.9990998442547021E-2</v>
      </c>
    </row>
    <row r="109" spans="23:33" x14ac:dyDescent="0.2">
      <c r="W109">
        <v>73</v>
      </c>
      <c r="X109" s="118">
        <f t="shared" si="9"/>
        <v>-1.5429336216808674E-2</v>
      </c>
      <c r="Y109">
        <f t="shared" si="10"/>
        <v>1.2037309941872146E-3</v>
      </c>
      <c r="Z109">
        <f t="shared" si="11"/>
        <v>7.6669484034148864E-3</v>
      </c>
      <c r="AA109">
        <f t="shared" si="12"/>
        <v>-6.5586568192065719E-3</v>
      </c>
      <c r="AC109">
        <f t="shared" si="8"/>
        <v>-3.6412815661198736E-2</v>
      </c>
      <c r="AD109">
        <f t="shared" si="13"/>
        <v>7.3277702156050025E-3</v>
      </c>
      <c r="AE109">
        <f t="shared" si="5"/>
        <v>-2.9085045445593732E-2</v>
      </c>
      <c r="AG109">
        <f t="shared" si="7"/>
        <v>2.9815362614671947E-2</v>
      </c>
    </row>
    <row r="110" spans="23:33" x14ac:dyDescent="0.2">
      <c r="W110">
        <v>74</v>
      </c>
      <c r="X110" s="118">
        <f t="shared" si="9"/>
        <v>-1.5305734507724411E-2</v>
      </c>
      <c r="Y110">
        <f t="shared" si="10"/>
        <v>1.1819390336692949E-3</v>
      </c>
      <c r="Z110">
        <f t="shared" si="11"/>
        <v>7.5719610289567843E-3</v>
      </c>
      <c r="AA110">
        <f t="shared" si="12"/>
        <v>-6.5518344450983318E-3</v>
      </c>
      <c r="AC110">
        <f t="shared" si="8"/>
        <v>-3.6121118974766345E-2</v>
      </c>
      <c r="AD110">
        <f t="shared" si="13"/>
        <v>7.2424468637794642E-3</v>
      </c>
      <c r="AE110">
        <f t="shared" si="5"/>
        <v>-2.887867211098688E-2</v>
      </c>
      <c r="AG110">
        <f t="shared" si="7"/>
        <v>2.9612568910681633E-2</v>
      </c>
    </row>
    <row r="111" spans="23:33" x14ac:dyDescent="0.2">
      <c r="W111">
        <v>76</v>
      </c>
      <c r="X111" s="118">
        <f t="shared" si="9"/>
        <v>-1.5017330519861127E-2</v>
      </c>
      <c r="Y111">
        <f t="shared" si="10"/>
        <v>1.1364798400666292E-3</v>
      </c>
      <c r="Z111">
        <f t="shared" si="11"/>
        <v>7.3573844397337796E-3</v>
      </c>
      <c r="AA111">
        <f t="shared" si="12"/>
        <v>-6.523466240060719E-3</v>
      </c>
      <c r="AC111">
        <f t="shared" si="8"/>
        <v>-3.5440493373090763E-2</v>
      </c>
      <c r="AD111">
        <f t="shared" si="13"/>
        <v>7.0567430980415296E-3</v>
      </c>
      <c r="AE111">
        <f t="shared" si="5"/>
        <v>-2.8383750275049233E-2</v>
      </c>
      <c r="AG111">
        <f t="shared" si="7"/>
        <v>2.9123751328796386E-2</v>
      </c>
    </row>
    <row r="112" spans="23:33" x14ac:dyDescent="0.2">
      <c r="W112">
        <v>78</v>
      </c>
      <c r="X112" s="118">
        <f t="shared" si="9"/>
        <v>-1.4672760732952083E-2</v>
      </c>
      <c r="Y112">
        <f t="shared" si="10"/>
        <v>1.0886280573269816E-3</v>
      </c>
      <c r="Z112">
        <f t="shared" si="11"/>
        <v>7.1092699157427582E-3</v>
      </c>
      <c r="AA112">
        <f t="shared" si="12"/>
        <v>-6.4748627598823433E-3</v>
      </c>
      <c r="AC112">
        <f t="shared" si="8"/>
        <v>-3.4627318006578936E-2</v>
      </c>
      <c r="AD112">
        <f t="shared" si="13"/>
        <v>6.8509632495211154E-3</v>
      </c>
      <c r="AE112">
        <f t="shared" si="5"/>
        <v>-2.7776354757057822E-2</v>
      </c>
      <c r="AG112">
        <f t="shared" si="7"/>
        <v>2.8521040151951681E-2</v>
      </c>
    </row>
    <row r="113" spans="23:33" x14ac:dyDescent="0.2">
      <c r="W113">
        <v>80</v>
      </c>
      <c r="X113" s="118">
        <f t="shared" si="9"/>
        <v>-1.4270547099653964E-2</v>
      </c>
      <c r="Y113">
        <f t="shared" si="10"/>
        <v>1.0385130145928916E-3</v>
      </c>
      <c r="Z113">
        <f t="shared" si="11"/>
        <v>6.8267348797529815E-3</v>
      </c>
      <c r="AA113">
        <f t="shared" si="12"/>
        <v>-6.4052992053080914E-3</v>
      </c>
      <c r="AC113">
        <f t="shared" si="8"/>
        <v>-3.367810472352465E-2</v>
      </c>
      <c r="AD113">
        <f t="shared" si="13"/>
        <v>6.6251073182182207E-3</v>
      </c>
      <c r="AE113">
        <f t="shared" si="5"/>
        <v>-2.705299740530643E-2</v>
      </c>
      <c r="AG113">
        <f t="shared" si="7"/>
        <v>2.780094470554979E-2</v>
      </c>
    </row>
    <row r="114" spans="23:33" x14ac:dyDescent="0.2">
      <c r="W114">
        <v>82</v>
      </c>
      <c r="X114" s="118">
        <f t="shared" si="9"/>
        <v>-1.3809211572623463E-2</v>
      </c>
      <c r="Y114">
        <f t="shared" si="10"/>
        <v>9.8626404100689768E-4</v>
      </c>
      <c r="Z114">
        <f t="shared" si="11"/>
        <v>6.5088967545337134E-3</v>
      </c>
      <c r="AA114">
        <f t="shared" si="12"/>
        <v>-6.3140507770828511E-3</v>
      </c>
      <c r="AC114">
        <f t="shared" si="8"/>
        <v>-3.2589365372221686E-2</v>
      </c>
      <c r="AD114">
        <f t="shared" si="13"/>
        <v>6.3791753041328482E-3</v>
      </c>
      <c r="AE114">
        <f t="shared" si="5"/>
        <v>-2.6210190068088838E-2</v>
      </c>
      <c r="AG114">
        <f t="shared" si="7"/>
        <v>2.6959994447716851E-2</v>
      </c>
    </row>
    <row r="115" spans="23:33" x14ac:dyDescent="0.2">
      <c r="W115">
        <v>84</v>
      </c>
      <c r="X115" s="118">
        <f t="shared" si="9"/>
        <v>-1.3287276104517272E-2</v>
      </c>
      <c r="Y115">
        <f t="shared" si="10"/>
        <v>9.3201046571154077E-4</v>
      </c>
      <c r="Z115">
        <f t="shared" si="11"/>
        <v>6.1548729628542152E-3</v>
      </c>
      <c r="AA115">
        <f t="shared" si="12"/>
        <v>-6.200392675951516E-3</v>
      </c>
      <c r="AC115">
        <f t="shared" si="8"/>
        <v>-3.1357611800963824E-2</v>
      </c>
      <c r="AD115">
        <f t="shared" si="13"/>
        <v>6.1131672072649952E-3</v>
      </c>
      <c r="AE115">
        <f t="shared" si="5"/>
        <v>-2.5244444593698828E-2</v>
      </c>
      <c r="AG115">
        <f t="shared" si="7"/>
        <v>2.599474662658444E-2</v>
      </c>
    </row>
    <row r="116" spans="23:33" x14ac:dyDescent="0.2">
      <c r="W116">
        <v>86</v>
      </c>
      <c r="X116" s="118">
        <f t="shared" si="9"/>
        <v>-1.270326264799207E-2</v>
      </c>
      <c r="Y116">
        <f t="shared" si="10"/>
        <v>8.7588161784936012E-4</v>
      </c>
      <c r="Z116">
        <f t="shared" si="11"/>
        <v>5.7637809274837509E-3</v>
      </c>
      <c r="AA116">
        <f t="shared" si="12"/>
        <v>-6.0636001026589583E-3</v>
      </c>
      <c r="AC116">
        <f t="shared" si="8"/>
        <v>-2.9979355858044857E-2</v>
      </c>
      <c r="AD116">
        <f t="shared" si="13"/>
        <v>5.8270830276146626E-3</v>
      </c>
      <c r="AE116">
        <f t="shared" si="5"/>
        <v>-2.4152272830430192E-2</v>
      </c>
      <c r="AG116">
        <f t="shared" si="7"/>
        <v>2.4901797707806202E-2</v>
      </c>
    </row>
    <row r="117" spans="23:33" x14ac:dyDescent="0.2">
      <c r="W117">
        <v>88</v>
      </c>
      <c r="X117" s="118">
        <f t="shared" si="9"/>
        <v>-1.2055693155704563E-2</v>
      </c>
      <c r="Y117">
        <f t="shared" si="10"/>
        <v>8.1800682656289379E-4</v>
      </c>
      <c r="Z117">
        <f t="shared" si="11"/>
        <v>5.3347380711915833E-3</v>
      </c>
      <c r="AA117">
        <f t="shared" si="12"/>
        <v>-5.9029482579500856E-3</v>
      </c>
      <c r="AC117">
        <f t="shared" si="8"/>
        <v>-2.8451109391758541E-2</v>
      </c>
      <c r="AD117">
        <f t="shared" si="13"/>
        <v>5.5209227651818512E-3</v>
      </c>
      <c r="AE117">
        <f t="shared" si="5"/>
        <v>-2.2930186626576692E-2</v>
      </c>
      <c r="AG117">
        <f t="shared" si="7"/>
        <v>2.3677800929682479E-2</v>
      </c>
    </row>
    <row r="118" spans="23:33" x14ac:dyDescent="0.2">
      <c r="W118">
        <v>90</v>
      </c>
      <c r="X118" s="118">
        <f t="shared" si="9"/>
        <v>-1.1343234562385909E-2</v>
      </c>
      <c r="Y118">
        <f t="shared" si="10"/>
        <v>7.585154209946831E-4</v>
      </c>
      <c r="Z118">
        <f t="shared" si="11"/>
        <v>4.8730950184390567E-3</v>
      </c>
      <c r="AA118">
        <f t="shared" si="12"/>
        <v>-5.7116241229521695E-3</v>
      </c>
      <c r="AC118">
        <f>IF($W118&lt;$D$24,-(-$J$3*$D$25*$W118^3+$J$3*$D$25*($D$19^2-$D$25^2)*$W118)/(6*$D$19*206000*$D$7),-(-$J$3*$D$24*($D$19-$W118)^3+$J$3*$D$24*($D$19^2-$D$24^2)*($D$19-$W118))/(6*$D$19*206000*$D$7))</f>
        <v>-2.6769726404168498E-2</v>
      </c>
      <c r="AD118">
        <f t="shared" si="13"/>
        <v>5.1946864199665602E-3</v>
      </c>
      <c r="AE118">
        <f t="shared" si="5"/>
        <v>-2.1575039984201939E-2</v>
      </c>
      <c r="AG118">
        <f t="shared" si="7"/>
        <v>2.2318266071579163E-2</v>
      </c>
    </row>
    <row r="119" spans="23:33" x14ac:dyDescent="0.2">
      <c r="W119">
        <v>91</v>
      </c>
      <c r="X119" s="118">
        <f t="shared" si="9"/>
        <v>-1.096309797825127E-2</v>
      </c>
      <c r="Y119">
        <f t="shared" si="10"/>
        <v>7.2820390321196732E-4</v>
      </c>
      <c r="Z119">
        <f t="shared" si="11"/>
        <v>4.6430181666012281E-3</v>
      </c>
      <c r="AA119">
        <f t="shared" si="12"/>
        <v>-5.5918759084380744E-3</v>
      </c>
      <c r="AC119">
        <f t="shared" si="8"/>
        <v>-2.587261435931636E-2</v>
      </c>
      <c r="AD119">
        <f t="shared" si="13"/>
        <v>5.0240397163154845E-3</v>
      </c>
      <c r="AE119">
        <f t="shared" si="5"/>
        <v>-2.0848574643000876E-2</v>
      </c>
      <c r="AG119">
        <f t="shared" si="7"/>
        <v>2.1585461329796714E-2</v>
      </c>
    </row>
    <row r="120" spans="23:33" x14ac:dyDescent="0.2">
      <c r="W120">
        <v>92</v>
      </c>
      <c r="X120" s="118">
        <f t="shared" si="9"/>
        <v>-1.056788839048017E-2</v>
      </c>
      <c r="Y120">
        <f t="shared" si="10"/>
        <v>6.9753673028726763E-4</v>
      </c>
      <c r="Z120">
        <f t="shared" si="11"/>
        <v>4.4153684021479263E-3</v>
      </c>
      <c r="AA120">
        <f t="shared" si="12"/>
        <v>-5.4549832580449769E-3</v>
      </c>
      <c r="AC120">
        <f t="shared" si="8"/>
        <v>-2.4939930434043533E-2</v>
      </c>
      <c r="AD120">
        <f t="shared" si="13"/>
        <v>4.8483739919687888E-3</v>
      </c>
      <c r="AE120">
        <f t="shared" si="5"/>
        <v>-2.0091556442074745E-2</v>
      </c>
      <c r="AG120">
        <f t="shared" si="7"/>
        <v>2.0818921264336109E-2</v>
      </c>
    </row>
    <row r="121" spans="23:33" x14ac:dyDescent="0.2">
      <c r="W121">
        <v>94</v>
      </c>
      <c r="X121" s="118">
        <f t="shared" si="9"/>
        <v>-9.7349907501443154E-3</v>
      </c>
      <c r="Y121">
        <f t="shared" si="10"/>
        <v>6.3520008358318621E-4</v>
      </c>
      <c r="Z121">
        <f t="shared" si="11"/>
        <v>3.9669088467795379E-3</v>
      </c>
      <c r="AA121">
        <f t="shared" si="12"/>
        <v>-5.1328818197815913E-3</v>
      </c>
      <c r="AC121">
        <f t="shared" si="8"/>
        <v>-2.2974314556857736E-2</v>
      </c>
      <c r="AD121">
        <f t="shared" si="13"/>
        <v>4.4819854811885395E-3</v>
      </c>
      <c r="AE121">
        <f t="shared" si="5"/>
        <v>-1.8492329075669195E-2</v>
      </c>
      <c r="AG121">
        <f t="shared" si="7"/>
        <v>1.9191474941199403E-2</v>
      </c>
    </row>
    <row r="122" spans="23:33" x14ac:dyDescent="0.2">
      <c r="W122">
        <v>96</v>
      </c>
      <c r="X122" s="118">
        <f t="shared" si="9"/>
        <v>-8.8500227336097831E-3</v>
      </c>
      <c r="Y122">
        <f t="shared" si="10"/>
        <v>5.7163481002497918E-4</v>
      </c>
      <c r="Z122">
        <f t="shared" si="11"/>
        <v>3.5268337751031545E-3</v>
      </c>
      <c r="AA122">
        <f t="shared" si="12"/>
        <v>-4.7515541484816496E-3</v>
      </c>
      <c r="AC122">
        <f t="shared" si="8"/>
        <v>-2.0885814001855008E-2</v>
      </c>
      <c r="AD122">
        <f t="shared" si="13"/>
        <v>4.0955208876258097E-3</v>
      </c>
      <c r="AE122">
        <f t="shared" si="5"/>
        <v>-1.67902931142292E-2</v>
      </c>
      <c r="AG122">
        <f t="shared" si="7"/>
        <v>1.7449676492350387E-2</v>
      </c>
    </row>
    <row r="123" spans="23:33" x14ac:dyDescent="0.2">
      <c r="W123">
        <v>97</v>
      </c>
      <c r="X123" s="118">
        <f t="shared" si="9"/>
        <v>-8.3897251755903398E-3</v>
      </c>
      <c r="Y123" s="68">
        <f t="shared" si="10"/>
        <v>5.3943185353262115E-4</v>
      </c>
      <c r="Z123">
        <f t="shared" si="11"/>
        <v>3.3096646152648585E-3</v>
      </c>
      <c r="AA123">
        <f t="shared" si="12"/>
        <v>-4.54062870679286E-3</v>
      </c>
      <c r="AC123">
        <f t="shared" si="8"/>
        <v>-1.9799524229311014E-2</v>
      </c>
      <c r="AD123">
        <f t="shared" si="13"/>
        <v>3.894760059801015E-3</v>
      </c>
      <c r="AE123">
        <f t="shared" si="5"/>
        <v>-1.5904764169509998E-2</v>
      </c>
      <c r="AG123">
        <f t="shared" si="7"/>
        <v>1.6540218630377305E-2</v>
      </c>
    </row>
    <row r="124" spans="23:33" x14ac:dyDescent="0.2">
      <c r="W124">
        <v>98</v>
      </c>
      <c r="X124" s="118">
        <f t="shared" si="9"/>
        <v>-7.9184654331080143E-3</v>
      </c>
      <c r="Y124">
        <f t="shared" si="10"/>
        <v>5.069702387551846E-4</v>
      </c>
      <c r="Z124">
        <f t="shared" si="11"/>
        <v>3.0942606098880369E-3</v>
      </c>
      <c r="AA124">
        <f t="shared" si="12"/>
        <v>-4.3172345844647922E-3</v>
      </c>
      <c r="AC124">
        <f t="shared" si="8"/>
        <v>-1.8687363998279239E-2</v>
      </c>
      <c r="AD124">
        <f t="shared" si="13"/>
        <v>3.6889802112806003E-3</v>
      </c>
      <c r="AE124">
        <f t="shared" ref="AE124:AE134" si="14">SUM($AC124:$AD124)</f>
        <v>-1.4998383786998639E-2</v>
      </c>
      <c r="AG124">
        <f t="shared" si="7"/>
        <v>1.5607371036769855E-2</v>
      </c>
    </row>
    <row r="125" spans="23:33" x14ac:dyDescent="0.2">
      <c r="W125">
        <v>100</v>
      </c>
      <c r="X125" s="118">
        <f t="shared" si="9"/>
        <v>-6.9457999408704483E-3</v>
      </c>
      <c r="Y125">
        <f t="shared" si="10"/>
        <v>4.4133569891634375E-4</v>
      </c>
      <c r="Z125">
        <f t="shared" si="11"/>
        <v>2.6683067739034496E-3</v>
      </c>
      <c r="AA125">
        <f t="shared" si="12"/>
        <v>-3.8361574680506553E-3</v>
      </c>
      <c r="AC125">
        <f t="shared" si="8"/>
        <v>-1.6391899775374304E-2</v>
      </c>
      <c r="AD125">
        <f t="shared" si="13"/>
        <v>3.2623634521529118E-3</v>
      </c>
      <c r="AE125">
        <f t="shared" si="14"/>
        <v>-1.3129536323221393E-2</v>
      </c>
      <c r="AG125">
        <f t="shared" ref="AG125:AG134" si="15">SQRT($AA125^2+$AE125^2)</f>
        <v>1.3678480477833448E-2</v>
      </c>
    </row>
    <row r="126" spans="23:33" x14ac:dyDescent="0.2">
      <c r="W126">
        <v>102</v>
      </c>
      <c r="X126" s="118">
        <f t="shared" si="9"/>
        <v>-5.9375073491285237E-3</v>
      </c>
      <c r="Y126">
        <f t="shared" si="10"/>
        <v>3.748605196509962E-4</v>
      </c>
      <c r="Z126">
        <f t="shared" si="11"/>
        <v>2.2480896899186552E-3</v>
      </c>
      <c r="AA126">
        <f t="shared" si="12"/>
        <v>-3.3145571395588724E-3</v>
      </c>
      <c r="AC126">
        <f t="shared" si="8"/>
        <v>-1.4012356562384101E-2</v>
      </c>
      <c r="AD126">
        <f t="shared" si="13"/>
        <v>2.8156706102427441E-3</v>
      </c>
      <c r="AE126">
        <f t="shared" si="14"/>
        <v>-1.1196685952141357E-2</v>
      </c>
      <c r="AG126">
        <f t="shared" si="15"/>
        <v>1.1676988710377359E-2</v>
      </c>
    </row>
    <row r="127" spans="23:33" x14ac:dyDescent="0.2">
      <c r="W127">
        <v>104</v>
      </c>
      <c r="X127" s="118">
        <f t="shared" si="9"/>
        <v>-4.8990687501136799E-3</v>
      </c>
      <c r="Y127">
        <f t="shared" si="10"/>
        <v>3.0767403010167996E-4</v>
      </c>
      <c r="Z127">
        <f t="shared" si="11"/>
        <v>1.8327267807029151E-3</v>
      </c>
      <c r="AA127">
        <f t="shared" si="12"/>
        <v>-2.7586679393090847E-3</v>
      </c>
      <c r="AC127">
        <f t="shared" si="8"/>
        <v>-1.1561669588552514E-2</v>
      </c>
      <c r="AD127">
        <f t="shared" si="13"/>
        <v>2.3489016855500968E-3</v>
      </c>
      <c r="AE127">
        <f t="shared" si="14"/>
        <v>-9.2127679030024178E-3</v>
      </c>
      <c r="AG127">
        <f t="shared" si="15"/>
        <v>9.6169299276829198E-3</v>
      </c>
    </row>
    <row r="128" spans="23:33" x14ac:dyDescent="0.2">
      <c r="W128">
        <v>106</v>
      </c>
      <c r="X128" s="118">
        <f t="shared" si="9"/>
        <v>-3.8359652360573592E-3</v>
      </c>
      <c r="Y128">
        <f t="shared" si="10"/>
        <v>2.3990555941093538E-4</v>
      </c>
      <c r="Z128">
        <f t="shared" si="11"/>
        <v>1.4213354690254935E-3</v>
      </c>
      <c r="AA128">
        <f t="shared" si="12"/>
        <v>-2.1747242076209303E-3</v>
      </c>
      <c r="AC128">
        <f t="shared" si="8"/>
        <v>-9.052774083123433E-3</v>
      </c>
      <c r="AD128">
        <f t="shared" si="13"/>
        <v>1.8620566780749696E-3</v>
      </c>
      <c r="AE128">
        <f t="shared" si="14"/>
        <v>-7.1907174050484636E-3</v>
      </c>
      <c r="AG128">
        <f t="shared" si="15"/>
        <v>7.5123792621565235E-3</v>
      </c>
    </row>
    <row r="129" spans="23:33" x14ac:dyDescent="0.2">
      <c r="W129">
        <v>108</v>
      </c>
      <c r="X129" s="118">
        <f t="shared" si="9"/>
        <v>-2.7536778991909985E-3</v>
      </c>
      <c r="Y129">
        <f t="shared" si="10"/>
        <v>1.7168443672130302E-4</v>
      </c>
      <c r="Z129">
        <f t="shared" si="11"/>
        <v>1.0130331776556521E-3</v>
      </c>
      <c r="AA129">
        <f t="shared" si="12"/>
        <v>-1.5689602848140435E-3</v>
      </c>
      <c r="AC129">
        <f t="shared" si="8"/>
        <v>-6.4986052753407434E-3</v>
      </c>
      <c r="AD129">
        <f t="shared" si="13"/>
        <v>1.3551355878173635E-3</v>
      </c>
      <c r="AE129">
        <f t="shared" si="14"/>
        <v>-5.1434696875233797E-3</v>
      </c>
      <c r="AG129">
        <f t="shared" si="15"/>
        <v>5.3774451928211798E-3</v>
      </c>
    </row>
    <row r="130" spans="23:33" x14ac:dyDescent="0.2">
      <c r="W130">
        <v>109</v>
      </c>
      <c r="X130" s="118">
        <f t="shared" si="9"/>
        <v>-2.2070531385263784E-3</v>
      </c>
      <c r="Y130">
        <f t="shared" si="10"/>
        <v>1.3744454623394763E-4</v>
      </c>
      <c r="Z130">
        <f t="shared" si="11"/>
        <v>8.0976460920146871E-4</v>
      </c>
      <c r="AA130">
        <f t="shared" si="12"/>
        <v>-1.2598439830909622E-3</v>
      </c>
      <c r="AC130">
        <f t="shared" si="8"/>
        <v>-5.2085856422055101E-3</v>
      </c>
      <c r="AD130">
        <f t="shared" si="13"/>
        <v>1.0941465116451304E-3</v>
      </c>
      <c r="AE130">
        <f t="shared" si="14"/>
        <v>-4.1144391305603795E-3</v>
      </c>
      <c r="AG130">
        <f t="shared" si="15"/>
        <v>4.3030008390444168E-3</v>
      </c>
    </row>
    <row r="131" spans="23:33" x14ac:dyDescent="0.2">
      <c r="W131">
        <v>110</v>
      </c>
      <c r="X131" s="118">
        <f t="shared" si="9"/>
        <v>-1.6576878317460385E-3</v>
      </c>
      <c r="Y131">
        <f t="shared" si="10"/>
        <v>1.0313999117532076E-4</v>
      </c>
      <c r="Z131">
        <f t="shared" si="11"/>
        <v>6.069373293626539E-4</v>
      </c>
      <c r="AA131">
        <f t="shared" si="12"/>
        <v>-9.4761051120806382E-4</v>
      </c>
      <c r="AC131">
        <f t="shared" si="8"/>
        <v>-3.9120983944483335E-3</v>
      </c>
      <c r="AD131">
        <f t="shared" si="13"/>
        <v>8.2813841477727759E-4</v>
      </c>
      <c r="AE131">
        <f t="shared" si="14"/>
        <v>-3.0839599796710559E-3</v>
      </c>
      <c r="AG131">
        <f t="shared" si="15"/>
        <v>3.2262632932178225E-3</v>
      </c>
    </row>
    <row r="132" spans="23:33" x14ac:dyDescent="0.2">
      <c r="W132">
        <v>111</v>
      </c>
      <c r="X132" s="118">
        <f t="shared" si="9"/>
        <v>-1.1062671153789091E-3</v>
      </c>
      <c r="Y132">
        <f t="shared" si="10"/>
        <v>6.8786937688242796E-5</v>
      </c>
      <c r="Z132">
        <f t="shared" si="11"/>
        <v>4.0444101598536571E-4</v>
      </c>
      <c r="AA132">
        <f t="shared" si="12"/>
        <v>-6.3303916170530058E-4</v>
      </c>
      <c r="AC132">
        <f t="shared" si="8"/>
        <v>-2.6107604357246991E-3</v>
      </c>
      <c r="AD132">
        <f t="shared" si="13"/>
        <v>5.57111297213805E-4</v>
      </c>
      <c r="AE132">
        <f t="shared" si="14"/>
        <v>-2.053649138510894E-3</v>
      </c>
      <c r="AG132">
        <f t="shared" si="15"/>
        <v>2.1490028767684531E-3</v>
      </c>
    </row>
    <row r="133" spans="23:33" x14ac:dyDescent="0.2">
      <c r="W133">
        <v>112</v>
      </c>
      <c r="X133" s="118">
        <f t="shared" si="9"/>
        <v>-5.5347612595391951E-4</v>
      </c>
      <c r="Y133">
        <f t="shared" si="10"/>
        <v>3.4401551915529912E-5</v>
      </c>
      <c r="Z133">
        <f t="shared" si="11"/>
        <v>2.0216534691576177E-4</v>
      </c>
      <c r="AA133">
        <f t="shared" si="12"/>
        <v>-3.1690922712262787E-4</v>
      </c>
      <c r="AC133">
        <f t="shared" si="8"/>
        <v>-1.3061886696900925E-3</v>
      </c>
      <c r="AD133">
        <f t="shared" si="13"/>
        <v>2.810651589547124E-4</v>
      </c>
      <c r="AE133">
        <f t="shared" si="14"/>
        <v>-1.0251235107353799E-3</v>
      </c>
      <c r="AG133">
        <f t="shared" si="15"/>
        <v>1.0729909927384722E-3</v>
      </c>
    </row>
    <row r="134" spans="23:33" x14ac:dyDescent="0.2">
      <c r="W134">
        <v>113</v>
      </c>
      <c r="X134" s="118">
        <f t="shared" si="9"/>
        <v>0</v>
      </c>
      <c r="Y134">
        <f t="shared" si="10"/>
        <v>-1.661441400184849E-18</v>
      </c>
      <c r="Z134">
        <f t="shared" si="11"/>
        <v>0</v>
      </c>
      <c r="AA134">
        <f t="shared" si="12"/>
        <v>-1.661441400184849E-18</v>
      </c>
      <c r="AC134">
        <f t="shared" si="8"/>
        <v>0</v>
      </c>
      <c r="AD134">
        <f t="shared" si="13"/>
        <v>0</v>
      </c>
      <c r="AE134">
        <f t="shared" si="14"/>
        <v>0</v>
      </c>
      <c r="AG134">
        <f t="shared" si="15"/>
        <v>1.661441400184849E-18</v>
      </c>
    </row>
  </sheetData>
  <mergeCells count="28">
    <mergeCell ref="M42:M49"/>
    <mergeCell ref="C45:D45"/>
    <mergeCell ref="K45:L45"/>
    <mergeCell ref="C48:D49"/>
    <mergeCell ref="I2:J2"/>
    <mergeCell ref="L2:M2"/>
    <mergeCell ref="L6:M6"/>
    <mergeCell ref="C10:D10"/>
    <mergeCell ref="L10:M10"/>
    <mergeCell ref="I12:J12"/>
    <mergeCell ref="L12:M12"/>
    <mergeCell ref="C28:D28"/>
    <mergeCell ref="F28:G28"/>
    <mergeCell ref="J28:K28"/>
    <mergeCell ref="C41:G41"/>
    <mergeCell ref="K41:O41"/>
    <mergeCell ref="K48:L49"/>
    <mergeCell ref="C52:I52"/>
    <mergeCell ref="C53:D53"/>
    <mergeCell ref="H53:H59"/>
    <mergeCell ref="C54:C55"/>
    <mergeCell ref="C56:G56"/>
    <mergeCell ref="E42:E49"/>
    <mergeCell ref="O56:O57"/>
    <mergeCell ref="C57:D57"/>
    <mergeCell ref="C58:C59"/>
    <mergeCell ref="C61:G61"/>
    <mergeCell ref="E62:E63"/>
  </mergeCells>
  <conditionalFormatting sqref="D36">
    <cfRule type="colorScale" priority="9">
      <colorScale>
        <cfvo type="num" val="1.2"/>
        <cfvo type="num" val="1.3"/>
        <cfvo type="num" val="1.5"/>
        <color rgb="FFF8696B"/>
        <color rgb="FFFFEB84"/>
        <color rgb="FF63BE7B"/>
      </colorScale>
    </cfRule>
  </conditionalFormatting>
  <conditionalFormatting sqref="D47">
    <cfRule type="colorScale" priority="7">
      <colorScale>
        <cfvo type="num" val="1.2"/>
        <cfvo type="num" val="1.3"/>
        <cfvo type="num" val="1.5"/>
        <color rgb="FFF8696B"/>
        <color rgb="FFFFEB84"/>
        <color rgb="FF63BE7B"/>
      </colorScale>
    </cfRule>
  </conditionalFormatting>
  <conditionalFormatting sqref="G36">
    <cfRule type="colorScale" priority="8">
      <colorScale>
        <cfvo type="num" val="1.2"/>
        <cfvo type="num" val="1.3"/>
        <cfvo type="num" val="1.5"/>
        <color rgb="FFF8696B"/>
        <color rgb="FFFFEB84"/>
        <color rgb="FF63BE7B"/>
      </colorScale>
    </cfRule>
  </conditionalFormatting>
  <conditionalFormatting sqref="G62">
    <cfRule type="cellIs" dxfId="3" priority="1" operator="greaterThan">
      <formula>$G$63</formula>
    </cfRule>
    <cfRule type="cellIs" dxfId="2" priority="2" operator="lessThan">
      <formula>$G$63</formula>
    </cfRule>
  </conditionalFormatting>
  <conditionalFormatting sqref="K36">
    <cfRule type="colorScale" priority="4">
      <colorScale>
        <cfvo type="num" val="1.2"/>
        <cfvo type="num" val="1.3"/>
        <cfvo type="num" val="1.5"/>
        <color rgb="FFF8696B"/>
        <color rgb="FFFFEB84"/>
        <color rgb="FF63BE7B"/>
      </colorScale>
    </cfRule>
  </conditionalFormatting>
  <conditionalFormatting sqref="L47">
    <cfRule type="colorScale" priority="6">
      <colorScale>
        <cfvo type="num" val="1.2"/>
        <cfvo type="num" val="1.3"/>
        <cfvo type="num" val="1.5"/>
        <color rgb="FFF8696B"/>
        <color rgb="FFFFEB84"/>
        <color rgb="FF63BE7B"/>
      </colorScale>
    </cfRule>
  </conditionalFormatting>
  <conditionalFormatting sqref="M56:M57">
    <cfRule type="cellIs" dxfId="1" priority="3" operator="lessThan">
      <formula>$O$56</formula>
    </cfRule>
    <cfRule type="cellIs" dxfId="0" priority="5" operator="greaterThan">
      <formula>$O$56</formula>
    </cfRule>
  </conditionalFormatting>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604F19C8114B949B7C001B79497DB08" ma:contentTypeVersion="14" ma:contentTypeDescription="Creare un nuovo documento." ma:contentTypeScope="" ma:versionID="273b93bc738e3c6bf3c944c8435881c1">
  <xsd:schema xmlns:xsd="http://www.w3.org/2001/XMLSchema" xmlns:xs="http://www.w3.org/2001/XMLSchema" xmlns:p="http://schemas.microsoft.com/office/2006/metadata/properties" xmlns:ns3="3bc8c452-7bdd-4036-89c8-b153b4503c02" xmlns:ns4="e203ab24-4e63-4e98-a53a-f36091d249be" targetNamespace="http://schemas.microsoft.com/office/2006/metadata/properties" ma:root="true" ma:fieldsID="5f91373259e41c6aefec2b9483feee34" ns3:_="" ns4:_="">
    <xsd:import namespace="3bc8c452-7bdd-4036-89c8-b153b4503c02"/>
    <xsd:import namespace="e203ab24-4e63-4e98-a53a-f36091d249be"/>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4:SharedWithUsers" minOccurs="0"/>
                <xsd:element ref="ns4:SharedWithDetails" minOccurs="0"/>
                <xsd:element ref="ns4:SharingHintHash" minOccurs="0"/>
                <xsd:element ref="ns3:MediaServiceAutoKeyPoints" minOccurs="0"/>
                <xsd:element ref="ns3:MediaServiceKeyPoints" minOccurs="0"/>
                <xsd:element ref="ns3:MediaLengthInSecond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bc8c452-7bdd-4036-89c8-b153b4503c0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_activity" ma:index="21"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203ab24-4e63-4e98-a53a-f36091d249be" elementFormDefault="qualified">
    <xsd:import namespace="http://schemas.microsoft.com/office/2006/documentManagement/types"/>
    <xsd:import namespace="http://schemas.microsoft.com/office/infopath/2007/PartnerControls"/>
    <xsd:element name="SharedWithUsers" ma:index="15" nillable="true" ma:displayName="Condivis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Condiviso con dettagli" ma:internalName="SharedWithDetails" ma:readOnly="true">
      <xsd:simpleType>
        <xsd:restriction base="dms:Note">
          <xsd:maxLength value="255"/>
        </xsd:restriction>
      </xsd:simpleType>
    </xsd:element>
    <xsd:element name="SharingHintHash" ma:index="17" nillable="true" ma:displayName="Hash suggerimento condivisione"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3bc8c452-7bdd-4036-89c8-b153b4503c02"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4BC55B2-F438-484E-9740-82153455BA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bc8c452-7bdd-4036-89c8-b153b4503c02"/>
    <ds:schemaRef ds:uri="e203ab24-4e63-4e98-a53a-f36091d249b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8DC4FCC-564E-4F97-81CF-7E1419954A26}">
  <ds:schemaRefs>
    <ds:schemaRef ds:uri="http://purl.org/dc/terms/"/>
    <ds:schemaRef ds:uri="3bc8c452-7bdd-4036-89c8-b153b4503c02"/>
    <ds:schemaRef ds:uri="http://schemas.microsoft.com/office/2006/metadata/properties"/>
    <ds:schemaRef ds:uri="http://schemas.microsoft.com/office/2006/documentManagement/types"/>
    <ds:schemaRef ds:uri="http://schemas.openxmlformats.org/package/2006/metadata/core-properties"/>
    <ds:schemaRef ds:uri="http://purl.org/dc/dcmitype/"/>
    <ds:schemaRef ds:uri="e203ab24-4e63-4e98-a53a-f36091d249be"/>
    <ds:schemaRef ds:uri="http://purl.org/dc/elements/1.1/"/>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B966F31B-40CE-4BBE-A5A1-5CACCF06491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Materiali</vt:lpstr>
      <vt:lpstr>Coppie e u</vt:lpstr>
      <vt:lpstr>Pre-dime 5-6</vt:lpstr>
      <vt:lpstr>Forze e verifica 5-6</vt:lpstr>
      <vt:lpstr>Pre-dime 3-4</vt:lpstr>
      <vt:lpstr>Forze e verifica 3-4</vt:lpstr>
      <vt:lpstr>Albero 1</vt:lpstr>
      <vt:lpstr>Albero 2</vt:lpstr>
      <vt:lpstr>Cuscinetti 1</vt:lpstr>
      <vt:lpstr>Linguetta</vt:lpstr>
      <vt:lpstr>Dati FEM</vt:lpstr>
      <vt:lpstr>Albero_2</vt:lpstr>
      <vt:lpstr>Cuscinetti 2</vt:lpstr>
      <vt:lpstr>Albero_2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Davide Colombo</dc:creator>
  <cp:keywords/>
  <dc:description/>
  <cp:lastModifiedBy>Leo De Luca</cp:lastModifiedBy>
  <cp:revision/>
  <dcterms:created xsi:type="dcterms:W3CDTF">2023-04-03T13:48:45Z</dcterms:created>
  <dcterms:modified xsi:type="dcterms:W3CDTF">2024-07-14T14:32:30Z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0x0101002604F19C8114B949B7C001B79497DB08</vt:lpwstr>
  </property>
</Properties>
</file>