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defaultThemeVersion="124226"/>
  <bookViews>
    <workbookView xWindow="0" yWindow="0" windowWidth="23040" windowHeight="9048" activeTab="3" xr2:uid="{00000000-000D-0000-FFFF-FFFF00000000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</sheets>
  <calcPr calcId="171027"/>
  <fileRecoveryPr autoRecover="0"/>
</workbook>
</file>

<file path=xl/calcChain.xml><?xml version="1.0" encoding="utf-8"?>
<calcChain xmlns="http://schemas.openxmlformats.org/spreadsheetml/2006/main">
  <c r="G4" i="5" l="1"/>
  <c r="C5" i="5"/>
  <c r="E5" i="5" s="1"/>
  <c r="D4" i="5"/>
  <c r="D3" i="5"/>
  <c r="C4" i="5"/>
  <c r="E4" i="5" s="1"/>
  <c r="E8" i="5"/>
  <c r="E7" i="5"/>
  <c r="E6" i="5"/>
  <c r="E3" i="5"/>
  <c r="C8" i="5"/>
  <c r="C7" i="5"/>
  <c r="C6" i="5"/>
  <c r="C3" i="5"/>
  <c r="E30" i="3" l="1"/>
  <c r="C30" i="3"/>
  <c r="E12" i="3"/>
  <c r="C12" i="3"/>
  <c r="D24" i="2"/>
  <c r="D8" i="2"/>
  <c r="G18" i="1"/>
  <c r="G22" i="1"/>
  <c r="G26" i="1"/>
  <c r="J33" i="1"/>
  <c r="J27" i="1"/>
  <c r="D29" i="1" s="1"/>
  <c r="J9" i="1"/>
  <c r="D14" i="1"/>
  <c r="D15" i="1" s="1"/>
  <c r="D12" i="1"/>
  <c r="J8" i="1"/>
  <c r="G29" i="1" l="1"/>
  <c r="J13" i="1"/>
  <c r="D16" i="1" l="1"/>
  <c r="D18" i="1" s="1"/>
  <c r="J16" i="1"/>
  <c r="J19" i="1" l="1"/>
  <c r="D19" i="1"/>
  <c r="D22" i="1" s="1"/>
  <c r="D23" i="1" l="1"/>
  <c r="D26" i="1" s="1"/>
  <c r="J23" i="1"/>
  <c r="G28" i="1" l="1"/>
  <c r="G32" i="1" s="1"/>
  <c r="D28" i="1"/>
  <c r="D30" i="1" l="1"/>
  <c r="J28" i="1"/>
</calcChain>
</file>

<file path=xl/sharedStrings.xml><?xml version="1.0" encoding="utf-8"?>
<sst xmlns="http://schemas.openxmlformats.org/spreadsheetml/2006/main" count="187" uniqueCount="142">
  <si>
    <t>Produits</t>
  </si>
  <si>
    <t>Charges</t>
  </si>
  <si>
    <t>Soldes intermédiaires des exercices</t>
  </si>
  <si>
    <t>Ventes de marchandises</t>
  </si>
  <si>
    <t>Production vendue</t>
  </si>
  <si>
    <t>Total</t>
  </si>
  <si>
    <t>N</t>
  </si>
  <si>
    <t>N-1</t>
  </si>
  <si>
    <t>Marge commerciale</t>
  </si>
  <si>
    <t>Ou déstockage de production (a)</t>
  </si>
  <si>
    <t>Production de l’exercice</t>
  </si>
  <si>
    <t>Valeur ajoutée</t>
  </si>
  <si>
    <t>Reprises sur charges et transferts de charges</t>
  </si>
  <si>
    <t>Autres produits</t>
  </si>
  <si>
    <t>Subventions d'exploitation</t>
  </si>
  <si>
    <t>Excédent brut d'exploitation</t>
  </si>
  <si>
    <t>Résultat d'exploitation</t>
  </si>
  <si>
    <t>Quotes-part de résultat sur opération faites en commun</t>
  </si>
  <si>
    <t>Produits financiers</t>
  </si>
  <si>
    <t>Produits exceptionnels</t>
  </si>
  <si>
    <t>Impôts, taxes et versement assimilés (b)</t>
  </si>
  <si>
    <t>Charges de personnel</t>
  </si>
  <si>
    <t>Résultat courant avant impôts</t>
  </si>
  <si>
    <t>Résultat exceptionnel</t>
  </si>
  <si>
    <t>Ou insuffisance brute d'exploitation</t>
  </si>
  <si>
    <t>Dotations aux amortissements</t>
  </si>
  <si>
    <t>Autres charges</t>
  </si>
  <si>
    <t>Ou résultat d'exploitation</t>
  </si>
  <si>
    <t>Charges financières</t>
  </si>
  <si>
    <t>Charges exceptionnelles</t>
  </si>
  <si>
    <t>Ou Résultat courant avant impôts</t>
  </si>
  <si>
    <t>Ou Résultat exceptionnel</t>
  </si>
  <si>
    <t>Participation des salariés</t>
  </si>
  <si>
    <t>Impôts sur le bénéfice</t>
  </si>
  <si>
    <t>Excédent brut (ou insuffisance brute) d'exploitation</t>
  </si>
  <si>
    <t>Résultat courant avant impôts (bénéfice ou perte)</t>
  </si>
  <si>
    <t>Résultat de l'exercice (bénéfice ou perte) ©</t>
  </si>
  <si>
    <t>Plus-values et/ou moins-values sur cessions d'éléments d'actif</t>
  </si>
  <si>
    <t>Résultat exceptionnel (bénéfice ou perte)</t>
  </si>
  <si>
    <t>Somme Dotations aux amortissements et provisions</t>
  </si>
  <si>
    <t>Valeur comptable des éléments d'actifs cédés</t>
  </si>
  <si>
    <t>Somme Reprises sur amortissements et provisions</t>
  </si>
  <si>
    <t>Produits de Cession d'éléments d'actifs</t>
  </si>
  <si>
    <t>Capacité d'Auto Financement</t>
  </si>
  <si>
    <t>+</t>
  </si>
  <si>
    <t>-</t>
  </si>
  <si>
    <t>=</t>
  </si>
  <si>
    <t>Méthode explicative (Soustractive)</t>
  </si>
  <si>
    <t>EBE</t>
  </si>
  <si>
    <t>Transferts de charges (d'exploitation)</t>
  </si>
  <si>
    <t>Autres produits (d'exploitation)</t>
  </si>
  <si>
    <t>Autres charges (d'exploitation)</t>
  </si>
  <si>
    <t>Quotes(parts de résultat sur opérations faites en commun</t>
  </si>
  <si>
    <t>Produits financiers (a)</t>
  </si>
  <si>
    <t>Charges financières (b)</t>
  </si>
  <si>
    <t>Produits exceptionnels ©</t>
  </si>
  <si>
    <t>Charges exceptionnelles (d)</t>
  </si>
  <si>
    <t>Participation des salriés aux résultats</t>
  </si>
  <si>
    <t>Impôts sur les bénéfices</t>
  </si>
  <si>
    <t>plus ou moins</t>
  </si>
  <si>
    <t>Méthode vérificative (Additive)</t>
  </si>
  <si>
    <t>Actifs</t>
  </si>
  <si>
    <t>Montants</t>
  </si>
  <si>
    <t>Passif</t>
  </si>
  <si>
    <t>Bilan fonctionnel au 31/12/2006</t>
  </si>
  <si>
    <t>Emplois stables</t>
  </si>
  <si>
    <t>Actifs immobilisé brut</t>
  </si>
  <si>
    <t>Charges à repartir</t>
  </si>
  <si>
    <t>Actif circulant</t>
  </si>
  <si>
    <t>D'exploitation</t>
  </si>
  <si>
    <t>Stocks bruts</t>
  </si>
  <si>
    <t>Avances et comptes versés bruts</t>
  </si>
  <si>
    <t>Créances clients brutes</t>
  </si>
  <si>
    <t>Créances fiscales</t>
  </si>
  <si>
    <t>Charges constatées d'avance</t>
  </si>
  <si>
    <t>Hors exploitation</t>
  </si>
  <si>
    <t>Créances diverses</t>
  </si>
  <si>
    <t>Intérêts courus</t>
  </si>
  <si>
    <t>Créances d'IS</t>
  </si>
  <si>
    <t>Créances sur immobilisation</t>
  </si>
  <si>
    <t>Trésorerie active</t>
  </si>
  <si>
    <t>Disponibilités</t>
  </si>
  <si>
    <t>Ressources stables</t>
  </si>
  <si>
    <t>Capitaux propres</t>
  </si>
  <si>
    <t>Provisions pour risques et charges</t>
  </si>
  <si>
    <t>Amortissements et provisions pour dépréciation</t>
  </si>
  <si>
    <t>Dettes financières (- Primes de remboursement obligations)</t>
  </si>
  <si>
    <t>Passif circulant</t>
  </si>
  <si>
    <t>Dettes d'exploitation</t>
  </si>
  <si>
    <t>Dettes hors exploitation</t>
  </si>
  <si>
    <t>Soldes créditeurs de banque</t>
  </si>
  <si>
    <t>Effets escomptés non échus</t>
  </si>
  <si>
    <t xml:space="preserve">  Avance et acompte reçus</t>
  </si>
  <si>
    <t xml:space="preserve">  Dettes fournisseurs</t>
  </si>
  <si>
    <t xml:space="preserve">  Dettes fiscales et sociales</t>
  </si>
  <si>
    <t xml:space="preserve">  Produits constatés d'avance</t>
  </si>
  <si>
    <t xml:space="preserve">  Intérêts courus</t>
  </si>
  <si>
    <t xml:space="preserve">  Dettes d'IS</t>
  </si>
  <si>
    <t xml:space="preserve">  Dettes sur immobilisations</t>
  </si>
  <si>
    <t xml:space="preserve">  Concours bancaires courants</t>
  </si>
  <si>
    <t xml:space="preserve">  Dettes diverses (ici liée à l'exploitation)</t>
  </si>
  <si>
    <t>Trésorerie passive</t>
  </si>
  <si>
    <r>
      <t>Marge commerciale (</t>
    </r>
    <r>
      <rPr>
        <sz val="11"/>
        <color rgb="FFFF0000"/>
        <rFont val="Calibri"/>
        <family val="2"/>
        <scheme val="minor"/>
      </rPr>
      <t>Vente - coût d'achats</t>
    </r>
    <r>
      <rPr>
        <sz val="11"/>
        <rFont val="Calibri"/>
        <family val="2"/>
        <scheme val="minor"/>
      </rPr>
      <t>)</t>
    </r>
  </si>
  <si>
    <t>Production immobilisée (ce que l'entreprise produit et garde pour sa propre consommation)</t>
  </si>
  <si>
    <r>
      <t>Coût d’achat des marchandises vendues (</t>
    </r>
    <r>
      <rPr>
        <sz val="11"/>
        <color rgb="FFFF0000"/>
        <rFont val="Calibri"/>
        <family val="2"/>
        <scheme val="minor"/>
      </rPr>
      <t>achat - variation de stock</t>
    </r>
    <r>
      <rPr>
        <sz val="11"/>
        <color theme="1"/>
        <rFont val="Calibri"/>
        <family val="2"/>
        <scheme val="minor"/>
      </rPr>
      <t>)</t>
    </r>
  </si>
  <si>
    <r>
      <t>Production Stockée (</t>
    </r>
    <r>
      <rPr>
        <sz val="11"/>
        <color rgb="FFFF0000"/>
        <rFont val="Calibri"/>
        <family val="2"/>
        <scheme val="minor"/>
      </rPr>
      <t>stock final - stock initial</t>
    </r>
    <r>
      <rPr>
        <sz val="11"/>
        <color theme="1"/>
        <rFont val="Calibri"/>
        <family val="2"/>
        <scheme val="minor"/>
      </rPr>
      <t>)</t>
    </r>
  </si>
  <si>
    <r>
      <t>Valeur ajoutée (</t>
    </r>
    <r>
      <rPr>
        <sz val="11"/>
        <color rgb="FFFF0000"/>
        <rFont val="Calibri"/>
        <family val="2"/>
        <scheme val="minor"/>
      </rPr>
      <t>Production de l'exercice + marge commerciale - Conssomation en provenance de tiers</t>
    </r>
    <r>
      <rPr>
        <sz val="11"/>
        <color theme="1"/>
        <rFont val="Calibri"/>
        <family val="2"/>
        <scheme val="minor"/>
      </rPr>
      <t>)</t>
    </r>
  </si>
  <si>
    <r>
      <t>Consommation de l'exercice en provenance de tiers (</t>
    </r>
    <r>
      <rPr>
        <sz val="11"/>
        <color rgb="FFFF0000"/>
        <rFont val="Calibri"/>
        <family val="2"/>
        <scheme val="minor"/>
      </rPr>
      <t>consommation de matière premières + Autres achats et charges externes</t>
    </r>
    <r>
      <rPr>
        <sz val="11"/>
        <color theme="1"/>
        <rFont val="Calibri"/>
        <family val="2"/>
        <scheme val="minor"/>
      </rPr>
      <t>)</t>
    </r>
  </si>
  <si>
    <t>Produits - Charges</t>
  </si>
  <si>
    <r>
      <t xml:space="preserve">Résultat d'exploitation (bénéfice ou perte) </t>
    </r>
    <r>
      <rPr>
        <sz val="11"/>
        <color rgb="FFFF0000"/>
        <rFont val="Calibri"/>
        <family val="2"/>
        <scheme val="minor"/>
      </rPr>
      <t>Si bénéfice on met dans produit, si perte on met dans charge</t>
    </r>
  </si>
  <si>
    <r>
      <t xml:space="preserve">Produit des cessions d'éléments actifs </t>
    </r>
    <r>
      <rPr>
        <sz val="1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produit exceptionnel / opération en capital</t>
    </r>
    <r>
      <rPr>
        <sz val="11"/>
        <color theme="1"/>
        <rFont val="Calibri"/>
        <family val="2"/>
        <scheme val="minor"/>
      </rPr>
      <t>)</t>
    </r>
  </si>
  <si>
    <r>
      <t>Valeur comptable des éléments cédés (</t>
    </r>
    <r>
      <rPr>
        <sz val="11"/>
        <color rgb="FFFF0000"/>
        <rFont val="Calibri"/>
        <family val="2"/>
        <scheme val="minor"/>
      </rPr>
      <t>produit exceptionnel / opération en capital</t>
    </r>
    <r>
      <rPr>
        <sz val="11"/>
        <color theme="1"/>
        <rFont val="Calibri"/>
        <family val="2"/>
        <scheme val="minor"/>
      </rPr>
      <t>)</t>
    </r>
  </si>
  <si>
    <t>FRNG</t>
  </si>
  <si>
    <t>Actif Circulant d'exploitation</t>
  </si>
  <si>
    <t>BFRG</t>
  </si>
  <si>
    <t>Passif Circulant d'exploitation</t>
  </si>
  <si>
    <t>BFRE</t>
  </si>
  <si>
    <t>Actif Circulant HE</t>
  </si>
  <si>
    <t>Passif Circulant HE</t>
  </si>
  <si>
    <t>BFRHE</t>
  </si>
  <si>
    <t>Tresorerie Nette</t>
  </si>
  <si>
    <t>Tresorerie Active</t>
  </si>
  <si>
    <t>Tresorerie Passive</t>
  </si>
  <si>
    <t>"-"</t>
  </si>
  <si>
    <t>"="</t>
  </si>
  <si>
    <t>Ratio Couverture des immobilisations</t>
  </si>
  <si>
    <t>Ratio d'indépendance financière</t>
  </si>
  <si>
    <t>VAN (montant en K€)</t>
  </si>
  <si>
    <t>Années</t>
  </si>
  <si>
    <t>Investissement initial</t>
  </si>
  <si>
    <t>FNT</t>
  </si>
  <si>
    <t>Taux actualisation</t>
  </si>
  <si>
    <t>Flux actualisé</t>
  </si>
  <si>
    <t>Facteur d'actualisation</t>
  </si>
  <si>
    <t>VAN</t>
  </si>
  <si>
    <t>TRI</t>
  </si>
  <si>
    <t>Flux actualisés cumulés</t>
  </si>
  <si>
    <t>Projet</t>
  </si>
  <si>
    <t>Ip</t>
  </si>
  <si>
    <t>Test pourcentage</t>
  </si>
  <si>
    <t>%</t>
  </si>
  <si>
    <t>Résultat Net de l'exercice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</si>
</sst>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0\ [$€-40C]_-;\-* #,##0.000\ [$€-40C]_-;_-* &quot;-&quot;??\ [$€-40C]_-;_-@_-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0" xfId="0" applyBorder="1"/>
    <xf numFmtId="0" fontId="0" fillId="0" borderId="19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0" fillId="0" borderId="15" xfId="0" applyBorder="1"/>
    <xf numFmtId="0" fontId="0" fillId="0" borderId="17" xfId="0" applyBorder="1"/>
    <xf numFmtId="0" fontId="0" fillId="0" borderId="21" xfId="0" applyFill="1" applyBorder="1" applyAlignment="1">
      <alignment vertical="center" wrapText="1"/>
    </xf>
    <xf numFmtId="0" fontId="0" fillId="0" borderId="16" xfId="0" applyBorder="1"/>
    <xf numFmtId="0" fontId="0" fillId="0" borderId="2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0" fillId="0" borderId="21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5" xfId="0" applyBorder="1"/>
    <xf numFmtId="0" fontId="3" fillId="0" borderId="1" xfId="0" applyFont="1" applyBorder="1" applyAlignment="1">
      <alignment horizontal="center" vertical="center"/>
    </xf>
    <xf numFmtId="0" fontId="0" fillId="0" borderId="28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25" xfId="0" applyFont="1" applyBorder="1"/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right"/>
    </xf>
    <xf numFmtId="0" fontId="1" fillId="3" borderId="14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3" borderId="14" xfId="0" applyFill="1" applyBorder="1" applyAlignment="1">
      <alignment horizontal="right" vertical="top" wrapText="1"/>
    </xf>
    <xf numFmtId="0" fontId="3" fillId="6" borderId="1" xfId="0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2" xfId="0" quotePrefix="1" applyBorder="1"/>
    <xf numFmtId="0" fontId="0" fillId="0" borderId="38" xfId="0" applyBorder="1"/>
    <xf numFmtId="0" fontId="0" fillId="0" borderId="40" xfId="0" applyBorder="1"/>
    <xf numFmtId="0" fontId="0" fillId="0" borderId="3" xfId="0" applyBorder="1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0" fontId="0" fillId="0" borderId="39" xfId="0" applyBorder="1"/>
    <xf numFmtId="0" fontId="0" fillId="0" borderId="40" xfId="0" applyBorder="1"/>
    <xf numFmtId="0" fontId="0" fillId="0" borderId="3" xfId="0" applyBorder="1"/>
    <xf numFmtId="0" fontId="0" fillId="0" borderId="42" xfId="0" applyBorder="1"/>
    <xf numFmtId="0" fontId="0" fillId="0" borderId="43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1" xfId="0" applyNumberFormat="1" applyBorder="1"/>
    <xf numFmtId="0" fontId="0" fillId="0" borderId="1" xfId="0" applyBorder="1" applyAlignment="1"/>
    <xf numFmtId="0" fontId="0" fillId="0" borderId="44" xfId="0" applyBorder="1"/>
    <xf numFmtId="0" fontId="0" fillId="7" borderId="1" xfId="0" applyFill="1" applyBorder="1"/>
    <xf numFmtId="0" fontId="0" fillId="8" borderId="1" xfId="0" applyFill="1" applyBorder="1"/>
    <xf numFmtId="0" fontId="0" fillId="8" borderId="37" xfId="0" applyFill="1" applyBorder="1"/>
    <xf numFmtId="0" fontId="0" fillId="8" borderId="39" xfId="0" applyFill="1" applyBorder="1"/>
    <xf numFmtId="0" fontId="3" fillId="8" borderId="27" xfId="0" applyFont="1" applyFill="1" applyBorder="1"/>
    <xf numFmtId="0" fontId="3" fillId="8" borderId="1" xfId="0" applyFont="1" applyFill="1" applyBorder="1"/>
    <xf numFmtId="0" fontId="0" fillId="0" borderId="33" xfId="0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43" fontId="0" fillId="0" borderId="33" xfId="1" applyFont="1" applyBorder="1" applyAlignment="1">
      <alignment horizontal="center" vertical="center"/>
    </xf>
    <xf numFmtId="9" fontId="0" fillId="0" borderId="33" xfId="3" applyFont="1" applyBorder="1"/>
    <xf numFmtId="164" fontId="0" fillId="0" borderId="33" xfId="0" applyNumberFormat="1" applyBorder="1" applyAlignment="1">
      <alignment horizontal="center" vertical="center"/>
    </xf>
    <xf numFmtId="164" fontId="0" fillId="0" borderId="33" xfId="2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1" fillId="3" borderId="22" xfId="0" applyFont="1" applyFill="1" applyBorder="1" applyAlignment="1">
      <alignment horizontal="right" wrapText="1"/>
    </xf>
    <xf numFmtId="0" fontId="1" fillId="3" borderId="23" xfId="0" applyFont="1" applyFill="1" applyBorder="1" applyAlignment="1">
      <alignment horizontal="right" wrapText="1"/>
    </xf>
    <xf numFmtId="0" fontId="1" fillId="3" borderId="24" xfId="0" applyFont="1" applyFill="1" applyBorder="1" applyAlignment="1">
      <alignment horizontal="right" wrapText="1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Pourcentage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33"/>
  <sheetViews>
    <sheetView topLeftCell="A9" zoomScale="85" zoomScaleNormal="85" workbookViewId="0">
      <selection activeCell="G22" sqref="G22"/>
    </sheetView>
  </sheetViews>
  <sheetFormatPr baseColWidth="10" defaultColWidth="8.88671875" defaultRowHeight="14.4" x14ac:dyDescent="0.3"/>
  <cols>
    <col min="3" max="3" width="41.6640625" customWidth="1"/>
    <col min="6" max="6" width="30.77734375" customWidth="1"/>
    <col min="7" max="7" width="9.44140625" bestFit="1" customWidth="1"/>
    <col min="8" max="8" width="9.44140625" customWidth="1"/>
    <col min="9" max="9" width="61.6640625" customWidth="1"/>
  </cols>
  <sheetData>
    <row r="1" spans="3:11" x14ac:dyDescent="0.3">
      <c r="C1" s="120"/>
      <c r="D1" s="120"/>
      <c r="E1" s="1"/>
      <c r="F1" s="120"/>
      <c r="G1" s="120"/>
      <c r="H1" s="1"/>
    </row>
    <row r="6" spans="3:11" ht="15" thickBot="1" x14ac:dyDescent="0.35">
      <c r="I6" s="68" t="s">
        <v>108</v>
      </c>
    </row>
    <row r="7" spans="3:11" ht="15" thickBot="1" x14ac:dyDescent="0.35">
      <c r="C7" s="121" t="s">
        <v>0</v>
      </c>
      <c r="D7" s="122"/>
      <c r="E7" s="50"/>
      <c r="F7" s="121" t="s">
        <v>1</v>
      </c>
      <c r="G7" s="122"/>
      <c r="H7" s="64"/>
      <c r="I7" s="31" t="s">
        <v>2</v>
      </c>
      <c r="J7" s="31" t="s">
        <v>6</v>
      </c>
      <c r="K7" s="31" t="s">
        <v>7</v>
      </c>
    </row>
    <row r="8" spans="3:11" ht="52.2" customHeight="1" thickBot="1" x14ac:dyDescent="0.35">
      <c r="C8" s="25" t="s">
        <v>3</v>
      </c>
      <c r="D8" s="16">
        <v>1240</v>
      </c>
      <c r="E8" s="51"/>
      <c r="F8" s="2" t="s">
        <v>104</v>
      </c>
      <c r="G8" s="13">
        <v>808</v>
      </c>
      <c r="H8" s="57"/>
      <c r="I8" s="2" t="s">
        <v>102</v>
      </c>
      <c r="J8" s="13">
        <f>D8-G8</f>
        <v>432</v>
      </c>
      <c r="K8" s="14"/>
    </row>
    <row r="9" spans="3:11" ht="14.4" customHeight="1" x14ac:dyDescent="0.3">
      <c r="C9" s="26" t="s">
        <v>4</v>
      </c>
      <c r="D9" s="17">
        <v>1435</v>
      </c>
      <c r="E9" s="52"/>
      <c r="F9" s="123" t="s">
        <v>9</v>
      </c>
      <c r="G9" s="123">
        <v>0</v>
      </c>
      <c r="H9" s="52"/>
      <c r="I9" s="133" t="s">
        <v>10</v>
      </c>
      <c r="J9" s="117">
        <f>D9+D10+D11</f>
        <v>1467</v>
      </c>
      <c r="K9" s="130"/>
    </row>
    <row r="10" spans="3:11" x14ac:dyDescent="0.3">
      <c r="C10" s="27" t="s">
        <v>105</v>
      </c>
      <c r="D10" s="18">
        <v>32</v>
      </c>
      <c r="E10" s="53"/>
      <c r="F10" s="124"/>
      <c r="G10" s="124"/>
      <c r="H10" s="53"/>
      <c r="I10" s="134"/>
      <c r="J10" s="118"/>
      <c r="K10" s="131"/>
    </row>
    <row r="11" spans="3:11" ht="28.8" x14ac:dyDescent="0.3">
      <c r="C11" s="27" t="s">
        <v>103</v>
      </c>
      <c r="D11" s="18">
        <v>0</v>
      </c>
      <c r="E11" s="53"/>
      <c r="F11" s="125"/>
      <c r="G11" s="125"/>
      <c r="H11" s="53"/>
      <c r="I11" s="134"/>
      <c r="J11" s="118"/>
      <c r="K11" s="131"/>
    </row>
    <row r="12" spans="3:11" ht="15" thickBot="1" x14ac:dyDescent="0.35">
      <c r="C12" s="49" t="s">
        <v>5</v>
      </c>
      <c r="D12" s="19">
        <f>SUM(D9:D11)</f>
        <v>1467</v>
      </c>
      <c r="E12" s="54"/>
      <c r="F12" s="69" t="s">
        <v>5</v>
      </c>
      <c r="G12" s="19">
        <v>0</v>
      </c>
      <c r="H12" s="54"/>
      <c r="I12" s="135"/>
      <c r="J12" s="119"/>
      <c r="K12" s="132"/>
    </row>
    <row r="13" spans="3:11" ht="28.8" customHeight="1" x14ac:dyDescent="0.3">
      <c r="C13" s="26" t="s">
        <v>10</v>
      </c>
      <c r="D13" s="20">
        <v>1467</v>
      </c>
      <c r="E13" s="55"/>
      <c r="F13" s="117" t="s">
        <v>107</v>
      </c>
      <c r="G13" s="117">
        <v>1042</v>
      </c>
      <c r="H13" s="52"/>
      <c r="I13" s="136" t="s">
        <v>106</v>
      </c>
      <c r="J13" s="117">
        <f>J8+J9-G13</f>
        <v>857</v>
      </c>
      <c r="K13" s="130"/>
    </row>
    <row r="14" spans="3:11" x14ac:dyDescent="0.3">
      <c r="C14" s="27" t="s">
        <v>8</v>
      </c>
      <c r="D14" s="18">
        <f>J8</f>
        <v>432</v>
      </c>
      <c r="E14" s="4"/>
      <c r="F14" s="118"/>
      <c r="G14" s="118"/>
      <c r="H14" s="53"/>
      <c r="I14" s="137"/>
      <c r="J14" s="118"/>
      <c r="K14" s="131"/>
    </row>
    <row r="15" spans="3:11" ht="30" customHeight="1" thickBot="1" x14ac:dyDescent="0.35">
      <c r="C15" s="49" t="s">
        <v>5</v>
      </c>
      <c r="D15" s="21">
        <f>D13+D14</f>
        <v>1899</v>
      </c>
      <c r="E15" s="56"/>
      <c r="F15" s="119"/>
      <c r="G15" s="119"/>
      <c r="H15" s="54"/>
      <c r="I15" s="138"/>
      <c r="J15" s="119"/>
      <c r="K15" s="132"/>
    </row>
    <row r="16" spans="3:11" ht="28.8" x14ac:dyDescent="0.3">
      <c r="C16" s="26" t="s">
        <v>11</v>
      </c>
      <c r="D16" s="17">
        <f>J13</f>
        <v>857</v>
      </c>
      <c r="E16" s="52"/>
      <c r="F16" s="5" t="s">
        <v>20</v>
      </c>
      <c r="G16" s="17">
        <v>35</v>
      </c>
      <c r="H16" s="65"/>
      <c r="I16" s="126" t="s">
        <v>34</v>
      </c>
      <c r="J16" s="123">
        <f>J13+D17-G16-G17</f>
        <v>429</v>
      </c>
      <c r="K16" s="130"/>
    </row>
    <row r="17" spans="3:11" x14ac:dyDescent="0.3">
      <c r="C17" s="27" t="s">
        <v>14</v>
      </c>
      <c r="D17" s="18">
        <v>0</v>
      </c>
      <c r="E17" s="53"/>
      <c r="F17" s="6" t="s">
        <v>21</v>
      </c>
      <c r="G17" s="18">
        <v>393</v>
      </c>
      <c r="H17" s="66"/>
      <c r="I17" s="127"/>
      <c r="J17" s="124"/>
      <c r="K17" s="131"/>
    </row>
    <row r="18" spans="3:11" ht="15" thickBot="1" x14ac:dyDescent="0.35">
      <c r="C18" s="49" t="s">
        <v>5</v>
      </c>
      <c r="D18" s="19">
        <f>SUM(D16:D17)</f>
        <v>857</v>
      </c>
      <c r="E18" s="54"/>
      <c r="F18" s="49" t="s">
        <v>5</v>
      </c>
      <c r="G18" s="19">
        <f>SUM(G16:G17)</f>
        <v>428</v>
      </c>
      <c r="H18" s="67"/>
      <c r="I18" s="128"/>
      <c r="J18" s="129"/>
      <c r="K18" s="132"/>
    </row>
    <row r="19" spans="3:11" x14ac:dyDescent="0.3">
      <c r="C19" s="26" t="s">
        <v>15</v>
      </c>
      <c r="D19" s="17">
        <f>J16</f>
        <v>429</v>
      </c>
      <c r="E19" s="52"/>
      <c r="F19" s="5" t="s">
        <v>24</v>
      </c>
      <c r="G19" s="17">
        <v>0</v>
      </c>
      <c r="H19" s="65"/>
      <c r="I19" s="126" t="s">
        <v>109</v>
      </c>
      <c r="J19" s="123">
        <f>J16+D20+D21-G20-G21</f>
        <v>314</v>
      </c>
      <c r="K19" s="130"/>
    </row>
    <row r="20" spans="3:11" x14ac:dyDescent="0.3">
      <c r="C20" s="27" t="s">
        <v>12</v>
      </c>
      <c r="D20" s="18">
        <v>12</v>
      </c>
      <c r="E20" s="53"/>
      <c r="F20" s="6" t="s">
        <v>25</v>
      </c>
      <c r="G20" s="18">
        <v>102</v>
      </c>
      <c r="H20" s="66"/>
      <c r="I20" s="127"/>
      <c r="J20" s="124"/>
      <c r="K20" s="131"/>
    </row>
    <row r="21" spans="3:11" x14ac:dyDescent="0.3">
      <c r="C21" s="28" t="s">
        <v>13</v>
      </c>
      <c r="D21" s="18">
        <v>0</v>
      </c>
      <c r="E21" s="53"/>
      <c r="F21" s="6" t="s">
        <v>26</v>
      </c>
      <c r="G21" s="18">
        <v>25</v>
      </c>
      <c r="H21" s="66"/>
      <c r="I21" s="127"/>
      <c r="J21" s="124"/>
      <c r="K21" s="131"/>
    </row>
    <row r="22" spans="3:11" ht="15" thickBot="1" x14ac:dyDescent="0.35">
      <c r="C22" s="49" t="s">
        <v>5</v>
      </c>
      <c r="D22" s="19">
        <f>SUM(D19:D21)</f>
        <v>441</v>
      </c>
      <c r="E22" s="54"/>
      <c r="F22" s="49" t="s">
        <v>5</v>
      </c>
      <c r="G22" s="19">
        <f>SUM(G19:G21)</f>
        <v>127</v>
      </c>
      <c r="H22" s="67"/>
      <c r="I22" s="128"/>
      <c r="J22" s="129"/>
      <c r="K22" s="132"/>
    </row>
    <row r="23" spans="3:11" x14ac:dyDescent="0.3">
      <c r="C23" s="26" t="s">
        <v>16</v>
      </c>
      <c r="D23" s="17">
        <f>J19</f>
        <v>314</v>
      </c>
      <c r="E23" s="52"/>
      <c r="F23" s="5" t="s">
        <v>27</v>
      </c>
      <c r="G23" s="17"/>
      <c r="H23" s="65"/>
      <c r="I23" s="126" t="s">
        <v>35</v>
      </c>
      <c r="J23" s="123">
        <f>J19+D24+G24+D25-G25</f>
        <v>289</v>
      </c>
      <c r="K23" s="130"/>
    </row>
    <row r="24" spans="3:11" ht="28.8" x14ac:dyDescent="0.3">
      <c r="C24" s="27" t="s">
        <v>17</v>
      </c>
      <c r="D24" s="18">
        <v>0</v>
      </c>
      <c r="E24" s="53"/>
      <c r="F24" s="6" t="s">
        <v>17</v>
      </c>
      <c r="G24" s="18">
        <v>0</v>
      </c>
      <c r="H24" s="66"/>
      <c r="I24" s="127"/>
      <c r="J24" s="124"/>
      <c r="K24" s="131"/>
    </row>
    <row r="25" spans="3:11" x14ac:dyDescent="0.3">
      <c r="C25" s="27" t="s">
        <v>18</v>
      </c>
      <c r="D25" s="18">
        <v>16</v>
      </c>
      <c r="E25" s="53"/>
      <c r="F25" s="6" t="s">
        <v>28</v>
      </c>
      <c r="G25" s="18">
        <v>41</v>
      </c>
      <c r="H25" s="66"/>
      <c r="I25" s="127"/>
      <c r="J25" s="124"/>
      <c r="K25" s="131"/>
    </row>
    <row r="26" spans="3:11" ht="15" thickBot="1" x14ac:dyDescent="0.35">
      <c r="C26" s="49" t="s">
        <v>5</v>
      </c>
      <c r="D26" s="19">
        <f>SUM(D23:D25)</f>
        <v>330</v>
      </c>
      <c r="E26" s="54"/>
      <c r="F26" s="49" t="s">
        <v>5</v>
      </c>
      <c r="G26" s="19">
        <f>SUM(G23:G25)</f>
        <v>41</v>
      </c>
      <c r="H26" s="67"/>
      <c r="I26" s="128"/>
      <c r="J26" s="129"/>
      <c r="K26" s="132"/>
    </row>
    <row r="27" spans="3:11" ht="15" thickBot="1" x14ac:dyDescent="0.35">
      <c r="C27" s="23" t="s">
        <v>19</v>
      </c>
      <c r="D27" s="13">
        <v>26</v>
      </c>
      <c r="E27" s="57"/>
      <c r="F27" s="2" t="s">
        <v>29</v>
      </c>
      <c r="G27" s="13">
        <v>44</v>
      </c>
      <c r="H27" s="57"/>
      <c r="I27" s="2" t="s">
        <v>38</v>
      </c>
      <c r="J27" s="13">
        <f>D27-G27</f>
        <v>-18</v>
      </c>
      <c r="K27" s="14"/>
    </row>
    <row r="28" spans="3:11" x14ac:dyDescent="0.3">
      <c r="C28" s="29" t="s">
        <v>22</v>
      </c>
      <c r="D28" s="20">
        <f>IF(J23&gt;0,J23,0)</f>
        <v>289</v>
      </c>
      <c r="E28" s="58"/>
      <c r="F28" s="10" t="s">
        <v>30</v>
      </c>
      <c r="G28" s="20">
        <f>IF(J23&lt;=0,-J23,0)</f>
        <v>0</v>
      </c>
      <c r="H28" s="61"/>
      <c r="I28" s="139" t="s">
        <v>36</v>
      </c>
      <c r="J28" s="147">
        <f>D28+D29-G28-G29-G30-G31</f>
        <v>187</v>
      </c>
      <c r="K28" s="150"/>
    </row>
    <row r="29" spans="3:11" x14ac:dyDescent="0.3">
      <c r="C29" s="28" t="s">
        <v>23</v>
      </c>
      <c r="D29" s="22">
        <f>IF(J27&gt;0,J27,0)</f>
        <v>0</v>
      </c>
      <c r="E29" s="59"/>
      <c r="F29" s="7" t="s">
        <v>31</v>
      </c>
      <c r="G29" s="22">
        <f>IF(J27&lt;=0,-J27,0)</f>
        <v>18</v>
      </c>
      <c r="H29" s="61"/>
      <c r="I29" s="139"/>
      <c r="J29" s="148"/>
      <c r="K29" s="150"/>
    </row>
    <row r="30" spans="3:11" x14ac:dyDescent="0.3">
      <c r="C30" s="141" t="s">
        <v>5</v>
      </c>
      <c r="D30" s="144">
        <f>SUM(D28:D29)</f>
        <v>289</v>
      </c>
      <c r="E30" s="60"/>
      <c r="F30" s="7" t="s">
        <v>32</v>
      </c>
      <c r="G30" s="22">
        <v>0</v>
      </c>
      <c r="H30" s="61"/>
      <c r="I30" s="139"/>
      <c r="J30" s="148"/>
      <c r="K30" s="150"/>
    </row>
    <row r="31" spans="3:11" x14ac:dyDescent="0.3">
      <c r="C31" s="142"/>
      <c r="D31" s="145"/>
      <c r="E31" s="61"/>
      <c r="F31" s="7" t="s">
        <v>33</v>
      </c>
      <c r="G31" s="22">
        <v>84</v>
      </c>
      <c r="H31" s="61"/>
      <c r="I31" s="139"/>
      <c r="J31" s="148"/>
      <c r="K31" s="150"/>
    </row>
    <row r="32" spans="3:11" ht="15" thickBot="1" x14ac:dyDescent="0.35">
      <c r="C32" s="143"/>
      <c r="D32" s="146"/>
      <c r="E32" s="62"/>
      <c r="F32" s="49" t="s">
        <v>5</v>
      </c>
      <c r="G32" s="21">
        <f>SUM(G28:G31)</f>
        <v>102</v>
      </c>
      <c r="H32" s="62"/>
      <c r="I32" s="140"/>
      <c r="J32" s="149"/>
      <c r="K32" s="151"/>
    </row>
    <row r="33" spans="3:11" ht="51" customHeight="1" thickBot="1" x14ac:dyDescent="0.35">
      <c r="C33" s="30" t="s">
        <v>110</v>
      </c>
      <c r="D33" s="32">
        <v>24</v>
      </c>
      <c r="E33" s="63"/>
      <c r="F33" s="12" t="s">
        <v>111</v>
      </c>
      <c r="G33" s="32">
        <v>38</v>
      </c>
      <c r="H33" s="63"/>
      <c r="I33" s="24" t="s">
        <v>37</v>
      </c>
      <c r="J33" s="32">
        <f>D33-G33</f>
        <v>-14</v>
      </c>
      <c r="K33" s="15"/>
    </row>
  </sheetData>
  <mergeCells count="28">
    <mergeCell ref="I28:I32"/>
    <mergeCell ref="C30:C32"/>
    <mergeCell ref="D30:D32"/>
    <mergeCell ref="J28:J32"/>
    <mergeCell ref="K28:K32"/>
    <mergeCell ref="I23:I26"/>
    <mergeCell ref="I19:I22"/>
    <mergeCell ref="J19:J22"/>
    <mergeCell ref="K9:K12"/>
    <mergeCell ref="K13:K15"/>
    <mergeCell ref="K16:K18"/>
    <mergeCell ref="J23:J26"/>
    <mergeCell ref="K23:K26"/>
    <mergeCell ref="I9:I12"/>
    <mergeCell ref="J9:J12"/>
    <mergeCell ref="I13:I15"/>
    <mergeCell ref="K19:K22"/>
    <mergeCell ref="I16:I18"/>
    <mergeCell ref="J16:J18"/>
    <mergeCell ref="G13:G15"/>
    <mergeCell ref="J13:J15"/>
    <mergeCell ref="F13:F15"/>
    <mergeCell ref="C1:D1"/>
    <mergeCell ref="F1:G1"/>
    <mergeCell ref="C7:D7"/>
    <mergeCell ref="F7:G7"/>
    <mergeCell ref="F9:F11"/>
    <mergeCell ref="G9:G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4"/>
  <sheetViews>
    <sheetView workbookViewId="0">
      <selection activeCell="D3" sqref="D3"/>
    </sheetView>
  </sheetViews>
  <sheetFormatPr baseColWidth="10" defaultRowHeight="14.4" x14ac:dyDescent="0.3"/>
  <cols>
    <col min="2" max="2" width="13.109375" customWidth="1"/>
    <col min="3" max="3" width="48.88671875" customWidth="1"/>
  </cols>
  <sheetData>
    <row r="1" spans="2:4" x14ac:dyDescent="0.3">
      <c r="C1" t="s">
        <v>47</v>
      </c>
    </row>
    <row r="2" spans="2:4" ht="15" thickBot="1" x14ac:dyDescent="0.35">
      <c r="B2" s="3"/>
    </row>
    <row r="3" spans="2:4" ht="15" thickBot="1" x14ac:dyDescent="0.35">
      <c r="B3" s="35"/>
      <c r="C3" s="8" t="s">
        <v>141</v>
      </c>
      <c r="D3" s="40">
        <v>187</v>
      </c>
    </row>
    <row r="4" spans="2:4" x14ac:dyDescent="0.3">
      <c r="B4" s="72" t="s">
        <v>44</v>
      </c>
      <c r="C4" s="11" t="s">
        <v>39</v>
      </c>
      <c r="D4" s="41">
        <v>102</v>
      </c>
    </row>
    <row r="5" spans="2:4" x14ac:dyDescent="0.3">
      <c r="B5" s="73" t="s">
        <v>44</v>
      </c>
      <c r="C5" s="11" t="s">
        <v>40</v>
      </c>
      <c r="D5" s="41">
        <v>38</v>
      </c>
    </row>
    <row r="6" spans="2:4" x14ac:dyDescent="0.3">
      <c r="B6" s="73" t="s">
        <v>45</v>
      </c>
      <c r="C6" s="11" t="s">
        <v>41</v>
      </c>
      <c r="D6" s="41">
        <v>12</v>
      </c>
    </row>
    <row r="7" spans="2:4" ht="15" thickBot="1" x14ac:dyDescent="0.35">
      <c r="B7" s="74" t="s">
        <v>45</v>
      </c>
      <c r="C7" s="33" t="s">
        <v>42</v>
      </c>
      <c r="D7" s="43">
        <v>24</v>
      </c>
    </row>
    <row r="8" spans="2:4" ht="15" thickBot="1" x14ac:dyDescent="0.35">
      <c r="B8" s="71" t="s">
        <v>46</v>
      </c>
      <c r="C8" s="70" t="s">
        <v>43</v>
      </c>
      <c r="D8" s="39">
        <f>D3+D4+D5-D6-D7</f>
        <v>291</v>
      </c>
    </row>
    <row r="11" spans="2:4" x14ac:dyDescent="0.3">
      <c r="C11" t="s">
        <v>60</v>
      </c>
    </row>
    <row r="12" spans="2:4" ht="15" thickBot="1" x14ac:dyDescent="0.35">
      <c r="B12" s="3"/>
    </row>
    <row r="13" spans="2:4" ht="15" thickBot="1" x14ac:dyDescent="0.35">
      <c r="B13" s="35"/>
      <c r="C13" s="40" t="s">
        <v>48</v>
      </c>
      <c r="D13" s="40">
        <v>429</v>
      </c>
    </row>
    <row r="14" spans="2:4" x14ac:dyDescent="0.3">
      <c r="B14" s="75" t="s">
        <v>44</v>
      </c>
      <c r="C14" s="41" t="s">
        <v>49</v>
      </c>
      <c r="D14" s="41">
        <v>0</v>
      </c>
    </row>
    <row r="15" spans="2:4" x14ac:dyDescent="0.3">
      <c r="B15" s="76" t="s">
        <v>44</v>
      </c>
      <c r="C15" s="41" t="s">
        <v>50</v>
      </c>
      <c r="D15" s="41">
        <v>0</v>
      </c>
    </row>
    <row r="16" spans="2:4" x14ac:dyDescent="0.3">
      <c r="B16" s="76" t="s">
        <v>45</v>
      </c>
      <c r="C16" s="41" t="s">
        <v>51</v>
      </c>
      <c r="D16" s="41">
        <v>25</v>
      </c>
    </row>
    <row r="17" spans="2:4" x14ac:dyDescent="0.3">
      <c r="B17" s="76" t="s">
        <v>59</v>
      </c>
      <c r="C17" s="41" t="s">
        <v>52</v>
      </c>
      <c r="D17" s="41">
        <v>0</v>
      </c>
    </row>
    <row r="18" spans="2:4" x14ac:dyDescent="0.3">
      <c r="B18" s="76" t="s">
        <v>44</v>
      </c>
      <c r="C18" s="41" t="s">
        <v>53</v>
      </c>
      <c r="D18" s="41">
        <v>16</v>
      </c>
    </row>
    <row r="19" spans="2:4" x14ac:dyDescent="0.3">
      <c r="B19" s="76" t="s">
        <v>45</v>
      </c>
      <c r="C19" s="41" t="s">
        <v>54</v>
      </c>
      <c r="D19" s="41">
        <v>41</v>
      </c>
    </row>
    <row r="20" spans="2:4" x14ac:dyDescent="0.3">
      <c r="B20" s="76" t="s">
        <v>44</v>
      </c>
      <c r="C20" s="41" t="s">
        <v>55</v>
      </c>
      <c r="D20" s="41">
        <v>2</v>
      </c>
    </row>
    <row r="21" spans="2:4" x14ac:dyDescent="0.3">
      <c r="B21" s="76" t="s">
        <v>45</v>
      </c>
      <c r="C21" s="41" t="s">
        <v>56</v>
      </c>
      <c r="D21" s="41">
        <v>6</v>
      </c>
    </row>
    <row r="22" spans="2:4" x14ac:dyDescent="0.3">
      <c r="B22" s="76" t="s">
        <v>45</v>
      </c>
      <c r="C22" s="41" t="s">
        <v>57</v>
      </c>
      <c r="D22" s="41">
        <v>0</v>
      </c>
    </row>
    <row r="23" spans="2:4" ht="15" thickBot="1" x14ac:dyDescent="0.35">
      <c r="B23" s="77" t="s">
        <v>45</v>
      </c>
      <c r="C23" s="42" t="s">
        <v>58</v>
      </c>
      <c r="D23" s="42">
        <v>84</v>
      </c>
    </row>
    <row r="24" spans="2:4" ht="15" thickBot="1" x14ac:dyDescent="0.35">
      <c r="B24" s="71" t="s">
        <v>46</v>
      </c>
      <c r="C24" s="70" t="s">
        <v>43</v>
      </c>
      <c r="D24" s="39">
        <f>D13+D14+D15-D16+D17+D18-D19+D20-D21-D22-D23</f>
        <v>291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L30"/>
  <sheetViews>
    <sheetView topLeftCell="A4" workbookViewId="0">
      <selection activeCell="E11" sqref="E11"/>
    </sheetView>
  </sheetViews>
  <sheetFormatPr baseColWidth="10" defaultRowHeight="14.4" x14ac:dyDescent="0.3"/>
  <cols>
    <col min="2" max="2" width="31" customWidth="1"/>
    <col min="4" max="4" width="50" customWidth="1"/>
    <col min="8" max="8" width="30.77734375" customWidth="1"/>
    <col min="10" max="10" width="8.5546875" customWidth="1"/>
    <col min="11" max="11" width="19.33203125" customWidth="1"/>
  </cols>
  <sheetData>
    <row r="4" spans="2:12" ht="15" thickBot="1" x14ac:dyDescent="0.35"/>
    <row r="5" spans="2:12" ht="15" thickBot="1" x14ac:dyDescent="0.35">
      <c r="B5" s="160" t="s">
        <v>64</v>
      </c>
      <c r="C5" s="161"/>
      <c r="D5" s="161"/>
      <c r="E5" s="162"/>
      <c r="G5" s="79"/>
      <c r="H5" s="79"/>
      <c r="I5" s="79"/>
      <c r="J5" s="79"/>
      <c r="K5" s="79"/>
      <c r="L5" s="79"/>
    </row>
    <row r="6" spans="2:12" ht="15" thickBot="1" x14ac:dyDescent="0.35">
      <c r="B6" s="174" t="s">
        <v>61</v>
      </c>
      <c r="C6" s="174" t="s">
        <v>62</v>
      </c>
      <c r="D6" s="174" t="s">
        <v>63</v>
      </c>
      <c r="E6" s="47" t="s">
        <v>62</v>
      </c>
      <c r="G6" s="79"/>
      <c r="H6" s="79" t="s">
        <v>112</v>
      </c>
      <c r="I6" s="79">
        <v>43050</v>
      </c>
      <c r="J6" s="79"/>
      <c r="K6" s="79" t="s">
        <v>113</v>
      </c>
      <c r="L6" s="79">
        <v>83520</v>
      </c>
    </row>
    <row r="7" spans="2:12" ht="15" thickBot="1" x14ac:dyDescent="0.35">
      <c r="B7" s="166" t="s">
        <v>65</v>
      </c>
      <c r="C7" s="167"/>
      <c r="D7" s="166" t="s">
        <v>82</v>
      </c>
      <c r="E7" s="167"/>
      <c r="G7" s="79"/>
      <c r="H7" s="79" t="s">
        <v>114</v>
      </c>
      <c r="I7" s="79">
        <v>44050</v>
      </c>
      <c r="J7" s="79"/>
      <c r="K7" s="79" t="s">
        <v>115</v>
      </c>
      <c r="L7" s="79">
        <v>39470</v>
      </c>
    </row>
    <row r="8" spans="2:12" x14ac:dyDescent="0.3">
      <c r="B8" s="20" t="s">
        <v>66</v>
      </c>
      <c r="C8" s="36">
        <v>36788</v>
      </c>
      <c r="D8" s="78" t="s">
        <v>83</v>
      </c>
      <c r="E8" s="36">
        <v>43931.1</v>
      </c>
      <c r="G8" s="79"/>
      <c r="H8" s="79"/>
      <c r="I8" s="79"/>
      <c r="J8" s="79"/>
      <c r="K8" s="79" t="s">
        <v>116</v>
      </c>
      <c r="L8" s="79">
        <v>44050</v>
      </c>
    </row>
    <row r="9" spans="2:12" x14ac:dyDescent="0.3">
      <c r="B9" s="163" t="s">
        <v>67</v>
      </c>
      <c r="C9" s="165">
        <v>0</v>
      </c>
      <c r="D9" s="22" t="s">
        <v>84</v>
      </c>
      <c r="E9" s="37">
        <v>0</v>
      </c>
      <c r="G9" s="79"/>
      <c r="H9" s="79"/>
      <c r="I9" s="79"/>
      <c r="J9" s="79"/>
      <c r="K9" s="79"/>
      <c r="L9" s="79"/>
    </row>
    <row r="10" spans="2:12" x14ac:dyDescent="0.3">
      <c r="B10" s="163"/>
      <c r="C10" s="148"/>
      <c r="D10" s="22" t="s">
        <v>85</v>
      </c>
      <c r="E10" s="37">
        <v>6192.9</v>
      </c>
      <c r="G10" s="79"/>
      <c r="H10" s="79"/>
      <c r="I10" s="79"/>
      <c r="J10" s="79"/>
      <c r="K10" s="79" t="s">
        <v>117</v>
      </c>
      <c r="L10" s="79">
        <v>0</v>
      </c>
    </row>
    <row r="11" spans="2:12" ht="15" thickBot="1" x14ac:dyDescent="0.35">
      <c r="B11" s="164"/>
      <c r="C11" s="149"/>
      <c r="D11" s="21" t="s">
        <v>86</v>
      </c>
      <c r="E11" s="46">
        <v>29714</v>
      </c>
      <c r="G11" s="79"/>
      <c r="H11" s="79"/>
      <c r="I11" s="79"/>
      <c r="J11" s="79"/>
      <c r="K11" s="79" t="s">
        <v>118</v>
      </c>
      <c r="L11" s="79">
        <v>0</v>
      </c>
    </row>
    <row r="12" spans="2:12" ht="15" thickBot="1" x14ac:dyDescent="0.35">
      <c r="B12" s="48" t="s">
        <v>5</v>
      </c>
      <c r="C12" s="34">
        <f>C8+C9</f>
        <v>36788</v>
      </c>
      <c r="D12" s="48" t="s">
        <v>5</v>
      </c>
      <c r="E12" s="34">
        <f>SUM(E8:E11)</f>
        <v>79838</v>
      </c>
      <c r="G12" s="79"/>
      <c r="H12" s="79"/>
      <c r="I12" s="79"/>
      <c r="J12" s="79"/>
      <c r="K12" s="79" t="s">
        <v>119</v>
      </c>
      <c r="L12" s="79">
        <v>0</v>
      </c>
    </row>
    <row r="13" spans="2:12" ht="15" thickBot="1" x14ac:dyDescent="0.35">
      <c r="B13" s="158" t="s">
        <v>68</v>
      </c>
      <c r="C13" s="159"/>
      <c r="D13" s="158" t="s">
        <v>87</v>
      </c>
      <c r="E13" s="159"/>
      <c r="G13" s="79"/>
      <c r="H13" s="79"/>
      <c r="I13" s="79"/>
      <c r="J13" s="79"/>
      <c r="K13" s="79"/>
      <c r="L13" s="79"/>
    </row>
    <row r="14" spans="2:12" x14ac:dyDescent="0.3">
      <c r="B14" s="154" t="s">
        <v>69</v>
      </c>
      <c r="C14" s="155"/>
      <c r="D14" s="154" t="s">
        <v>88</v>
      </c>
      <c r="E14" s="155"/>
      <c r="G14" s="79"/>
      <c r="H14" s="79" t="s">
        <v>120</v>
      </c>
      <c r="I14" s="79">
        <v>-1000</v>
      </c>
      <c r="J14" s="79"/>
      <c r="K14" s="79" t="s">
        <v>121</v>
      </c>
      <c r="L14" s="79">
        <v>5130</v>
      </c>
    </row>
    <row r="15" spans="2:12" x14ac:dyDescent="0.3">
      <c r="B15" s="45" t="s">
        <v>70</v>
      </c>
      <c r="C15" s="45">
        <v>51128</v>
      </c>
      <c r="D15" s="22" t="s">
        <v>92</v>
      </c>
      <c r="E15" s="45">
        <v>0</v>
      </c>
      <c r="G15" s="79"/>
      <c r="H15" s="79"/>
      <c r="I15" s="79"/>
      <c r="J15" s="79"/>
      <c r="K15" s="79" t="s">
        <v>122</v>
      </c>
      <c r="L15" s="79">
        <v>6130</v>
      </c>
    </row>
    <row r="16" spans="2:12" x14ac:dyDescent="0.3">
      <c r="B16" s="45" t="s">
        <v>71</v>
      </c>
      <c r="C16" s="45">
        <v>0</v>
      </c>
      <c r="D16" s="22" t="s">
        <v>93</v>
      </c>
      <c r="E16" s="45">
        <v>14400</v>
      </c>
      <c r="G16" s="79"/>
      <c r="H16" s="79"/>
      <c r="I16" s="79"/>
      <c r="J16" s="79"/>
      <c r="K16" s="79"/>
      <c r="L16" s="79"/>
    </row>
    <row r="17" spans="2:12" x14ac:dyDescent="0.3">
      <c r="B17" s="45" t="s">
        <v>72</v>
      </c>
      <c r="C17" s="45">
        <v>32392</v>
      </c>
      <c r="D17" s="22" t="s">
        <v>94</v>
      </c>
      <c r="E17" s="45">
        <v>20920</v>
      </c>
      <c r="G17" s="79"/>
      <c r="H17" s="79"/>
      <c r="I17" s="79"/>
      <c r="J17" s="79"/>
      <c r="K17" s="79"/>
      <c r="L17" s="79"/>
    </row>
    <row r="18" spans="2:12" ht="15" thickBot="1" x14ac:dyDescent="0.35">
      <c r="B18" s="45" t="s">
        <v>73</v>
      </c>
      <c r="C18" s="45">
        <v>0</v>
      </c>
      <c r="D18" s="22" t="s">
        <v>95</v>
      </c>
      <c r="E18" s="45">
        <v>920</v>
      </c>
      <c r="G18" s="79"/>
      <c r="H18" s="79"/>
      <c r="I18" s="79"/>
      <c r="J18" s="79"/>
      <c r="K18" s="79"/>
      <c r="L18" s="79"/>
    </row>
    <row r="19" spans="2:12" ht="15" thickBot="1" x14ac:dyDescent="0.35">
      <c r="B19" s="45" t="s">
        <v>74</v>
      </c>
      <c r="C19" s="45">
        <v>0</v>
      </c>
      <c r="D19" s="22" t="s">
        <v>100</v>
      </c>
      <c r="E19" s="45">
        <v>3230</v>
      </c>
      <c r="G19" s="79"/>
      <c r="H19" s="106" t="s">
        <v>121</v>
      </c>
      <c r="I19" s="82">
        <v>5130</v>
      </c>
      <c r="J19" s="79"/>
      <c r="K19" s="79"/>
      <c r="L19" s="79"/>
    </row>
    <row r="20" spans="2:12" ht="15" thickBot="1" x14ac:dyDescent="0.35">
      <c r="B20" s="152" t="s">
        <v>75</v>
      </c>
      <c r="C20" s="153"/>
      <c r="D20" s="156" t="s">
        <v>89</v>
      </c>
      <c r="E20" s="157"/>
      <c r="G20" s="81" t="s">
        <v>123</v>
      </c>
      <c r="H20" s="107" t="s">
        <v>122</v>
      </c>
      <c r="I20" s="83">
        <v>6130</v>
      </c>
      <c r="J20" s="79"/>
      <c r="K20" s="79"/>
      <c r="L20" s="79"/>
    </row>
    <row r="21" spans="2:12" ht="15" thickBot="1" x14ac:dyDescent="0.35">
      <c r="B21" s="45" t="s">
        <v>76</v>
      </c>
      <c r="C21" s="45">
        <v>0</v>
      </c>
      <c r="D21" s="22" t="s">
        <v>96</v>
      </c>
      <c r="E21" s="44">
        <v>0</v>
      </c>
      <c r="G21" s="80" t="s">
        <v>124</v>
      </c>
      <c r="H21" s="105" t="s">
        <v>120</v>
      </c>
      <c r="I21" s="84">
        <v>-1000</v>
      </c>
      <c r="J21" s="79"/>
      <c r="K21" s="79"/>
      <c r="L21" s="79"/>
    </row>
    <row r="22" spans="2:12" x14ac:dyDescent="0.3">
      <c r="B22" s="45" t="s">
        <v>77</v>
      </c>
      <c r="C22" s="45">
        <v>0</v>
      </c>
      <c r="D22" s="22" t="s">
        <v>97</v>
      </c>
      <c r="E22" s="45">
        <v>0</v>
      </c>
      <c r="G22" s="79"/>
      <c r="H22" s="79"/>
      <c r="I22" s="79"/>
      <c r="J22" s="79"/>
      <c r="K22" s="79"/>
      <c r="L22" s="79"/>
    </row>
    <row r="23" spans="2:12" x14ac:dyDescent="0.3">
      <c r="B23" s="45" t="s">
        <v>78</v>
      </c>
      <c r="C23" s="45">
        <v>0</v>
      </c>
      <c r="D23" s="22" t="s">
        <v>98</v>
      </c>
      <c r="E23" s="45">
        <v>0</v>
      </c>
      <c r="G23" s="79"/>
      <c r="H23" s="79"/>
      <c r="I23" s="79"/>
      <c r="J23" s="79"/>
      <c r="K23" s="79"/>
      <c r="L23" s="79"/>
    </row>
    <row r="24" spans="2:12" ht="15" thickBot="1" x14ac:dyDescent="0.35">
      <c r="B24" s="45" t="s">
        <v>79</v>
      </c>
      <c r="C24" s="45">
        <v>0</v>
      </c>
      <c r="E24" s="37"/>
      <c r="G24" s="79"/>
      <c r="H24" s="79"/>
      <c r="I24" s="79"/>
      <c r="J24" s="79"/>
      <c r="K24" s="79"/>
      <c r="L24" s="79"/>
    </row>
    <row r="25" spans="2:12" ht="15" thickBot="1" x14ac:dyDescent="0.35">
      <c r="B25" s="11"/>
      <c r="C25" s="37"/>
      <c r="D25" s="11"/>
      <c r="E25" s="37"/>
      <c r="G25" s="79"/>
      <c r="H25" s="108" t="s">
        <v>125</v>
      </c>
      <c r="I25" s="85">
        <v>2.1702185495270196</v>
      </c>
      <c r="J25" s="79"/>
      <c r="K25" s="79"/>
      <c r="L25" s="79"/>
    </row>
    <row r="26" spans="2:12" ht="15" thickBot="1" x14ac:dyDescent="0.35">
      <c r="B26" s="156" t="s">
        <v>80</v>
      </c>
      <c r="C26" s="157"/>
      <c r="D26" s="156" t="s">
        <v>101</v>
      </c>
      <c r="E26" s="157"/>
      <c r="H26" s="109" t="s">
        <v>126</v>
      </c>
      <c r="I26" s="85">
        <v>0.71510653579123773</v>
      </c>
    </row>
    <row r="27" spans="2:12" x14ac:dyDescent="0.3">
      <c r="B27" s="22" t="s">
        <v>81</v>
      </c>
      <c r="C27" s="37">
        <v>5130</v>
      </c>
      <c r="D27" s="22" t="s">
        <v>99</v>
      </c>
      <c r="E27" s="37">
        <v>6130</v>
      </c>
    </row>
    <row r="28" spans="2:12" x14ac:dyDescent="0.3">
      <c r="B28" s="11"/>
      <c r="C28" s="37"/>
      <c r="D28" s="22" t="s">
        <v>90</v>
      </c>
      <c r="E28" s="37"/>
    </row>
    <row r="29" spans="2:12" ht="15" thickBot="1" x14ac:dyDescent="0.35">
      <c r="B29" s="9"/>
      <c r="C29" s="38"/>
      <c r="D29" s="21" t="s">
        <v>91</v>
      </c>
      <c r="E29" s="38"/>
    </row>
    <row r="30" spans="2:12" ht="15" thickBot="1" x14ac:dyDescent="0.35">
      <c r="B30" s="48" t="s">
        <v>5</v>
      </c>
      <c r="C30" s="34">
        <f>SUM(C15:C29)</f>
        <v>88650</v>
      </c>
      <c r="D30" s="48" t="s">
        <v>5</v>
      </c>
      <c r="E30" s="34">
        <f>SUM(E15:E29)</f>
        <v>45600</v>
      </c>
    </row>
  </sheetData>
  <mergeCells count="13">
    <mergeCell ref="B13:C13"/>
    <mergeCell ref="D13:E13"/>
    <mergeCell ref="B5:E5"/>
    <mergeCell ref="B9:B11"/>
    <mergeCell ref="C9:C11"/>
    <mergeCell ref="B7:C7"/>
    <mergeCell ref="D7:E7"/>
    <mergeCell ref="B20:C20"/>
    <mergeCell ref="B14:C14"/>
    <mergeCell ref="D14:E14"/>
    <mergeCell ref="D20:E20"/>
    <mergeCell ref="D26:E26"/>
    <mergeCell ref="B26:C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3513-5DBB-4153-8195-42F1258585FC}">
  <dimension ref="B1:L21"/>
  <sheetViews>
    <sheetView tabSelected="1" workbookViewId="0">
      <selection activeCell="C7" sqref="C7:H7"/>
    </sheetView>
  </sheetViews>
  <sheetFormatPr baseColWidth="10" defaultRowHeight="14.4" x14ac:dyDescent="0.3"/>
  <cols>
    <col min="2" max="2" width="23.109375" customWidth="1"/>
    <col min="10" max="10" width="34.44140625" customWidth="1"/>
  </cols>
  <sheetData>
    <row r="1" spans="2:12" ht="15" thickBot="1" x14ac:dyDescent="0.35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2:12" ht="15" thickBot="1" x14ac:dyDescent="0.35">
      <c r="B2" s="168" t="s">
        <v>127</v>
      </c>
      <c r="C2" s="169"/>
      <c r="D2" s="169"/>
      <c r="E2" s="169"/>
      <c r="F2" s="169"/>
      <c r="G2" s="169"/>
      <c r="H2" s="170"/>
      <c r="I2" s="86"/>
      <c r="J2" s="86"/>
      <c r="K2" s="86"/>
      <c r="L2" s="86"/>
    </row>
    <row r="3" spans="2:12" ht="15" thickBot="1" x14ac:dyDescent="0.35">
      <c r="B3" s="105" t="s">
        <v>128</v>
      </c>
      <c r="C3" s="87">
        <v>0</v>
      </c>
      <c r="D3" s="87">
        <v>1</v>
      </c>
      <c r="E3" s="87">
        <v>2</v>
      </c>
      <c r="F3" s="87">
        <v>3</v>
      </c>
      <c r="G3" s="87">
        <v>4</v>
      </c>
      <c r="H3" s="93">
        <v>5</v>
      </c>
      <c r="I3" s="86"/>
      <c r="J3" s="86"/>
      <c r="K3" s="86"/>
      <c r="L3" s="86"/>
    </row>
    <row r="4" spans="2:12" ht="15" thickBot="1" x14ac:dyDescent="0.35">
      <c r="B4" s="105" t="s">
        <v>129</v>
      </c>
      <c r="C4" s="99">
        <v>-500000</v>
      </c>
      <c r="D4" s="97"/>
      <c r="E4" s="97"/>
      <c r="F4" s="97"/>
      <c r="G4" s="97"/>
      <c r="H4" s="98"/>
      <c r="I4" s="86"/>
      <c r="J4" s="86"/>
      <c r="K4" s="86"/>
      <c r="L4" s="86"/>
    </row>
    <row r="5" spans="2:12" ht="15" thickBot="1" x14ac:dyDescent="0.35">
      <c r="B5" s="105" t="s">
        <v>130</v>
      </c>
      <c r="C5" s="100"/>
      <c r="D5" s="88">
        <v>100000</v>
      </c>
      <c r="E5" s="88">
        <v>40000</v>
      </c>
      <c r="F5" s="88">
        <v>70000</v>
      </c>
      <c r="G5" s="88">
        <v>200000</v>
      </c>
      <c r="H5" s="95">
        <v>360000</v>
      </c>
      <c r="I5" s="86"/>
      <c r="J5" s="104" t="s">
        <v>131</v>
      </c>
      <c r="K5" s="101">
        <v>0.12</v>
      </c>
      <c r="L5" s="101">
        <v>0.15</v>
      </c>
    </row>
    <row r="6" spans="2:12" ht="15" thickBot="1" x14ac:dyDescent="0.35">
      <c r="B6" s="105" t="s">
        <v>132</v>
      </c>
      <c r="C6" s="90">
        <v>-500000</v>
      </c>
      <c r="D6" s="89">
        <v>89285.714285714275</v>
      </c>
      <c r="E6" s="89">
        <v>31887.75510204081</v>
      </c>
      <c r="F6" s="89">
        <v>49824.617346938765</v>
      </c>
      <c r="G6" s="89">
        <v>127103.61568096624</v>
      </c>
      <c r="H6" s="96">
        <v>204273.66805869571</v>
      </c>
      <c r="I6" s="86"/>
      <c r="J6" s="104" t="s">
        <v>133</v>
      </c>
      <c r="K6" s="101">
        <v>1.1200000000000001</v>
      </c>
      <c r="L6" s="101">
        <v>1.1499999999999999</v>
      </c>
    </row>
    <row r="7" spans="2:12" ht="15" thickBot="1" x14ac:dyDescent="0.35">
      <c r="B7" s="105" t="s">
        <v>134</v>
      </c>
      <c r="C7" s="171">
        <v>2375.370474355761</v>
      </c>
      <c r="D7" s="172"/>
      <c r="E7" s="172"/>
      <c r="F7" s="172"/>
      <c r="G7" s="172"/>
      <c r="H7" s="173"/>
      <c r="I7" s="86"/>
      <c r="J7" s="86"/>
      <c r="K7" s="86"/>
      <c r="L7" s="86"/>
    </row>
    <row r="9" spans="2:12" ht="15" thickBot="1" x14ac:dyDescent="0.35"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</row>
    <row r="10" spans="2:12" ht="15" thickBot="1" x14ac:dyDescent="0.35">
      <c r="B10" s="168" t="s">
        <v>127</v>
      </c>
      <c r="C10" s="169"/>
      <c r="D10" s="169"/>
      <c r="E10" s="169"/>
      <c r="F10" s="169"/>
      <c r="G10" s="169"/>
      <c r="H10" s="170"/>
      <c r="I10" s="86"/>
      <c r="J10" s="86"/>
      <c r="K10" s="86"/>
      <c r="L10" s="86"/>
    </row>
    <row r="11" spans="2:12" ht="15" thickBot="1" x14ac:dyDescent="0.35">
      <c r="B11" s="105" t="s">
        <v>128</v>
      </c>
      <c r="C11" s="87">
        <v>0</v>
      </c>
      <c r="D11" s="87">
        <v>1</v>
      </c>
      <c r="E11" s="87">
        <v>2</v>
      </c>
      <c r="F11" s="87">
        <v>3</v>
      </c>
      <c r="G11" s="87">
        <v>4</v>
      </c>
      <c r="H11" s="93">
        <v>5</v>
      </c>
      <c r="I11" s="86"/>
      <c r="J11" s="86"/>
      <c r="K11" s="86"/>
      <c r="L11" s="86"/>
    </row>
    <row r="12" spans="2:12" ht="15" thickBot="1" x14ac:dyDescent="0.35">
      <c r="B12" s="105" t="s">
        <v>129</v>
      </c>
      <c r="C12" s="99">
        <v>-500000</v>
      </c>
      <c r="D12" s="97"/>
      <c r="E12" s="97"/>
      <c r="F12" s="97"/>
      <c r="G12" s="97"/>
      <c r="H12" s="98"/>
      <c r="I12" s="86"/>
      <c r="J12" s="86" t="s">
        <v>135</v>
      </c>
      <c r="K12" s="86"/>
      <c r="L12" s="86"/>
    </row>
    <row r="13" spans="2:12" ht="15" thickBot="1" x14ac:dyDescent="0.35">
      <c r="B13" s="105" t="s">
        <v>130</v>
      </c>
      <c r="C13" s="100"/>
      <c r="D13" s="88">
        <v>100000</v>
      </c>
      <c r="E13" s="88">
        <v>40000</v>
      </c>
      <c r="F13" s="88">
        <v>70000</v>
      </c>
      <c r="G13" s="88">
        <v>200000</v>
      </c>
      <c r="H13" s="95">
        <v>360000</v>
      </c>
      <c r="I13" s="86"/>
      <c r="J13" s="86"/>
      <c r="K13" s="86"/>
      <c r="L13" s="86"/>
    </row>
    <row r="14" spans="2:12" ht="15" thickBot="1" x14ac:dyDescent="0.35">
      <c r="B14" s="105" t="s">
        <v>132</v>
      </c>
      <c r="C14" s="90">
        <v>-500000</v>
      </c>
      <c r="D14" s="89">
        <v>86956.521739130447</v>
      </c>
      <c r="E14" s="89">
        <v>30245.74669187146</v>
      </c>
      <c r="F14" s="89">
        <v>46026.136270239185</v>
      </c>
      <c r="G14" s="89">
        <v>114350.64911860667</v>
      </c>
      <c r="H14" s="89">
        <v>178983.62470738436</v>
      </c>
      <c r="I14" s="86"/>
      <c r="J14" s="86"/>
      <c r="K14" s="86"/>
      <c r="L14" s="86"/>
    </row>
    <row r="15" spans="2:12" ht="15" thickBot="1" x14ac:dyDescent="0.35">
      <c r="B15" s="105" t="s">
        <v>134</v>
      </c>
      <c r="C15" s="171">
        <v>-43437.321472767857</v>
      </c>
      <c r="D15" s="172"/>
      <c r="E15" s="172"/>
      <c r="F15" s="172"/>
      <c r="G15" s="172"/>
      <c r="H15" s="173"/>
      <c r="I15" s="86"/>
      <c r="J15" s="86"/>
      <c r="K15" s="86"/>
      <c r="L15" s="86"/>
    </row>
    <row r="16" spans="2:12" ht="15" thickBot="1" x14ac:dyDescent="0.35"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</row>
    <row r="17" spans="2:8" ht="15" thickBot="1" x14ac:dyDescent="0.35">
      <c r="B17" s="168" t="s">
        <v>127</v>
      </c>
      <c r="C17" s="169"/>
      <c r="D17" s="169"/>
      <c r="E17" s="169"/>
      <c r="F17" s="169"/>
      <c r="G17" s="169"/>
      <c r="H17" s="170"/>
    </row>
    <row r="18" spans="2:8" ht="15" thickBot="1" x14ac:dyDescent="0.35">
      <c r="B18" s="105" t="s">
        <v>128</v>
      </c>
      <c r="C18" s="87">
        <v>0</v>
      </c>
      <c r="D18" s="87">
        <v>1</v>
      </c>
      <c r="E18" s="87">
        <v>2</v>
      </c>
      <c r="F18" s="87">
        <v>3</v>
      </c>
      <c r="G18" s="87">
        <v>4</v>
      </c>
      <c r="H18" s="93">
        <v>5</v>
      </c>
    </row>
    <row r="19" spans="2:8" ht="15" thickBot="1" x14ac:dyDescent="0.35">
      <c r="B19" s="105" t="s">
        <v>130</v>
      </c>
      <c r="C19" s="94">
        <v>-500000</v>
      </c>
      <c r="D19" s="88">
        <v>100000</v>
      </c>
      <c r="E19" s="88">
        <v>40000</v>
      </c>
      <c r="F19" s="88">
        <v>70000</v>
      </c>
      <c r="G19" s="88">
        <v>200000</v>
      </c>
      <c r="H19" s="95">
        <v>360000</v>
      </c>
    </row>
    <row r="20" spans="2:8" ht="15" thickBot="1" x14ac:dyDescent="0.35">
      <c r="B20" s="105" t="s">
        <v>132</v>
      </c>
      <c r="C20" s="91">
        <v>-500000</v>
      </c>
      <c r="D20" s="103">
        <v>89285.714285714275</v>
      </c>
      <c r="E20" s="103">
        <v>30245.74669187146</v>
      </c>
      <c r="F20" s="103">
        <v>46026.136270239185</v>
      </c>
      <c r="G20" s="103">
        <v>114350.64911860667</v>
      </c>
      <c r="H20" s="92">
        <v>178983.62470738436</v>
      </c>
    </row>
    <row r="21" spans="2:8" ht="15" thickBot="1" x14ac:dyDescent="0.35">
      <c r="B21" s="105" t="s">
        <v>136</v>
      </c>
      <c r="C21" s="87">
        <v>-500000</v>
      </c>
      <c r="D21" s="102">
        <v>-410714.28571428574</v>
      </c>
      <c r="E21" s="102">
        <v>-380468.5390224143</v>
      </c>
      <c r="F21" s="102">
        <v>-334442.40275217511</v>
      </c>
      <c r="G21" s="102">
        <v>-220091.75363356844</v>
      </c>
      <c r="H21" s="102">
        <v>-41108.128926184087</v>
      </c>
    </row>
  </sheetData>
  <mergeCells count="5">
    <mergeCell ref="B2:H2"/>
    <mergeCell ref="C7:H7"/>
    <mergeCell ref="B10:H10"/>
    <mergeCell ref="C15:H15"/>
    <mergeCell ref="B17:H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FB19-F4F1-4651-9AD4-1A975C1DB795}">
  <dimension ref="B2:H8"/>
  <sheetViews>
    <sheetView workbookViewId="0">
      <selection activeCell="F15" sqref="F15"/>
    </sheetView>
  </sheetViews>
  <sheetFormatPr baseColWidth="10" defaultRowHeight="14.4" x14ac:dyDescent="0.3"/>
  <cols>
    <col min="7" max="7" width="16.21875" customWidth="1"/>
  </cols>
  <sheetData>
    <row r="2" spans="2:8" x14ac:dyDescent="0.3">
      <c r="B2" s="111" t="s">
        <v>137</v>
      </c>
      <c r="C2" s="111" t="s">
        <v>134</v>
      </c>
      <c r="D2" s="111" t="s">
        <v>135</v>
      </c>
      <c r="E2" s="111" t="s">
        <v>138</v>
      </c>
      <c r="G2" s="111" t="s">
        <v>139</v>
      </c>
      <c r="H2" s="111" t="s">
        <v>140</v>
      </c>
    </row>
    <row r="3" spans="2:8" x14ac:dyDescent="0.3">
      <c r="B3" s="111">
        <v>1</v>
      </c>
      <c r="C3" s="114">
        <f>- 500 + 300 * (1 + 0.1)^-1 + 300 * (1.1)^-2 + 300 * (1.1)^-3 + 300 * (1.1)^-4 + 300 * (1.1)^-5</f>
        <v>637.2360308225343</v>
      </c>
      <c r="D3" s="110">
        <f>(53-10 )*  (0-637236)/(-1475-637236 )+10</f>
        <v>52.900698437947682</v>
      </c>
      <c r="E3" s="112">
        <f xml:space="preserve"> C3/500 + 1</f>
        <v>2.2744720616450689</v>
      </c>
      <c r="G3" s="88"/>
      <c r="H3" s="88"/>
    </row>
    <row r="4" spans="2:8" x14ac:dyDescent="0.3">
      <c r="B4" s="111">
        <v>2</v>
      </c>
      <c r="C4" s="115">
        <f>- 800 + 400 * (1 + 0.1)^-1 + 400 * (1.1)^-2 + 400 * (1.1)^-3 + 400 * (1.1)^-4 + 400 * (1.1)^-5</f>
        <v>716.31470776337903</v>
      </c>
      <c r="D4" s="110">
        <f>(42-10 )*  (0-716315)/(-12575-716315 )+10</f>
        <v>41.447927670841963</v>
      </c>
      <c r="E4" s="112">
        <f xml:space="preserve"> C4/800 + 1</f>
        <v>1.8953933847042239</v>
      </c>
      <c r="G4" s="88">
        <f>- 800 + 400 * (1 + 0.42)^-1 + 400 * (1 + 0.42)^-2 + 400 * (1 + 0.42)^-3 + 400 * (1 + 0.42)^-4 + 400 * (1 + 0.42)^-5</f>
        <v>-12.5753750693749</v>
      </c>
      <c r="H4" s="113">
        <v>0.42</v>
      </c>
    </row>
    <row r="5" spans="2:8" x14ac:dyDescent="0.3">
      <c r="B5" s="111">
        <v>3</v>
      </c>
      <c r="C5" s="115">
        <f>- 1200 + 500 * (1 + 0.1)^-1 + 500 * (1.1)^-2 + 500 * (1.1)^-3 + 500 * (1.1)^-4 + 500 * (1.1)^-5</f>
        <v>695.39338470422376</v>
      </c>
      <c r="D5" s="116">
        <v>30.77</v>
      </c>
      <c r="E5" s="112">
        <f>C5/1200 +1</f>
        <v>1.5794944872535197</v>
      </c>
      <c r="G5" s="88"/>
      <c r="H5" s="113"/>
    </row>
    <row r="6" spans="2:8" x14ac:dyDescent="0.3">
      <c r="B6" s="111">
        <v>4</v>
      </c>
      <c r="C6" s="115">
        <f>- 700 + 400 * (1 + 0.1)^-1 + 400 * (1.1)^-2 + 400 * (1.1)^-3 + 400 * (1.1)^-4 + 400 * (1.1)^-5</f>
        <v>816.31470776337903</v>
      </c>
      <c r="D6" s="116">
        <v>49.49</v>
      </c>
      <c r="E6" s="112">
        <f>C6 / 700 +1</f>
        <v>2.1661638682333986</v>
      </c>
      <c r="G6" s="88"/>
      <c r="H6" s="113"/>
    </row>
    <row r="7" spans="2:8" x14ac:dyDescent="0.3">
      <c r="B7" s="111">
        <v>5</v>
      </c>
      <c r="C7" s="115">
        <f>- 300 + 100 * (1 + 0.1)^-1 + 100 * (1.1)^-2 + 100 * (1.1)^-3 + 100 * (1.1)^-4 + 100 * (1.1)^-5</f>
        <v>79.078676940844758</v>
      </c>
      <c r="D7" s="116">
        <v>19.86</v>
      </c>
      <c r="E7" s="112">
        <f xml:space="preserve"> C7/300 +1</f>
        <v>1.2635955898028159</v>
      </c>
      <c r="G7" s="88"/>
      <c r="H7" s="113"/>
    </row>
    <row r="8" spans="2:8" x14ac:dyDescent="0.3">
      <c r="B8" s="111">
        <v>6</v>
      </c>
      <c r="C8" s="115">
        <f>- 600 + 250 * (1 + 0.1)^-1 + 250 * (1.1)^-2 + 250 * (1.1)^-3 + 250 * (1.1)^-4 + 250 * (1.1)^-5</f>
        <v>347.69669235211188</v>
      </c>
      <c r="D8" s="116">
        <v>30.77</v>
      </c>
      <c r="E8" s="112">
        <f>C8/600 +1</f>
        <v>1.5794944872535197</v>
      </c>
      <c r="G8" s="88"/>
      <c r="H8" s="11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Feuil4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2018-01-05T16:49:55Z</dcterms:modified>
</cp:coreProperties>
</file>