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wopa02\OneDrive - Woodside Energy Ltd\1.Woodside\Strategy &amp; Planning\CI\DMAT Tool\"/>
    </mc:Choice>
  </mc:AlternateContent>
  <xr:revisionPtr revIDLastSave="0" documentId="10_ncr:100000_{166A8508-7C43-4C53-BF1C-3E91F3AE5DE2}" xr6:coauthVersionLast="31" xr6:coauthVersionMax="31" xr10:uidLastSave="{00000000-0000-0000-0000-000000000000}"/>
  <bookViews>
    <workbookView xWindow="12390" yWindow="0" windowWidth="38400" windowHeight="19635" firstSheet="12" activeTab="12" xr2:uid="{00000000-000D-0000-FFFF-FFFF00000000}"/>
  </bookViews>
  <sheets>
    <sheet name="Template Jan 18" sheetId="2" state="hidden" r:id="rId1"/>
    <sheet name="Logical Decision template" sheetId="1" state="hidden" r:id="rId2"/>
    <sheet name="Logical Decision template (2)" sheetId="4" state="hidden" r:id="rId3"/>
    <sheet name="Sheet1" sheetId="3" state="hidden" r:id="rId4"/>
    <sheet name="Sheet2" sheetId="5" state="hidden" r:id="rId5"/>
    <sheet name="Template JAN 31" sheetId="7" state="hidden" r:id="rId6"/>
    <sheet name="EXAC 713" sheetId="11" state="hidden" r:id="rId7"/>
    <sheet name="EXAC 760" sheetId="10" state="hidden" r:id="rId8"/>
    <sheet name="Template EXAC 765" sheetId="9" state="hidden" r:id="rId9"/>
    <sheet name="Sheet4" sheetId="8" state="hidden" r:id="rId10"/>
    <sheet name="Sheet3" sheetId="6" state="hidden" r:id="rId11"/>
    <sheet name="DMAT Current State" sheetId="19" r:id="rId12"/>
    <sheet name="Do Not Touch Working Sheet" sheetId="20" r:id="rId13"/>
    <sheet name="DMAT Potential Future State" sheetId="21" r:id="rId14"/>
    <sheet name="Do Not Touch PFS Working Sheet" sheetId="22" r:id="rId15"/>
    <sheet name="Basin Maturity Definitions" sheetId="23" r:id="rId16"/>
    <sheet name="EXAC 765 BH " sheetId="14" state="hidden" r:id="rId17"/>
    <sheet name="EXAC 766 BH" sheetId="13" state="hidden" r:id="rId18"/>
    <sheet name="EXAC 760 Stu" sheetId="12" state="hidden" r:id="rId19"/>
    <sheet name="EXAC 713 stu" sheetId="15" state="hidden" r:id="rId20"/>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 i="22" l="1"/>
  <c r="P23" i="22"/>
  <c r="P22" i="22"/>
  <c r="P26" i="22"/>
  <c r="P25" i="22"/>
  <c r="P24" i="22"/>
  <c r="P21" i="22"/>
  <c r="P20" i="22"/>
  <c r="P19" i="22"/>
  <c r="P14" i="22"/>
  <c r="P13" i="22"/>
  <c r="P12" i="22"/>
  <c r="P11" i="22"/>
  <c r="P10" i="22"/>
  <c r="P9" i="22"/>
  <c r="P8" i="22"/>
  <c r="P18" i="22"/>
  <c r="P17" i="22"/>
  <c r="P16" i="22"/>
  <c r="P15" i="22"/>
  <c r="P6" i="22"/>
  <c r="P5" i="22"/>
  <c r="P4" i="22"/>
  <c r="P3" i="22"/>
  <c r="C4" i="20" l="1"/>
  <c r="C3" i="20"/>
  <c r="F8" i="22" l="1"/>
  <c r="E8" i="22"/>
  <c r="D8" i="22"/>
  <c r="C8" i="22"/>
  <c r="F5" i="22"/>
  <c r="E5" i="22"/>
  <c r="D5" i="22"/>
  <c r="C5" i="22"/>
  <c r="F4" i="22"/>
  <c r="C4" i="22"/>
  <c r="F3" i="22"/>
  <c r="C3" i="22"/>
  <c r="D3" i="20"/>
  <c r="F8" i="20" l="1"/>
  <c r="E8" i="20"/>
  <c r="D8" i="20"/>
  <c r="C8" i="20"/>
  <c r="C5" i="20"/>
  <c r="D5" i="20"/>
  <c r="F5" i="20"/>
  <c r="E5" i="20"/>
  <c r="F4" i="20"/>
  <c r="E3" i="20"/>
  <c r="F3" i="20"/>
  <c r="D3" i="22" l="1"/>
  <c r="F7" i="22" l="1"/>
  <c r="E7" i="22"/>
  <c r="D7" i="22"/>
  <c r="C7" i="22"/>
  <c r="F7" i="20"/>
  <c r="E7" i="20"/>
  <c r="D7" i="20"/>
  <c r="C7" i="20"/>
  <c r="G7" i="22" l="1"/>
  <c r="H7" i="22" s="1"/>
  <c r="I7" i="22" s="1"/>
  <c r="F6" i="22"/>
  <c r="E6" i="22"/>
  <c r="D6" i="22"/>
  <c r="C6" i="22"/>
  <c r="E4" i="22"/>
  <c r="E3" i="22"/>
  <c r="C34" i="21"/>
  <c r="C32" i="21"/>
  <c r="C30" i="21"/>
  <c r="C28" i="21"/>
  <c r="C26" i="21"/>
  <c r="C24" i="21"/>
  <c r="C22" i="21"/>
  <c r="C20" i="21"/>
  <c r="C18" i="21"/>
  <c r="C16" i="21"/>
  <c r="C14" i="21"/>
  <c r="C12" i="21"/>
  <c r="G6" i="22" l="1"/>
  <c r="H6" i="22" s="1"/>
  <c r="I6" i="22" s="1"/>
  <c r="G3" i="22"/>
  <c r="H3" i="22" s="1"/>
  <c r="I3" i="22" s="1"/>
  <c r="G8" i="22"/>
  <c r="H8" i="22" s="1"/>
  <c r="I8" i="22" s="1"/>
  <c r="G4" i="22"/>
  <c r="H4" i="22" s="1"/>
  <c r="I4" i="22" s="1"/>
  <c r="G5" i="22"/>
  <c r="H5" i="22" s="1"/>
  <c r="I5" i="22" s="1"/>
  <c r="E4" i="20" l="1"/>
  <c r="D4" i="20" l="1"/>
  <c r="F6" i="20" l="1"/>
  <c r="E6" i="20"/>
  <c r="D6" i="20"/>
  <c r="C6" i="20"/>
  <c r="G4" i="20"/>
  <c r="H4" i="20" s="1"/>
  <c r="C34" i="19"/>
  <c r="C32" i="19"/>
  <c r="C30" i="19"/>
  <c r="C28" i="19"/>
  <c r="C26" i="19"/>
  <c r="C24" i="19"/>
  <c r="C22" i="19"/>
  <c r="C20" i="19"/>
  <c r="C18" i="19"/>
  <c r="C16" i="19"/>
  <c r="C14" i="19"/>
  <c r="C12" i="19"/>
  <c r="G6" i="20" l="1"/>
  <c r="H6" i="20" s="1"/>
  <c r="I6" i="20" s="1"/>
  <c r="G8" i="20"/>
  <c r="H8" i="20" s="1"/>
  <c r="I4" i="20"/>
  <c r="G7" i="20"/>
  <c r="H7" i="20" s="1"/>
  <c r="G5" i="20"/>
  <c r="H5" i="20" s="1"/>
  <c r="G3" i="20"/>
  <c r="H3" i="20" s="1"/>
  <c r="G34" i="15"/>
  <c r="G33" i="15"/>
  <c r="G32" i="15"/>
  <c r="G31" i="15"/>
  <c r="G30" i="15"/>
  <c r="G29" i="15"/>
  <c r="G27" i="15"/>
  <c r="G26" i="15"/>
  <c r="G25" i="15"/>
  <c r="G24" i="15"/>
  <c r="G23" i="15"/>
  <c r="G22" i="15"/>
  <c r="G21" i="15"/>
  <c r="G20" i="15"/>
  <c r="G19" i="15"/>
  <c r="G18" i="15"/>
  <c r="G17" i="15"/>
  <c r="G16" i="15"/>
  <c r="G15" i="15"/>
  <c r="G14" i="15"/>
  <c r="G13" i="15"/>
  <c r="G12" i="15"/>
  <c r="G11" i="15"/>
  <c r="G10" i="15"/>
  <c r="H11" i="15" s="1"/>
  <c r="H29" i="15" s="1"/>
  <c r="H14" i="15" l="1"/>
  <c r="H30" i="15" s="1"/>
  <c r="H25" i="15"/>
  <c r="H33" i="15" s="1"/>
  <c r="H20" i="15"/>
  <c r="H32" i="15" s="1"/>
  <c r="H27" i="15"/>
  <c r="H34" i="15" s="1"/>
  <c r="H17" i="15"/>
  <c r="H31" i="15" s="1"/>
  <c r="I7" i="20"/>
  <c r="I8" i="20"/>
  <c r="I5" i="20"/>
  <c r="I3" i="20"/>
  <c r="G34" i="14"/>
  <c r="G33" i="14"/>
  <c r="G32" i="14"/>
  <c r="G31" i="14"/>
  <c r="G30" i="14"/>
  <c r="G29" i="14"/>
  <c r="G27" i="14"/>
  <c r="G26" i="14"/>
  <c r="G25" i="14"/>
  <c r="G24" i="14"/>
  <c r="G23" i="14"/>
  <c r="G22" i="14"/>
  <c r="G21" i="14"/>
  <c r="G20" i="14"/>
  <c r="G19" i="14"/>
  <c r="G18" i="14"/>
  <c r="G17" i="14"/>
  <c r="G16" i="14"/>
  <c r="G15" i="14"/>
  <c r="G14" i="14"/>
  <c r="G13" i="14"/>
  <c r="G12" i="14"/>
  <c r="G11" i="14"/>
  <c r="G10" i="14"/>
  <c r="G34" i="13"/>
  <c r="G33" i="13"/>
  <c r="G32" i="13"/>
  <c r="G31" i="13"/>
  <c r="G30" i="13"/>
  <c r="G29" i="13"/>
  <c r="G27" i="13"/>
  <c r="G26" i="13"/>
  <c r="G25" i="13"/>
  <c r="G24" i="13"/>
  <c r="G23" i="13"/>
  <c r="G22" i="13"/>
  <c r="G21" i="13"/>
  <c r="G20" i="13"/>
  <c r="G19" i="13"/>
  <c r="G18" i="13"/>
  <c r="G17" i="13"/>
  <c r="G16" i="13"/>
  <c r="G15" i="13"/>
  <c r="G14" i="13"/>
  <c r="G13" i="13"/>
  <c r="G12" i="13"/>
  <c r="G11" i="13"/>
  <c r="G10" i="13"/>
  <c r="H20" i="14" l="1"/>
  <c r="H32" i="14" s="1"/>
  <c r="H27" i="13"/>
  <c r="H34" i="13" s="1"/>
  <c r="H11" i="14"/>
  <c r="H29" i="14" s="1"/>
  <c r="H20" i="13"/>
  <c r="H32" i="13" s="1"/>
  <c r="H14" i="14"/>
  <c r="H30" i="14" s="1"/>
  <c r="H27" i="14"/>
  <c r="H34" i="14" s="1"/>
  <c r="H25" i="14"/>
  <c r="H33" i="14" s="1"/>
  <c r="H17" i="14"/>
  <c r="H31" i="14" s="1"/>
  <c r="H25" i="13"/>
  <c r="H33" i="13" s="1"/>
  <c r="H17" i="13"/>
  <c r="H31" i="13" s="1"/>
  <c r="H14" i="13"/>
  <c r="H30" i="13" s="1"/>
  <c r="H11" i="13"/>
  <c r="H29" i="13" s="1"/>
  <c r="G34" i="12" l="1"/>
  <c r="G33" i="12"/>
  <c r="G32" i="12"/>
  <c r="G31" i="12"/>
  <c r="G30" i="12"/>
  <c r="G29" i="12"/>
  <c r="G23" i="12"/>
  <c r="G22" i="12"/>
  <c r="G27" i="12"/>
  <c r="G26" i="12"/>
  <c r="H27" i="12" s="1"/>
  <c r="H34" i="12" s="1"/>
  <c r="G25" i="12"/>
  <c r="G24" i="12"/>
  <c r="G21" i="12"/>
  <c r="G20" i="12"/>
  <c r="G19" i="12"/>
  <c r="G18" i="12"/>
  <c r="G17" i="12"/>
  <c r="G16" i="12"/>
  <c r="G15" i="12"/>
  <c r="G13" i="12"/>
  <c r="G12" i="12"/>
  <c r="G14" i="12"/>
  <c r="G11" i="12"/>
  <c r="G10" i="12"/>
  <c r="H11" i="12" s="1"/>
  <c r="H29" i="12" s="1"/>
  <c r="H20" i="12" l="1"/>
  <c r="H32" i="12" s="1"/>
  <c r="H14" i="12"/>
  <c r="H30" i="12" s="1"/>
  <c r="H17" i="12"/>
  <c r="H31" i="12" s="1"/>
  <c r="H25" i="12"/>
  <c r="H33" i="12" s="1"/>
  <c r="F32" i="11"/>
  <c r="F31" i="11"/>
  <c r="F30" i="11"/>
  <c r="F29" i="11"/>
  <c r="F28" i="11"/>
  <c r="F27" i="11"/>
  <c r="F26" i="11"/>
  <c r="F22" i="11"/>
  <c r="F21" i="11"/>
  <c r="F20" i="11"/>
  <c r="F19" i="11"/>
  <c r="F18" i="11"/>
  <c r="F17" i="11"/>
  <c r="F16" i="11"/>
  <c r="F15" i="11"/>
  <c r="F32" i="10" l="1"/>
  <c r="F31" i="10"/>
  <c r="F30" i="10"/>
  <c r="F29" i="10"/>
  <c r="F28" i="10"/>
  <c r="F27" i="10"/>
  <c r="F26" i="10"/>
  <c r="F22" i="10"/>
  <c r="F21" i="10"/>
  <c r="F20" i="10"/>
  <c r="F19" i="10"/>
  <c r="F18" i="10"/>
  <c r="F17" i="10"/>
  <c r="F16" i="10"/>
  <c r="F15" i="10"/>
  <c r="F35" i="9" l="1"/>
  <c r="F34" i="9"/>
  <c r="F33" i="9"/>
  <c r="F32" i="9"/>
  <c r="F31" i="9"/>
  <c r="F30" i="9"/>
  <c r="F29" i="9"/>
  <c r="F24" i="9"/>
  <c r="F23" i="9"/>
  <c r="F22" i="9"/>
  <c r="F21" i="9"/>
  <c r="F20" i="9"/>
  <c r="F19" i="9"/>
  <c r="F18" i="9"/>
  <c r="F17" i="9"/>
  <c r="F16" i="9"/>
  <c r="F15" i="9"/>
  <c r="F20" i="7" l="1"/>
  <c r="F32" i="7"/>
  <c r="F31" i="7"/>
  <c r="F30" i="7"/>
  <c r="F29" i="7"/>
  <c r="F28" i="7"/>
  <c r="F27" i="7"/>
  <c r="F26" i="7"/>
  <c r="F15" i="7"/>
  <c r="F22" i="7"/>
  <c r="F21" i="7"/>
  <c r="F18" i="7"/>
  <c r="F19" i="7"/>
  <c r="F17" i="7"/>
  <c r="F16" i="7"/>
  <c r="F17" i="2" l="1"/>
  <c r="F18" i="2"/>
  <c r="F16" i="2"/>
  <c r="F20" i="2"/>
  <c r="F21" i="2"/>
  <c r="F22" i="2"/>
  <c r="F19" i="2"/>
  <c r="F24" i="2"/>
  <c r="F25" i="2"/>
  <c r="F23" i="2"/>
  <c r="F9" i="2"/>
  <c r="F10" i="2"/>
  <c r="F11" i="2"/>
  <c r="F8" i="2"/>
  <c r="F4" i="2"/>
  <c r="D48" i="2" s="1"/>
  <c r="F15" i="2"/>
  <c r="F14" i="2"/>
  <c r="F13" i="2"/>
  <c r="F12" i="2"/>
  <c r="F5" i="4"/>
  <c r="D50" i="2" l="1"/>
  <c r="D53" i="2"/>
  <c r="D52" i="2"/>
  <c r="D49" i="2"/>
  <c r="D51" i="2"/>
  <c r="F14" i="4"/>
  <c r="F11" i="4"/>
  <c r="F12" i="4" l="1"/>
  <c r="F13" i="4"/>
  <c r="D48" i="4" s="1"/>
  <c r="F23" i="4"/>
  <c r="F22" i="4"/>
  <c r="F21" i="4"/>
  <c r="F20" i="4"/>
  <c r="F19" i="4"/>
  <c r="D51" i="4" s="1"/>
  <c r="F18" i="4"/>
  <c r="F17" i="4"/>
  <c r="F16" i="4"/>
  <c r="F15" i="4"/>
  <c r="F10" i="4"/>
  <c r="F9" i="4"/>
  <c r="F8" i="4"/>
  <c r="F7" i="4"/>
  <c r="F6" i="4"/>
  <c r="F4" i="4"/>
  <c r="F11" i="1"/>
  <c r="D47" i="4" l="1"/>
  <c r="D46" i="4"/>
  <c r="D50" i="4"/>
  <c r="D49" i="4"/>
  <c r="F22" i="1"/>
  <c r="F21" i="1"/>
  <c r="F20" i="1"/>
  <c r="F19" i="1"/>
  <c r="F18" i="1"/>
  <c r="F17" i="1"/>
  <c r="F16" i="1"/>
  <c r="F15" i="1"/>
  <c r="F14" i="1"/>
  <c r="F13" i="1"/>
  <c r="F12" i="1"/>
  <c r="F9" i="1"/>
  <c r="F10" i="1"/>
  <c r="F8" i="1"/>
  <c r="F7" i="1"/>
  <c r="F5" i="1"/>
  <c r="F6" i="1"/>
  <c r="F4" i="1"/>
  <c r="D45" i="1" l="1"/>
  <c r="D46" i="1"/>
  <c r="D50" i="1"/>
  <c r="D49" i="1"/>
  <c r="D48" i="1"/>
  <c r="D47" i="1"/>
</calcChain>
</file>

<file path=xl/sharedStrings.xml><?xml version="1.0" encoding="utf-8"?>
<sst xmlns="http://schemas.openxmlformats.org/spreadsheetml/2006/main" count="1651" uniqueCount="409">
  <si>
    <t>N</t>
  </si>
  <si>
    <t>Y</t>
  </si>
  <si>
    <t>Execution of high impact exploration drilling wells</t>
  </si>
  <si>
    <t xml:space="preserve">Commercialise and grow existing regional hubs </t>
  </si>
  <si>
    <t>Establish new material exploration hubs</t>
  </si>
  <si>
    <t xml:space="preserve">Portfolio build towards short term value creation and long term growth </t>
  </si>
  <si>
    <t>Does the opportunity fit within our strategic imperatives?</t>
  </si>
  <si>
    <t>Development Screening</t>
  </si>
  <si>
    <t>Strategic fit (Framework)</t>
  </si>
  <si>
    <t>Technical/Subsurface</t>
  </si>
  <si>
    <t>Is the risk outlook stable ?</t>
  </si>
  <si>
    <t>Commercial Evaluation</t>
  </si>
  <si>
    <t xml:space="preserve">Above Ground Risks </t>
  </si>
  <si>
    <t>Is the development concept proven?</t>
  </si>
  <si>
    <t>Is there an exit point pre drill?</t>
  </si>
  <si>
    <t>Is there budget allocated for scope of opportunity?</t>
  </si>
  <si>
    <t>Is there follow up potential with this opportunity?</t>
  </si>
  <si>
    <t>Are the fiscal terms well defined?</t>
  </si>
  <si>
    <t>Is the development in an environmentally sensitive area?</t>
  </si>
  <si>
    <t>Is the opportunity EMV positive?</t>
  </si>
  <si>
    <t>Geological repeatability?</t>
  </si>
  <si>
    <t>Risks?</t>
  </si>
  <si>
    <t>Reasonable data coverage?</t>
  </si>
  <si>
    <t xml:space="preserve">Is there a market opportunity? </t>
  </si>
  <si>
    <t>Reasonable CAPEX of development/proximal infrastructure?</t>
  </si>
  <si>
    <t>Value</t>
  </si>
  <si>
    <t xml:space="preserve">Key Risks </t>
  </si>
  <si>
    <t xml:space="preserve">Value </t>
  </si>
  <si>
    <t>Quality of prospect</t>
  </si>
  <si>
    <t>Opportunity potential and budget</t>
  </si>
  <si>
    <t>Strategic fit</t>
  </si>
  <si>
    <t xml:space="preserve">Strategic fit </t>
  </si>
  <si>
    <t>Above Ground</t>
  </si>
  <si>
    <t>Is the opportunity high risk (GPOS &lt;20%)?</t>
  </si>
  <si>
    <t>Does the opportunity present multiple critical risks (&lt;50%)?</t>
  </si>
  <si>
    <t>Is the opportunity well constrained (3D + multiple near offset wells)?</t>
  </si>
  <si>
    <t>Are there signifcant operational risks associated with the opportunity (HPHT, Metocean etc)?</t>
  </si>
  <si>
    <t>Does the opportunity fit within one of our strategic imperatives?</t>
  </si>
  <si>
    <t xml:space="preserve">Does the opportunity have access to a ready market? </t>
  </si>
  <si>
    <t>Are there significant operational risks associated with the opportunity (HPHT, Metocean etc)?</t>
  </si>
  <si>
    <t>Is there existing or proximal infrastructure for the development?</t>
  </si>
  <si>
    <t>Above ground factors</t>
  </si>
  <si>
    <t>Above Ground Factors</t>
  </si>
  <si>
    <t>Do we have internal capabilities suitable to development of this opportunity?</t>
  </si>
  <si>
    <t>Development Concept</t>
  </si>
  <si>
    <t>Is the risk outlook for the country acceptable?</t>
  </si>
  <si>
    <t>Do we have experience operating in this region?</t>
  </si>
  <si>
    <t>Is the risk outlook stable or trending down?</t>
  </si>
  <si>
    <t>Further explanatory notes</t>
  </si>
  <si>
    <t xml:space="preserve">If the recommendation satisfies any one of our strategic imperatives then it recieves 100% for strategic fit. </t>
  </si>
  <si>
    <t>Development concept</t>
  </si>
  <si>
    <t>Technical/Surface</t>
  </si>
  <si>
    <t>Does the opportunity present multiple critical risks (&lt;50%)?*</t>
  </si>
  <si>
    <t>Does the opportunity fit within one of our strategic imperatives?*</t>
  </si>
  <si>
    <t xml:space="preserve">Significant operational risks = High Pressure, High Temperature well. Difficult metocean conditions.  </t>
  </si>
  <si>
    <t>http://connect/Organisation/Exploration/CI/Pages/Global-Above-Ground-Risk.aspx</t>
  </si>
  <si>
    <t>Acceptable risk outlook = no 'Stop' on key risk indicators for the country. Risk assessment is in line with the risk profiles of our current portfolio opportunities.</t>
  </si>
  <si>
    <t xml:space="preserve">To assess Risk outlook decreasing or stable = on the 'Global Risk Profile' for the current Quarter. </t>
  </si>
  <si>
    <t>y/n</t>
  </si>
  <si>
    <t>y/n/m</t>
  </si>
  <si>
    <t>Could the oportunity help commericialise or grow an exisiting regional hub?</t>
  </si>
  <si>
    <t xml:space="preserve">Has Woodside previously exectuted a similar development concept? </t>
  </si>
  <si>
    <t>Can the opportunity be developed by proven/existing concepts? Or does it rely on new, untested technology?</t>
  </si>
  <si>
    <t>Does the opportunity have access to a clearly identified market?</t>
  </si>
  <si>
    <t>Y/N</t>
  </si>
  <si>
    <t>H, M,L</t>
  </si>
  <si>
    <t>Is the opportunity high, moderate or low risk (GPOS &lt;20%, 20-50, &gt;50%)?</t>
  </si>
  <si>
    <t>Is the opportunities geological risk and volumentric range well constrained by available data (3D + multiple near offset wells)?</t>
  </si>
  <si>
    <t>up/stable/down</t>
  </si>
  <si>
    <t>Does the opportunity reside within a region where Woodside has previous operating/participation experience?</t>
  </si>
  <si>
    <t xml:space="preserve">Does the opportunity reside within a country where the Global Above Ground risk outlook is within desirable limits? (i.e. no 'Stops' on key risk indicators, country entry approved) </t>
  </si>
  <si>
    <t>Does the opportunity reside within a country where the Global Above Ground risk outlook is stable, trending down or up?</t>
  </si>
  <si>
    <t>Does the opportunity have flexibility to exit prior to significant committed activity expenditure? (i.e. drilling)</t>
  </si>
  <si>
    <t>Does the opportunity require additional unallocated funds outside of existing budget?</t>
  </si>
  <si>
    <t xml:space="preserve">Could the opportunity support the establishment of a new regional exploration hub? </t>
  </si>
  <si>
    <t xml:space="preserve">Opportunity Budget </t>
  </si>
  <si>
    <t xml:space="preserve">Strategic Fit </t>
  </si>
  <si>
    <t>Does the opportunity present any partnering risk? (N= 100% WEL or with a strategic partner, Y or M)</t>
  </si>
  <si>
    <t xml:space="preserve">Is the opportunity a high impact exploration well/prospect? </t>
  </si>
  <si>
    <t>Or, could the opportunity lead to maturation of a high impact well/prospect?</t>
  </si>
  <si>
    <t>Subject</t>
  </si>
  <si>
    <t>Activity</t>
  </si>
  <si>
    <t>Relinquishment, Well,  Seismic, license bid round, studies (JSA)</t>
  </si>
  <si>
    <t xml:space="preserve"> license/block, the prospect, </t>
  </si>
  <si>
    <t>Block/License</t>
  </si>
  <si>
    <t>Prospect</t>
  </si>
  <si>
    <t>Yes</t>
  </si>
  <si>
    <t>No</t>
  </si>
  <si>
    <t>Maybe</t>
  </si>
  <si>
    <t>High</t>
  </si>
  <si>
    <t>Medium</t>
  </si>
  <si>
    <t>Low</t>
  </si>
  <si>
    <t>Up</t>
  </si>
  <si>
    <t>Stable</t>
  </si>
  <si>
    <t>Down</t>
  </si>
  <si>
    <r>
      <t>Could the "</t>
    </r>
    <r>
      <rPr>
        <b/>
        <sz val="11"/>
        <color theme="1"/>
        <rFont val="Calibri"/>
        <family val="2"/>
        <scheme val="minor"/>
      </rPr>
      <t>Activity</t>
    </r>
    <r>
      <rPr>
        <sz val="11"/>
        <color theme="1"/>
        <rFont val="Calibri"/>
        <family val="2"/>
        <scheme val="minor"/>
      </rPr>
      <t xml:space="preserve">" </t>
    </r>
    <r>
      <rPr>
        <b/>
        <sz val="11"/>
        <color theme="1"/>
        <rFont val="Calibri"/>
        <family val="2"/>
        <scheme val="minor"/>
      </rPr>
      <t>"Subject"</t>
    </r>
  </si>
  <si>
    <r>
      <t xml:space="preserve">Does the </t>
    </r>
    <r>
      <rPr>
        <b/>
        <sz val="11"/>
        <color theme="1"/>
        <rFont val="Calibri"/>
        <family val="2"/>
        <scheme val="minor"/>
      </rPr>
      <t>"Subject" for</t>
    </r>
    <r>
      <rPr>
        <sz val="11"/>
        <color theme="1"/>
        <rFont val="Calibri"/>
        <family val="2"/>
        <scheme val="minor"/>
      </rPr>
      <t xml:space="preserve"> "</t>
    </r>
    <r>
      <rPr>
        <b/>
        <sz val="11"/>
        <color theme="1"/>
        <rFont val="Calibri"/>
        <family val="2"/>
        <scheme val="minor"/>
      </rPr>
      <t>Activity</t>
    </r>
    <r>
      <rPr>
        <sz val="11"/>
        <color theme="1"/>
        <rFont val="Calibri"/>
        <family val="2"/>
        <scheme val="minor"/>
      </rPr>
      <t xml:space="preserve">" </t>
    </r>
  </si>
  <si>
    <t xml:space="preserve">have the opportunity support the establishment of a new regional exploration hub? </t>
  </si>
  <si>
    <t>PROSPECT for</t>
  </si>
  <si>
    <t>DRILLING (farm-in)</t>
  </si>
  <si>
    <t>LICENSE/BLOCK for</t>
  </si>
  <si>
    <t>RELINQUISHMENT</t>
  </si>
  <si>
    <t>LICENSE BID ROUND</t>
  </si>
  <si>
    <t>SEISMIC ACTIVITY</t>
  </si>
  <si>
    <t>contribute to commericialising or growing an exisiting regional hub?</t>
  </si>
  <si>
    <t>STUDIES (JSA)</t>
  </si>
  <si>
    <t>have access to a clearly identified market?</t>
  </si>
  <si>
    <t>be developed by proven/existing concepts? Or does it rely on new, untested technology?</t>
  </si>
  <si>
    <t>Could the</t>
  </si>
  <si>
    <t xml:space="preserve">have Woodside previously exectuted a similar development concept? </t>
  </si>
  <si>
    <t>Does the "Subject" for "Activity"</t>
  </si>
  <si>
    <t>have geological risk and volumentric ranges that are well constrained by available data (3D + multiple near offset wells)?</t>
  </si>
  <si>
    <t>have significant operational risks associated with the opportunity (HPHT, Metocean etc)?</t>
  </si>
  <si>
    <t xml:space="preserve">Could the "Subject for "Activity" </t>
  </si>
  <si>
    <t>reside within a country where the Global Above Ground risk outlook is stable, trending down or up?</t>
  </si>
  <si>
    <t xml:space="preserve">reside within a country where the Global Above Ground risk outlook is within desirable limits? (i.e. no 'Stops' on key risk indicators, country entry approved) </t>
  </si>
  <si>
    <t>present any partnering risk? (N= 100% WEL or with a strategic partner, Y or M)</t>
  </si>
  <si>
    <t>reside within a region where Woodside has previous operating/participation experience?</t>
  </si>
  <si>
    <t xml:space="preserve"> have flexibility to exit prior to significant committed activity expenditure? (i.e. drilling)</t>
  </si>
  <si>
    <t xml:space="preserve"> require additional unallocated funds outside of existing budget?</t>
  </si>
  <si>
    <t xml:space="preserve">Is the "Subject for "Activity" </t>
  </si>
  <si>
    <t xml:space="preserve">have success case economics for the MSV volume scenario meet the corporate investment thresholds at Mid PEA? </t>
  </si>
  <si>
    <t xml:space="preserve">have success case economics for the MSV volume scenario robust to all key uncertainties? </t>
  </si>
  <si>
    <t>have potential for material follow up prospectivity based on results of the first well, where value for such can be captured within the permit timeline?</t>
  </si>
  <si>
    <t xml:space="preserve">DRILLING  </t>
  </si>
  <si>
    <t>FARM OUT</t>
  </si>
  <si>
    <t>lead to the maturation of a high impact well/prospect?</t>
  </si>
  <si>
    <t xml:space="preserve">lead to the drilling of a high impact exploration well/prospect? </t>
  </si>
  <si>
    <t>have a high, moderate or low risk (High risk = GPOS &lt;20%, Moderate risk = GPOS 20-50, Low risk= GPOS &gt;50%)?</t>
  </si>
  <si>
    <t>Moderate</t>
  </si>
  <si>
    <t>have fiscal and broader commercial terms required for commerciality sufficiently defined, and legally robust?</t>
  </si>
  <si>
    <t>y n m</t>
  </si>
  <si>
    <t xml:space="preserve"> yn</t>
  </si>
  <si>
    <t>yn</t>
  </si>
  <si>
    <t>hml</t>
  </si>
  <si>
    <t>usd</t>
  </si>
  <si>
    <t>ynm</t>
  </si>
  <si>
    <t>EMV positive and has a Exploration VIR &gt; 0.75 ?</t>
  </si>
  <si>
    <t>Comments</t>
  </si>
  <si>
    <t xml:space="preserve">yes- if the blocks are prospective (need seismic for that) and the Guinean govt are pushing for a well commitment. </t>
  </si>
  <si>
    <t>Yes- again if the blocks are prospective</t>
  </si>
  <si>
    <t>y - extension of the Senegal hub</t>
  </si>
  <si>
    <t>n - not a new hub</t>
  </si>
  <si>
    <t>consider as one Q?</t>
  </si>
  <si>
    <t>y - successful drilling in senegal - water depths over the blocks we are familiar with</t>
  </si>
  <si>
    <t>The global risk outlook doesn’t cover this country</t>
  </si>
  <si>
    <t>Y- in line with senegal, gabon risk profiles</t>
  </si>
  <si>
    <t>Maybe- PSC terms are negotiable</t>
  </si>
  <si>
    <t xml:space="preserve">Yes- flexibility to walk away without block commitment </t>
  </si>
  <si>
    <t>Y- not clear from ExAC paper itself, but given line of sight to senegal development?</t>
  </si>
  <si>
    <t>YNM</t>
  </si>
  <si>
    <t>Y- Pending prospect identification</t>
  </si>
  <si>
    <t>H- all prospects ID are leads with low GPOS (due to data and unproven play)</t>
  </si>
  <si>
    <t>No - that’s part of the value of obtaining seismic though, distant well control</t>
  </si>
  <si>
    <t>Unknown- benign ocean conditions mentioned in ExAC, but uncertainty around other operational risks</t>
  </si>
  <si>
    <t>acceptable or unacceptable</t>
  </si>
  <si>
    <t>No - negotiating entry</t>
  </si>
  <si>
    <t>n- for this stage all funds are allocated</t>
  </si>
  <si>
    <t>lead to the maturation of a high impact prospect or the drilling of a high impact exploration well/prospect?</t>
  </si>
  <si>
    <t xml:space="preserve">reside within a country where the Global Above Ground risk is within desirable limits? (i.e. similar risk profile to other opportunities in our portfolio, country entry approved) </t>
  </si>
  <si>
    <t>PROSPECT recommended for</t>
  </si>
  <si>
    <t>LICENSE/BLOCK recommended for</t>
  </si>
  <si>
    <t xml:space="preserve">Could the "License PEP 55794 recommended for relinquishment" </t>
  </si>
  <si>
    <t>Does the "License PEP 55794 recommended for relinquishment"</t>
  </si>
  <si>
    <t xml:space="preserve">Is the "License PEP 55794 recommended for relinquishment" </t>
  </si>
  <si>
    <t>Yes - Kaipatiki has a material valuation</t>
  </si>
  <si>
    <t xml:space="preserve">have the opportunity to support the establishment of a new regional exploration hub; or contribute to commericialising or growing an exisiting regional hub?  </t>
  </si>
  <si>
    <t>Yes - though possibly challenged as, follow-up prospectivity is considered somewhat limited</t>
  </si>
  <si>
    <t>Yes - the product is condensate</t>
  </si>
  <si>
    <t>Yes - concepts are proven/existing</t>
  </si>
  <si>
    <t>No - Woodisde has not previsously operated a deep water condensate stripping development under harsh met-ocean conditions</t>
  </si>
  <si>
    <t>Moderate - GPOS = 26%</t>
  </si>
  <si>
    <t>Moderate - 3D sesimic but sparse/distant well control and untested play concept in basin</t>
  </si>
  <si>
    <t>High - harsh met-coean conditions</t>
  </si>
  <si>
    <t>Yes - NZ, beautiful one day, perfect the next</t>
  </si>
  <si>
    <t>Yes - previsoulsy operated seismic in the same license and have operated/participated in other licenses in NZ</t>
  </si>
  <si>
    <t>No - currently woodside 70% NZOG 30% - reccomendation is to relinquish</t>
  </si>
  <si>
    <t>No - EMV = US$437M, but VIR is &lt;0.75 (0.6)</t>
  </si>
  <si>
    <t>Yes - assume so but don't know what our corporate investment thresholds are - economics look pretty robust though at Mid PEAs and MSV</t>
  </si>
  <si>
    <t>Yes - assume so but not clear from ExAC paper - is there a simple graph that we may also consider adding here??</t>
  </si>
  <si>
    <t>No - follow-up prospectivityl is considered limited</t>
  </si>
  <si>
    <t>No - very low admin related costs only for exit.  Licnese is in good standing.</t>
  </si>
  <si>
    <t>Yes - the license does have sufficeint flexibility and the recommednation is to exercise that flexible option and exit before committing to well</t>
  </si>
  <si>
    <t xml:space="preserve">Could the "Licenses FEL 3/14, 5/14 and LO 16/14 recommended for seismic acquisition" </t>
  </si>
  <si>
    <t xml:space="preserve">Does the "Licenses FEL 3/14, 5/14 and LO 16/14 recommended for seismic acquisition" </t>
  </si>
  <si>
    <t xml:space="preserve">Do the "Licenses FEL 3/14, 5/14 and LO 16/14 recommended for seismic acquisition" </t>
  </si>
  <si>
    <t>I think we need a maybe here……..Yes - there is potential…….probably there is always potential, otherwise we would not be shooting the 3D.  In this case though there is considerable uncertainty  The FEL leads are 2D defined only and the data coverage in the LO is too sprase to even define leads.</t>
  </si>
  <si>
    <t>Maybe - there is considerable uncertainty on the number and size of leads/prospects</t>
  </si>
  <si>
    <t>Yes - Ireland, beautiful one day, perfect the next</t>
  </si>
  <si>
    <t>High - GPOS &lt; 20% for all leads in FELs and no leads currently defined in LO</t>
  </si>
  <si>
    <t>No - currently woodside 60 to 100% and operator - minority participants pose to material partnering risk.</t>
  </si>
  <si>
    <t>High - harsh met-ocean conditions and LO in previously undrilled part of basin.</t>
  </si>
  <si>
    <t>Moderate - somewhat distant well control, mostly vintage wells and 2D only variable quality</t>
  </si>
  <si>
    <t>Yes - the product is oil , gas scenario tie back to Shannon Estuary Industrial Park.</t>
  </si>
  <si>
    <t>Yes - concepts are proven/existing, oil = FPSO, gas = semi-sub platform and export to existing onshore facility.</t>
  </si>
  <si>
    <t>Yes - concepts are proven/existing.</t>
  </si>
  <si>
    <t>No - while we have operated licenses in the Porcupine since 2014, we have never previously undertaken a boots-on-the-ground operation in this basin.</t>
  </si>
  <si>
    <t>Yes - EMV = US$365M, VIR = 0.81 at MSV volume, but there is considerable unvcertainty to volumes and risk for leads</t>
  </si>
  <si>
    <t xml:space="preserve">have success case economics for the MSV volume scenario that are robust to all key uncertainties? </t>
  </si>
  <si>
    <t>Yes - the MSV volume 400mmbbls scenario is robust to price, capex and opex.</t>
  </si>
  <si>
    <t>Yes - the license does have sufficeint flexibility can be existed poste 3D acquiastion, but pre well commitments.  We are not at that decision point yet.</t>
  </si>
  <si>
    <t>Minimal - an additional $US0.5M is required to fund proposed activity</t>
  </si>
  <si>
    <t>Minimal</t>
  </si>
  <si>
    <t>Select the [Subject]</t>
  </si>
  <si>
    <t>Select the [Activity]</t>
  </si>
  <si>
    <t>Theme</t>
  </si>
  <si>
    <t>Guidelines</t>
  </si>
  <si>
    <t>Constructed Question</t>
  </si>
  <si>
    <t>Answer</t>
  </si>
  <si>
    <t>Comment</t>
  </si>
  <si>
    <t>EMV positive with an exploration VIR &gt; 0.75 ?</t>
  </si>
  <si>
    <t>YES</t>
  </si>
  <si>
    <t>NO</t>
  </si>
  <si>
    <t>MAYBE</t>
  </si>
  <si>
    <t>HIGH</t>
  </si>
  <si>
    <t>MODERATE</t>
  </si>
  <si>
    <t>LOW</t>
  </si>
  <si>
    <t xml:space="preserve">support the establishment of a new regional exploration hub, or contribute to commericialising or growing an exisiting regional hub?  </t>
  </si>
  <si>
    <t>be developed by proven/existing concepts?</t>
  </si>
  <si>
    <t>be developed via concepts/methods previously exectuted by Woodside?</t>
  </si>
  <si>
    <t>have a high, moderate or low geological risk (High risk = GPOS &lt;20%, Moderate risk = GPOS 20-50, Low risk= GPOS &gt;50%)?</t>
  </si>
  <si>
    <t>pose significant operational risks associated with the opportunity (HPHT, Metocean etc)?</t>
  </si>
  <si>
    <t>present any partnering risk?</t>
  </si>
  <si>
    <t xml:space="preserve">have success case economics for the MSV volume scenario that meet all corporate investment thresholds at Mid PEA? </t>
  </si>
  <si>
    <t>MODERATELY</t>
  </si>
  <si>
    <t>POSSIBLY</t>
  </si>
  <si>
    <t>MINOR</t>
  </si>
  <si>
    <t>Score</t>
  </si>
  <si>
    <t>lead to the maturation of/currently present a high impact prospect or the drilling of a high impact exploration well/prospect?</t>
  </si>
  <si>
    <t>The top ranked prospect "Kaipatiki" presents a material valuation.</t>
  </si>
  <si>
    <t>Although the top ranked prospect "Kaipatiki" presents a material valuation, hub growth, given success, may be challenged as follow-up prospectivity is considered somewhat limited.</t>
  </si>
  <si>
    <t>The product is condensate.</t>
  </si>
  <si>
    <t>3D sesimic but sparse/distant well control and untested play concept in basin.</t>
  </si>
  <si>
    <t>GPOS = 26%.</t>
  </si>
  <si>
    <t>Condensate stripping is a proven/existing concepts but harsh metocean conditions present additional operational/excecution risk.</t>
  </si>
  <si>
    <t>Harsh metocean conditions.</t>
  </si>
  <si>
    <t>New Zealand.</t>
  </si>
  <si>
    <t>Currently woodside 70%, NZOG 30% - recommendation is to relinquish.</t>
  </si>
  <si>
    <t>Woodside has been operating in NZ since 2014 and has previsoulsy executed sesimic activity in the same license.</t>
  </si>
  <si>
    <t>EMV = US$437M, but VIR is &lt;0.75 (0.6).</t>
  </si>
  <si>
    <t>Does not meet the VIR threshold (0.75), others are unknown…….closely guarded secrets.</t>
  </si>
  <si>
    <t>Assume so, but not clear from ExAC paper - also unclear on definition of robust.</t>
  </si>
  <si>
    <r>
      <t xml:space="preserve">When evaluating the ExAC proposal against proposed guidelines construct questions in the format "could/does the </t>
    </r>
    <r>
      <rPr>
        <b/>
        <sz val="14"/>
        <color theme="1"/>
        <rFont val="Calibri"/>
        <family val="2"/>
        <scheme val="minor"/>
      </rPr>
      <t xml:space="preserve">[Subject] </t>
    </r>
    <r>
      <rPr>
        <sz val="14"/>
        <color theme="1"/>
        <rFont val="Calibri"/>
        <family val="2"/>
        <scheme val="minor"/>
      </rPr>
      <t xml:space="preserve">recommended for </t>
    </r>
    <r>
      <rPr>
        <b/>
        <sz val="14"/>
        <color theme="1"/>
        <rFont val="Calibri"/>
        <family val="2"/>
        <scheme val="minor"/>
      </rPr>
      <t>[Activity]</t>
    </r>
    <r>
      <rPr>
        <sz val="14"/>
        <color theme="1"/>
        <rFont val="Calibri"/>
        <family val="2"/>
        <scheme val="minor"/>
      </rPr>
      <t>…….."</t>
    </r>
  </si>
  <si>
    <t>Option to exit prior to drilling is available and is the activity recommended by this ExAC Paper.</t>
  </si>
  <si>
    <t>Fully covered under existing budget.</t>
  </si>
  <si>
    <t>Woodside has not previsously operated a deep water condensate stripping development under harsh met-ocean conditions.</t>
  </si>
  <si>
    <t>Follow-up prospectivity and attractive adjacent acreage build opportunties are considered limited.</t>
  </si>
  <si>
    <t xml:space="preserve">Budget &amp; Flexibility </t>
  </si>
  <si>
    <t xml:space="preserve">Commercial </t>
  </si>
  <si>
    <t>Totals</t>
  </si>
  <si>
    <t>MOST</t>
  </si>
  <si>
    <t>2019 exploration well</t>
  </si>
  <si>
    <t>extension of senegal hub</t>
  </si>
  <si>
    <t>Yes, FPSO with subsea tieback given an oil discovery</t>
  </si>
  <si>
    <t xml:space="preserve">Tieback to SNE development. </t>
  </si>
  <si>
    <t>Development similar to senegal</t>
  </si>
  <si>
    <t>No prospects identified - modelled at 10, 20, 30% gpos outcomes</t>
  </si>
  <si>
    <t>2D data and no wells onblock</t>
  </si>
  <si>
    <t>VIR is 0.49 in high case outcome</t>
  </si>
  <si>
    <t>need confirmation of investment thresholds</t>
  </si>
  <si>
    <t>NPV positive at mid case for mid peas and $65 cases</t>
  </si>
  <si>
    <t>no gas terms, fiscal terms are still subject to final tax review, wels equity is assumed at 26.67%</t>
  </si>
  <si>
    <t>yes but at a cost</t>
  </si>
  <si>
    <t>Funds are coming from within exploration budget</t>
  </si>
  <si>
    <t>Woodside currently operate in neighbouring countries with similar risk profiles</t>
  </si>
  <si>
    <t xml:space="preserve">Total is a preferred strategic partner </t>
  </si>
  <si>
    <t>Yes, current operator in SNE field development.</t>
  </si>
  <si>
    <t xml:space="preserve">FARM IN </t>
  </si>
  <si>
    <t xml:space="preserve">Could the "Block ROP recommended for farm-in" </t>
  </si>
  <si>
    <t xml:space="preserve">Is the "Block ROP recommended for farm-in" </t>
  </si>
  <si>
    <t xml:space="preserve">Does the "Block ROP recommended for farm-in" </t>
  </si>
  <si>
    <t>Does the "Block ROP recommended for farm-in"</t>
  </si>
  <si>
    <t>Maybe- benign ocean conditions mentioned in ExAC, but uncertainty around other operational risks</t>
  </si>
  <si>
    <t>AREA recommended for</t>
  </si>
  <si>
    <t>Could the "Area recommended for seismic activity"</t>
  </si>
  <si>
    <t>Does the "Area recommended for seismic activity"</t>
  </si>
  <si>
    <t>Is the "Area recommended for seismic activity"</t>
  </si>
  <si>
    <t>Possibly- PSC terms are negotiable</t>
  </si>
  <si>
    <t xml:space="preserve">Could the "Licenses FEL 3/14, 5/14 and LO 16/14 recommended for seismic activity" </t>
  </si>
  <si>
    <t>There is considerable uncertainty on the number and size of the leads.  The FEL leads are defined by coarse 2D only and data coverage in LO is too sparse to even define leads.</t>
  </si>
  <si>
    <t>The product is oil.  Gas scenario is tie back to Shannon Estuary Industrial Park.</t>
  </si>
  <si>
    <t>FPSOs and semi-sub platforms are proven concepts, but harsh met-ocean conditions present additional operational/execution risk.</t>
  </si>
  <si>
    <t>Woodside has never operated deep marine oil FPSO or gas semi-sub platform developments under harsh met-ocean conditions.</t>
  </si>
  <si>
    <t xml:space="preserve">Do the "Licenses FEL 3/14, 5/14 and LO 16/14 recommended for seismic activity" </t>
  </si>
  <si>
    <t>GPOS = 20% for all leads.  Traps are largely stratigraphic.</t>
  </si>
  <si>
    <t>Somewhat distant to very distant well control and sparse, variable quality 2D only.</t>
  </si>
  <si>
    <t>Ireland.</t>
  </si>
  <si>
    <t>Currently woodside 60-100%, minority parners show no currrently recognised partnering risk.</t>
  </si>
  <si>
    <t>While we have operated licenses in the Porcupine Basin since 2014 we have never previsoulsy undertaken sesimci operations.</t>
  </si>
  <si>
    <t>Yes - EMV = US$365M, VIR = 0.81 at MSV volume, but there is considerable unvcertainty on volumes and risk for leads</t>
  </si>
  <si>
    <t>as the MSV volume (400mmbbls) is robust to price, CAPEX and OPEX uncertainty</t>
  </si>
  <si>
    <t>There is considerable uncertainty on the number and size of the leads.</t>
  </si>
  <si>
    <t>Option to exit prior to drilling is available.</t>
  </si>
  <si>
    <t>An additional $US0.5M is required to fund proposed activity.</t>
  </si>
  <si>
    <t>Metric</t>
  </si>
  <si>
    <t>Strong</t>
  </si>
  <si>
    <t>Challenged</t>
  </si>
  <si>
    <t>PROSPECT</t>
  </si>
  <si>
    <t>AREA</t>
  </si>
  <si>
    <t>LEAD</t>
  </si>
  <si>
    <t>FARM-IN (drilling)</t>
  </si>
  <si>
    <t>FARM-IN (seismic)</t>
  </si>
  <si>
    <t>BIDDING</t>
  </si>
  <si>
    <t>Question</t>
  </si>
  <si>
    <t>Guidance</t>
  </si>
  <si>
    <t>have geological risk and volumetric ranges that are well constrained by available data?</t>
  </si>
  <si>
    <t>Pre-cursor</t>
  </si>
  <si>
    <t>Green Ring</t>
  </si>
  <si>
    <t>G-O Ring</t>
  </si>
  <si>
    <t>Orange Ring</t>
  </si>
  <si>
    <t>O-R Ring</t>
  </si>
  <si>
    <t>Red Ring</t>
  </si>
  <si>
    <t>Total</t>
  </si>
  <si>
    <t>Element</t>
  </si>
  <si>
    <t>Have follow up potential?</t>
  </si>
  <si>
    <t>have an expected high, moderate or low subsurface complexity?</t>
  </si>
  <si>
    <t>pose significant operational risks (i.e. HP, HT, severe loss zones, Metocean)?</t>
  </si>
  <si>
    <t>POSSIBLE</t>
  </si>
  <si>
    <t>reside within a country where country entry has been approved?</t>
  </si>
  <si>
    <t>reside within a country in which the country entry and/or gap analysis has been recently evaluated?</t>
  </si>
  <si>
    <t>Yes = commercial terms are well defined and legally robust, No = commercial terms are poorly defined or not yet agreed and legally exposed.</t>
  </si>
  <si>
    <t>Strategy &amp; Budget</t>
  </si>
  <si>
    <t>Data Validation Column</t>
  </si>
  <si>
    <t>….recommended for…..</t>
  </si>
  <si>
    <t>Does the…..</t>
  </si>
  <si>
    <t>……recommended for…..</t>
  </si>
  <si>
    <t>have the potential to be delivered fast to market?</t>
  </si>
  <si>
    <t>Scores</t>
  </si>
  <si>
    <t>Q1</t>
  </si>
  <si>
    <t>Q2</t>
  </si>
  <si>
    <t>Q3</t>
  </si>
  <si>
    <t>Q4</t>
  </si>
  <si>
    <t>%</t>
  </si>
  <si>
    <t>Yes = robust across price, CAPEX and OPEX sensitivites, Most = robust across 2 of 3 key uncertainties, No = robust across only one or no key uncertainties</t>
  </si>
  <si>
    <t>Assessment</t>
  </si>
  <si>
    <t>Result</t>
  </si>
  <si>
    <t>LICENCE/BLOCK</t>
  </si>
  <si>
    <t>have fiscal and broader commercial terms that are required for commerciality sufficiently defined, and legally robust?</t>
  </si>
  <si>
    <t>ESTABLISHED</t>
  </si>
  <si>
    <t>EMERGING</t>
  </si>
  <si>
    <t>FUTURE GROWTH</t>
  </si>
  <si>
    <t>Portfolio</t>
  </si>
  <si>
    <t>Increase diversity in the exploration portfolio?</t>
  </si>
  <si>
    <t>Yes = new basin or, a new play/geologcical concept in an existing basin in the portfolio, No = will not add a new basin or, a new play/geolgocical concept to the portfolio.</t>
  </si>
  <si>
    <t>Yes = multiple near off-set wells + dense 2D/3D, Moderate = no or limited well data + coarse/poor quality 2D/3D, No = no well data + primarily analogues.</t>
  </si>
  <si>
    <t>Yes = signifcant operational risks are expected, Possible = insufficient data to adequately assess risk, No = signifcant operational risks are not expected.</t>
  </si>
  <si>
    <t>Yes = country entry has been approved, No = country entry is not currently approved.</t>
  </si>
  <si>
    <t>Yes = country entry initial assessment/gap analysis still valid, Moderate = country entry initial assessment/gap analysis evaluated within the last 1-3 years, No = country entry initial assessment/gap analysis has not been evaluated within the last 3 years.</t>
  </si>
  <si>
    <t>The ability to deliver fast to market post discovery is assessed across the following criteria:  Location; maturity of domestic and regional O&amp;G industry (analogues?), Ability to progress; domestic development and logistic index, infrastructure, JVP alignment, contractual terms and third party access requirements, Capability fit: Woodside / Operator / JVPs and Technology maturity of proposed concept.</t>
  </si>
  <si>
    <t>The question characterizes the level of complexity of the opportunity development cases including considerations for:  Physical environment; remoteness, metocean and weather conditions, Market regulations and local content requirement, Technical and concept definitions: D&amp;C complexity, flow assurance, well interventions requirements, process facility complexity.</t>
  </si>
  <si>
    <t>The subsurface complexity illustrates the likely complexity of the development from a subsurface perspective based on the available information and in a geological success case. It addresses risks and opportunities such as:  Structural and stratigraphic complexities, reservoir quality and hydrocarbon properties, drainage plan and recovery mechanism.</t>
  </si>
  <si>
    <t xml:space="preserve">support an established, emerging or future growth hubs?  </t>
  </si>
  <si>
    <r>
      <t xml:space="preserve">Yes = multiple identified prospects within permit, Possible = additional, but poorly defined leads/concepts within permit </t>
    </r>
    <r>
      <rPr>
        <b/>
        <sz val="12"/>
        <rFont val="Calibri"/>
        <family val="2"/>
        <scheme val="minor"/>
      </rPr>
      <t xml:space="preserve">or </t>
    </r>
    <r>
      <rPr>
        <sz val="12"/>
        <rFont val="Calibri"/>
        <family val="2"/>
        <scheme val="minor"/>
      </rPr>
      <t>prospects/leads/concepts identifed in adjacent acreage with reasonable possibility of capture , No = single identified prospect only.</t>
    </r>
  </si>
  <si>
    <t>SEISMIC ACQUISITION</t>
  </si>
  <si>
    <t xml:space="preserve">return or contain an opportunity with success case economics for the MSV scenario robust to all key uncertainties? </t>
  </si>
  <si>
    <t>Have the potential to contribute signifcantly to the net risked recoverable portfolio volume?</t>
  </si>
  <si>
    <t>have an expected high, moderate or low development concept complexity &amp; cost?</t>
  </si>
  <si>
    <t>Very Strong</t>
  </si>
  <si>
    <t>1)</t>
  </si>
  <si>
    <t>2)</t>
  </si>
  <si>
    <t xml:space="preserve">return or contain an opportunity with success case economics for the MSV scenario that meet all corporate investment thresholds at $65/bbl? </t>
  </si>
  <si>
    <t>represent a future company project portfolio and cost fit?</t>
  </si>
  <si>
    <t>Exploration Portfolio Fit</t>
  </si>
  <si>
    <t>3)</t>
  </si>
  <si>
    <t>Use the yellow cells to select the appropriate answer for each question and enter the associated rationale in the comments section</t>
  </si>
  <si>
    <t>Select the [Recommendation]</t>
  </si>
  <si>
    <t>4)</t>
  </si>
  <si>
    <t>The spreadsheet does not make the final decision, it supports the decision making process by contributing to dimensions of the decision quality chain; sound reasoning, useful information and clear values</t>
  </si>
  <si>
    <t>When evaluating the ExAC proposal against the defined exploration metrics, construct a question pre-cursor in the format "does the [Subject] proposed for [Recommendation]"………..</t>
  </si>
  <si>
    <t>support current basin maturity balance in the exploration portfolio?</t>
  </si>
  <si>
    <t>Yes = subject is immature and has staged exit points OR the subject has no exit points but is sufficiently mature to warrant significant activity/expenditure, No = subject is immature with no exit points prior to significant activity/expenditure.</t>
  </si>
  <si>
    <t>have a future work program that offers staged flexibility to exit prior to significant activity/expenditure?</t>
  </si>
  <si>
    <t>contain a predicted hydrocarbon phase consistent with nearby producing fields/infrastructure capability?</t>
  </si>
  <si>
    <t>Yes = predicted hydrocarbon phase is consistent with nearby producing fields/infrastructure capability, No = predicted hydrocarbon phase is not consistent with nearby producing fields/infrastructure capability.</t>
  </si>
  <si>
    <t>reside within a country where Woodside is currently active (assuming country entry has been approved)?</t>
  </si>
  <si>
    <t>Yes = Woodside is actively working in-country, No = Woodside is not actively working in-country, N/A = country entry is not currently approved.</t>
  </si>
  <si>
    <t>N/A</t>
  </si>
  <si>
    <t>Yes = offers single prospects/leads/concepts/pools with &gt;75mmboe MSV, Moderate = offers single prospects/leads/concepts/pools with 25-75mmboe MSV, No = offers single prospects/leads/concepts/pools with &lt;25mmboe MSV.</t>
  </si>
  <si>
    <t>have a high, moderate or low geological risk for the primary prospect segment (unrolled-up)?</t>
  </si>
  <si>
    <t>High risk = primary segment GPOS &lt;25%, Moderate risk = primary segment GPOS 25-50%, Low risk = primary segment GPOS &gt;50%.</t>
  </si>
  <si>
    <t>Opportunity Reviewer</t>
  </si>
  <si>
    <t>Enter Name</t>
  </si>
  <si>
    <t xml:space="preserve">return or contain an opportunity with an EPOS&gt;20% and EMV/DrillEx &gt;1.5? </t>
  </si>
  <si>
    <t>Yes = project VIR &gt; 0.25 + IRR &gt;15%, Most = exceeds 1 of 2 corporate investment thresholds, No = exceeds no corporate investment thresholds</t>
  </si>
  <si>
    <t>reside within a country with an acceptable above ground risk rating, or where risks can be appropriately mitigated?</t>
  </si>
  <si>
    <t xml:space="preserve">Yes = EPOS &gt;20% AND EMV/DrillEx &gt;1.5, Possible = EPOS &lt;20% AND/OR EMV/DrillEx &lt;1.5 however potential to exceed both thresholds through aggregation or other mechanism, No = EPOS &lt;20% AND EMV/DrillEx &lt;1.5 with no possibility to exceed through aggregation or other mechanism. </t>
  </si>
  <si>
    <t>Established = Existing Woodside production eg. NWS Australia. Emerging = Existing Woodside discoveries (2C booked), eg Myanmar, Senegal. Future Growth = no Woodside discoveries (2C booked) but with future discovery potential (held asset or new opportunity).</t>
  </si>
  <si>
    <t>Yes = exploration global risk profile with a low rating and no possibility of significant reputational damage, OR where there is high confidence that identified risks can be confidently mitigated; Moderate = exploration global risk profile with a moderate rating OR moderate possibility of significant reputational damage, OR where there is moderate confidence that identified risks can be mitigated;  No = exploration global risk profile with a high rating OR strong possibility of significant reputational damage AND where there is low confidence that identified risks can be mitigated.</t>
  </si>
  <si>
    <t>Yes =  opportunity resides within an emerging basin, OR a frontier basin with DHI support, pre-drill exit points, low level spend and a clear commercialization strategy, OR a mature Basin adjacent to existing Woodside infrastrucutre; No = opportunity resides within a frontier basin without the aforementioned exceptions OR a mature basin outside of Australia (NWS/Pluto etc). Please note that this question relates to BASIN maturity, not PLAY maturity. Refer to the Basin Maturity Definitions tab for additional guidance.</t>
  </si>
  <si>
    <t>The spreadsheet is designed to provide an evaluation of the subject about which a recommendation will be made</t>
  </si>
  <si>
    <t xml:space="preserve">align with Woodside's corporate strategy? </t>
  </si>
  <si>
    <t>Yes = fully funded from or accomodated within existing budget AND proposed equity fits within the guidelines (15-50% WI) or there is a strategy in place to mitigate (eg farm-down); No = Signifcant unallocated funds required (&gt;US$5M) OR proposed equity does not fit within the guidelines (15-50% WI) and there is no strategy in place to mitigate.</t>
  </si>
  <si>
    <t>align with Woodside's working interest guidelines and fit within current budget cycle constraints?</t>
  </si>
  <si>
    <t>Input comments pertinent to the Above Ground Assessment</t>
  </si>
  <si>
    <t>Input comments pertinent to the Commercial Assessment</t>
  </si>
  <si>
    <t>Input comments pertinent to the Technical/Subsurface Assessment AND provide a description of the available information and subsurface data used to make the decision (eg. a new 3D seismic survey has been acquired but we do not have access to it)</t>
  </si>
  <si>
    <t>Input comments pertinent to the Development Concept Assessment</t>
  </si>
  <si>
    <t>Input comments pertinent to the Exploration Portfolio Fit Assessment</t>
  </si>
  <si>
    <t>Input comments pertinent to the Strategy &amp; Budget Assessment</t>
  </si>
  <si>
    <t>Yes = Supports cashflow requirements 2023 to 2025 during major Browse &amp; Scarborough execution phase (e.g. cashflow forecast in this period, and/or minimal expex/capex 2023 to 2025) AND fast to FID (&lt;4 years); Possible = Forecast high level expex/capex in 2023 to 2025, however potential to mitigate through options (sell/defer/dilute), partnering or new technology AND  fast to FID; No = Does not support cashflow requirements 2023 to 2025 (e.g. no cashflow forecast in this period and onerous expex/capex 2023 to 2025) AND slow to FID (&gt;4 years)</t>
  </si>
  <si>
    <t>The company portfolio resilience question addresses how the development opportunity fits relative to some of Woodside's corporate targets: project supply cost competitiveness (LNG development value chain &gt;&lt;US$6.50/Mmbtu, offshore gas &lt;US$4/MMbtu to plant inlet, offshore oil development cost &lt;US$30/bbl), unit production cost (gas &lt;$4/boe, oil &lt;$18/boe),  development concept carbon intensity and project sanction robustness across volumes ranges.</t>
  </si>
  <si>
    <t>Exit Flexibility</t>
  </si>
  <si>
    <t>Support Hub</t>
  </si>
  <si>
    <t>Farm-In Alignment</t>
  </si>
  <si>
    <t>Prospect Strategy</t>
  </si>
  <si>
    <t>HC Phase expectation</t>
  </si>
  <si>
    <t>Basin Maturity Balance</t>
  </si>
  <si>
    <t>Diversity</t>
  </si>
  <si>
    <t>Portfolio Volume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</si>
</sst>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0" x14ac:knownFonts="1">
    <font>
      <sz val="11"/>
      <color theme="1"/>
      <name val="Calibri"/>
      <family val="2"/>
      <scheme val="minor"/>
    </font>
    <font>
      <b/>
      <sz val="12"/>
      <color theme="1"/>
      <name val="Calibri"/>
      <family val="2"/>
      <scheme val="minor"/>
    </font>
    <font>
      <sz val="12"/>
      <color rgb="FF000000"/>
      <name val="Calibri"/>
      <family val="2"/>
      <scheme val="minor"/>
    </font>
    <font>
      <sz val="12"/>
      <color theme="1"/>
      <name val="Calibri"/>
      <family val="2"/>
      <scheme val="minor"/>
    </font>
    <font>
      <sz val="12"/>
      <name val="Calibri"/>
      <family val="2"/>
      <scheme val="minor"/>
    </font>
    <font>
      <b/>
      <sz val="11"/>
      <color theme="1"/>
      <name val="Calibri"/>
      <family val="2"/>
      <scheme val="minor"/>
    </font>
    <font>
      <sz val="12"/>
      <color rgb="FFFF0000"/>
      <name val="Calibri"/>
      <family val="2"/>
      <scheme val="minor"/>
    </font>
    <font>
      <b/>
      <sz val="12"/>
      <color theme="1"/>
      <name val="Times New Roman"/>
      <family val="1"/>
    </font>
    <font>
      <b/>
      <sz val="14"/>
      <color theme="1"/>
      <name val="Times New Roman"/>
      <family val="1"/>
    </font>
    <font>
      <u/>
      <sz val="11"/>
      <color theme="10"/>
      <name val="Calibri"/>
      <family val="2"/>
      <scheme val="minor"/>
    </font>
    <font>
      <sz val="11"/>
      <color rgb="FF006100"/>
      <name val="Calibri"/>
      <family val="2"/>
      <scheme val="minor"/>
    </font>
    <font>
      <b/>
      <sz val="11"/>
      <name val="Calibri"/>
      <family val="2"/>
      <scheme val="minor"/>
    </font>
    <font>
      <b/>
      <sz val="8"/>
      <color theme="1"/>
      <name val="Calibri"/>
      <family val="2"/>
      <scheme val="minor"/>
    </font>
    <font>
      <sz val="11"/>
      <color rgb="FF9C0006"/>
      <name val="Calibri"/>
      <family val="2"/>
      <scheme val="minor"/>
    </font>
    <font>
      <sz val="11"/>
      <color theme="1"/>
      <name val="Calibri"/>
      <family val="2"/>
      <scheme val="minor"/>
    </font>
    <font>
      <sz val="14"/>
      <color theme="1"/>
      <name val="Calibri"/>
      <family val="2"/>
      <scheme val="minor"/>
    </font>
    <font>
      <b/>
      <sz val="14"/>
      <color theme="1"/>
      <name val="Calibri"/>
      <family val="2"/>
      <scheme val="minor"/>
    </font>
    <font>
      <b/>
      <sz val="12"/>
      <color theme="2" tint="-0.499984740745262"/>
      <name val="Calibri"/>
      <family val="2"/>
      <scheme val="minor"/>
    </font>
    <font>
      <b/>
      <sz val="8"/>
      <color theme="2" tint="-0.499984740745262"/>
      <name val="Calibri"/>
      <family val="2"/>
      <scheme val="minor"/>
    </font>
    <font>
      <b/>
      <sz val="14"/>
      <name val="Calibri"/>
      <family val="2"/>
      <scheme val="minor"/>
    </font>
    <font>
      <sz val="10"/>
      <color theme="1"/>
      <name val="Calibri"/>
      <family val="2"/>
      <scheme val="minor"/>
    </font>
    <font>
      <b/>
      <sz val="10"/>
      <color theme="1"/>
      <name val="Calibri"/>
      <family val="2"/>
      <scheme val="minor"/>
    </font>
    <font>
      <b/>
      <sz val="11"/>
      <color theme="2" tint="-0.249977111117893"/>
      <name val="Calibri"/>
      <family val="2"/>
      <scheme val="minor"/>
    </font>
    <font>
      <sz val="11"/>
      <color theme="2" tint="-0.249977111117893"/>
      <name val="Calibri"/>
      <family val="2"/>
      <scheme val="minor"/>
    </font>
    <font>
      <sz val="11"/>
      <color rgb="FFFF0000"/>
      <name val="Calibri"/>
      <family val="2"/>
      <scheme val="minor"/>
    </font>
    <font>
      <b/>
      <sz val="12"/>
      <name val="Calibri"/>
      <family val="2"/>
      <scheme val="minor"/>
    </font>
    <font>
      <sz val="12"/>
      <color theme="2" tint="-0.499984740745262"/>
      <name val="Calibri"/>
      <family val="2"/>
      <scheme val="minor"/>
    </font>
    <font>
      <sz val="11"/>
      <color theme="5"/>
      <name val="Calibri"/>
      <family val="2"/>
      <scheme val="minor"/>
    </font>
    <font>
      <sz val="11"/>
      <color theme="9"/>
      <name val="Calibri"/>
      <family val="2"/>
      <scheme val="minor"/>
    </font>
    <font>
      <b/>
      <sz val="22"/>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2"/>
        <bgColor indexed="64"/>
      </patternFill>
    </fill>
  </fills>
  <borders count="21">
    <border>
      <left/>
      <right/>
      <top/>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0" fontId="9" fillId="0" borderId="0" applyNumberFormat="0" applyFill="0" applyBorder="0" applyAlignment="0" applyProtection="0"/>
    <xf numFmtId="0" fontId="10" fillId="3" borderId="0" applyNumberFormat="0" applyBorder="0" applyAlignment="0" applyProtection="0"/>
    <xf numFmtId="0" fontId="13" fillId="4" borderId="0" applyNumberFormat="0" applyBorder="0" applyAlignment="0" applyProtection="0"/>
    <xf numFmtId="9" fontId="14" fillId="0" borderId="0" applyFont="0" applyFill="0" applyBorder="0" applyAlignment="0" applyProtection="0"/>
    <xf numFmtId="43" fontId="14" fillId="0" borderId="0" applyFont="0" applyFill="0" applyBorder="0" applyAlignment="0" applyProtection="0"/>
  </cellStyleXfs>
  <cellXfs count="230">
    <xf numFmtId="0" fontId="0" fillId="0" borderId="0" xfId="0"/>
    <xf numFmtId="0" fontId="2" fillId="0" borderId="0" xfId="0" applyFont="1" applyBorder="1" applyAlignment="1">
      <alignment vertical="center"/>
    </xf>
    <xf numFmtId="0" fontId="3" fillId="0" borderId="5" xfId="0" applyFont="1" applyBorder="1" applyAlignment="1">
      <alignment horizontal="right"/>
    </xf>
    <xf numFmtId="0" fontId="2" fillId="0" borderId="0" xfId="0" applyFont="1" applyBorder="1"/>
    <xf numFmtId="0" fontId="2" fillId="0" borderId="2" xfId="0" applyFont="1" applyBorder="1" applyAlignment="1">
      <alignment vertical="center"/>
    </xf>
    <xf numFmtId="0" fontId="3" fillId="0" borderId="6" xfId="0" applyFont="1" applyBorder="1" applyAlignment="1">
      <alignment horizontal="right"/>
    </xf>
    <xf numFmtId="0" fontId="3" fillId="0" borderId="4" xfId="0" applyFont="1" applyBorder="1" applyAlignment="1">
      <alignment horizontal="right"/>
    </xf>
    <xf numFmtId="0" fontId="1" fillId="2" borderId="7" xfId="0" applyFont="1" applyFill="1" applyBorder="1" applyAlignment="1">
      <alignment horizontal="center"/>
    </xf>
    <xf numFmtId="0" fontId="1" fillId="2" borderId="7" xfId="0" applyFont="1" applyFill="1" applyBorder="1" applyAlignment="1">
      <alignment horizontal="center" wrapText="1"/>
    </xf>
    <xf numFmtId="0" fontId="1" fillId="2" borderId="3" xfId="0" applyFont="1" applyFill="1" applyBorder="1" applyAlignment="1">
      <alignment horizontal="center"/>
    </xf>
    <xf numFmtId="0" fontId="4" fillId="0" borderId="1" xfId="0" applyFont="1" applyBorder="1" applyAlignment="1">
      <alignment wrapText="1"/>
    </xf>
    <xf numFmtId="0" fontId="4" fillId="0" borderId="0" xfId="0" applyFont="1" applyBorder="1"/>
    <xf numFmtId="0" fontId="4" fillId="0" borderId="2" xfId="0" applyFont="1" applyBorder="1"/>
    <xf numFmtId="0" fontId="4" fillId="0" borderId="1" xfId="0" applyFont="1" applyBorder="1"/>
    <xf numFmtId="0" fontId="4" fillId="0" borderId="1" xfId="0" applyFont="1" applyFill="1" applyBorder="1" applyAlignment="1">
      <alignment wrapText="1"/>
    </xf>
    <xf numFmtId="0" fontId="4" fillId="0" borderId="0" xfId="0" applyFont="1" applyBorder="1" applyAlignment="1">
      <alignment wrapText="1"/>
    </xf>
    <xf numFmtId="0" fontId="0" fillId="0" borderId="0" xfId="0" applyFont="1"/>
    <xf numFmtId="1" fontId="5" fillId="0" borderId="0" xfId="0" applyNumberFormat="1" applyFont="1" applyAlignment="1">
      <alignment horizontal="center"/>
    </xf>
    <xf numFmtId="0" fontId="4" fillId="0" borderId="13" xfId="0" applyFont="1" applyBorder="1"/>
    <xf numFmtId="0" fontId="4" fillId="0" borderId="12" xfId="0" applyFont="1" applyBorder="1"/>
    <xf numFmtId="0" fontId="4" fillId="0" borderId="14" xfId="0" applyFont="1" applyBorder="1"/>
    <xf numFmtId="0" fontId="6" fillId="0" borderId="0" xfId="0" applyFont="1" applyBorder="1" applyAlignment="1">
      <alignment wrapText="1"/>
    </xf>
    <xf numFmtId="0" fontId="7" fillId="2" borderId="7" xfId="0" applyFont="1" applyFill="1" applyBorder="1" applyAlignment="1">
      <alignment horizontal="center"/>
    </xf>
    <xf numFmtId="0" fontId="7" fillId="2" borderId="7" xfId="0" applyFont="1" applyFill="1" applyBorder="1" applyAlignment="1">
      <alignment horizontal="center" wrapText="1"/>
    </xf>
    <xf numFmtId="0" fontId="7" fillId="2" borderId="3" xfId="0" applyFont="1" applyFill="1" applyBorder="1" applyAlignment="1">
      <alignment horizontal="center"/>
    </xf>
    <xf numFmtId="0" fontId="6" fillId="0" borderId="1" xfId="0" applyFont="1" applyBorder="1" applyAlignment="1">
      <alignment wrapText="1"/>
    </xf>
    <xf numFmtId="0" fontId="0" fillId="0" borderId="0" xfId="0" applyAlignment="1">
      <alignment wrapText="1"/>
    </xf>
    <xf numFmtId="0" fontId="2" fillId="0" borderId="0" xfId="0" applyFont="1" applyBorder="1" applyAlignment="1">
      <alignment vertical="center" wrapText="1"/>
    </xf>
    <xf numFmtId="0" fontId="2" fillId="0" borderId="0" xfId="0" applyFont="1" applyBorder="1" applyAlignment="1">
      <alignment wrapText="1"/>
    </xf>
    <xf numFmtId="0" fontId="2" fillId="0" borderId="2" xfId="0" applyFont="1" applyBorder="1" applyAlignment="1">
      <alignment vertical="center" wrapText="1"/>
    </xf>
    <xf numFmtId="0" fontId="4" fillId="0" borderId="2" xfId="0" applyFont="1" applyBorder="1" applyAlignment="1">
      <alignment wrapText="1"/>
    </xf>
    <xf numFmtId="0" fontId="4" fillId="0" borderId="13" xfId="0" applyFont="1" applyBorder="1" applyAlignment="1">
      <alignment wrapText="1"/>
    </xf>
    <xf numFmtId="0" fontId="4" fillId="0" borderId="12" xfId="0" applyFont="1" applyBorder="1" applyAlignment="1">
      <alignment wrapText="1"/>
    </xf>
    <xf numFmtId="0" fontId="4" fillId="0" borderId="14" xfId="0" applyFont="1" applyBorder="1" applyAlignment="1">
      <alignment wrapText="1"/>
    </xf>
    <xf numFmtId="0" fontId="4" fillId="0" borderId="12" xfId="0" applyFont="1" applyFill="1" applyBorder="1" applyAlignment="1">
      <alignment wrapText="1"/>
    </xf>
    <xf numFmtId="0" fontId="0" fillId="0" borderId="0" xfId="0" applyFont="1" applyAlignment="1">
      <alignment wrapText="1"/>
    </xf>
    <xf numFmtId="1" fontId="8" fillId="0" borderId="0" xfId="0" applyNumberFormat="1" applyFont="1" applyAlignment="1">
      <alignment horizontal="center" wrapText="1"/>
    </xf>
    <xf numFmtId="0" fontId="5" fillId="2" borderId="0" xfId="0" applyFont="1" applyFill="1" applyAlignment="1">
      <alignment horizontal="center"/>
    </xf>
    <xf numFmtId="0" fontId="5" fillId="0" borderId="0" xfId="0" applyFont="1" applyAlignment="1">
      <alignment wrapText="1"/>
    </xf>
    <xf numFmtId="0" fontId="9" fillId="0" borderId="0" xfId="1" applyAlignment="1">
      <alignment wrapText="1"/>
    </xf>
    <xf numFmtId="0" fontId="1" fillId="2" borderId="13" xfId="0" applyFont="1" applyFill="1" applyBorder="1" applyAlignment="1">
      <alignment horizontal="center" vertical="center"/>
    </xf>
    <xf numFmtId="0" fontId="4" fillId="0" borderId="0" xfId="0" applyFont="1" applyFill="1" applyBorder="1" applyAlignment="1">
      <alignment wrapText="1"/>
    </xf>
    <xf numFmtId="0" fontId="4" fillId="0" borderId="13" xfId="0" applyFont="1" applyFill="1" applyBorder="1" applyAlignment="1">
      <alignment wrapText="1"/>
    </xf>
    <xf numFmtId="0" fontId="5" fillId="0" borderId="0" xfId="0" applyFont="1"/>
    <xf numFmtId="0" fontId="2" fillId="0" borderId="0" xfId="0" applyFont="1" applyFill="1" applyBorder="1" applyAlignment="1">
      <alignment vertical="center" wrapText="1"/>
    </xf>
    <xf numFmtId="0" fontId="2" fillId="0" borderId="0" xfId="0" applyFont="1" applyFill="1" applyBorder="1" applyAlignment="1">
      <alignment wrapText="1"/>
    </xf>
    <xf numFmtId="0" fontId="6" fillId="0" borderId="0" xfId="0" applyFont="1" applyFill="1" applyBorder="1" applyAlignment="1">
      <alignment wrapText="1"/>
    </xf>
    <xf numFmtId="0" fontId="0" fillId="0" borderId="0" xfId="0" applyFill="1" applyBorder="1"/>
    <xf numFmtId="0" fontId="5" fillId="0" borderId="0" xfId="0" applyFont="1" applyFill="1" applyBorder="1"/>
    <xf numFmtId="0" fontId="3" fillId="0" borderId="0" xfId="0" applyFont="1" applyFill="1" applyBorder="1" applyAlignment="1">
      <alignment horizontal="right"/>
    </xf>
    <xf numFmtId="0" fontId="1" fillId="0" borderId="0" xfId="0" applyFont="1" applyFill="1" applyBorder="1" applyAlignment="1">
      <alignment horizontal="center" vertical="center"/>
    </xf>
    <xf numFmtId="0" fontId="1" fillId="0" borderId="0" xfId="0" applyFont="1" applyFill="1" applyBorder="1" applyAlignment="1">
      <alignment horizontal="center" wrapText="1"/>
    </xf>
    <xf numFmtId="0" fontId="3"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10" fillId="3" borderId="0" xfId="2"/>
    <xf numFmtId="0" fontId="11" fillId="3" borderId="0" xfId="2" applyFont="1"/>
    <xf numFmtId="0" fontId="2" fillId="0" borderId="13" xfId="0" applyFont="1" applyBorder="1" applyAlignment="1">
      <alignment vertical="center" wrapText="1"/>
    </xf>
    <xf numFmtId="0" fontId="2" fillId="0" borderId="12" xfId="0" applyFont="1" applyBorder="1" applyAlignment="1">
      <alignment vertical="center" wrapText="1"/>
    </xf>
    <xf numFmtId="0" fontId="2" fillId="0" borderId="12" xfId="0" applyFont="1" applyBorder="1" applyAlignment="1">
      <alignment wrapText="1"/>
    </xf>
    <xf numFmtId="0" fontId="12" fillId="2" borderId="7"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3" fillId="0" borderId="4" xfId="0" applyFont="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0" fillId="0" borderId="13" xfId="0" applyBorder="1"/>
    <xf numFmtId="0" fontId="0" fillId="0" borderId="4" xfId="0" applyBorder="1"/>
    <xf numFmtId="0" fontId="0" fillId="0" borderId="12" xfId="0" applyBorder="1"/>
    <xf numFmtId="0" fontId="0" fillId="0" borderId="5" xfId="0" applyBorder="1"/>
    <xf numFmtId="0" fontId="0" fillId="0" borderId="14" xfId="0" applyBorder="1"/>
    <xf numFmtId="0" fontId="0" fillId="0" borderId="6" xfId="0" applyBorder="1"/>
    <xf numFmtId="0" fontId="1" fillId="2" borderId="13" xfId="0" applyFont="1" applyFill="1" applyBorder="1" applyAlignment="1">
      <alignment horizontal="center" vertical="center"/>
    </xf>
    <xf numFmtId="0" fontId="5" fillId="5" borderId="3" xfId="0" applyFont="1" applyFill="1" applyBorder="1"/>
    <xf numFmtId="0" fontId="13" fillId="4" borderId="0" xfId="3"/>
    <xf numFmtId="0" fontId="0" fillId="0" borderId="7" xfId="0" applyBorder="1"/>
    <xf numFmtId="0" fontId="0" fillId="0" borderId="8" xfId="0" applyBorder="1"/>
    <xf numFmtId="0" fontId="0" fillId="0" borderId="9" xfId="0" applyBorder="1"/>
    <xf numFmtId="0" fontId="1" fillId="2" borderId="13" xfId="0" applyFont="1" applyFill="1" applyBorder="1" applyAlignment="1">
      <alignment horizontal="center" vertical="center"/>
    </xf>
    <xf numFmtId="0" fontId="1" fillId="2" borderId="13" xfId="0" applyFont="1" applyFill="1" applyBorder="1" applyAlignment="1">
      <alignment horizontal="center" vertical="center"/>
    </xf>
    <xf numFmtId="0" fontId="0" fillId="0" borderId="0" xfId="0" applyAlignment="1">
      <alignment horizontal="left" vertical="center"/>
    </xf>
    <xf numFmtId="0" fontId="15" fillId="0" borderId="0" xfId="0" applyFont="1"/>
    <xf numFmtId="0" fontId="16" fillId="0" borderId="0" xfId="0" applyFont="1"/>
    <xf numFmtId="0" fontId="0" fillId="6" borderId="0" xfId="0" applyFill="1"/>
    <xf numFmtId="0" fontId="11" fillId="0" borderId="0" xfId="2" applyFont="1" applyFill="1"/>
    <xf numFmtId="0" fontId="0" fillId="0" borderId="0" xfId="0" applyFill="1"/>
    <xf numFmtId="0" fontId="10" fillId="0" borderId="0" xfId="2" applyFill="1"/>
    <xf numFmtId="0" fontId="16" fillId="0" borderId="0" xfId="0" applyFont="1" applyAlignment="1">
      <alignment horizontal="center" vertical="center"/>
    </xf>
    <xf numFmtId="0" fontId="18" fillId="2" borderId="7" xfId="0" applyFont="1" applyFill="1" applyBorder="1" applyAlignment="1">
      <alignment horizontal="center" vertical="center" wrapText="1"/>
    </xf>
    <xf numFmtId="0" fontId="2" fillId="0" borderId="13" xfId="0" applyFont="1" applyBorder="1" applyAlignment="1">
      <alignment horizontal="left" vertical="center" wrapText="1"/>
    </xf>
    <xf numFmtId="0" fontId="2" fillId="0" borderId="12" xfId="0" applyFont="1" applyBorder="1" applyAlignment="1">
      <alignment horizontal="left" vertical="center" wrapText="1"/>
    </xf>
    <xf numFmtId="0" fontId="0" fillId="0" borderId="13" xfId="0" applyBorder="1" applyAlignment="1">
      <alignment horizontal="left" vertical="center"/>
    </xf>
    <xf numFmtId="0" fontId="0" fillId="0" borderId="12" xfId="0" applyBorder="1" applyAlignment="1">
      <alignment horizontal="left" vertical="center"/>
    </xf>
    <xf numFmtId="0" fontId="0" fillId="0" borderId="14" xfId="0" applyBorder="1" applyAlignment="1">
      <alignment horizontal="left" vertical="center"/>
    </xf>
    <xf numFmtId="0" fontId="4" fillId="0" borderId="13" xfId="0" applyFont="1" applyBorder="1" applyAlignment="1">
      <alignment horizontal="left" vertical="center" wrapText="1"/>
    </xf>
    <xf numFmtId="0" fontId="4" fillId="0" borderId="12" xfId="0" applyFont="1" applyBorder="1" applyAlignment="1">
      <alignment horizontal="left" vertical="center" wrapText="1"/>
    </xf>
    <xf numFmtId="0" fontId="4" fillId="0" borderId="14" xfId="0" applyFont="1" applyBorder="1" applyAlignment="1">
      <alignment horizontal="left" vertical="center" wrapText="1"/>
    </xf>
    <xf numFmtId="0" fontId="4" fillId="0" borderId="12" xfId="0" applyFont="1" applyFill="1" applyBorder="1" applyAlignment="1">
      <alignment horizontal="left" vertical="center" wrapText="1"/>
    </xf>
    <xf numFmtId="0" fontId="5" fillId="7" borderId="0" xfId="0" applyFont="1" applyFill="1"/>
    <xf numFmtId="0" fontId="11" fillId="7" borderId="0" xfId="2" applyFont="1" applyFill="1"/>
    <xf numFmtId="0" fontId="5" fillId="0" borderId="0" xfId="0" applyFont="1" applyFill="1"/>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0" fillId="0" borderId="7" xfId="0" applyBorder="1" applyAlignment="1">
      <alignmen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9" xfId="0" applyBorder="1" applyAlignment="1">
      <alignment vertical="center" wrapText="1"/>
    </xf>
    <xf numFmtId="0" fontId="0" fillId="0" borderId="7" xfId="0" applyBorder="1" applyAlignment="1">
      <alignment horizontal="left" vertical="center" wrapText="1"/>
    </xf>
    <xf numFmtId="0" fontId="20" fillId="0" borderId="0" xfId="0" applyFont="1" applyAlignment="1">
      <alignment horizontal="center" vertical="center"/>
    </xf>
    <xf numFmtId="1" fontId="20" fillId="0" borderId="0" xfId="4" applyNumberFormat="1" applyFont="1"/>
    <xf numFmtId="1" fontId="0" fillId="0" borderId="0" xfId="0" applyNumberFormat="1"/>
    <xf numFmtId="0" fontId="0" fillId="0" borderId="7" xfId="0" applyBorder="1"/>
    <xf numFmtId="0" fontId="0" fillId="0" borderId="9" xfId="0" applyBorder="1"/>
    <xf numFmtId="0" fontId="0" fillId="0" borderId="8" xfId="0" applyBorder="1"/>
    <xf numFmtId="0" fontId="0" fillId="0" borderId="7" xfId="0" applyBorder="1"/>
    <xf numFmtId="0" fontId="0" fillId="0" borderId="9" xfId="0" applyBorder="1"/>
    <xf numFmtId="0" fontId="0" fillId="0" borderId="8" xfId="0" applyBorder="1"/>
    <xf numFmtId="0" fontId="0" fillId="0" borderId="7" xfId="0" applyBorder="1"/>
    <xf numFmtId="0" fontId="0" fillId="0" borderId="9" xfId="0" applyBorder="1"/>
    <xf numFmtId="0" fontId="0" fillId="0" borderId="8" xfId="0" applyBorder="1"/>
    <xf numFmtId="0" fontId="0" fillId="0" borderId="0" xfId="0"/>
    <xf numFmtId="0" fontId="0" fillId="0" borderId="7" xfId="0" applyBorder="1"/>
    <xf numFmtId="0" fontId="0" fillId="0" borderId="9" xfId="0" applyBorder="1"/>
    <xf numFmtId="0" fontId="0" fillId="0" borderId="0" xfId="0"/>
    <xf numFmtId="0" fontId="0" fillId="0" borderId="7" xfId="0" applyBorder="1"/>
    <xf numFmtId="0" fontId="0" fillId="0" borderId="9" xfId="0" applyBorder="1"/>
    <xf numFmtId="0" fontId="0" fillId="0" borderId="8" xfId="0" applyBorder="1"/>
    <xf numFmtId="0" fontId="0" fillId="0" borderId="8" xfId="0" applyFill="1" applyBorder="1"/>
    <xf numFmtId="0" fontId="16" fillId="0" borderId="13" xfId="0" applyFont="1" applyBorder="1" applyAlignment="1">
      <alignment horizontal="center" vertical="center"/>
    </xf>
    <xf numFmtId="0" fontId="16" fillId="0" borderId="12" xfId="0" applyFont="1" applyBorder="1" applyAlignment="1">
      <alignment horizontal="center" vertical="center"/>
    </xf>
    <xf numFmtId="0" fontId="21" fillId="0" borderId="0" xfId="0" applyFont="1" applyAlignment="1">
      <alignment horizontal="center" vertical="center"/>
    </xf>
    <xf numFmtId="0" fontId="11" fillId="0" borderId="0" xfId="2" applyFont="1" applyFill="1" applyAlignment="1"/>
    <xf numFmtId="0" fontId="0" fillId="0" borderId="0" xfId="0" applyAlignment="1"/>
    <xf numFmtId="0" fontId="4" fillId="0" borderId="12" xfId="0" applyFont="1" applyBorder="1" applyAlignment="1">
      <alignment vertical="center" wrapText="1"/>
    </xf>
    <xf numFmtId="0" fontId="5" fillId="0" borderId="0" xfId="0" applyFont="1" applyAlignment="1"/>
    <xf numFmtId="0" fontId="4"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7" xfId="0" applyFont="1" applyBorder="1" applyAlignment="1">
      <alignment horizontal="left" vertical="center" wrapText="1"/>
    </xf>
    <xf numFmtId="0" fontId="16" fillId="0" borderId="19" xfId="0" applyFont="1" applyBorder="1" applyAlignment="1">
      <alignment horizontal="center" vertical="center"/>
    </xf>
    <xf numFmtId="0" fontId="16" fillId="0" borderId="20" xfId="0" applyFont="1" applyBorder="1" applyAlignment="1">
      <alignment horizontal="center" vertical="center"/>
    </xf>
    <xf numFmtId="0" fontId="16" fillId="0" borderId="3" xfId="0" applyFont="1" applyBorder="1" applyAlignment="1">
      <alignment horizontal="center" vertical="center"/>
    </xf>
    <xf numFmtId="0" fontId="4" fillId="0" borderId="9" xfId="0" applyFont="1" applyBorder="1" applyAlignment="1">
      <alignment horizontal="left" vertical="center" wrapText="1"/>
    </xf>
    <xf numFmtId="0" fontId="4" fillId="0" borderId="8" xfId="0" applyFont="1" applyBorder="1" applyAlignment="1">
      <alignment horizontal="left" vertical="center" wrapText="1"/>
    </xf>
    <xf numFmtId="0" fontId="16" fillId="0" borderId="0" xfId="0" applyFont="1" applyAlignment="1">
      <alignment horizontal="center"/>
    </xf>
    <xf numFmtId="0" fontId="0" fillId="0" borderId="1" xfId="0" applyBorder="1"/>
    <xf numFmtId="0" fontId="0" fillId="0" borderId="0" xfId="0" applyBorder="1"/>
    <xf numFmtId="0" fontId="0" fillId="0" borderId="5" xfId="0" applyFill="1" applyBorder="1"/>
    <xf numFmtId="164" fontId="0" fillId="0" borderId="0" xfId="5" applyNumberFormat="1" applyFont="1" applyBorder="1"/>
    <xf numFmtId="0" fontId="22" fillId="8" borderId="0" xfId="0" applyFont="1" applyFill="1"/>
    <xf numFmtId="0" fontId="23" fillId="8" borderId="0" xfId="0" applyFont="1" applyFill="1"/>
    <xf numFmtId="0" fontId="16" fillId="0" borderId="5" xfId="0" applyFont="1" applyBorder="1"/>
    <xf numFmtId="0" fontId="3" fillId="0" borderId="13" xfId="0" applyFont="1" applyBorder="1" applyAlignment="1">
      <alignment horizontal="left" vertical="center" wrapText="1"/>
    </xf>
    <xf numFmtId="0" fontId="3" fillId="0" borderId="12" xfId="0" applyFont="1" applyBorder="1" applyAlignment="1">
      <alignment horizontal="left" vertical="center" wrapText="1"/>
    </xf>
    <xf numFmtId="0" fontId="3" fillId="0" borderId="12" xfId="0" applyFont="1" applyBorder="1" applyAlignment="1">
      <alignment horizontal="left" vertical="center"/>
    </xf>
    <xf numFmtId="0" fontId="3" fillId="0" borderId="14" xfId="0" applyFont="1" applyBorder="1" applyAlignment="1">
      <alignment horizontal="left" vertical="center" wrapText="1"/>
    </xf>
    <xf numFmtId="1" fontId="0" fillId="0" borderId="0" xfId="0" applyNumberFormat="1" applyBorder="1"/>
    <xf numFmtId="0" fontId="24" fillId="0" borderId="5" xfId="0" applyFont="1" applyBorder="1"/>
    <xf numFmtId="0" fontId="27" fillId="0" borderId="5" xfId="0" applyFont="1" applyBorder="1"/>
    <xf numFmtId="0" fontId="28" fillId="0" borderId="5" xfId="0" applyFont="1" applyBorder="1"/>
    <xf numFmtId="0" fontId="0" fillId="6" borderId="3" xfId="0" applyFill="1" applyBorder="1" applyAlignment="1" applyProtection="1">
      <alignment horizontal="center" vertical="center"/>
      <protection locked="0"/>
    </xf>
    <xf numFmtId="0" fontId="0" fillId="6" borderId="3" xfId="0" applyFill="1" applyBorder="1" applyAlignment="1" applyProtection="1">
      <alignment horizontal="center"/>
      <protection locked="0"/>
    </xf>
    <xf numFmtId="0" fontId="16" fillId="6" borderId="1" xfId="0" applyFont="1" applyFill="1" applyBorder="1" applyAlignment="1" applyProtection="1">
      <alignment horizontal="center" vertical="center"/>
      <protection locked="0"/>
    </xf>
    <xf numFmtId="0" fontId="16" fillId="6" borderId="0" xfId="0" applyFont="1" applyFill="1" applyBorder="1" applyAlignment="1" applyProtection="1">
      <alignment horizontal="center" vertical="center"/>
      <protection locked="0"/>
    </xf>
    <xf numFmtId="0" fontId="16" fillId="6" borderId="7" xfId="0" applyFont="1" applyFill="1" applyBorder="1" applyAlignment="1" applyProtection="1">
      <alignment horizontal="center" vertical="center"/>
      <protection locked="0"/>
    </xf>
    <xf numFmtId="0" fontId="16" fillId="6" borderId="8" xfId="0" applyFont="1" applyFill="1" applyBorder="1" applyAlignment="1" applyProtection="1">
      <alignment horizontal="center" vertical="center"/>
      <protection locked="0"/>
    </xf>
    <xf numFmtId="0" fontId="16" fillId="6" borderId="9" xfId="0" applyFont="1" applyFill="1" applyBorder="1" applyAlignment="1" applyProtection="1">
      <alignment horizontal="center" vertical="center"/>
      <protection locked="0"/>
    </xf>
    <xf numFmtId="0" fontId="17" fillId="2" borderId="7"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7" fillId="2" borderId="9" xfId="0" applyFont="1" applyFill="1" applyBorder="1" applyAlignment="1">
      <alignment horizontal="center" vertical="center" wrapText="1"/>
    </xf>
    <xf numFmtId="0" fontId="17" fillId="2" borderId="13"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29" fillId="0" borderId="0" xfId="0" applyFont="1"/>
    <xf numFmtId="0" fontId="17" fillId="2" borderId="7"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7" fillId="2" borderId="9" xfId="0" applyFont="1" applyFill="1" applyBorder="1" applyAlignment="1">
      <alignment horizontal="center" vertical="center" wrapText="1"/>
    </xf>
    <xf numFmtId="0" fontId="17" fillId="2" borderId="13"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17" fillId="2" borderId="14" xfId="0" applyFont="1" applyFill="1" applyBorder="1" applyAlignment="1">
      <alignment horizontal="center" vertical="center" wrapText="1"/>
    </xf>
    <xf numFmtId="164" fontId="0" fillId="0" borderId="0" xfId="0" applyNumberFormat="1" applyBorder="1"/>
    <xf numFmtId="0" fontId="0" fillId="6" borderId="3" xfId="0" applyFill="1" applyBorder="1" applyAlignment="1">
      <alignment horizontal="center"/>
    </xf>
    <xf numFmtId="0" fontId="0" fillId="0" borderId="12" xfId="0" applyFill="1" applyBorder="1"/>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18"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3" fillId="0" borderId="15"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0" fillId="0" borderId="0" xfId="0" applyAlignment="1">
      <alignment horizontal="center"/>
    </xf>
    <xf numFmtId="0" fontId="1" fillId="2" borderId="10" xfId="0" applyFont="1" applyFill="1" applyBorder="1" applyAlignment="1">
      <alignment horizontal="center" wrapText="1"/>
    </xf>
    <xf numFmtId="0" fontId="1" fillId="2" borderId="11" xfId="0" applyFont="1" applyFill="1" applyBorder="1" applyAlignment="1">
      <alignment horizontal="center" wrapText="1"/>
    </xf>
    <xf numFmtId="0" fontId="1" fillId="2" borderId="13"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7" xfId="0" applyFont="1" applyBorder="1" applyAlignment="1">
      <alignment horizontal="center" vertical="center"/>
    </xf>
    <xf numFmtId="0" fontId="1" fillId="2" borderId="13"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4" xfId="0" applyFont="1" applyFill="1" applyBorder="1" applyAlignment="1">
      <alignment horizontal="center" wrapText="1"/>
    </xf>
    <xf numFmtId="0" fontId="13" fillId="4" borderId="0" xfId="3" applyAlignment="1">
      <alignment horizontal="center"/>
    </xf>
    <xf numFmtId="0" fontId="0" fillId="0" borderId="7" xfId="0" applyBorder="1" applyAlignment="1">
      <alignment horizontal="center"/>
    </xf>
    <xf numFmtId="0" fontId="0" fillId="0" borderId="8" xfId="0" applyBorder="1" applyAlignment="1">
      <alignment horizontal="center"/>
    </xf>
    <xf numFmtId="0" fontId="19" fillId="2" borderId="13" xfId="0" applyFont="1" applyFill="1" applyBorder="1" applyAlignment="1">
      <alignment horizontal="center" vertical="center"/>
    </xf>
    <xf numFmtId="0" fontId="19" fillId="2" borderId="12" xfId="0" applyFont="1" applyFill="1" applyBorder="1" applyAlignment="1">
      <alignment horizontal="center" vertical="center"/>
    </xf>
    <xf numFmtId="0" fontId="19" fillId="2" borderId="14" xfId="0" applyFont="1" applyFill="1" applyBorder="1" applyAlignment="1">
      <alignment horizontal="center" vertical="center"/>
    </xf>
    <xf numFmtId="0" fontId="26" fillId="6" borderId="7" xfId="0" applyFont="1" applyFill="1" applyBorder="1" applyAlignment="1" applyProtection="1">
      <alignment horizontal="center" vertical="center" wrapText="1"/>
      <protection locked="0"/>
    </xf>
    <xf numFmtId="0" fontId="26" fillId="6" borderId="8" xfId="0" applyFont="1" applyFill="1" applyBorder="1" applyAlignment="1" applyProtection="1">
      <alignment horizontal="center" vertical="center" wrapText="1"/>
      <protection locked="0"/>
    </xf>
    <xf numFmtId="0" fontId="26" fillId="6" borderId="9" xfId="0" applyFont="1" applyFill="1" applyBorder="1" applyAlignment="1" applyProtection="1">
      <alignment horizontal="center" vertical="center" wrapText="1"/>
      <protection locked="0"/>
    </xf>
    <xf numFmtId="0" fontId="19" fillId="2" borderId="7"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7" xfId="0" applyFont="1" applyFill="1" applyBorder="1" applyAlignment="1">
      <alignment horizontal="center" vertical="center"/>
    </xf>
    <xf numFmtId="0" fontId="19" fillId="2" borderId="8" xfId="0" applyFont="1" applyFill="1" applyBorder="1" applyAlignment="1">
      <alignment horizontal="center" vertical="center"/>
    </xf>
    <xf numFmtId="0" fontId="19" fillId="2" borderId="9" xfId="0" applyFont="1" applyFill="1" applyBorder="1" applyAlignment="1">
      <alignment horizontal="center" vertical="center"/>
    </xf>
    <xf numFmtId="0" fontId="26" fillId="6" borderId="4" xfId="0" applyFont="1" applyFill="1" applyBorder="1" applyAlignment="1" applyProtection="1">
      <alignment horizontal="center" vertical="center" wrapText="1"/>
      <protection locked="0"/>
    </xf>
    <xf numFmtId="0" fontId="26" fillId="6" borderId="5" xfId="0" applyFont="1" applyFill="1" applyBorder="1" applyAlignment="1" applyProtection="1">
      <alignment horizontal="center" vertical="center" wrapText="1"/>
      <protection locked="0"/>
    </xf>
    <xf numFmtId="0" fontId="26" fillId="6" borderId="6" xfId="0" applyFont="1" applyFill="1" applyBorder="1" applyAlignment="1" applyProtection="1">
      <alignment horizontal="center" vertical="center" wrapText="1"/>
      <protection locked="0"/>
    </xf>
    <xf numFmtId="0" fontId="17" fillId="2" borderId="7"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7" fillId="2" borderId="9" xfId="0" applyFont="1" applyFill="1" applyBorder="1" applyAlignment="1">
      <alignment horizontal="center" vertical="center" wrapText="1"/>
    </xf>
    <xf numFmtId="0" fontId="17" fillId="2" borderId="13"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17" fillId="2" borderId="14" xfId="0" applyFont="1" applyFill="1" applyBorder="1" applyAlignment="1">
      <alignment horizontal="center" vertical="center" wrapText="1"/>
    </xf>
  </cellXfs>
  <cellStyles count="6">
    <cellStyle name="Bad" xfId="3" builtinId="27"/>
    <cellStyle name="Comma" xfId="5" builtinId="3"/>
    <cellStyle name="Good" xfId="2" builtinId="26"/>
    <cellStyle name="Hyperlink" xfId="1" builtinId="8"/>
    <cellStyle name="Normal" xfId="0" builtinId="0"/>
    <cellStyle name="Percent" xfId="4" builtinId="5"/>
  </cellStyles>
  <dxfs count="0"/>
  <tableStyles count="0" defaultTableStyle="TableStyleMedium2" defaultPivotStyle="PivotStyleLight16"/>
  <colors>
    <mruColors>
      <color rgb="FFFFFFCC"/>
      <color rgb="FF339933"/>
      <color rgb="FFFF6315"/>
      <color rgb="FFFF8C53"/>
      <color rgb="FFFFD03B"/>
      <color rgb="FFFF4747"/>
      <color rgb="FFFF9966"/>
      <color rgb="FFFF66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rgbClr val="FF0000"/>
              </a:solidFill>
              <a:round/>
            </a:ln>
            <a:effectLst/>
          </c:spPr>
          <c:marker>
            <c:symbol val="circle"/>
            <c:size val="5"/>
            <c:spPr>
              <a:solidFill>
                <a:schemeClr val="accent1"/>
              </a:solidFill>
              <a:ln w="9525">
                <a:solidFill>
                  <a:srgbClr val="FF0000"/>
                </a:solidFill>
              </a:ln>
              <a:effectLst/>
            </c:spPr>
          </c:marker>
          <c:dPt>
            <c:idx val="0"/>
            <c:marker>
              <c:symbol val="circle"/>
              <c:size val="5"/>
              <c:spPr>
                <a:solidFill>
                  <a:srgbClr val="FF0000"/>
                </a:solidFill>
                <a:ln w="9525">
                  <a:solidFill>
                    <a:srgbClr val="FF0000"/>
                  </a:solidFill>
                </a:ln>
                <a:effectLst/>
              </c:spPr>
            </c:marker>
            <c:bubble3D val="0"/>
            <c:extLst>
              <c:ext xmlns:c16="http://schemas.microsoft.com/office/drawing/2014/chart" uri="{C3380CC4-5D6E-409C-BE32-E72D297353CC}">
                <c16:uniqueId val="{00000000-E862-4651-A8F5-D82BCE65D6EE}"/>
              </c:ext>
            </c:extLst>
          </c:dPt>
          <c:cat>
            <c:strRef>
              <c:f>'Template Jan 18'!$C$48:$C$53</c:f>
              <c:strCache>
                <c:ptCount val="6"/>
                <c:pt idx="0">
                  <c:v>Strategic fit</c:v>
                </c:pt>
                <c:pt idx="1">
                  <c:v>Development Concept</c:v>
                </c:pt>
                <c:pt idx="2">
                  <c:v>Technical/Subsurface</c:v>
                </c:pt>
                <c:pt idx="3">
                  <c:v>Above Ground Factors</c:v>
                </c:pt>
                <c:pt idx="4">
                  <c:v>Value</c:v>
                </c:pt>
                <c:pt idx="5">
                  <c:v>Opportunity potential and budget</c:v>
                </c:pt>
              </c:strCache>
            </c:strRef>
          </c:cat>
          <c:val>
            <c:numRef>
              <c:f>'Template Jan 18'!$D$48:$D$53</c:f>
              <c:numCache>
                <c:formatCode>0</c:formatCode>
                <c:ptCount val="6"/>
                <c:pt idx="0">
                  <c:v>100</c:v>
                </c:pt>
                <c:pt idx="1">
                  <c:v>75</c:v>
                </c:pt>
                <c:pt idx="2">
                  <c:v>100</c:v>
                </c:pt>
                <c:pt idx="3">
                  <c:v>25</c:v>
                </c:pt>
                <c:pt idx="4">
                  <c:v>50</c:v>
                </c:pt>
                <c:pt idx="5">
                  <c:v>75</c:v>
                </c:pt>
              </c:numCache>
            </c:numRef>
          </c:val>
          <c:extLst>
            <c:ext xmlns:c16="http://schemas.microsoft.com/office/drawing/2014/chart" uri="{C3380CC4-5D6E-409C-BE32-E72D297353CC}">
              <c16:uniqueId val="{00000001-E862-4651-A8F5-D82BCE65D6EE}"/>
            </c:ext>
          </c:extLst>
        </c:ser>
        <c:dLbls>
          <c:showLegendKey val="0"/>
          <c:showVal val="0"/>
          <c:showCatName val="0"/>
          <c:showSerName val="0"/>
          <c:showPercent val="0"/>
          <c:showBubbleSize val="0"/>
        </c:dLbls>
        <c:axId val="938525240"/>
        <c:axId val="78583952"/>
      </c:radarChart>
      <c:catAx>
        <c:axId val="938525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10" b="1" i="0" u="none" strike="noStrike" kern="1200" cap="all" baseline="0">
                <a:solidFill>
                  <a:schemeClr val="tx1">
                    <a:lumMod val="65000"/>
                    <a:lumOff val="35000"/>
                  </a:schemeClr>
                </a:solidFill>
                <a:latin typeface="Times New Roman" panose="02020603050405020304" pitchFamily="18" charset="0"/>
                <a:ea typeface="+mn-ea"/>
                <a:cs typeface="+mn-cs"/>
              </a:defRPr>
            </a:pPr>
            <a:endParaRPr lang="en-US"/>
          </a:p>
        </c:txPr>
        <c:crossAx val="78583952"/>
        <c:crosses val="autoZero"/>
        <c:auto val="1"/>
        <c:lblAlgn val="ctr"/>
        <c:lblOffset val="100"/>
        <c:noMultiLvlLbl val="0"/>
      </c:catAx>
      <c:valAx>
        <c:axId val="78583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525240"/>
        <c:crosses val="autoZero"/>
        <c:crossBetween val="between"/>
        <c:majorUnit val="2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rgbClr val="C00000"/>
              </a:solidFill>
              <a:round/>
            </a:ln>
            <a:effectLst/>
          </c:spPr>
          <c:marker>
            <c:symbol val="circle"/>
            <c:size val="5"/>
            <c:spPr>
              <a:solidFill>
                <a:srgbClr val="C00000"/>
              </a:solidFill>
              <a:ln w="9525">
                <a:solidFill>
                  <a:srgbClr val="C00000"/>
                </a:solidFill>
              </a:ln>
              <a:effectLst/>
            </c:spPr>
          </c:marker>
          <c:cat>
            <c:strRef>
              <c:f>'Logical Decision template'!$C$45:$C$50</c:f>
              <c:strCache>
                <c:ptCount val="6"/>
                <c:pt idx="0">
                  <c:v>Strategic fit</c:v>
                </c:pt>
                <c:pt idx="1">
                  <c:v>Development Screening</c:v>
                </c:pt>
                <c:pt idx="2">
                  <c:v>Technical/Subsurface</c:v>
                </c:pt>
                <c:pt idx="3">
                  <c:v>Above Ground Risks </c:v>
                </c:pt>
                <c:pt idx="4">
                  <c:v>Commercial Evaluation</c:v>
                </c:pt>
                <c:pt idx="5">
                  <c:v>Opportunity potential and budget</c:v>
                </c:pt>
              </c:strCache>
            </c:strRef>
          </c:cat>
          <c:val>
            <c:numRef>
              <c:f>'Logical Decision template'!$D$45:$D$50</c:f>
              <c:numCache>
                <c:formatCode>0</c:formatCode>
                <c:ptCount val="6"/>
                <c:pt idx="0">
                  <c:v>50</c:v>
                </c:pt>
                <c:pt idx="1">
                  <c:v>66.599999999999994</c:v>
                </c:pt>
                <c:pt idx="2">
                  <c:v>33.299999999999997</c:v>
                </c:pt>
                <c:pt idx="3">
                  <c:v>66.599999999999994</c:v>
                </c:pt>
                <c:pt idx="4">
                  <c:v>33.299999999999997</c:v>
                </c:pt>
                <c:pt idx="5">
                  <c:v>66.599999999999994</c:v>
                </c:pt>
              </c:numCache>
            </c:numRef>
          </c:val>
          <c:extLst>
            <c:ext xmlns:c16="http://schemas.microsoft.com/office/drawing/2014/chart" uri="{C3380CC4-5D6E-409C-BE32-E72D297353CC}">
              <c16:uniqueId val="{00000000-AE22-4EE2-81C4-C13EC3097425}"/>
            </c:ext>
          </c:extLst>
        </c:ser>
        <c:dLbls>
          <c:showLegendKey val="0"/>
          <c:showVal val="0"/>
          <c:showCatName val="0"/>
          <c:showSerName val="0"/>
          <c:showPercent val="0"/>
          <c:showBubbleSize val="0"/>
        </c:dLbls>
        <c:axId val="78584736"/>
        <c:axId val="78585128"/>
      </c:radarChart>
      <c:catAx>
        <c:axId val="7858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8585128"/>
        <c:crosses val="autoZero"/>
        <c:auto val="1"/>
        <c:lblAlgn val="ctr"/>
        <c:lblOffset val="100"/>
        <c:noMultiLvlLbl val="0"/>
      </c:catAx>
      <c:valAx>
        <c:axId val="78585128"/>
        <c:scaling>
          <c:orientation val="minMax"/>
          <c:max val="100"/>
          <c:min val="0"/>
        </c:scaling>
        <c:delete val="0"/>
        <c:axPos val="l"/>
        <c:majorGridlines>
          <c:spPr>
            <a:ln w="9525" cap="flat" cmpd="sng" algn="ctr">
              <a:solidFill>
                <a:srgbClr val="000000"/>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8584736"/>
        <c:crosses val="autoZero"/>
        <c:crossBetween val="between"/>
        <c:majorUnit val="2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rgbClr val="C00000"/>
              </a:solidFill>
              <a:round/>
            </a:ln>
            <a:effectLst/>
          </c:spPr>
          <c:marker>
            <c:symbol val="circle"/>
            <c:size val="5"/>
            <c:spPr>
              <a:solidFill>
                <a:srgbClr val="C00000"/>
              </a:solidFill>
              <a:ln w="9525">
                <a:solidFill>
                  <a:srgbClr val="C00000"/>
                </a:solidFill>
              </a:ln>
              <a:effectLst/>
            </c:spPr>
          </c:marker>
          <c:cat>
            <c:strRef>
              <c:f>'Logical Decision template (2)'!$C$46:$C$51</c:f>
              <c:strCache>
                <c:ptCount val="6"/>
                <c:pt idx="0">
                  <c:v>Strategic fit</c:v>
                </c:pt>
                <c:pt idx="1">
                  <c:v>Development Screening</c:v>
                </c:pt>
                <c:pt idx="2">
                  <c:v>Technical/Subsurface</c:v>
                </c:pt>
                <c:pt idx="3">
                  <c:v>Above Ground Risks </c:v>
                </c:pt>
                <c:pt idx="4">
                  <c:v>Commercial Evaluation</c:v>
                </c:pt>
                <c:pt idx="5">
                  <c:v>Opportunity potential and budget</c:v>
                </c:pt>
              </c:strCache>
            </c:strRef>
          </c:cat>
          <c:val>
            <c:numRef>
              <c:f>'Logical Decision template (2)'!$D$46:$D$51</c:f>
              <c:numCache>
                <c:formatCode>0</c:formatCode>
                <c:ptCount val="6"/>
                <c:pt idx="0">
                  <c:v>50</c:v>
                </c:pt>
                <c:pt idx="1">
                  <c:v>66.599999999999994</c:v>
                </c:pt>
                <c:pt idx="2">
                  <c:v>100</c:v>
                </c:pt>
                <c:pt idx="3">
                  <c:v>66.599999999999994</c:v>
                </c:pt>
                <c:pt idx="4">
                  <c:v>33.299999999999997</c:v>
                </c:pt>
                <c:pt idx="5">
                  <c:v>66.599999999999994</c:v>
                </c:pt>
              </c:numCache>
            </c:numRef>
          </c:val>
          <c:extLst>
            <c:ext xmlns:c16="http://schemas.microsoft.com/office/drawing/2014/chart" uri="{C3380CC4-5D6E-409C-BE32-E72D297353CC}">
              <c16:uniqueId val="{00000000-B83B-40F8-905E-FF94801BC73E}"/>
            </c:ext>
          </c:extLst>
        </c:ser>
        <c:dLbls>
          <c:showLegendKey val="0"/>
          <c:showVal val="0"/>
          <c:showCatName val="0"/>
          <c:showSerName val="0"/>
          <c:showPercent val="0"/>
          <c:showBubbleSize val="0"/>
        </c:dLbls>
        <c:axId val="905120216"/>
        <c:axId val="905120608"/>
      </c:radarChart>
      <c:catAx>
        <c:axId val="905120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905120608"/>
        <c:crosses val="autoZero"/>
        <c:auto val="1"/>
        <c:lblAlgn val="ctr"/>
        <c:lblOffset val="100"/>
        <c:noMultiLvlLbl val="0"/>
      </c:catAx>
      <c:valAx>
        <c:axId val="905120608"/>
        <c:scaling>
          <c:orientation val="minMax"/>
          <c:max val="100"/>
          <c:min val="0"/>
        </c:scaling>
        <c:delete val="0"/>
        <c:axPos val="l"/>
        <c:majorGridlines>
          <c:spPr>
            <a:ln w="9525" cap="flat" cmpd="sng" algn="ctr">
              <a:solidFill>
                <a:srgbClr val="000000"/>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05120216"/>
        <c:crosses val="autoZero"/>
        <c:crossBetween val="between"/>
        <c:majorUnit val="2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693339522832075"/>
          <c:y val="0.18215046570506122"/>
          <c:w val="0.40251955987677823"/>
          <c:h val="0.62402833716581896"/>
        </c:manualLayout>
      </c:layout>
      <c:radarChart>
        <c:radarStyle val="marker"/>
        <c:varyColors val="0"/>
        <c:ser>
          <c:idx val="1"/>
          <c:order val="0"/>
          <c:tx>
            <c:v>Very Low Risk</c:v>
          </c:tx>
          <c:spPr>
            <a:ln w="381000" cap="rnd">
              <a:solidFill>
                <a:srgbClr val="92D050"/>
              </a:solidFill>
              <a:miter lim="800000"/>
            </a:ln>
            <a:effectLst/>
          </c:spPr>
          <c:marker>
            <c:symbol val="circle"/>
            <c:size val="5"/>
            <c:spPr>
              <a:noFill/>
              <a:ln w="9525">
                <a:noFill/>
              </a:ln>
              <a:effectLst/>
            </c:spPr>
          </c:marker>
          <c:cat>
            <c:strRef>
              <c:f>'Do Not Touch Working Sheet'!$B$3:$B$8</c:f>
              <c:strCache>
                <c:ptCount val="6"/>
                <c:pt idx="0">
                  <c:v>Strategy &amp; Budget</c:v>
                </c:pt>
                <c:pt idx="1">
                  <c:v>Exploration Portfolio Fit</c:v>
                </c:pt>
                <c:pt idx="2">
                  <c:v>Development Concept</c:v>
                </c:pt>
                <c:pt idx="3">
                  <c:v>Technical/Subsurface</c:v>
                </c:pt>
                <c:pt idx="4">
                  <c:v>Above Ground</c:v>
                </c:pt>
                <c:pt idx="5">
                  <c:v>Commercial </c:v>
                </c:pt>
              </c:strCache>
            </c:strRef>
          </c:cat>
          <c:val>
            <c:numRef>
              <c:f>'DMAT Current State'!$B$96:$B$101</c:f>
              <c:numCache>
                <c:formatCode>General</c:formatCode>
                <c:ptCount val="6"/>
                <c:pt idx="0">
                  <c:v>90</c:v>
                </c:pt>
                <c:pt idx="1">
                  <c:v>90</c:v>
                </c:pt>
                <c:pt idx="2">
                  <c:v>90</c:v>
                </c:pt>
                <c:pt idx="3">
                  <c:v>90</c:v>
                </c:pt>
                <c:pt idx="4">
                  <c:v>90</c:v>
                </c:pt>
                <c:pt idx="5">
                  <c:v>90</c:v>
                </c:pt>
              </c:numCache>
            </c:numRef>
          </c:val>
          <c:extLst>
            <c:ext xmlns:c16="http://schemas.microsoft.com/office/drawing/2014/chart" uri="{C3380CC4-5D6E-409C-BE32-E72D297353CC}">
              <c16:uniqueId val="{00000000-F085-4C17-B13F-E7F38E4FD832}"/>
            </c:ext>
          </c:extLst>
        </c:ser>
        <c:ser>
          <c:idx val="2"/>
          <c:order val="1"/>
          <c:tx>
            <c:v>Low Risk</c:v>
          </c:tx>
          <c:spPr>
            <a:ln w="381000" cap="rnd">
              <a:solidFill>
                <a:schemeClr val="accent6">
                  <a:lumMod val="60000"/>
                  <a:lumOff val="40000"/>
                </a:schemeClr>
              </a:solidFill>
              <a:miter lim="800000"/>
            </a:ln>
            <a:effectLst/>
          </c:spPr>
          <c:marker>
            <c:symbol val="circle"/>
            <c:size val="5"/>
            <c:spPr>
              <a:noFill/>
              <a:ln w="9525">
                <a:noFill/>
              </a:ln>
              <a:effectLst/>
            </c:spPr>
          </c:marker>
          <c:cat>
            <c:strRef>
              <c:f>'Do Not Touch Working Sheet'!$B$3:$B$8</c:f>
              <c:strCache>
                <c:ptCount val="6"/>
                <c:pt idx="0">
                  <c:v>Strategy &amp; Budget</c:v>
                </c:pt>
                <c:pt idx="1">
                  <c:v>Exploration Portfolio Fit</c:v>
                </c:pt>
                <c:pt idx="2">
                  <c:v>Development Concept</c:v>
                </c:pt>
                <c:pt idx="3">
                  <c:v>Technical/Subsurface</c:v>
                </c:pt>
                <c:pt idx="4">
                  <c:v>Above Ground</c:v>
                </c:pt>
                <c:pt idx="5">
                  <c:v>Commercial </c:v>
                </c:pt>
              </c:strCache>
            </c:strRef>
          </c:cat>
          <c:val>
            <c:numRef>
              <c:f>'DMAT Current State'!$C$96:$C$101</c:f>
              <c:numCache>
                <c:formatCode>General</c:formatCode>
                <c:ptCount val="6"/>
                <c:pt idx="0">
                  <c:v>70</c:v>
                </c:pt>
                <c:pt idx="1">
                  <c:v>70</c:v>
                </c:pt>
                <c:pt idx="2">
                  <c:v>70</c:v>
                </c:pt>
                <c:pt idx="3">
                  <c:v>70</c:v>
                </c:pt>
                <c:pt idx="4">
                  <c:v>70</c:v>
                </c:pt>
                <c:pt idx="5">
                  <c:v>70</c:v>
                </c:pt>
              </c:numCache>
            </c:numRef>
          </c:val>
          <c:extLst>
            <c:ext xmlns:c16="http://schemas.microsoft.com/office/drawing/2014/chart" uri="{C3380CC4-5D6E-409C-BE32-E72D297353CC}">
              <c16:uniqueId val="{00000001-F085-4C17-B13F-E7F38E4FD832}"/>
            </c:ext>
          </c:extLst>
        </c:ser>
        <c:ser>
          <c:idx val="3"/>
          <c:order val="2"/>
          <c:tx>
            <c:v>Medium Risk</c:v>
          </c:tx>
          <c:spPr>
            <a:ln w="381000" cap="rnd">
              <a:solidFill>
                <a:srgbClr val="FFD03B"/>
              </a:solidFill>
              <a:miter lim="800000"/>
            </a:ln>
            <a:effectLst/>
          </c:spPr>
          <c:marker>
            <c:symbol val="circle"/>
            <c:size val="5"/>
            <c:spPr>
              <a:noFill/>
              <a:ln w="9525">
                <a:noFill/>
              </a:ln>
              <a:effectLst/>
            </c:spPr>
          </c:marker>
          <c:cat>
            <c:strRef>
              <c:f>'Do Not Touch Working Sheet'!$B$3:$B$8</c:f>
              <c:strCache>
                <c:ptCount val="6"/>
                <c:pt idx="0">
                  <c:v>Strategy &amp; Budget</c:v>
                </c:pt>
                <c:pt idx="1">
                  <c:v>Exploration Portfolio Fit</c:v>
                </c:pt>
                <c:pt idx="2">
                  <c:v>Development Concept</c:v>
                </c:pt>
                <c:pt idx="3">
                  <c:v>Technical/Subsurface</c:v>
                </c:pt>
                <c:pt idx="4">
                  <c:v>Above Ground</c:v>
                </c:pt>
                <c:pt idx="5">
                  <c:v>Commercial </c:v>
                </c:pt>
              </c:strCache>
            </c:strRef>
          </c:cat>
          <c:val>
            <c:numRef>
              <c:f>'DMAT Current State'!$D$96:$D$101</c:f>
              <c:numCache>
                <c:formatCode>General</c:formatCode>
                <c:ptCount val="6"/>
                <c:pt idx="0">
                  <c:v>50</c:v>
                </c:pt>
                <c:pt idx="1">
                  <c:v>50</c:v>
                </c:pt>
                <c:pt idx="2">
                  <c:v>50</c:v>
                </c:pt>
                <c:pt idx="3">
                  <c:v>50</c:v>
                </c:pt>
                <c:pt idx="4">
                  <c:v>50</c:v>
                </c:pt>
                <c:pt idx="5">
                  <c:v>50</c:v>
                </c:pt>
              </c:numCache>
            </c:numRef>
          </c:val>
          <c:extLst>
            <c:ext xmlns:c16="http://schemas.microsoft.com/office/drawing/2014/chart" uri="{C3380CC4-5D6E-409C-BE32-E72D297353CC}">
              <c16:uniqueId val="{00000002-F085-4C17-B13F-E7F38E4FD832}"/>
            </c:ext>
          </c:extLst>
        </c:ser>
        <c:ser>
          <c:idx val="4"/>
          <c:order val="3"/>
          <c:tx>
            <c:v>High Risk</c:v>
          </c:tx>
          <c:spPr>
            <a:ln w="381000" cap="rnd">
              <a:solidFill>
                <a:srgbClr val="FF8C53"/>
              </a:solidFill>
              <a:miter lim="800000"/>
            </a:ln>
            <a:effectLst/>
          </c:spPr>
          <c:marker>
            <c:symbol val="circle"/>
            <c:size val="5"/>
            <c:spPr>
              <a:noFill/>
              <a:ln w="9525">
                <a:noFill/>
              </a:ln>
              <a:effectLst/>
            </c:spPr>
          </c:marker>
          <c:cat>
            <c:strRef>
              <c:f>'Do Not Touch Working Sheet'!$B$3:$B$8</c:f>
              <c:strCache>
                <c:ptCount val="6"/>
                <c:pt idx="0">
                  <c:v>Strategy &amp; Budget</c:v>
                </c:pt>
                <c:pt idx="1">
                  <c:v>Exploration Portfolio Fit</c:v>
                </c:pt>
                <c:pt idx="2">
                  <c:v>Development Concept</c:v>
                </c:pt>
                <c:pt idx="3">
                  <c:v>Technical/Subsurface</c:v>
                </c:pt>
                <c:pt idx="4">
                  <c:v>Above Ground</c:v>
                </c:pt>
                <c:pt idx="5">
                  <c:v>Commercial </c:v>
                </c:pt>
              </c:strCache>
            </c:strRef>
          </c:cat>
          <c:val>
            <c:numRef>
              <c:f>'DMAT Current State'!$E$96:$E$101</c:f>
              <c:numCache>
                <c:formatCode>General</c:formatCode>
                <c:ptCount val="6"/>
                <c:pt idx="0">
                  <c:v>30</c:v>
                </c:pt>
                <c:pt idx="1">
                  <c:v>30</c:v>
                </c:pt>
                <c:pt idx="2">
                  <c:v>30</c:v>
                </c:pt>
                <c:pt idx="3">
                  <c:v>30</c:v>
                </c:pt>
                <c:pt idx="4">
                  <c:v>30</c:v>
                </c:pt>
                <c:pt idx="5">
                  <c:v>30</c:v>
                </c:pt>
              </c:numCache>
            </c:numRef>
          </c:val>
          <c:extLst>
            <c:ext xmlns:c16="http://schemas.microsoft.com/office/drawing/2014/chart" uri="{C3380CC4-5D6E-409C-BE32-E72D297353CC}">
              <c16:uniqueId val="{00000003-F085-4C17-B13F-E7F38E4FD832}"/>
            </c:ext>
          </c:extLst>
        </c:ser>
        <c:ser>
          <c:idx val="5"/>
          <c:order val="4"/>
          <c:tx>
            <c:v>Very High Risk</c:v>
          </c:tx>
          <c:spPr>
            <a:ln w="381000" cap="rnd">
              <a:solidFill>
                <a:srgbClr val="FF4747"/>
              </a:solidFill>
              <a:miter lim="800000"/>
            </a:ln>
            <a:effectLst/>
          </c:spPr>
          <c:marker>
            <c:symbol val="circle"/>
            <c:size val="5"/>
            <c:spPr>
              <a:noFill/>
              <a:ln w="9525">
                <a:noFill/>
              </a:ln>
              <a:effectLst/>
            </c:spPr>
          </c:marker>
          <c:cat>
            <c:strRef>
              <c:f>'Do Not Touch Working Sheet'!$B$3:$B$8</c:f>
              <c:strCache>
                <c:ptCount val="6"/>
                <c:pt idx="0">
                  <c:v>Strategy &amp; Budget</c:v>
                </c:pt>
                <c:pt idx="1">
                  <c:v>Exploration Portfolio Fit</c:v>
                </c:pt>
                <c:pt idx="2">
                  <c:v>Development Concept</c:v>
                </c:pt>
                <c:pt idx="3">
                  <c:v>Technical/Subsurface</c:v>
                </c:pt>
                <c:pt idx="4">
                  <c:v>Above Ground</c:v>
                </c:pt>
                <c:pt idx="5">
                  <c:v>Commercial </c:v>
                </c:pt>
              </c:strCache>
            </c:strRef>
          </c:cat>
          <c:val>
            <c:numRef>
              <c:f>'DMAT Current State'!$F$96:$F$101</c:f>
              <c:numCache>
                <c:formatCode>General</c:formatCode>
                <c:ptCount val="6"/>
                <c:pt idx="0">
                  <c:v>10</c:v>
                </c:pt>
                <c:pt idx="1">
                  <c:v>10</c:v>
                </c:pt>
                <c:pt idx="2">
                  <c:v>10</c:v>
                </c:pt>
                <c:pt idx="3">
                  <c:v>10</c:v>
                </c:pt>
                <c:pt idx="4">
                  <c:v>10</c:v>
                </c:pt>
                <c:pt idx="5">
                  <c:v>10</c:v>
                </c:pt>
              </c:numCache>
            </c:numRef>
          </c:val>
          <c:extLst>
            <c:ext xmlns:c16="http://schemas.microsoft.com/office/drawing/2014/chart" uri="{C3380CC4-5D6E-409C-BE32-E72D297353CC}">
              <c16:uniqueId val="{00000004-F085-4C17-B13F-E7F38E4FD832}"/>
            </c:ext>
          </c:extLst>
        </c:ser>
        <c:ser>
          <c:idx val="0"/>
          <c:order val="5"/>
          <c:tx>
            <c:v>Current State</c:v>
          </c:tx>
          <c:spPr>
            <a:ln w="44450" cap="rnd">
              <a:solidFill>
                <a:schemeClr val="tx1"/>
              </a:solidFill>
              <a:round/>
            </a:ln>
            <a:effectLst/>
          </c:spPr>
          <c:marker>
            <c:symbol val="diamond"/>
            <c:size val="13"/>
            <c:spPr>
              <a:solidFill>
                <a:schemeClr val="tx1"/>
              </a:solidFill>
              <a:ln w="9525">
                <a:solidFill>
                  <a:schemeClr val="tx1"/>
                </a:solidFill>
              </a:ln>
              <a:effectLst/>
            </c:spPr>
          </c:marker>
          <c:cat>
            <c:strRef>
              <c:f>'Do Not Touch Working Sheet'!$B$3:$B$8</c:f>
              <c:strCache>
                <c:ptCount val="6"/>
                <c:pt idx="0">
                  <c:v>Strategy &amp; Budget</c:v>
                </c:pt>
                <c:pt idx="1">
                  <c:v>Exploration Portfolio Fit</c:v>
                </c:pt>
                <c:pt idx="2">
                  <c:v>Development Concept</c:v>
                </c:pt>
                <c:pt idx="3">
                  <c:v>Technical/Subsurface</c:v>
                </c:pt>
                <c:pt idx="4">
                  <c:v>Above Ground</c:v>
                </c:pt>
                <c:pt idx="5">
                  <c:v>Commercial </c:v>
                </c:pt>
              </c:strCache>
            </c:strRef>
          </c:cat>
          <c:val>
            <c:numRef>
              <c:f>'Do Not Touch Working Sheet'!$H$3:$H$8</c:f>
              <c:numCache>
                <c:formatCode>_-* #,##0_-;\-* #,##0_-;_-* "-"??_-;_-@_-</c:formatCode>
                <c:ptCount val="6"/>
                <c:pt idx="0">
                  <c:v>70</c:v>
                </c:pt>
                <c:pt idx="1">
                  <c:v>60</c:v>
                </c:pt>
                <c:pt idx="2">
                  <c:v>90</c:v>
                </c:pt>
                <c:pt idx="3">
                  <c:v>100</c:v>
                </c:pt>
                <c:pt idx="4">
                  <c:v>100</c:v>
                </c:pt>
                <c:pt idx="5">
                  <c:v>100</c:v>
                </c:pt>
              </c:numCache>
            </c:numRef>
          </c:val>
          <c:extLst>
            <c:ext xmlns:c16="http://schemas.microsoft.com/office/drawing/2014/chart" uri="{C3380CC4-5D6E-409C-BE32-E72D297353CC}">
              <c16:uniqueId val="{00000005-F085-4C17-B13F-E7F38E4FD832}"/>
            </c:ext>
          </c:extLst>
        </c:ser>
        <c:ser>
          <c:idx val="6"/>
          <c:order val="6"/>
          <c:tx>
            <c:v>Potential Future State</c:v>
          </c:tx>
          <c:spPr>
            <a:ln w="44450" cap="rnd">
              <a:solidFill>
                <a:schemeClr val="tx1"/>
              </a:solidFill>
              <a:prstDash val="sysDash"/>
              <a:round/>
            </a:ln>
            <a:effectLst/>
          </c:spPr>
          <c:marker>
            <c:symbol val="diamond"/>
            <c:size val="13"/>
            <c:spPr>
              <a:solidFill>
                <a:schemeClr val="tx1"/>
              </a:solidFill>
              <a:ln w="9525">
                <a:solidFill>
                  <a:schemeClr val="tx1"/>
                </a:solidFill>
              </a:ln>
              <a:effectLst/>
            </c:spPr>
          </c:marker>
          <c:val>
            <c:numRef>
              <c:f>'Do Not Touch PFS Working Sheet'!$H$3:$H$8</c:f>
              <c:numCache>
                <c:formatCode>_-* #,##0_-;\-* #,##0_-;_-* "-"??_-;_-@_-</c:formatCode>
                <c:ptCount val="6"/>
                <c:pt idx="0">
                  <c:v>60</c:v>
                </c:pt>
                <c:pt idx="1">
                  <c:v>60</c:v>
                </c:pt>
                <c:pt idx="2">
                  <c:v>100</c:v>
                </c:pt>
                <c:pt idx="3">
                  <c:v>100</c:v>
                </c:pt>
                <c:pt idx="4">
                  <c:v>100</c:v>
                </c:pt>
                <c:pt idx="5">
                  <c:v>100</c:v>
                </c:pt>
              </c:numCache>
            </c:numRef>
          </c:val>
          <c:extLst>
            <c:ext xmlns:c16="http://schemas.microsoft.com/office/drawing/2014/chart" uri="{C3380CC4-5D6E-409C-BE32-E72D297353CC}">
              <c16:uniqueId val="{00000006-F085-4C17-B13F-E7F38E4FD832}"/>
            </c:ext>
          </c:extLst>
        </c:ser>
        <c:dLbls>
          <c:showLegendKey val="0"/>
          <c:showVal val="0"/>
          <c:showCatName val="0"/>
          <c:showSerName val="0"/>
          <c:showPercent val="0"/>
          <c:showBubbleSize val="0"/>
        </c:dLbls>
        <c:axId val="1226895856"/>
        <c:axId val="1226896248"/>
      </c:radarChart>
      <c:catAx>
        <c:axId val="122689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10" b="1" i="0" u="none" strike="noStrike" kern="1200" cap="all"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26896248"/>
        <c:crosses val="autoZero"/>
        <c:auto val="1"/>
        <c:lblAlgn val="ctr"/>
        <c:lblOffset val="100"/>
        <c:noMultiLvlLbl val="0"/>
      </c:catAx>
      <c:valAx>
        <c:axId val="1226896248"/>
        <c:scaling>
          <c:orientation val="minMax"/>
        </c:scaling>
        <c:delete val="0"/>
        <c:axPos val="l"/>
        <c:majorGridlines>
          <c:spPr>
            <a:ln w="1587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lumMod val="15000"/>
                <a:lumOff val="85000"/>
              </a:schemeClr>
            </a:solidFill>
            <a:miter lim="800000"/>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1226895856"/>
        <c:crosses val="autoZero"/>
        <c:crossBetween val="between"/>
        <c:majorUnit val="20"/>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693339522832075"/>
          <c:y val="0.18215046570506122"/>
          <c:w val="0.40251955987677823"/>
          <c:h val="0.62402833716581896"/>
        </c:manualLayout>
      </c:layout>
      <c:radarChart>
        <c:radarStyle val="marker"/>
        <c:varyColors val="0"/>
        <c:ser>
          <c:idx val="1"/>
          <c:order val="0"/>
          <c:tx>
            <c:v>Very Low Risk</c:v>
          </c:tx>
          <c:spPr>
            <a:ln w="381000" cap="rnd">
              <a:solidFill>
                <a:srgbClr val="92D050"/>
              </a:solidFill>
              <a:miter lim="800000"/>
            </a:ln>
            <a:effectLst/>
          </c:spPr>
          <c:marker>
            <c:symbol val="circle"/>
            <c:size val="5"/>
            <c:spPr>
              <a:noFill/>
              <a:ln w="9525">
                <a:noFill/>
              </a:ln>
              <a:effectLst/>
            </c:spPr>
          </c:marker>
          <c:cat>
            <c:strRef>
              <c:f>'Do Not Touch PFS Working Sheet'!$B$3:$B$8</c:f>
              <c:strCache>
                <c:ptCount val="6"/>
                <c:pt idx="0">
                  <c:v>Strategy &amp; Budget</c:v>
                </c:pt>
                <c:pt idx="1">
                  <c:v>Exploration Portfolio Fit</c:v>
                </c:pt>
                <c:pt idx="2">
                  <c:v>Development Concept</c:v>
                </c:pt>
                <c:pt idx="3">
                  <c:v>Technical/Subsurface</c:v>
                </c:pt>
                <c:pt idx="4">
                  <c:v>Above Ground</c:v>
                </c:pt>
                <c:pt idx="5">
                  <c:v>Commercial </c:v>
                </c:pt>
              </c:strCache>
            </c:strRef>
          </c:cat>
          <c:val>
            <c:numRef>
              <c:f>'DMAT Potential Future State'!$B$96:$B$101</c:f>
              <c:numCache>
                <c:formatCode>General</c:formatCode>
                <c:ptCount val="6"/>
                <c:pt idx="0">
                  <c:v>90</c:v>
                </c:pt>
                <c:pt idx="1">
                  <c:v>90</c:v>
                </c:pt>
                <c:pt idx="2">
                  <c:v>90</c:v>
                </c:pt>
                <c:pt idx="3">
                  <c:v>90</c:v>
                </c:pt>
                <c:pt idx="4">
                  <c:v>90</c:v>
                </c:pt>
                <c:pt idx="5">
                  <c:v>90</c:v>
                </c:pt>
              </c:numCache>
            </c:numRef>
          </c:val>
          <c:extLst>
            <c:ext xmlns:c16="http://schemas.microsoft.com/office/drawing/2014/chart" uri="{C3380CC4-5D6E-409C-BE32-E72D297353CC}">
              <c16:uniqueId val="{00000000-F12D-4A28-8608-F7687B50D063}"/>
            </c:ext>
          </c:extLst>
        </c:ser>
        <c:ser>
          <c:idx val="2"/>
          <c:order val="1"/>
          <c:tx>
            <c:v>Low Risk</c:v>
          </c:tx>
          <c:spPr>
            <a:ln w="381000" cap="rnd">
              <a:solidFill>
                <a:schemeClr val="accent6">
                  <a:lumMod val="60000"/>
                  <a:lumOff val="40000"/>
                </a:schemeClr>
              </a:solidFill>
              <a:miter lim="800000"/>
            </a:ln>
            <a:effectLst/>
          </c:spPr>
          <c:marker>
            <c:symbol val="circle"/>
            <c:size val="5"/>
            <c:spPr>
              <a:noFill/>
              <a:ln w="9525">
                <a:noFill/>
              </a:ln>
              <a:effectLst/>
            </c:spPr>
          </c:marker>
          <c:cat>
            <c:strRef>
              <c:f>'Do Not Touch PFS Working Sheet'!$B$3:$B$8</c:f>
              <c:strCache>
                <c:ptCount val="6"/>
                <c:pt idx="0">
                  <c:v>Strategy &amp; Budget</c:v>
                </c:pt>
                <c:pt idx="1">
                  <c:v>Exploration Portfolio Fit</c:v>
                </c:pt>
                <c:pt idx="2">
                  <c:v>Development Concept</c:v>
                </c:pt>
                <c:pt idx="3">
                  <c:v>Technical/Subsurface</c:v>
                </c:pt>
                <c:pt idx="4">
                  <c:v>Above Ground</c:v>
                </c:pt>
                <c:pt idx="5">
                  <c:v>Commercial </c:v>
                </c:pt>
              </c:strCache>
            </c:strRef>
          </c:cat>
          <c:val>
            <c:numRef>
              <c:f>'DMAT Potential Future State'!$C$96:$C$101</c:f>
              <c:numCache>
                <c:formatCode>General</c:formatCode>
                <c:ptCount val="6"/>
                <c:pt idx="0">
                  <c:v>70</c:v>
                </c:pt>
                <c:pt idx="1">
                  <c:v>70</c:v>
                </c:pt>
                <c:pt idx="2">
                  <c:v>70</c:v>
                </c:pt>
                <c:pt idx="3">
                  <c:v>70</c:v>
                </c:pt>
                <c:pt idx="4">
                  <c:v>70</c:v>
                </c:pt>
                <c:pt idx="5">
                  <c:v>70</c:v>
                </c:pt>
              </c:numCache>
            </c:numRef>
          </c:val>
          <c:extLst>
            <c:ext xmlns:c16="http://schemas.microsoft.com/office/drawing/2014/chart" uri="{C3380CC4-5D6E-409C-BE32-E72D297353CC}">
              <c16:uniqueId val="{00000001-F12D-4A28-8608-F7687B50D063}"/>
            </c:ext>
          </c:extLst>
        </c:ser>
        <c:ser>
          <c:idx val="3"/>
          <c:order val="2"/>
          <c:tx>
            <c:v>Medium Risk</c:v>
          </c:tx>
          <c:spPr>
            <a:ln w="381000" cap="rnd">
              <a:solidFill>
                <a:srgbClr val="FFD03B"/>
              </a:solidFill>
              <a:miter lim="800000"/>
            </a:ln>
            <a:effectLst/>
          </c:spPr>
          <c:marker>
            <c:symbol val="circle"/>
            <c:size val="5"/>
            <c:spPr>
              <a:noFill/>
              <a:ln w="9525">
                <a:noFill/>
              </a:ln>
              <a:effectLst/>
            </c:spPr>
          </c:marker>
          <c:cat>
            <c:strRef>
              <c:f>'Do Not Touch PFS Working Sheet'!$B$3:$B$8</c:f>
              <c:strCache>
                <c:ptCount val="6"/>
                <c:pt idx="0">
                  <c:v>Strategy &amp; Budget</c:v>
                </c:pt>
                <c:pt idx="1">
                  <c:v>Exploration Portfolio Fit</c:v>
                </c:pt>
                <c:pt idx="2">
                  <c:v>Development Concept</c:v>
                </c:pt>
                <c:pt idx="3">
                  <c:v>Technical/Subsurface</c:v>
                </c:pt>
                <c:pt idx="4">
                  <c:v>Above Ground</c:v>
                </c:pt>
                <c:pt idx="5">
                  <c:v>Commercial </c:v>
                </c:pt>
              </c:strCache>
            </c:strRef>
          </c:cat>
          <c:val>
            <c:numRef>
              <c:f>'DMAT Potential Future State'!$D$96:$D$101</c:f>
              <c:numCache>
                <c:formatCode>General</c:formatCode>
                <c:ptCount val="6"/>
                <c:pt idx="0">
                  <c:v>50</c:v>
                </c:pt>
                <c:pt idx="1">
                  <c:v>50</c:v>
                </c:pt>
                <c:pt idx="2">
                  <c:v>50</c:v>
                </c:pt>
                <c:pt idx="3">
                  <c:v>50</c:v>
                </c:pt>
                <c:pt idx="4">
                  <c:v>50</c:v>
                </c:pt>
                <c:pt idx="5">
                  <c:v>50</c:v>
                </c:pt>
              </c:numCache>
            </c:numRef>
          </c:val>
          <c:extLst>
            <c:ext xmlns:c16="http://schemas.microsoft.com/office/drawing/2014/chart" uri="{C3380CC4-5D6E-409C-BE32-E72D297353CC}">
              <c16:uniqueId val="{00000002-F12D-4A28-8608-F7687B50D063}"/>
            </c:ext>
          </c:extLst>
        </c:ser>
        <c:ser>
          <c:idx val="4"/>
          <c:order val="3"/>
          <c:tx>
            <c:v>High Risk</c:v>
          </c:tx>
          <c:spPr>
            <a:ln w="381000" cap="rnd">
              <a:solidFill>
                <a:srgbClr val="FF8C53"/>
              </a:solidFill>
              <a:miter lim="800000"/>
            </a:ln>
            <a:effectLst/>
          </c:spPr>
          <c:marker>
            <c:symbol val="circle"/>
            <c:size val="5"/>
            <c:spPr>
              <a:noFill/>
              <a:ln w="9525">
                <a:noFill/>
              </a:ln>
              <a:effectLst/>
            </c:spPr>
          </c:marker>
          <c:cat>
            <c:strRef>
              <c:f>'Do Not Touch PFS Working Sheet'!$B$3:$B$8</c:f>
              <c:strCache>
                <c:ptCount val="6"/>
                <c:pt idx="0">
                  <c:v>Strategy &amp; Budget</c:v>
                </c:pt>
                <c:pt idx="1">
                  <c:v>Exploration Portfolio Fit</c:v>
                </c:pt>
                <c:pt idx="2">
                  <c:v>Development Concept</c:v>
                </c:pt>
                <c:pt idx="3">
                  <c:v>Technical/Subsurface</c:v>
                </c:pt>
                <c:pt idx="4">
                  <c:v>Above Ground</c:v>
                </c:pt>
                <c:pt idx="5">
                  <c:v>Commercial </c:v>
                </c:pt>
              </c:strCache>
            </c:strRef>
          </c:cat>
          <c:val>
            <c:numRef>
              <c:f>'DMAT Potential Future State'!$E$96:$E$101</c:f>
              <c:numCache>
                <c:formatCode>General</c:formatCode>
                <c:ptCount val="6"/>
                <c:pt idx="0">
                  <c:v>30</c:v>
                </c:pt>
                <c:pt idx="1">
                  <c:v>30</c:v>
                </c:pt>
                <c:pt idx="2">
                  <c:v>30</c:v>
                </c:pt>
                <c:pt idx="3">
                  <c:v>30</c:v>
                </c:pt>
                <c:pt idx="4">
                  <c:v>30</c:v>
                </c:pt>
                <c:pt idx="5">
                  <c:v>30</c:v>
                </c:pt>
              </c:numCache>
            </c:numRef>
          </c:val>
          <c:extLst>
            <c:ext xmlns:c16="http://schemas.microsoft.com/office/drawing/2014/chart" uri="{C3380CC4-5D6E-409C-BE32-E72D297353CC}">
              <c16:uniqueId val="{00000003-F12D-4A28-8608-F7687B50D063}"/>
            </c:ext>
          </c:extLst>
        </c:ser>
        <c:ser>
          <c:idx val="5"/>
          <c:order val="4"/>
          <c:tx>
            <c:v>Very High Risk</c:v>
          </c:tx>
          <c:spPr>
            <a:ln w="381000" cap="rnd">
              <a:solidFill>
                <a:srgbClr val="FF4747"/>
              </a:solidFill>
              <a:miter lim="800000"/>
            </a:ln>
            <a:effectLst/>
          </c:spPr>
          <c:marker>
            <c:symbol val="circle"/>
            <c:size val="5"/>
            <c:spPr>
              <a:noFill/>
              <a:ln w="9525">
                <a:noFill/>
              </a:ln>
              <a:effectLst/>
            </c:spPr>
          </c:marker>
          <c:cat>
            <c:strRef>
              <c:f>'Do Not Touch PFS Working Sheet'!$B$3:$B$8</c:f>
              <c:strCache>
                <c:ptCount val="6"/>
                <c:pt idx="0">
                  <c:v>Strategy &amp; Budget</c:v>
                </c:pt>
                <c:pt idx="1">
                  <c:v>Exploration Portfolio Fit</c:v>
                </c:pt>
                <c:pt idx="2">
                  <c:v>Development Concept</c:v>
                </c:pt>
                <c:pt idx="3">
                  <c:v>Technical/Subsurface</c:v>
                </c:pt>
                <c:pt idx="4">
                  <c:v>Above Ground</c:v>
                </c:pt>
                <c:pt idx="5">
                  <c:v>Commercial </c:v>
                </c:pt>
              </c:strCache>
            </c:strRef>
          </c:cat>
          <c:val>
            <c:numRef>
              <c:f>'DMAT Potential Future State'!$F$96:$F$101</c:f>
              <c:numCache>
                <c:formatCode>General</c:formatCode>
                <c:ptCount val="6"/>
                <c:pt idx="0">
                  <c:v>10</c:v>
                </c:pt>
                <c:pt idx="1">
                  <c:v>10</c:v>
                </c:pt>
                <c:pt idx="2">
                  <c:v>10</c:v>
                </c:pt>
                <c:pt idx="3">
                  <c:v>10</c:v>
                </c:pt>
                <c:pt idx="4">
                  <c:v>10</c:v>
                </c:pt>
                <c:pt idx="5">
                  <c:v>10</c:v>
                </c:pt>
              </c:numCache>
            </c:numRef>
          </c:val>
          <c:extLst>
            <c:ext xmlns:c16="http://schemas.microsoft.com/office/drawing/2014/chart" uri="{C3380CC4-5D6E-409C-BE32-E72D297353CC}">
              <c16:uniqueId val="{00000004-F12D-4A28-8608-F7687B50D063}"/>
            </c:ext>
          </c:extLst>
        </c:ser>
        <c:ser>
          <c:idx val="0"/>
          <c:order val="5"/>
          <c:tx>
            <c:v>Potential Future State</c:v>
          </c:tx>
          <c:spPr>
            <a:ln w="44450" cap="rnd">
              <a:solidFill>
                <a:schemeClr val="tx1"/>
              </a:solidFill>
              <a:prstDash val="sysDash"/>
              <a:round/>
            </a:ln>
            <a:effectLst/>
          </c:spPr>
          <c:marker>
            <c:symbol val="diamond"/>
            <c:size val="13"/>
            <c:spPr>
              <a:solidFill>
                <a:schemeClr val="tx1"/>
              </a:solidFill>
              <a:ln w="9525">
                <a:solidFill>
                  <a:schemeClr val="tx1"/>
                </a:solidFill>
              </a:ln>
              <a:effectLst/>
            </c:spPr>
          </c:marker>
          <c:cat>
            <c:strRef>
              <c:f>'Do Not Touch PFS Working Sheet'!$B$3:$B$8</c:f>
              <c:strCache>
                <c:ptCount val="6"/>
                <c:pt idx="0">
                  <c:v>Strategy &amp; Budget</c:v>
                </c:pt>
                <c:pt idx="1">
                  <c:v>Exploration Portfolio Fit</c:v>
                </c:pt>
                <c:pt idx="2">
                  <c:v>Development Concept</c:v>
                </c:pt>
                <c:pt idx="3">
                  <c:v>Technical/Subsurface</c:v>
                </c:pt>
                <c:pt idx="4">
                  <c:v>Above Ground</c:v>
                </c:pt>
                <c:pt idx="5">
                  <c:v>Commercial </c:v>
                </c:pt>
              </c:strCache>
            </c:strRef>
          </c:cat>
          <c:val>
            <c:numRef>
              <c:f>'Do Not Touch PFS Working Sheet'!$H$3:$H$8</c:f>
              <c:numCache>
                <c:formatCode>_-* #,##0_-;\-* #,##0_-;_-* "-"??_-;_-@_-</c:formatCode>
                <c:ptCount val="6"/>
                <c:pt idx="0">
                  <c:v>60</c:v>
                </c:pt>
                <c:pt idx="1">
                  <c:v>60</c:v>
                </c:pt>
                <c:pt idx="2">
                  <c:v>100</c:v>
                </c:pt>
                <c:pt idx="3">
                  <c:v>100</c:v>
                </c:pt>
                <c:pt idx="4">
                  <c:v>100</c:v>
                </c:pt>
                <c:pt idx="5">
                  <c:v>100</c:v>
                </c:pt>
              </c:numCache>
            </c:numRef>
          </c:val>
          <c:extLst>
            <c:ext xmlns:c16="http://schemas.microsoft.com/office/drawing/2014/chart" uri="{C3380CC4-5D6E-409C-BE32-E72D297353CC}">
              <c16:uniqueId val="{00000005-F12D-4A28-8608-F7687B50D063}"/>
            </c:ext>
          </c:extLst>
        </c:ser>
        <c:dLbls>
          <c:showLegendKey val="0"/>
          <c:showVal val="0"/>
          <c:showCatName val="0"/>
          <c:showSerName val="0"/>
          <c:showPercent val="0"/>
          <c:showBubbleSize val="0"/>
        </c:dLbls>
        <c:axId val="1227114528"/>
        <c:axId val="1227114920"/>
      </c:radarChart>
      <c:catAx>
        <c:axId val="122711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10" b="1" i="0" u="none" strike="noStrike" kern="1200" cap="all"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27114920"/>
        <c:crosses val="autoZero"/>
        <c:auto val="1"/>
        <c:lblAlgn val="ctr"/>
        <c:lblOffset val="100"/>
        <c:noMultiLvlLbl val="0"/>
      </c:catAx>
      <c:valAx>
        <c:axId val="1227114920"/>
        <c:scaling>
          <c:orientation val="minMax"/>
        </c:scaling>
        <c:delete val="0"/>
        <c:axPos val="l"/>
        <c:majorGridlines>
          <c:spPr>
            <a:ln w="1587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lumMod val="15000"/>
                <a:lumOff val="85000"/>
              </a:schemeClr>
            </a:solidFill>
            <a:miter lim="800000"/>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1227114528"/>
        <c:crosses val="autoZero"/>
        <c:crossBetween val="between"/>
        <c:majorUnit val="20"/>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150344373809002"/>
          <c:y val="0.15667295531716491"/>
          <c:w val="0.36794720951045523"/>
          <c:h val="0.66241729041840702"/>
        </c:manualLayout>
      </c:layout>
      <c:radarChart>
        <c:radarStyle val="marker"/>
        <c:varyColors val="0"/>
        <c:ser>
          <c:idx val="0"/>
          <c:order val="0"/>
          <c:spPr>
            <a:ln w="38100" cap="rnd">
              <a:solidFill>
                <a:schemeClr val="tx1"/>
              </a:solidFill>
              <a:round/>
            </a:ln>
            <a:effectLst/>
          </c:spPr>
          <c:marker>
            <c:symbol val="diamond"/>
            <c:size val="10"/>
            <c:spPr>
              <a:solidFill>
                <a:schemeClr val="tx1"/>
              </a:solidFill>
              <a:ln w="9525">
                <a:solidFill>
                  <a:schemeClr val="tx1"/>
                </a:solidFill>
              </a:ln>
              <a:effectLst/>
            </c:spPr>
          </c:marker>
          <c:cat>
            <c:strRef>
              <c:f>'EXAC 765 BH '!$G$29:$G$34</c:f>
              <c:strCache>
                <c:ptCount val="6"/>
                <c:pt idx="0">
                  <c:v>Strategic Fit </c:v>
                </c:pt>
                <c:pt idx="1">
                  <c:v>Development Concept</c:v>
                </c:pt>
                <c:pt idx="2">
                  <c:v>Technical/Subsurface</c:v>
                </c:pt>
                <c:pt idx="3">
                  <c:v>Above Ground</c:v>
                </c:pt>
                <c:pt idx="4">
                  <c:v>Commercial </c:v>
                </c:pt>
                <c:pt idx="5">
                  <c:v>Budget &amp; Flexibility </c:v>
                </c:pt>
              </c:strCache>
            </c:strRef>
          </c:cat>
          <c:val>
            <c:numRef>
              <c:f>'EXAC 765 BH '!$H$29:$H$34</c:f>
              <c:numCache>
                <c:formatCode>0</c:formatCode>
                <c:ptCount val="6"/>
                <c:pt idx="0">
                  <c:v>100</c:v>
                </c:pt>
                <c:pt idx="1">
                  <c:v>83.2</c:v>
                </c:pt>
                <c:pt idx="2">
                  <c:v>16.599999999999998</c:v>
                </c:pt>
                <c:pt idx="3">
                  <c:v>99.9</c:v>
                </c:pt>
                <c:pt idx="4">
                  <c:v>10</c:v>
                </c:pt>
                <c:pt idx="5">
                  <c:v>100</c:v>
                </c:pt>
              </c:numCache>
            </c:numRef>
          </c:val>
          <c:extLst>
            <c:ext xmlns:c16="http://schemas.microsoft.com/office/drawing/2014/chart" uri="{C3380CC4-5D6E-409C-BE32-E72D297353CC}">
              <c16:uniqueId val="{00000000-9398-4CDC-8371-51D38854AA2E}"/>
            </c:ext>
          </c:extLst>
        </c:ser>
        <c:dLbls>
          <c:showLegendKey val="0"/>
          <c:showVal val="0"/>
          <c:showCatName val="0"/>
          <c:showSerName val="0"/>
          <c:showPercent val="0"/>
          <c:showBubbleSize val="0"/>
        </c:dLbls>
        <c:axId val="1227115704"/>
        <c:axId val="1227116096"/>
      </c:radarChart>
      <c:catAx>
        <c:axId val="1227115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10" b="1"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27116096"/>
        <c:crosses val="autoZero"/>
        <c:auto val="1"/>
        <c:lblAlgn val="ctr"/>
        <c:lblOffset val="100"/>
        <c:noMultiLvlLbl val="0"/>
      </c:catAx>
      <c:valAx>
        <c:axId val="1227116096"/>
        <c:scaling>
          <c:orientation val="minMax"/>
        </c:scaling>
        <c:delete val="0"/>
        <c:axPos val="l"/>
        <c:majorGridlines>
          <c:spPr>
            <a:ln w="1587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115704"/>
        <c:crosses val="autoZero"/>
        <c:crossBetween val="between"/>
        <c:majorUnit val="2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150344373809002"/>
          <c:y val="0.15667295531716491"/>
          <c:w val="0.36794720951045523"/>
          <c:h val="0.66241729041840702"/>
        </c:manualLayout>
      </c:layout>
      <c:radarChart>
        <c:radarStyle val="marker"/>
        <c:varyColors val="0"/>
        <c:ser>
          <c:idx val="0"/>
          <c:order val="0"/>
          <c:spPr>
            <a:ln w="38100" cap="rnd">
              <a:solidFill>
                <a:schemeClr val="tx1"/>
              </a:solidFill>
              <a:round/>
            </a:ln>
            <a:effectLst/>
          </c:spPr>
          <c:marker>
            <c:symbol val="diamond"/>
            <c:size val="10"/>
            <c:spPr>
              <a:solidFill>
                <a:schemeClr val="tx1"/>
              </a:solidFill>
              <a:ln w="9525">
                <a:solidFill>
                  <a:schemeClr val="tx1"/>
                </a:solidFill>
              </a:ln>
              <a:effectLst/>
            </c:spPr>
          </c:marker>
          <c:cat>
            <c:strRef>
              <c:f>'EXAC 766 BH'!$G$29:$G$34</c:f>
              <c:strCache>
                <c:ptCount val="6"/>
                <c:pt idx="0">
                  <c:v>Strategic Fit </c:v>
                </c:pt>
                <c:pt idx="1">
                  <c:v>Development Concept</c:v>
                </c:pt>
                <c:pt idx="2">
                  <c:v>Technical/Subsurface</c:v>
                </c:pt>
                <c:pt idx="3">
                  <c:v>Above Ground</c:v>
                </c:pt>
                <c:pt idx="4">
                  <c:v>Commercial </c:v>
                </c:pt>
                <c:pt idx="5">
                  <c:v>Budget &amp; Flexibility </c:v>
                </c:pt>
              </c:strCache>
            </c:strRef>
          </c:cat>
          <c:val>
            <c:numRef>
              <c:f>'EXAC 766 BH'!$H$29:$H$34</c:f>
              <c:numCache>
                <c:formatCode>0</c:formatCode>
                <c:ptCount val="6"/>
                <c:pt idx="0">
                  <c:v>100</c:v>
                </c:pt>
                <c:pt idx="1">
                  <c:v>99.9</c:v>
                </c:pt>
                <c:pt idx="2">
                  <c:v>33.300000000000004</c:v>
                </c:pt>
                <c:pt idx="3">
                  <c:v>99.9</c:v>
                </c:pt>
                <c:pt idx="4">
                  <c:v>60</c:v>
                </c:pt>
                <c:pt idx="5">
                  <c:v>75</c:v>
                </c:pt>
              </c:numCache>
            </c:numRef>
          </c:val>
          <c:extLst>
            <c:ext xmlns:c16="http://schemas.microsoft.com/office/drawing/2014/chart" uri="{C3380CC4-5D6E-409C-BE32-E72D297353CC}">
              <c16:uniqueId val="{00000000-718A-4413-BD64-2E39739733F3}"/>
            </c:ext>
          </c:extLst>
        </c:ser>
        <c:dLbls>
          <c:showLegendKey val="0"/>
          <c:showVal val="0"/>
          <c:showCatName val="0"/>
          <c:showSerName val="0"/>
          <c:showPercent val="0"/>
          <c:showBubbleSize val="0"/>
        </c:dLbls>
        <c:axId val="1226897032"/>
        <c:axId val="1219072720"/>
      </c:radarChart>
      <c:catAx>
        <c:axId val="1226897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10" b="1"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19072720"/>
        <c:crosses val="autoZero"/>
        <c:auto val="1"/>
        <c:lblAlgn val="ctr"/>
        <c:lblOffset val="100"/>
        <c:noMultiLvlLbl val="0"/>
      </c:catAx>
      <c:valAx>
        <c:axId val="1219072720"/>
        <c:scaling>
          <c:orientation val="minMax"/>
        </c:scaling>
        <c:delete val="0"/>
        <c:axPos val="l"/>
        <c:majorGridlines>
          <c:spPr>
            <a:ln w="1587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897032"/>
        <c:crosses val="autoZero"/>
        <c:crossBetween val="between"/>
        <c:majorUnit val="2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150344373809002"/>
          <c:y val="0.15667295531716491"/>
          <c:w val="0.36794720951045523"/>
          <c:h val="0.66241729041840702"/>
        </c:manualLayout>
      </c:layout>
      <c:radarChart>
        <c:radarStyle val="marker"/>
        <c:varyColors val="0"/>
        <c:ser>
          <c:idx val="0"/>
          <c:order val="0"/>
          <c:spPr>
            <a:ln w="38100" cap="rnd">
              <a:solidFill>
                <a:schemeClr val="tx1"/>
              </a:solidFill>
              <a:round/>
            </a:ln>
            <a:effectLst/>
          </c:spPr>
          <c:marker>
            <c:symbol val="diamond"/>
            <c:size val="10"/>
            <c:spPr>
              <a:solidFill>
                <a:schemeClr val="tx1"/>
              </a:solidFill>
              <a:ln w="9525">
                <a:solidFill>
                  <a:schemeClr val="tx1"/>
                </a:solidFill>
              </a:ln>
              <a:effectLst/>
            </c:spPr>
          </c:marker>
          <c:cat>
            <c:strRef>
              <c:f>'EXAC 760 Stu'!$G$29:$G$34</c:f>
              <c:strCache>
                <c:ptCount val="6"/>
                <c:pt idx="0">
                  <c:v>Strategic Fit </c:v>
                </c:pt>
                <c:pt idx="1">
                  <c:v>Development Concept</c:v>
                </c:pt>
                <c:pt idx="2">
                  <c:v>Technical/Subsurface</c:v>
                </c:pt>
                <c:pt idx="3">
                  <c:v>Above Ground</c:v>
                </c:pt>
                <c:pt idx="4">
                  <c:v>Commercial </c:v>
                </c:pt>
                <c:pt idx="5">
                  <c:v>Budget &amp; Flexibility </c:v>
                </c:pt>
              </c:strCache>
            </c:strRef>
          </c:cat>
          <c:val>
            <c:numRef>
              <c:f>'EXAC 760 Stu'!$H$29:$H$34</c:f>
              <c:numCache>
                <c:formatCode>0</c:formatCode>
                <c:ptCount val="6"/>
                <c:pt idx="0">
                  <c:v>75</c:v>
                </c:pt>
                <c:pt idx="1">
                  <c:v>49.9</c:v>
                </c:pt>
                <c:pt idx="2">
                  <c:v>33.199999999999996</c:v>
                </c:pt>
                <c:pt idx="3">
                  <c:v>99.9</c:v>
                </c:pt>
                <c:pt idx="4">
                  <c:v>40</c:v>
                </c:pt>
                <c:pt idx="5">
                  <c:v>100</c:v>
                </c:pt>
              </c:numCache>
            </c:numRef>
          </c:val>
          <c:extLst>
            <c:ext xmlns:c16="http://schemas.microsoft.com/office/drawing/2014/chart" uri="{C3380CC4-5D6E-409C-BE32-E72D297353CC}">
              <c16:uniqueId val="{00000000-F63B-497D-949B-A7A239640106}"/>
            </c:ext>
          </c:extLst>
        </c:ser>
        <c:dLbls>
          <c:showLegendKey val="0"/>
          <c:showVal val="0"/>
          <c:showCatName val="0"/>
          <c:showSerName val="0"/>
          <c:showPercent val="0"/>
          <c:showBubbleSize val="0"/>
        </c:dLbls>
        <c:axId val="1219073504"/>
        <c:axId val="1219073896"/>
      </c:radarChart>
      <c:catAx>
        <c:axId val="121907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10" b="1"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19073896"/>
        <c:crosses val="autoZero"/>
        <c:auto val="1"/>
        <c:lblAlgn val="ctr"/>
        <c:lblOffset val="100"/>
        <c:noMultiLvlLbl val="0"/>
      </c:catAx>
      <c:valAx>
        <c:axId val="1219073896"/>
        <c:scaling>
          <c:orientation val="minMax"/>
        </c:scaling>
        <c:delete val="0"/>
        <c:axPos val="l"/>
        <c:majorGridlines>
          <c:spPr>
            <a:ln w="1587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073504"/>
        <c:crosses val="autoZero"/>
        <c:crossBetween val="between"/>
        <c:majorUnit val="2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150344373809002"/>
          <c:y val="0.15667295531716491"/>
          <c:w val="0.36794720951045523"/>
          <c:h val="0.66241729041840702"/>
        </c:manualLayout>
      </c:layout>
      <c:radarChart>
        <c:radarStyle val="marker"/>
        <c:varyColors val="0"/>
        <c:ser>
          <c:idx val="0"/>
          <c:order val="0"/>
          <c:spPr>
            <a:ln w="38100" cap="rnd">
              <a:solidFill>
                <a:schemeClr val="tx1"/>
              </a:solidFill>
              <a:round/>
            </a:ln>
            <a:effectLst/>
          </c:spPr>
          <c:marker>
            <c:symbol val="diamond"/>
            <c:size val="10"/>
            <c:spPr>
              <a:solidFill>
                <a:schemeClr val="tx1"/>
              </a:solidFill>
              <a:ln w="9525">
                <a:solidFill>
                  <a:schemeClr val="tx1"/>
                </a:solidFill>
              </a:ln>
              <a:effectLst/>
            </c:spPr>
          </c:marker>
          <c:cat>
            <c:strRef>
              <c:f>'EXAC 713 stu'!$G$29:$G$34</c:f>
              <c:strCache>
                <c:ptCount val="6"/>
                <c:pt idx="0">
                  <c:v>Strategic Fit </c:v>
                </c:pt>
                <c:pt idx="1">
                  <c:v>Development Concept</c:v>
                </c:pt>
                <c:pt idx="2">
                  <c:v>Technical/Subsurface</c:v>
                </c:pt>
                <c:pt idx="3">
                  <c:v>Above Ground</c:v>
                </c:pt>
                <c:pt idx="4">
                  <c:v>Commercial </c:v>
                </c:pt>
                <c:pt idx="5">
                  <c:v>Budget &amp; Flexibility </c:v>
                </c:pt>
              </c:strCache>
            </c:strRef>
          </c:cat>
          <c:val>
            <c:numRef>
              <c:f>'EXAC 713 stu'!$H$29:$H$34</c:f>
              <c:numCache>
                <c:formatCode>0</c:formatCode>
                <c:ptCount val="6"/>
                <c:pt idx="0">
                  <c:v>50</c:v>
                </c:pt>
                <c:pt idx="1">
                  <c:v>49.9</c:v>
                </c:pt>
                <c:pt idx="2">
                  <c:v>16.599999999999998</c:v>
                </c:pt>
                <c:pt idx="3">
                  <c:v>66.600000000000009</c:v>
                </c:pt>
                <c:pt idx="4">
                  <c:v>90</c:v>
                </c:pt>
                <c:pt idx="5">
                  <c:v>75</c:v>
                </c:pt>
              </c:numCache>
            </c:numRef>
          </c:val>
          <c:extLst>
            <c:ext xmlns:c16="http://schemas.microsoft.com/office/drawing/2014/chart" uri="{C3380CC4-5D6E-409C-BE32-E72D297353CC}">
              <c16:uniqueId val="{00000000-FEE0-424B-891C-91A3E1B0DFCA}"/>
            </c:ext>
          </c:extLst>
        </c:ser>
        <c:dLbls>
          <c:showLegendKey val="0"/>
          <c:showVal val="0"/>
          <c:showCatName val="0"/>
          <c:showSerName val="0"/>
          <c:showPercent val="0"/>
          <c:showBubbleSize val="0"/>
        </c:dLbls>
        <c:axId val="935884720"/>
        <c:axId val="935885112"/>
      </c:radarChart>
      <c:catAx>
        <c:axId val="93588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10" b="1"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35885112"/>
        <c:crosses val="autoZero"/>
        <c:auto val="1"/>
        <c:lblAlgn val="ctr"/>
        <c:lblOffset val="100"/>
        <c:noMultiLvlLbl val="0"/>
      </c:catAx>
      <c:valAx>
        <c:axId val="935885112"/>
        <c:scaling>
          <c:orientation val="minMax"/>
        </c:scaling>
        <c:delete val="0"/>
        <c:axPos val="l"/>
        <c:majorGridlines>
          <c:spPr>
            <a:ln w="1587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884720"/>
        <c:crosses val="autoZero"/>
        <c:crossBetween val="between"/>
        <c:majorUnit val="2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1162050</xdr:colOff>
      <xdr:row>25</xdr:row>
      <xdr:rowOff>66674</xdr:rowOff>
    </xdr:from>
    <xdr:to>
      <xdr:col>4</xdr:col>
      <xdr:colOff>762000</xdr:colOff>
      <xdr:row>46</xdr:row>
      <xdr:rowOff>333375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603249</xdr:colOff>
      <xdr:row>27</xdr:row>
      <xdr:rowOff>52918</xdr:rowOff>
    </xdr:from>
    <xdr:to>
      <xdr:col>5</xdr:col>
      <xdr:colOff>1778000</xdr:colOff>
      <xdr:row>63</xdr:row>
      <xdr:rowOff>137584</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603249</xdr:colOff>
      <xdr:row>27</xdr:row>
      <xdr:rowOff>52918</xdr:rowOff>
    </xdr:from>
    <xdr:to>
      <xdr:col>5</xdr:col>
      <xdr:colOff>1778000</xdr:colOff>
      <xdr:row>63</xdr:row>
      <xdr:rowOff>137584</xdr:rowOff>
    </xdr:to>
    <xdr:graphicFrame macro="">
      <xdr:nvGraphicFramePr>
        <xdr:cNvPr id="7" name="Chart 6">
          <a:extLst>
            <a:ext uri="{FF2B5EF4-FFF2-40B4-BE49-F238E27FC236}">
              <a16:creationId xmlns:a16="http://schemas.microsoft.com/office/drawing/2014/main" id="{00000000-0008-0000-1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603249</xdr:colOff>
      <xdr:row>27</xdr:row>
      <xdr:rowOff>52918</xdr:rowOff>
    </xdr:from>
    <xdr:to>
      <xdr:col>5</xdr:col>
      <xdr:colOff>1778000</xdr:colOff>
      <xdr:row>63</xdr:row>
      <xdr:rowOff>137584</xdr:rowOff>
    </xdr:to>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1181101</xdr:colOff>
      <xdr:row>22</xdr:row>
      <xdr:rowOff>33337</xdr:rowOff>
    </xdr:from>
    <xdr:to>
      <xdr:col>5</xdr:col>
      <xdr:colOff>1</xdr:colOff>
      <xdr:row>43</xdr:row>
      <xdr:rowOff>38100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1181101</xdr:colOff>
      <xdr:row>23</xdr:row>
      <xdr:rowOff>33337</xdr:rowOff>
    </xdr:from>
    <xdr:to>
      <xdr:col>5</xdr:col>
      <xdr:colOff>1</xdr:colOff>
      <xdr:row>44</xdr:row>
      <xdr:rowOff>38100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916781</xdr:colOff>
      <xdr:row>35</xdr:row>
      <xdr:rowOff>0</xdr:rowOff>
    </xdr:from>
    <xdr:to>
      <xdr:col>6</xdr:col>
      <xdr:colOff>1778000</xdr:colOff>
      <xdr:row>91</xdr:row>
      <xdr:rowOff>95250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3184282</xdr:colOff>
      <xdr:row>35</xdr:row>
      <xdr:rowOff>58320</xdr:rowOff>
    </xdr:from>
    <xdr:to>
      <xdr:col>4</xdr:col>
      <xdr:colOff>3813007</xdr:colOff>
      <xdr:row>36</xdr:row>
      <xdr:rowOff>135050</xdr:rowOff>
    </xdr:to>
    <xdr:sp macro="" textlink="'Do Not Touch Working Sheet'!I3">
      <xdr:nvSpPr>
        <xdr:cNvPr id="3" name="TextBox 2">
          <a:extLst>
            <a:ext uri="{FF2B5EF4-FFF2-40B4-BE49-F238E27FC236}">
              <a16:creationId xmlns:a16="http://schemas.microsoft.com/office/drawing/2014/main" id="{00000000-0008-0000-0B00-000003000000}"/>
            </a:ext>
          </a:extLst>
        </xdr:cNvPr>
        <xdr:cNvSpPr txBox="1"/>
      </xdr:nvSpPr>
      <xdr:spPr>
        <a:xfrm>
          <a:off x="7645157" y="18949570"/>
          <a:ext cx="5184850" cy="267230"/>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436BA30-94E9-468A-9468-35D0F3ABF874}" type="TxLink">
            <a:rPr lang="en-US" sz="1400" b="1" i="0" u="none" strike="noStrike">
              <a:solidFill>
                <a:srgbClr val="000000"/>
              </a:solidFill>
              <a:latin typeface="Calibri"/>
            </a:rPr>
            <a:pPr algn="l"/>
            <a:t>Strong</a:t>
          </a:fld>
          <a:endParaRPr lang="en-AU" sz="1400" b="1"/>
        </a:p>
      </xdr:txBody>
    </xdr:sp>
    <xdr:clientData/>
  </xdr:twoCellAnchor>
  <xdr:twoCellAnchor>
    <xdr:from>
      <xdr:col>4</xdr:col>
      <xdr:colOff>4255217</xdr:colOff>
      <xdr:row>54</xdr:row>
      <xdr:rowOff>124990</xdr:rowOff>
    </xdr:from>
    <xdr:to>
      <xdr:col>6</xdr:col>
      <xdr:colOff>1566523</xdr:colOff>
      <xdr:row>56</xdr:row>
      <xdr:rowOff>13600</xdr:rowOff>
    </xdr:to>
    <xdr:sp macro="" textlink="'Do Not Touch Working Sheet'!I4">
      <xdr:nvSpPr>
        <xdr:cNvPr id="6" name="TextBox 5">
          <a:extLst>
            <a:ext uri="{FF2B5EF4-FFF2-40B4-BE49-F238E27FC236}">
              <a16:creationId xmlns:a16="http://schemas.microsoft.com/office/drawing/2014/main" id="{00000000-0008-0000-0B00-000006000000}"/>
            </a:ext>
          </a:extLst>
        </xdr:cNvPr>
        <xdr:cNvSpPr txBox="1"/>
      </xdr:nvSpPr>
      <xdr:spPr>
        <a:xfrm>
          <a:off x="13094417" y="22632565"/>
          <a:ext cx="5198006" cy="269610"/>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8614A1A-DF48-497E-A30F-4B03CE2BE94C}" type="TxLink">
            <a:rPr lang="en-US" sz="1400" b="1" i="0" u="none" strike="noStrike">
              <a:solidFill>
                <a:srgbClr val="000000"/>
              </a:solidFill>
              <a:latin typeface="Calibri"/>
            </a:rPr>
            <a:pPr algn="l"/>
            <a:t>Strong</a:t>
          </a:fld>
          <a:endParaRPr lang="en-AU" sz="1400" b="1"/>
        </a:p>
      </xdr:txBody>
    </xdr:sp>
    <xdr:clientData/>
  </xdr:twoCellAnchor>
  <xdr:twoCellAnchor>
    <xdr:from>
      <xdr:col>4</xdr:col>
      <xdr:colOff>4230117</xdr:colOff>
      <xdr:row>73</xdr:row>
      <xdr:rowOff>15303</xdr:rowOff>
    </xdr:from>
    <xdr:to>
      <xdr:col>6</xdr:col>
      <xdr:colOff>1541423</xdr:colOff>
      <xdr:row>74</xdr:row>
      <xdr:rowOff>94413</xdr:rowOff>
    </xdr:to>
    <xdr:sp macro="" textlink="'Do Not Touch Working Sheet'!I5">
      <xdr:nvSpPr>
        <xdr:cNvPr id="10" name="TextBox 9">
          <a:extLst>
            <a:ext uri="{FF2B5EF4-FFF2-40B4-BE49-F238E27FC236}">
              <a16:creationId xmlns:a16="http://schemas.microsoft.com/office/drawing/2014/main" id="{00000000-0008-0000-0B00-00000A000000}"/>
            </a:ext>
          </a:extLst>
        </xdr:cNvPr>
        <xdr:cNvSpPr txBox="1"/>
      </xdr:nvSpPr>
      <xdr:spPr>
        <a:xfrm>
          <a:off x="13069317" y="26142378"/>
          <a:ext cx="5198006" cy="269610"/>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1199EB4-E502-4856-9B24-17244A55F731}" type="TxLink">
            <a:rPr lang="en-US" sz="1400" b="1" i="0" u="none" strike="noStrike">
              <a:solidFill>
                <a:srgbClr val="000000"/>
              </a:solidFill>
              <a:latin typeface="Calibri"/>
            </a:rPr>
            <a:pPr algn="l"/>
            <a:t>Very Strong</a:t>
          </a:fld>
          <a:endParaRPr lang="en-AU" sz="1400" b="1"/>
        </a:p>
      </xdr:txBody>
    </xdr:sp>
    <xdr:clientData/>
  </xdr:twoCellAnchor>
  <xdr:twoCellAnchor>
    <xdr:from>
      <xdr:col>1</xdr:col>
      <xdr:colOff>1396433</xdr:colOff>
      <xdr:row>73</xdr:row>
      <xdr:rowOff>10205</xdr:rowOff>
    </xdr:from>
    <xdr:to>
      <xdr:col>3</xdr:col>
      <xdr:colOff>2720483</xdr:colOff>
      <xdr:row>74</xdr:row>
      <xdr:rowOff>89315</xdr:rowOff>
    </xdr:to>
    <xdr:sp macro="" textlink="'Do Not Touch Working Sheet'!I7">
      <xdr:nvSpPr>
        <xdr:cNvPr id="11" name="TextBox 10">
          <a:extLst>
            <a:ext uri="{FF2B5EF4-FFF2-40B4-BE49-F238E27FC236}">
              <a16:creationId xmlns:a16="http://schemas.microsoft.com/office/drawing/2014/main" id="{00000000-0008-0000-0B00-00000B000000}"/>
            </a:ext>
          </a:extLst>
        </xdr:cNvPr>
        <xdr:cNvSpPr txBox="1"/>
      </xdr:nvSpPr>
      <xdr:spPr>
        <a:xfrm>
          <a:off x="2006033" y="25908680"/>
          <a:ext cx="5191200" cy="269610"/>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FAA0BB4-00E9-45FF-BE45-0E79A63246C8}" type="TxLink">
            <a:rPr lang="en-US" sz="1400" b="1" i="0" u="none" strike="noStrike">
              <a:solidFill>
                <a:srgbClr val="000000"/>
              </a:solidFill>
              <a:latin typeface="Calibri"/>
            </a:rPr>
            <a:pPr algn="l"/>
            <a:t>Very Strong</a:t>
          </a:fld>
          <a:endParaRPr lang="en-AU" sz="1400" b="1"/>
        </a:p>
      </xdr:txBody>
    </xdr:sp>
    <xdr:clientData/>
  </xdr:twoCellAnchor>
  <xdr:twoCellAnchor>
    <xdr:from>
      <xdr:col>3</xdr:col>
      <xdr:colOff>3184072</xdr:colOff>
      <xdr:row>82</xdr:row>
      <xdr:rowOff>149677</xdr:rowOff>
    </xdr:from>
    <xdr:to>
      <xdr:col>4</xdr:col>
      <xdr:colOff>3812797</xdr:colOff>
      <xdr:row>84</xdr:row>
      <xdr:rowOff>38287</xdr:rowOff>
    </xdr:to>
    <xdr:sp macro="" textlink="'Do Not Touch Working Sheet'!I6">
      <xdr:nvSpPr>
        <xdr:cNvPr id="13" name="TextBox 12">
          <a:extLst>
            <a:ext uri="{FF2B5EF4-FFF2-40B4-BE49-F238E27FC236}">
              <a16:creationId xmlns:a16="http://schemas.microsoft.com/office/drawing/2014/main" id="{00000000-0008-0000-0B00-00000D000000}"/>
            </a:ext>
          </a:extLst>
        </xdr:cNvPr>
        <xdr:cNvSpPr txBox="1"/>
      </xdr:nvSpPr>
      <xdr:spPr>
        <a:xfrm>
          <a:off x="7644947" y="27994427"/>
          <a:ext cx="5184850" cy="269610"/>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0F50258-423C-4186-92A5-942B11BB381C}" type="TxLink">
            <a:rPr lang="en-US" sz="1400" b="1" i="0" u="none" strike="noStrike">
              <a:solidFill>
                <a:srgbClr val="000000"/>
              </a:solidFill>
              <a:latin typeface="Calibri"/>
            </a:rPr>
            <a:pPr algn="l"/>
            <a:t>Very Strong</a:t>
          </a:fld>
          <a:endParaRPr lang="en-AU" sz="1400" b="1"/>
        </a:p>
      </xdr:txBody>
    </xdr:sp>
    <xdr:clientData/>
  </xdr:twoCellAnchor>
  <xdr:twoCellAnchor>
    <xdr:from>
      <xdr:col>1</xdr:col>
      <xdr:colOff>1394729</xdr:colOff>
      <xdr:row>54</xdr:row>
      <xdr:rowOff>117361</xdr:rowOff>
    </xdr:from>
    <xdr:to>
      <xdr:col>3</xdr:col>
      <xdr:colOff>2718779</xdr:colOff>
      <xdr:row>56</xdr:row>
      <xdr:rowOff>5971</xdr:rowOff>
    </xdr:to>
    <xdr:sp macro="" textlink="'Do Not Touch Working Sheet'!I8">
      <xdr:nvSpPr>
        <xdr:cNvPr id="12" name="TextBox 11">
          <a:extLst>
            <a:ext uri="{FF2B5EF4-FFF2-40B4-BE49-F238E27FC236}">
              <a16:creationId xmlns:a16="http://schemas.microsoft.com/office/drawing/2014/main" id="{00000000-0008-0000-0B00-00000C000000}"/>
            </a:ext>
          </a:extLst>
        </xdr:cNvPr>
        <xdr:cNvSpPr txBox="1"/>
      </xdr:nvSpPr>
      <xdr:spPr>
        <a:xfrm>
          <a:off x="2004329" y="22396336"/>
          <a:ext cx="5191200" cy="269610"/>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365BDDD-6B8B-4DEE-B890-C54C323FBEA3}" type="TxLink">
            <a:rPr lang="en-US" sz="1400" b="1" i="0" u="none" strike="noStrike">
              <a:solidFill>
                <a:srgbClr val="000000"/>
              </a:solidFill>
              <a:latin typeface="Calibri"/>
            </a:rPr>
            <a:pPr algn="l"/>
            <a:t>Very Strong</a:t>
          </a:fld>
          <a:endParaRPr lang="en-AU" sz="1400" b="1"/>
        </a:p>
      </xdr:txBody>
    </xdr:sp>
    <xdr:clientData/>
  </xdr:twoCellAnchor>
  <xdr:twoCellAnchor>
    <xdr:from>
      <xdr:col>1</xdr:col>
      <xdr:colOff>1025927</xdr:colOff>
      <xdr:row>35</xdr:row>
      <xdr:rowOff>105115</xdr:rowOff>
    </xdr:from>
    <xdr:to>
      <xdr:col>3</xdr:col>
      <xdr:colOff>2464594</xdr:colOff>
      <xdr:row>50</xdr:row>
      <xdr:rowOff>130023</xdr:rowOff>
    </xdr:to>
    <xdr:sp macro="" textlink="">
      <xdr:nvSpPr>
        <xdr:cNvPr id="15" name="TextBox 14">
          <a:extLst>
            <a:ext uri="{FF2B5EF4-FFF2-40B4-BE49-F238E27FC236}">
              <a16:creationId xmlns:a16="http://schemas.microsoft.com/office/drawing/2014/main" id="{00000000-0008-0000-0B00-00000F000000}"/>
            </a:ext>
          </a:extLst>
        </xdr:cNvPr>
        <xdr:cNvSpPr txBox="1"/>
      </xdr:nvSpPr>
      <xdr:spPr>
        <a:xfrm>
          <a:off x="1633146" y="19500396"/>
          <a:ext cx="5308198" cy="2882408"/>
        </a:xfrm>
        <a:prstGeom prst="rect">
          <a:avLst/>
        </a:prstGeom>
        <a:solidFill>
          <a:schemeClr val="lt1"/>
        </a:solidFill>
        <a:ln w="31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rgbClr val="FF0000"/>
              </a:solidFill>
              <a:latin typeface="Calibri"/>
            </a:rPr>
            <a:t>Notwithstanding/In light of</a:t>
          </a:r>
          <a:r>
            <a:rPr lang="en-US" sz="1600" b="1" i="0" u="none" strike="noStrike" baseline="0">
              <a:solidFill>
                <a:sysClr val="windowText" lastClr="000000"/>
              </a:solidFill>
              <a:latin typeface="Calibri"/>
            </a:rPr>
            <a:t> the </a:t>
          </a:r>
          <a:r>
            <a:rPr lang="en-US" sz="1600" b="1" i="0" u="none" strike="noStrike" baseline="0">
              <a:solidFill>
                <a:srgbClr val="FF0000"/>
              </a:solidFill>
              <a:latin typeface="Calibri"/>
            </a:rPr>
            <a:t>x, y, z weaknesses/strengths</a:t>
          </a:r>
          <a:r>
            <a:rPr lang="en-US" sz="1600" b="1" i="0" u="none" strike="noStrike" baseline="0">
              <a:solidFill>
                <a:sysClr val="windowText" lastClr="000000"/>
              </a:solidFill>
              <a:latin typeface="Calibri"/>
            </a:rPr>
            <a:t> of the opportunity, the decision </a:t>
          </a:r>
          <a:r>
            <a:rPr lang="en-US" sz="1600" b="1" i="0" u="none" strike="noStrike" baseline="0">
              <a:solidFill>
                <a:srgbClr val="FF0000"/>
              </a:solidFill>
              <a:latin typeface="Calibri"/>
            </a:rPr>
            <a:t>to/not to</a:t>
          </a:r>
          <a:r>
            <a:rPr lang="en-US" sz="1600" b="1" i="0" u="none" strike="noStrike" baseline="0">
              <a:solidFill>
                <a:sysClr val="windowText" lastClr="000000"/>
              </a:solidFill>
              <a:latin typeface="Calibri"/>
            </a:rPr>
            <a:t> proceed with the </a:t>
          </a:r>
          <a:r>
            <a:rPr lang="en-US" sz="1600" b="1" i="0" u="none" strike="noStrike" baseline="0">
              <a:solidFill>
                <a:srgbClr val="FF0000"/>
              </a:solidFill>
              <a:latin typeface="Calibri"/>
            </a:rPr>
            <a:t>recommendation</a:t>
          </a:r>
          <a:r>
            <a:rPr lang="en-US" sz="1600" b="1" i="0" u="none" strike="noStrike" baseline="0">
              <a:solidFill>
                <a:sysClr val="windowText" lastClr="000000"/>
              </a:solidFill>
              <a:latin typeface="Calibri"/>
            </a:rPr>
            <a:t> has been taken because....</a:t>
          </a:r>
          <a:endParaRPr lang="en-US" sz="1600" b="1" i="0" u="none" strike="noStrike">
            <a:solidFill>
              <a:sysClr val="windowText" lastClr="000000"/>
            </a:solidFill>
            <a:latin typeface="Calibri"/>
          </a:endParaRPr>
        </a:p>
      </xdr:txBody>
    </xdr:sp>
    <xdr:clientData/>
  </xdr:twoCellAnchor>
  <xdr:twoCellAnchor>
    <xdr:from>
      <xdr:col>4</xdr:col>
      <xdr:colOff>5016500</xdr:colOff>
      <xdr:row>35</xdr:row>
      <xdr:rowOff>95250</xdr:rowOff>
    </xdr:from>
    <xdr:to>
      <xdr:col>6</xdr:col>
      <xdr:colOff>1705995</xdr:colOff>
      <xdr:row>43</xdr:row>
      <xdr:rowOff>0</xdr:rowOff>
    </xdr:to>
    <xdr:sp macro="" textlink="">
      <xdr:nvSpPr>
        <xdr:cNvPr id="16" name="TextBox 15">
          <a:extLst>
            <a:ext uri="{FF2B5EF4-FFF2-40B4-BE49-F238E27FC236}">
              <a16:creationId xmlns:a16="http://schemas.microsoft.com/office/drawing/2014/main" id="{00000000-0008-0000-0B00-000010000000}"/>
            </a:ext>
          </a:extLst>
        </xdr:cNvPr>
        <xdr:cNvSpPr txBox="1"/>
      </xdr:nvSpPr>
      <xdr:spPr>
        <a:xfrm>
          <a:off x="14051643" y="18954750"/>
          <a:ext cx="4568031" cy="1428750"/>
        </a:xfrm>
        <a:prstGeom prst="rect">
          <a:avLst/>
        </a:prstGeom>
        <a:noFill/>
        <a:ln w="317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i="0" u="none" strike="noStrike">
              <a:solidFill>
                <a:sysClr val="windowText" lastClr="000000"/>
              </a:solidFill>
              <a:latin typeface="Calibri"/>
            </a:rPr>
            <a:t>Current State.......................................................</a:t>
          </a:r>
        </a:p>
        <a:p>
          <a:pPr algn="l"/>
          <a:endParaRPr lang="en-US" sz="1400" b="1" i="0" u="none" strike="noStrike">
            <a:solidFill>
              <a:sysClr val="windowText" lastClr="000000"/>
            </a:solidFill>
            <a:latin typeface="Calibri"/>
          </a:endParaRPr>
        </a:p>
        <a:p>
          <a:pPr algn="l"/>
          <a:r>
            <a:rPr lang="en-US" sz="1400" b="1" i="0" u="none" strike="noStrike">
              <a:solidFill>
                <a:sysClr val="windowText" lastClr="000000"/>
              </a:solidFill>
              <a:latin typeface="Calibri"/>
            </a:rPr>
            <a:t>Potential</a:t>
          </a:r>
          <a:r>
            <a:rPr lang="en-US" sz="1400" b="1" i="0" u="none" strike="noStrike" baseline="0">
              <a:solidFill>
                <a:sysClr val="windowText" lastClr="000000"/>
              </a:solidFill>
              <a:latin typeface="Calibri"/>
            </a:rPr>
            <a:t> Future State..........................................</a:t>
          </a:r>
        </a:p>
        <a:p>
          <a:pPr algn="l"/>
          <a:endParaRPr lang="en-US" sz="1400" b="1" i="0" u="none" strike="noStrike" baseline="0">
            <a:solidFill>
              <a:sysClr val="windowText" lastClr="000000"/>
            </a:solidFill>
            <a:latin typeface="Calibri"/>
          </a:endParaRPr>
        </a:p>
        <a:p>
          <a:pPr algn="l"/>
          <a:r>
            <a:rPr lang="en-US" sz="1400" b="1" i="0" u="none" strike="noStrike" baseline="0">
              <a:solidFill>
                <a:sysClr val="windowText" lastClr="000000"/>
              </a:solidFill>
              <a:latin typeface="Calibri"/>
            </a:rPr>
            <a:t>Not all data available or more data may</a:t>
          </a:r>
        </a:p>
        <a:p>
          <a:pPr algn="l"/>
          <a:r>
            <a:rPr lang="en-US" sz="1400" b="1" i="0" u="none" strike="noStrike" baseline="0">
              <a:solidFill>
                <a:sysClr val="windowText" lastClr="000000"/>
              </a:solidFill>
              <a:latin typeface="Calibri"/>
            </a:rPr>
            <a:t>become available that may impact assessment....</a:t>
          </a:r>
          <a:endParaRPr lang="en-US" sz="1400" b="1" i="0" u="none" strike="noStrike">
            <a:solidFill>
              <a:sysClr val="windowText" lastClr="000000"/>
            </a:solidFill>
            <a:latin typeface="Calibri"/>
          </a:endParaRPr>
        </a:p>
      </xdr:txBody>
    </xdr:sp>
    <xdr:clientData/>
  </xdr:twoCellAnchor>
  <xdr:twoCellAnchor>
    <xdr:from>
      <xdr:col>6</xdr:col>
      <xdr:colOff>900921</xdr:colOff>
      <xdr:row>36</xdr:row>
      <xdr:rowOff>40822</xdr:rowOff>
    </xdr:from>
    <xdr:to>
      <xdr:col>6</xdr:col>
      <xdr:colOff>1469569</xdr:colOff>
      <xdr:row>36</xdr:row>
      <xdr:rowOff>43346</xdr:rowOff>
    </xdr:to>
    <xdr:cxnSp macro="">
      <xdr:nvCxnSpPr>
        <xdr:cNvPr id="18" name="Straight Connector 17">
          <a:extLst>
            <a:ext uri="{FF2B5EF4-FFF2-40B4-BE49-F238E27FC236}">
              <a16:creationId xmlns:a16="http://schemas.microsoft.com/office/drawing/2014/main" id="{00000000-0008-0000-0B00-000012000000}"/>
            </a:ext>
          </a:extLst>
        </xdr:cNvPr>
        <xdr:cNvCxnSpPr/>
      </xdr:nvCxnSpPr>
      <xdr:spPr>
        <a:xfrm flipH="1">
          <a:off x="17814600" y="19090822"/>
          <a:ext cx="568648" cy="2524"/>
        </a:xfrm>
        <a:prstGeom prst="line">
          <a:avLst/>
        </a:prstGeom>
        <a:ln w="57150">
          <a:solidFill>
            <a:schemeClr val="tx1"/>
          </a:solidFill>
          <a:headEnd type="diamond"/>
          <a:tailEnd type="diamon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912317</xdr:colOff>
      <xdr:row>38</xdr:row>
      <xdr:rowOff>61810</xdr:rowOff>
    </xdr:from>
    <xdr:to>
      <xdr:col>6</xdr:col>
      <xdr:colOff>1487713</xdr:colOff>
      <xdr:row>38</xdr:row>
      <xdr:rowOff>68035</xdr:rowOff>
    </xdr:to>
    <xdr:cxnSp macro="">
      <xdr:nvCxnSpPr>
        <xdr:cNvPr id="20" name="Straight Connector 19">
          <a:extLst>
            <a:ext uri="{FF2B5EF4-FFF2-40B4-BE49-F238E27FC236}">
              <a16:creationId xmlns:a16="http://schemas.microsoft.com/office/drawing/2014/main" id="{00000000-0008-0000-0B00-000014000000}"/>
            </a:ext>
          </a:extLst>
        </xdr:cNvPr>
        <xdr:cNvCxnSpPr/>
      </xdr:nvCxnSpPr>
      <xdr:spPr>
        <a:xfrm flipH="1" flipV="1">
          <a:off x="17825996" y="19492810"/>
          <a:ext cx="575396" cy="6225"/>
        </a:xfrm>
        <a:prstGeom prst="line">
          <a:avLst/>
        </a:prstGeom>
        <a:ln w="57150">
          <a:solidFill>
            <a:schemeClr val="tx1"/>
          </a:solidFill>
          <a:prstDash val="sysDot"/>
          <a:headEnd type="diamond"/>
          <a:tailEnd type="diamon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4257675</xdr:colOff>
      <xdr:row>56</xdr:row>
      <xdr:rowOff>85725</xdr:rowOff>
    </xdr:from>
    <xdr:to>
      <xdr:col>6</xdr:col>
      <xdr:colOff>1562100</xdr:colOff>
      <xdr:row>62</xdr:row>
      <xdr:rowOff>104775</xdr:rowOff>
    </xdr:to>
    <xdr:sp macro="" textlink="">
      <xdr:nvSpPr>
        <xdr:cNvPr id="19" name="Rectangle 18">
          <a:extLst>
            <a:ext uri="{FF2B5EF4-FFF2-40B4-BE49-F238E27FC236}">
              <a16:creationId xmlns:a16="http://schemas.microsoft.com/office/drawing/2014/main" id="{00000000-0008-0000-0B00-000013000000}"/>
            </a:ext>
          </a:extLst>
        </xdr:cNvPr>
        <xdr:cNvSpPr/>
      </xdr:nvSpPr>
      <xdr:spPr>
        <a:xfrm>
          <a:off x="13296900" y="22745700"/>
          <a:ext cx="5191125" cy="1162050"/>
        </a:xfrm>
        <a:prstGeom prst="rect">
          <a:avLst/>
        </a:prstGeom>
        <a:solidFill>
          <a:schemeClr val="bg1"/>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solidFill>
                <a:sysClr val="windowText" lastClr="000000"/>
              </a:solidFill>
            </a:rPr>
            <a:t>Input comments</a:t>
          </a:r>
          <a:r>
            <a:rPr lang="en-AU" sz="1100" baseline="0">
              <a:solidFill>
                <a:sysClr val="windowText" lastClr="000000"/>
              </a:solidFill>
            </a:rPr>
            <a:t> pertinent to the Exploration Portfolio Fit Assessment</a:t>
          </a:r>
          <a:endParaRPr lang="en-AU" sz="1100">
            <a:solidFill>
              <a:sysClr val="windowText" lastClr="000000"/>
            </a:solidFill>
          </a:endParaRPr>
        </a:p>
      </xdr:txBody>
    </xdr:sp>
    <xdr:clientData/>
  </xdr:twoCellAnchor>
  <xdr:twoCellAnchor>
    <xdr:from>
      <xdr:col>4</xdr:col>
      <xdr:colOff>4229100</xdr:colOff>
      <xdr:row>74</xdr:row>
      <xdr:rowOff>171450</xdr:rowOff>
    </xdr:from>
    <xdr:to>
      <xdr:col>6</xdr:col>
      <xdr:colOff>1533525</xdr:colOff>
      <xdr:row>81</xdr:row>
      <xdr:rowOff>0</xdr:rowOff>
    </xdr:to>
    <xdr:sp macro="" textlink="">
      <xdr:nvSpPr>
        <xdr:cNvPr id="22" name="Rectangle 21">
          <a:extLst>
            <a:ext uri="{FF2B5EF4-FFF2-40B4-BE49-F238E27FC236}">
              <a16:creationId xmlns:a16="http://schemas.microsoft.com/office/drawing/2014/main" id="{00000000-0008-0000-0B00-000016000000}"/>
            </a:ext>
          </a:extLst>
        </xdr:cNvPr>
        <xdr:cNvSpPr/>
      </xdr:nvSpPr>
      <xdr:spPr>
        <a:xfrm>
          <a:off x="13268325" y="26260425"/>
          <a:ext cx="5191125" cy="1162050"/>
        </a:xfrm>
        <a:prstGeom prst="rect">
          <a:avLst/>
        </a:prstGeom>
        <a:solidFill>
          <a:schemeClr val="bg1"/>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solidFill>
                <a:sysClr val="windowText" lastClr="000000"/>
              </a:solidFill>
            </a:rPr>
            <a:t>Input comments</a:t>
          </a:r>
          <a:r>
            <a:rPr lang="en-AU" sz="1100" baseline="0">
              <a:solidFill>
                <a:sysClr val="windowText" lastClr="000000"/>
              </a:solidFill>
            </a:rPr>
            <a:t> pertinent to the Development Concept Assessment</a:t>
          </a:r>
          <a:endParaRPr lang="en-AU" sz="1100">
            <a:solidFill>
              <a:sysClr val="windowText" lastClr="000000"/>
            </a:solidFill>
          </a:endParaRPr>
        </a:p>
      </xdr:txBody>
    </xdr:sp>
    <xdr:clientData/>
  </xdr:twoCellAnchor>
  <xdr:twoCellAnchor>
    <xdr:from>
      <xdr:col>3</xdr:col>
      <xdr:colOff>3184071</xdr:colOff>
      <xdr:row>84</xdr:row>
      <xdr:rowOff>104775</xdr:rowOff>
    </xdr:from>
    <xdr:to>
      <xdr:col>4</xdr:col>
      <xdr:colOff>3812721</xdr:colOff>
      <xdr:row>90</xdr:row>
      <xdr:rowOff>123825</xdr:rowOff>
    </xdr:to>
    <xdr:sp macro="" textlink="">
      <xdr:nvSpPr>
        <xdr:cNvPr id="23" name="Rectangle 22">
          <a:extLst>
            <a:ext uri="{FF2B5EF4-FFF2-40B4-BE49-F238E27FC236}">
              <a16:creationId xmlns:a16="http://schemas.microsoft.com/office/drawing/2014/main" id="{00000000-0008-0000-0B00-000017000000}"/>
            </a:ext>
          </a:extLst>
        </xdr:cNvPr>
        <xdr:cNvSpPr/>
      </xdr:nvSpPr>
      <xdr:spPr>
        <a:xfrm>
          <a:off x="7644946" y="28330525"/>
          <a:ext cx="5184775" cy="1162050"/>
        </a:xfrm>
        <a:prstGeom prst="rect">
          <a:avLst/>
        </a:prstGeom>
        <a:solidFill>
          <a:schemeClr val="bg1"/>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solidFill>
                <a:sysClr val="windowText" lastClr="000000"/>
              </a:solidFill>
            </a:rPr>
            <a:t>Input comments</a:t>
          </a:r>
          <a:r>
            <a:rPr lang="en-AU" sz="1100" baseline="0">
              <a:solidFill>
                <a:sysClr val="windowText" lastClr="000000"/>
              </a:solidFill>
            </a:rPr>
            <a:t> pertinent to the Technical/Subsurface Assessment AND provide a description of the available information and subusrface data used to make the decision (e.g. a new 3D seismic survey has been acquired but we do not have access to it)</a:t>
          </a:r>
          <a:endParaRPr lang="en-AU" sz="1100">
            <a:solidFill>
              <a:sysClr val="windowText" lastClr="000000"/>
            </a:solidFill>
          </a:endParaRPr>
        </a:p>
      </xdr:txBody>
    </xdr:sp>
    <xdr:clientData/>
  </xdr:twoCellAnchor>
  <xdr:twoCellAnchor>
    <xdr:from>
      <xdr:col>1</xdr:col>
      <xdr:colOff>1396433</xdr:colOff>
      <xdr:row>74</xdr:row>
      <xdr:rowOff>176062</xdr:rowOff>
    </xdr:from>
    <xdr:to>
      <xdr:col>3</xdr:col>
      <xdr:colOff>2720408</xdr:colOff>
      <xdr:row>81</xdr:row>
      <xdr:rowOff>4612</xdr:rowOff>
    </xdr:to>
    <xdr:sp macro="" textlink="">
      <xdr:nvSpPr>
        <xdr:cNvPr id="25" name="Rectangle 24">
          <a:extLst>
            <a:ext uri="{FF2B5EF4-FFF2-40B4-BE49-F238E27FC236}">
              <a16:creationId xmlns:a16="http://schemas.microsoft.com/office/drawing/2014/main" id="{00000000-0008-0000-0B00-000019000000}"/>
            </a:ext>
          </a:extLst>
        </xdr:cNvPr>
        <xdr:cNvSpPr/>
      </xdr:nvSpPr>
      <xdr:spPr>
        <a:xfrm>
          <a:off x="2006033" y="26265037"/>
          <a:ext cx="5191125" cy="1162050"/>
        </a:xfrm>
        <a:prstGeom prst="rect">
          <a:avLst/>
        </a:prstGeom>
        <a:solidFill>
          <a:schemeClr val="bg1"/>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solidFill>
                <a:sysClr val="windowText" lastClr="000000"/>
              </a:solidFill>
            </a:rPr>
            <a:t>Input comments</a:t>
          </a:r>
          <a:r>
            <a:rPr lang="en-AU" sz="1100" baseline="0">
              <a:solidFill>
                <a:sysClr val="windowText" lastClr="000000"/>
              </a:solidFill>
            </a:rPr>
            <a:t> pertinent to the Above Ground Assessment</a:t>
          </a:r>
          <a:endParaRPr lang="en-AU" sz="1100">
            <a:solidFill>
              <a:sysClr val="windowText" lastClr="000000"/>
            </a:solidFill>
          </a:endParaRPr>
        </a:p>
      </xdr:txBody>
    </xdr:sp>
    <xdr:clientData/>
  </xdr:twoCellAnchor>
  <xdr:twoCellAnchor>
    <xdr:from>
      <xdr:col>1</xdr:col>
      <xdr:colOff>1386908</xdr:colOff>
      <xdr:row>56</xdr:row>
      <xdr:rowOff>80812</xdr:rowOff>
    </xdr:from>
    <xdr:to>
      <xdr:col>3</xdr:col>
      <xdr:colOff>2710883</xdr:colOff>
      <xdr:row>62</xdr:row>
      <xdr:rowOff>99862</xdr:rowOff>
    </xdr:to>
    <xdr:sp macro="" textlink="">
      <xdr:nvSpPr>
        <xdr:cNvPr id="26" name="Rectangle 25">
          <a:extLst>
            <a:ext uri="{FF2B5EF4-FFF2-40B4-BE49-F238E27FC236}">
              <a16:creationId xmlns:a16="http://schemas.microsoft.com/office/drawing/2014/main" id="{00000000-0008-0000-0B00-00001A000000}"/>
            </a:ext>
          </a:extLst>
        </xdr:cNvPr>
        <xdr:cNvSpPr/>
      </xdr:nvSpPr>
      <xdr:spPr>
        <a:xfrm>
          <a:off x="1996508" y="22740787"/>
          <a:ext cx="5191125" cy="1162050"/>
        </a:xfrm>
        <a:prstGeom prst="rect">
          <a:avLst/>
        </a:prstGeom>
        <a:solidFill>
          <a:schemeClr val="bg1"/>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solidFill>
                <a:sysClr val="windowText" lastClr="000000"/>
              </a:solidFill>
            </a:rPr>
            <a:t>Input comments</a:t>
          </a:r>
          <a:r>
            <a:rPr lang="en-AU" sz="1100" baseline="0">
              <a:solidFill>
                <a:sysClr val="windowText" lastClr="000000"/>
              </a:solidFill>
            </a:rPr>
            <a:t> pertinent to the Commercial Assessment</a:t>
          </a:r>
          <a:endParaRPr lang="en-AU" sz="1100">
            <a:solidFill>
              <a:sysClr val="windowText" lastClr="000000"/>
            </a:solidFill>
          </a:endParaRPr>
        </a:p>
      </xdr:txBody>
    </xdr:sp>
    <xdr:clientData/>
  </xdr:twoCellAnchor>
  <xdr:twoCellAnchor>
    <xdr:from>
      <xdr:col>3</xdr:col>
      <xdr:colOff>3183958</xdr:colOff>
      <xdr:row>37</xdr:row>
      <xdr:rowOff>14137</xdr:rowOff>
    </xdr:from>
    <xdr:to>
      <xdr:col>4</xdr:col>
      <xdr:colOff>3812608</xdr:colOff>
      <xdr:row>43</xdr:row>
      <xdr:rowOff>33187</xdr:rowOff>
    </xdr:to>
    <xdr:sp macro="" textlink="">
      <xdr:nvSpPr>
        <xdr:cNvPr id="27" name="Rectangle 26">
          <a:extLst>
            <a:ext uri="{FF2B5EF4-FFF2-40B4-BE49-F238E27FC236}">
              <a16:creationId xmlns:a16="http://schemas.microsoft.com/office/drawing/2014/main" id="{00000000-0008-0000-0B00-00001B000000}"/>
            </a:ext>
          </a:extLst>
        </xdr:cNvPr>
        <xdr:cNvSpPr/>
      </xdr:nvSpPr>
      <xdr:spPr>
        <a:xfrm>
          <a:off x="7644833" y="19286387"/>
          <a:ext cx="5184775" cy="1162050"/>
        </a:xfrm>
        <a:prstGeom prst="rect">
          <a:avLst/>
        </a:prstGeom>
        <a:solidFill>
          <a:schemeClr val="bg1"/>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solidFill>
                <a:sysClr val="windowText" lastClr="000000"/>
              </a:solidFill>
            </a:rPr>
            <a:t>Input comments</a:t>
          </a:r>
          <a:r>
            <a:rPr lang="en-AU" sz="1100" baseline="0">
              <a:solidFill>
                <a:sysClr val="windowText" lastClr="000000"/>
              </a:solidFill>
            </a:rPr>
            <a:t> pertinent to the Strategy &amp; Budget Assessment</a:t>
          </a:r>
          <a:endParaRPr lang="en-AU" sz="1100">
            <a:solidFill>
              <a:sysClr val="windowText" lastClr="000000"/>
            </a:solidFill>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0.95468</cdr:x>
      <cdr:y>0.08878</cdr:y>
    </cdr:from>
    <cdr:to>
      <cdr:x>0.97755</cdr:x>
      <cdr:y>0.12872</cdr:y>
    </cdr:to>
    <cdr:pic>
      <cdr:nvPicPr>
        <cdr:cNvPr id="3" name="Picture 2">
          <a:extLst xmlns:a="http://schemas.openxmlformats.org/drawingml/2006/main">
            <a:ext uri="{FF2B5EF4-FFF2-40B4-BE49-F238E27FC236}">
              <a16:creationId xmlns:a16="http://schemas.microsoft.com/office/drawing/2014/main" id="{CF6F1B14-9308-4140-82BC-42F093BEC95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6384743" y="955596"/>
          <a:ext cx="392508" cy="429884"/>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1</xdr:col>
      <xdr:colOff>916781</xdr:colOff>
      <xdr:row>35</xdr:row>
      <xdr:rowOff>0</xdr:rowOff>
    </xdr:from>
    <xdr:to>
      <xdr:col>6</xdr:col>
      <xdr:colOff>1778000</xdr:colOff>
      <xdr:row>91</xdr:row>
      <xdr:rowOff>95250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3073158</xdr:colOff>
      <xdr:row>35</xdr:row>
      <xdr:rowOff>115470</xdr:rowOff>
    </xdr:from>
    <xdr:to>
      <xdr:col>4</xdr:col>
      <xdr:colOff>3616082</xdr:colOff>
      <xdr:row>37</xdr:row>
      <xdr:rowOff>1700</xdr:rowOff>
    </xdr:to>
    <xdr:sp macro="" textlink="'Do Not Touch PFS Working Sheet'!I3">
      <xdr:nvSpPr>
        <xdr:cNvPr id="3" name="TextBox 2">
          <a:extLst>
            <a:ext uri="{FF2B5EF4-FFF2-40B4-BE49-F238E27FC236}">
              <a16:creationId xmlns:a16="http://schemas.microsoft.com/office/drawing/2014/main" id="{00000000-0008-0000-0D00-000003000000}"/>
            </a:ext>
          </a:extLst>
        </xdr:cNvPr>
        <xdr:cNvSpPr txBox="1"/>
      </xdr:nvSpPr>
      <xdr:spPr>
        <a:xfrm>
          <a:off x="7549908" y="19536945"/>
          <a:ext cx="5105399" cy="267230"/>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436BA30-94E9-468A-9468-35D0F3ABF874}" type="TxLink">
            <a:rPr lang="en-US" sz="1400" b="1" i="0" u="none" strike="noStrike">
              <a:solidFill>
                <a:srgbClr val="000000"/>
              </a:solidFill>
              <a:latin typeface="Calibri"/>
            </a:rPr>
            <a:pPr algn="l"/>
            <a:t>Strong</a:t>
          </a:fld>
          <a:endParaRPr lang="en-AU" sz="1400" b="1"/>
        </a:p>
      </xdr:txBody>
    </xdr:sp>
    <xdr:clientData/>
  </xdr:twoCellAnchor>
  <xdr:twoCellAnchor>
    <xdr:from>
      <xdr:col>4</xdr:col>
      <xdr:colOff>4257864</xdr:colOff>
      <xdr:row>56</xdr:row>
      <xdr:rowOff>88434</xdr:rowOff>
    </xdr:from>
    <xdr:to>
      <xdr:col>6</xdr:col>
      <xdr:colOff>1566521</xdr:colOff>
      <xdr:row>62</xdr:row>
      <xdr:rowOff>108848</xdr:rowOff>
    </xdr:to>
    <xdr:sp macro="" textlink="$G$15">
      <xdr:nvSpPr>
        <xdr:cNvPr id="4" name="TextBox 3">
          <a:extLst>
            <a:ext uri="{FF2B5EF4-FFF2-40B4-BE49-F238E27FC236}">
              <a16:creationId xmlns:a16="http://schemas.microsoft.com/office/drawing/2014/main" id="{00000000-0008-0000-0D00-000004000000}"/>
            </a:ext>
          </a:extLst>
        </xdr:cNvPr>
        <xdr:cNvSpPr txBox="1"/>
      </xdr:nvSpPr>
      <xdr:spPr>
        <a:xfrm>
          <a:off x="13297089" y="23510409"/>
          <a:ext cx="5195357" cy="1163414"/>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0E285EB-B952-4921-A766-78D2154F2C9A}" type="TxLink">
            <a:rPr lang="en-US" sz="1200" b="0" i="0" u="none" strike="noStrike">
              <a:solidFill>
                <a:sysClr val="windowText" lastClr="000000"/>
              </a:solidFill>
              <a:latin typeface="Calibri"/>
            </a:rPr>
            <a:pPr/>
            <a:t>Input comments pertinent to the Exploration Portfolio Fit Assessment</a:t>
          </a:fld>
          <a:endParaRPr lang="en-US" sz="1200">
            <a:solidFill>
              <a:sysClr val="windowText" lastClr="000000"/>
            </a:solidFill>
          </a:endParaRPr>
        </a:p>
      </xdr:txBody>
    </xdr:sp>
    <xdr:clientData/>
  </xdr:twoCellAnchor>
  <xdr:twoCellAnchor>
    <xdr:from>
      <xdr:col>4</xdr:col>
      <xdr:colOff>4230118</xdr:colOff>
      <xdr:row>74</xdr:row>
      <xdr:rowOff>158182</xdr:rowOff>
    </xdr:from>
    <xdr:to>
      <xdr:col>6</xdr:col>
      <xdr:colOff>1527400</xdr:colOff>
      <xdr:row>80</xdr:row>
      <xdr:rowOff>190498</xdr:rowOff>
    </xdr:to>
    <xdr:sp macro="" textlink="$G$19">
      <xdr:nvSpPr>
        <xdr:cNvPr id="5" name="TextBox 4">
          <a:extLst>
            <a:ext uri="{FF2B5EF4-FFF2-40B4-BE49-F238E27FC236}">
              <a16:creationId xmlns:a16="http://schemas.microsoft.com/office/drawing/2014/main" id="{00000000-0008-0000-0D00-000005000000}"/>
            </a:ext>
          </a:extLst>
        </xdr:cNvPr>
        <xdr:cNvSpPr txBox="1"/>
      </xdr:nvSpPr>
      <xdr:spPr>
        <a:xfrm>
          <a:off x="13269343" y="27009157"/>
          <a:ext cx="5183982" cy="1175316"/>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B7286A-CBFC-4F1B-B0ED-9A3B6C71E71A}" type="TxLink">
            <a:rPr lang="en-US" sz="1200" b="0" i="0" u="none" strike="noStrike">
              <a:solidFill>
                <a:sysClr val="windowText" lastClr="000000"/>
              </a:solidFill>
              <a:latin typeface="Calibri"/>
            </a:rPr>
            <a:pPr/>
            <a:t>Input comments pertinent to the Development Concept Assessment</a:t>
          </a:fld>
          <a:endParaRPr lang="en-US" sz="1200" b="0" i="0" u="none" strike="noStrike">
            <a:solidFill>
              <a:sysClr val="windowText" lastClr="000000"/>
            </a:solidFill>
            <a:latin typeface="Calibri"/>
          </a:endParaRPr>
        </a:p>
      </xdr:txBody>
    </xdr:sp>
    <xdr:clientData/>
  </xdr:twoCellAnchor>
  <xdr:twoCellAnchor>
    <xdr:from>
      <xdr:col>4</xdr:col>
      <xdr:colOff>4255217</xdr:colOff>
      <xdr:row>54</xdr:row>
      <xdr:rowOff>124990</xdr:rowOff>
    </xdr:from>
    <xdr:to>
      <xdr:col>6</xdr:col>
      <xdr:colOff>1566523</xdr:colOff>
      <xdr:row>56</xdr:row>
      <xdr:rowOff>13600</xdr:rowOff>
    </xdr:to>
    <xdr:sp macro="" textlink="'Do Not Touch PFS Working Sheet'!I4">
      <xdr:nvSpPr>
        <xdr:cNvPr id="6" name="TextBox 5">
          <a:extLst>
            <a:ext uri="{FF2B5EF4-FFF2-40B4-BE49-F238E27FC236}">
              <a16:creationId xmlns:a16="http://schemas.microsoft.com/office/drawing/2014/main" id="{00000000-0008-0000-0D00-000006000000}"/>
            </a:ext>
          </a:extLst>
        </xdr:cNvPr>
        <xdr:cNvSpPr txBox="1"/>
      </xdr:nvSpPr>
      <xdr:spPr>
        <a:xfrm>
          <a:off x="13294442" y="23165965"/>
          <a:ext cx="5198006" cy="269610"/>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8614A1A-DF48-497E-A30F-4B03CE2BE94C}" type="TxLink">
            <a:rPr lang="en-US" sz="1400" b="1" i="0" u="none" strike="noStrike">
              <a:solidFill>
                <a:srgbClr val="000000"/>
              </a:solidFill>
              <a:latin typeface="Calibri"/>
            </a:rPr>
            <a:pPr algn="l"/>
            <a:t>Strong</a:t>
          </a:fld>
          <a:endParaRPr lang="en-AU" sz="1400" b="1"/>
        </a:p>
      </xdr:txBody>
    </xdr:sp>
    <xdr:clientData/>
  </xdr:twoCellAnchor>
  <xdr:twoCellAnchor>
    <xdr:from>
      <xdr:col>1</xdr:col>
      <xdr:colOff>1444058</xdr:colOff>
      <xdr:row>74</xdr:row>
      <xdr:rowOff>166537</xdr:rowOff>
    </xdr:from>
    <xdr:to>
      <xdr:col>3</xdr:col>
      <xdr:colOff>2479905</xdr:colOff>
      <xdr:row>81</xdr:row>
      <xdr:rowOff>4</xdr:rowOff>
    </xdr:to>
    <xdr:sp macro="" textlink="$G$27">
      <xdr:nvSpPr>
        <xdr:cNvPr id="7" name="TextBox 6">
          <a:extLst>
            <a:ext uri="{FF2B5EF4-FFF2-40B4-BE49-F238E27FC236}">
              <a16:creationId xmlns:a16="http://schemas.microsoft.com/office/drawing/2014/main" id="{00000000-0008-0000-0D00-000007000000}"/>
            </a:ext>
          </a:extLst>
        </xdr:cNvPr>
        <xdr:cNvSpPr txBox="1"/>
      </xdr:nvSpPr>
      <xdr:spPr>
        <a:xfrm>
          <a:off x="2053658" y="27017512"/>
          <a:ext cx="4902997" cy="1166967"/>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CA2192-9FDA-4528-BBE4-06224E8EA297}" type="TxLink">
            <a:rPr lang="en-US" sz="1200" b="0" i="0" u="none" strike="noStrike">
              <a:solidFill>
                <a:sysClr val="windowText" lastClr="000000"/>
              </a:solidFill>
              <a:latin typeface="Calibri"/>
            </a:rPr>
            <a:pPr/>
            <a:t>Input comments pertinent to the Above Ground Assessment</a:t>
          </a:fld>
          <a:endParaRPr lang="en-US" sz="1200" b="0" i="0" u="none" strike="noStrike">
            <a:solidFill>
              <a:sysClr val="windowText" lastClr="000000"/>
            </a:solidFill>
            <a:latin typeface="Calibri"/>
          </a:endParaRPr>
        </a:p>
      </xdr:txBody>
    </xdr:sp>
    <xdr:clientData/>
  </xdr:twoCellAnchor>
  <xdr:twoCellAnchor>
    <xdr:from>
      <xdr:col>1</xdr:col>
      <xdr:colOff>1389179</xdr:colOff>
      <xdr:row>56</xdr:row>
      <xdr:rowOff>71433</xdr:rowOff>
    </xdr:from>
    <xdr:to>
      <xdr:col>3</xdr:col>
      <xdr:colOff>2430582</xdr:colOff>
      <xdr:row>62</xdr:row>
      <xdr:rowOff>95244</xdr:rowOff>
    </xdr:to>
    <xdr:sp macro="" textlink="$G$31">
      <xdr:nvSpPr>
        <xdr:cNvPr id="8" name="TextBox 7">
          <a:extLst>
            <a:ext uri="{FF2B5EF4-FFF2-40B4-BE49-F238E27FC236}">
              <a16:creationId xmlns:a16="http://schemas.microsoft.com/office/drawing/2014/main" id="{00000000-0008-0000-0D00-000008000000}"/>
            </a:ext>
          </a:extLst>
        </xdr:cNvPr>
        <xdr:cNvSpPr txBox="1"/>
      </xdr:nvSpPr>
      <xdr:spPr>
        <a:xfrm>
          <a:off x="1998779" y="23493408"/>
          <a:ext cx="4908553" cy="1166811"/>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E3AF3B-7AD6-4A6B-9F5F-5B9836D59D65}" type="TxLink">
            <a:rPr lang="en-US" sz="1200" b="0" i="0" u="none" strike="noStrike">
              <a:solidFill>
                <a:sysClr val="windowText" lastClr="000000"/>
              </a:solidFill>
              <a:latin typeface="Calibri"/>
            </a:rPr>
            <a:pPr/>
            <a:t>Input comments pertinent to the Commercial Assessment</a:t>
          </a:fld>
          <a:endParaRPr lang="en-US" sz="1200" b="0" i="0" u="none" strike="noStrike">
            <a:solidFill>
              <a:sysClr val="windowText" lastClr="000000"/>
            </a:solidFill>
            <a:latin typeface="Calibri"/>
          </a:endParaRPr>
        </a:p>
      </xdr:txBody>
    </xdr:sp>
    <xdr:clientData/>
  </xdr:twoCellAnchor>
  <xdr:twoCellAnchor>
    <xdr:from>
      <xdr:col>3</xdr:col>
      <xdr:colOff>3065485</xdr:colOff>
      <xdr:row>37</xdr:row>
      <xdr:rowOff>62932</xdr:rowOff>
    </xdr:from>
    <xdr:to>
      <xdr:col>4</xdr:col>
      <xdr:colOff>3616083</xdr:colOff>
      <xdr:row>43</xdr:row>
      <xdr:rowOff>95249</xdr:rowOff>
    </xdr:to>
    <xdr:sp macro="" textlink="$G$11">
      <xdr:nvSpPr>
        <xdr:cNvPr id="9" name="TextBox 8">
          <a:extLst>
            <a:ext uri="{FF2B5EF4-FFF2-40B4-BE49-F238E27FC236}">
              <a16:creationId xmlns:a16="http://schemas.microsoft.com/office/drawing/2014/main" id="{00000000-0008-0000-0D00-000009000000}"/>
            </a:ext>
          </a:extLst>
        </xdr:cNvPr>
        <xdr:cNvSpPr txBox="1"/>
      </xdr:nvSpPr>
      <xdr:spPr>
        <a:xfrm>
          <a:off x="7542235" y="19865407"/>
          <a:ext cx="5113073" cy="1175317"/>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021645-419E-4F86-A669-95FB7B6E4E10}" type="TxLink">
            <a:rPr lang="en-US" sz="1200" b="0" i="0" u="none" strike="noStrike">
              <a:solidFill>
                <a:sysClr val="windowText" lastClr="000000"/>
              </a:solidFill>
              <a:latin typeface="Calibri"/>
            </a:rPr>
            <a:pPr/>
            <a:t>Input comments pertinent to the Strategy &amp; Budget Assessment</a:t>
          </a:fld>
          <a:endParaRPr lang="en-US" sz="1200" b="0" i="0" u="none" strike="noStrike">
            <a:solidFill>
              <a:sysClr val="windowText" lastClr="000000"/>
            </a:solidFill>
            <a:latin typeface="Calibri"/>
          </a:endParaRPr>
        </a:p>
      </xdr:txBody>
    </xdr:sp>
    <xdr:clientData/>
  </xdr:twoCellAnchor>
  <xdr:twoCellAnchor>
    <xdr:from>
      <xdr:col>4</xdr:col>
      <xdr:colOff>4230117</xdr:colOff>
      <xdr:row>73</xdr:row>
      <xdr:rowOff>15303</xdr:rowOff>
    </xdr:from>
    <xdr:to>
      <xdr:col>6</xdr:col>
      <xdr:colOff>1541423</xdr:colOff>
      <xdr:row>74</xdr:row>
      <xdr:rowOff>94413</xdr:rowOff>
    </xdr:to>
    <xdr:sp macro="" textlink="'Do Not Touch PFS Working Sheet'!I5">
      <xdr:nvSpPr>
        <xdr:cNvPr id="10" name="TextBox 9">
          <a:extLst>
            <a:ext uri="{FF2B5EF4-FFF2-40B4-BE49-F238E27FC236}">
              <a16:creationId xmlns:a16="http://schemas.microsoft.com/office/drawing/2014/main" id="{00000000-0008-0000-0D00-00000A000000}"/>
            </a:ext>
          </a:extLst>
        </xdr:cNvPr>
        <xdr:cNvSpPr txBox="1"/>
      </xdr:nvSpPr>
      <xdr:spPr>
        <a:xfrm>
          <a:off x="13269342" y="26675778"/>
          <a:ext cx="5198006" cy="269610"/>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1199EB4-E502-4856-9B24-17244A55F731}" type="TxLink">
            <a:rPr lang="en-US" sz="1400" b="1" i="0" u="none" strike="noStrike">
              <a:solidFill>
                <a:srgbClr val="000000"/>
              </a:solidFill>
              <a:latin typeface="Calibri"/>
            </a:rPr>
            <a:pPr algn="l"/>
            <a:t>Very Strong</a:t>
          </a:fld>
          <a:endParaRPr lang="en-AU" sz="1400" b="1"/>
        </a:p>
      </xdr:txBody>
    </xdr:sp>
    <xdr:clientData/>
  </xdr:twoCellAnchor>
  <xdr:twoCellAnchor>
    <xdr:from>
      <xdr:col>1</xdr:col>
      <xdr:colOff>1444058</xdr:colOff>
      <xdr:row>73</xdr:row>
      <xdr:rowOff>10205</xdr:rowOff>
    </xdr:from>
    <xdr:to>
      <xdr:col>3</xdr:col>
      <xdr:colOff>2482020</xdr:colOff>
      <xdr:row>74</xdr:row>
      <xdr:rowOff>89315</xdr:rowOff>
    </xdr:to>
    <xdr:sp macro="" textlink="'Do Not Touch PFS Working Sheet'!I7">
      <xdr:nvSpPr>
        <xdr:cNvPr id="11" name="TextBox 10">
          <a:extLst>
            <a:ext uri="{FF2B5EF4-FFF2-40B4-BE49-F238E27FC236}">
              <a16:creationId xmlns:a16="http://schemas.microsoft.com/office/drawing/2014/main" id="{00000000-0008-0000-0D00-00000B000000}"/>
            </a:ext>
          </a:extLst>
        </xdr:cNvPr>
        <xdr:cNvSpPr txBox="1"/>
      </xdr:nvSpPr>
      <xdr:spPr>
        <a:xfrm>
          <a:off x="2053658" y="26670680"/>
          <a:ext cx="4905112" cy="269610"/>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FAA0BB4-00E9-45FF-BE45-0E79A63246C8}" type="TxLink">
            <a:rPr lang="en-US" sz="1400" b="1" i="0" u="none" strike="noStrike">
              <a:solidFill>
                <a:srgbClr val="000000"/>
              </a:solidFill>
              <a:latin typeface="Calibri"/>
            </a:rPr>
            <a:pPr algn="l"/>
            <a:t>Very Strong</a:t>
          </a:fld>
          <a:endParaRPr lang="en-AU" sz="1400" b="1"/>
        </a:p>
      </xdr:txBody>
    </xdr:sp>
    <xdr:clientData/>
  </xdr:twoCellAnchor>
  <xdr:twoCellAnchor>
    <xdr:from>
      <xdr:col>1</xdr:col>
      <xdr:colOff>1394729</xdr:colOff>
      <xdr:row>54</xdr:row>
      <xdr:rowOff>117361</xdr:rowOff>
    </xdr:from>
    <xdr:to>
      <xdr:col>3</xdr:col>
      <xdr:colOff>2432691</xdr:colOff>
      <xdr:row>56</xdr:row>
      <xdr:rowOff>5971</xdr:rowOff>
    </xdr:to>
    <xdr:sp macro="" textlink="'Do Not Touch PFS Working Sheet'!I8">
      <xdr:nvSpPr>
        <xdr:cNvPr id="12" name="TextBox 11">
          <a:extLst>
            <a:ext uri="{FF2B5EF4-FFF2-40B4-BE49-F238E27FC236}">
              <a16:creationId xmlns:a16="http://schemas.microsoft.com/office/drawing/2014/main" id="{00000000-0008-0000-0D00-00000C000000}"/>
            </a:ext>
          </a:extLst>
        </xdr:cNvPr>
        <xdr:cNvSpPr txBox="1"/>
      </xdr:nvSpPr>
      <xdr:spPr>
        <a:xfrm>
          <a:off x="2004329" y="23158336"/>
          <a:ext cx="4905112" cy="269610"/>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365BDDD-6B8B-4DEE-B890-C54C323FBEA3}" type="TxLink">
            <a:rPr lang="en-US" sz="1400" b="1" i="0" u="none" strike="noStrike">
              <a:solidFill>
                <a:srgbClr val="000000"/>
              </a:solidFill>
              <a:latin typeface="Calibri"/>
            </a:rPr>
            <a:pPr algn="l"/>
            <a:t>Very Strong</a:t>
          </a:fld>
          <a:endParaRPr lang="en-AU" sz="1400" b="1"/>
        </a:p>
      </xdr:txBody>
    </xdr:sp>
    <xdr:clientData/>
  </xdr:twoCellAnchor>
  <xdr:twoCellAnchor>
    <xdr:from>
      <xdr:col>3</xdr:col>
      <xdr:colOff>3088822</xdr:colOff>
      <xdr:row>82</xdr:row>
      <xdr:rowOff>149677</xdr:rowOff>
    </xdr:from>
    <xdr:to>
      <xdr:col>4</xdr:col>
      <xdr:colOff>3625021</xdr:colOff>
      <xdr:row>84</xdr:row>
      <xdr:rowOff>38287</xdr:rowOff>
    </xdr:to>
    <xdr:sp macro="" textlink="'Do Not Touch PFS Working Sheet'!I6">
      <xdr:nvSpPr>
        <xdr:cNvPr id="13" name="TextBox 12">
          <a:extLst>
            <a:ext uri="{FF2B5EF4-FFF2-40B4-BE49-F238E27FC236}">
              <a16:creationId xmlns:a16="http://schemas.microsoft.com/office/drawing/2014/main" id="{00000000-0008-0000-0D00-00000D000000}"/>
            </a:ext>
          </a:extLst>
        </xdr:cNvPr>
        <xdr:cNvSpPr txBox="1"/>
      </xdr:nvSpPr>
      <xdr:spPr>
        <a:xfrm>
          <a:off x="7565572" y="28524652"/>
          <a:ext cx="5098674" cy="269610"/>
        </a:xfrm>
        <a:prstGeom prst="rect">
          <a:avLst/>
        </a:prstGeom>
        <a:solidFill>
          <a:sysClr val="window" lastClr="FFFFFF"/>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0F50258-423C-4186-92A5-942B11BB381C}" type="TxLink">
            <a:rPr lang="en-US" sz="1400" b="1" i="0" u="none" strike="noStrike">
              <a:solidFill>
                <a:srgbClr val="000000"/>
              </a:solidFill>
              <a:latin typeface="Calibri"/>
            </a:rPr>
            <a:pPr algn="l"/>
            <a:t>Very Strong</a:t>
          </a:fld>
          <a:endParaRPr lang="en-AU" sz="1400" b="1"/>
        </a:p>
      </xdr:txBody>
    </xdr:sp>
    <xdr:clientData/>
  </xdr:twoCellAnchor>
  <xdr:twoCellAnchor>
    <xdr:from>
      <xdr:col>3</xdr:col>
      <xdr:colOff>3088821</xdr:colOff>
      <xdr:row>84</xdr:row>
      <xdr:rowOff>95250</xdr:rowOff>
    </xdr:from>
    <xdr:to>
      <xdr:col>4</xdr:col>
      <xdr:colOff>3619499</xdr:colOff>
      <xdr:row>90</xdr:row>
      <xdr:rowOff>127566</xdr:rowOff>
    </xdr:to>
    <xdr:sp macro="" textlink="$G$23">
      <xdr:nvSpPr>
        <xdr:cNvPr id="14" name="TextBox 13">
          <a:extLst>
            <a:ext uri="{FF2B5EF4-FFF2-40B4-BE49-F238E27FC236}">
              <a16:creationId xmlns:a16="http://schemas.microsoft.com/office/drawing/2014/main" id="{00000000-0008-0000-0D00-00000E000000}"/>
            </a:ext>
          </a:extLst>
        </xdr:cNvPr>
        <xdr:cNvSpPr txBox="1"/>
      </xdr:nvSpPr>
      <xdr:spPr>
        <a:xfrm>
          <a:off x="7565571" y="28851225"/>
          <a:ext cx="5093153" cy="1175316"/>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BE4817-E9A3-42D8-BDCF-F6A8D981B785}" type="TxLink">
            <a:rPr lang="en-US" sz="1200" b="0" i="0" u="none" strike="noStrike">
              <a:solidFill>
                <a:sysClr val="windowText" lastClr="000000"/>
              </a:solidFill>
              <a:latin typeface="Calibri"/>
            </a:rPr>
            <a:pPr/>
            <a:t>Input comments pertinent to the Technical/Subsurface Assessment AND provide a description of the available information and subsurface data used to make the decision (eg. a new 3D seismic survey has been acquired but we do not have access to it)</a:t>
          </a:fld>
          <a:endParaRPr lang="en-US" sz="1200" b="0" i="0" u="none" strike="noStrike">
            <a:solidFill>
              <a:sysClr val="windowText" lastClr="000000"/>
            </a:solidFill>
            <a:latin typeface="Calibri"/>
          </a:endParaRPr>
        </a:p>
      </xdr:txBody>
    </xdr:sp>
    <xdr:clientData/>
  </xdr:twoCellAnchor>
  <xdr:twoCellAnchor>
    <xdr:from>
      <xdr:col>1</xdr:col>
      <xdr:colOff>1025926</xdr:colOff>
      <xdr:row>35</xdr:row>
      <xdr:rowOff>105115</xdr:rowOff>
    </xdr:from>
    <xdr:to>
      <xdr:col>3</xdr:col>
      <xdr:colOff>2440780</xdr:colOff>
      <xdr:row>50</xdr:row>
      <xdr:rowOff>130023</xdr:rowOff>
    </xdr:to>
    <xdr:sp macro="" textlink="">
      <xdr:nvSpPr>
        <xdr:cNvPr id="15" name="TextBox 14">
          <a:extLst>
            <a:ext uri="{FF2B5EF4-FFF2-40B4-BE49-F238E27FC236}">
              <a16:creationId xmlns:a16="http://schemas.microsoft.com/office/drawing/2014/main" id="{00000000-0008-0000-0D00-00000F000000}"/>
            </a:ext>
          </a:extLst>
        </xdr:cNvPr>
        <xdr:cNvSpPr txBox="1"/>
      </xdr:nvSpPr>
      <xdr:spPr>
        <a:xfrm>
          <a:off x="1633145" y="20214771"/>
          <a:ext cx="5284385" cy="2882408"/>
        </a:xfrm>
        <a:prstGeom prst="rect">
          <a:avLst/>
        </a:prstGeom>
        <a:solidFill>
          <a:schemeClr val="lt1"/>
        </a:solidFill>
        <a:ln w="31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Notwithstanding/In light of</a:t>
          </a:r>
          <a:r>
            <a:rPr kumimoji="0" lang="en-US" sz="1600" b="1" i="0" u="none" strike="noStrike" kern="0" cap="none" spc="0" normalizeH="0" baseline="0" noProof="0">
              <a:ln>
                <a:noFill/>
              </a:ln>
              <a:solidFill>
                <a:sysClr val="windowText" lastClr="000000"/>
              </a:solidFill>
              <a:effectLst/>
              <a:uLnTx/>
              <a:uFillTx/>
              <a:latin typeface="+mn-lt"/>
              <a:ea typeface="+mn-ea"/>
              <a:cs typeface="+mn-cs"/>
            </a:rPr>
            <a:t> the </a:t>
          </a:r>
          <a:r>
            <a:rPr kumimoji="0" lang="en-US" sz="1600" b="1" i="0" u="none" strike="noStrike" kern="0" cap="none" spc="0" normalizeH="0" baseline="0" noProof="0">
              <a:ln>
                <a:noFill/>
              </a:ln>
              <a:solidFill>
                <a:srgbClr val="FF0000"/>
              </a:solidFill>
              <a:effectLst/>
              <a:uLnTx/>
              <a:uFillTx/>
              <a:latin typeface="+mn-lt"/>
              <a:ea typeface="+mn-ea"/>
              <a:cs typeface="+mn-cs"/>
            </a:rPr>
            <a:t>x, y, z weaknesses/strengths</a:t>
          </a:r>
          <a:r>
            <a:rPr kumimoji="0" lang="en-US" sz="1600" b="1" i="0" u="none" strike="noStrike" kern="0" cap="none" spc="0" normalizeH="0" baseline="0" noProof="0">
              <a:ln>
                <a:noFill/>
              </a:ln>
              <a:solidFill>
                <a:sysClr val="windowText" lastClr="000000"/>
              </a:solidFill>
              <a:effectLst/>
              <a:uLnTx/>
              <a:uFillTx/>
              <a:latin typeface="+mn-lt"/>
              <a:ea typeface="+mn-ea"/>
              <a:cs typeface="+mn-cs"/>
            </a:rPr>
            <a:t> of the opportunity, the decision </a:t>
          </a:r>
          <a:r>
            <a:rPr kumimoji="0" lang="en-US" sz="1600" b="1" i="0" u="none" strike="noStrike" kern="0" cap="none" spc="0" normalizeH="0" baseline="0" noProof="0">
              <a:ln>
                <a:noFill/>
              </a:ln>
              <a:solidFill>
                <a:srgbClr val="FF0000"/>
              </a:solidFill>
              <a:effectLst/>
              <a:uLnTx/>
              <a:uFillTx/>
              <a:latin typeface="+mn-lt"/>
              <a:ea typeface="+mn-ea"/>
              <a:cs typeface="+mn-cs"/>
            </a:rPr>
            <a:t>to/not to</a:t>
          </a:r>
          <a:r>
            <a:rPr kumimoji="0" lang="en-US" sz="1600" b="1" i="0" u="none" strike="noStrike" kern="0" cap="none" spc="0" normalizeH="0" baseline="0" noProof="0">
              <a:ln>
                <a:noFill/>
              </a:ln>
              <a:solidFill>
                <a:sysClr val="windowText" lastClr="000000"/>
              </a:solidFill>
              <a:effectLst/>
              <a:uLnTx/>
              <a:uFillTx/>
              <a:latin typeface="+mn-lt"/>
              <a:ea typeface="+mn-ea"/>
              <a:cs typeface="+mn-cs"/>
            </a:rPr>
            <a:t> proceed with the </a:t>
          </a:r>
          <a:r>
            <a:rPr kumimoji="0" lang="en-US" sz="1600" b="1" i="0" u="none" strike="noStrike" kern="0" cap="none" spc="0" normalizeH="0" baseline="0" noProof="0">
              <a:ln>
                <a:noFill/>
              </a:ln>
              <a:solidFill>
                <a:srgbClr val="FF0000"/>
              </a:solidFill>
              <a:effectLst/>
              <a:uLnTx/>
              <a:uFillTx/>
              <a:latin typeface="+mn-lt"/>
              <a:ea typeface="+mn-ea"/>
              <a:cs typeface="+mn-cs"/>
            </a:rPr>
            <a:t>recommendation</a:t>
          </a:r>
          <a:r>
            <a:rPr kumimoji="0" lang="en-US" sz="1600" b="1" i="0" u="none" strike="noStrike" kern="0" cap="none" spc="0" normalizeH="0" baseline="0" noProof="0">
              <a:ln>
                <a:noFill/>
              </a:ln>
              <a:solidFill>
                <a:sysClr val="windowText" lastClr="000000"/>
              </a:solidFill>
              <a:effectLst/>
              <a:uLnTx/>
              <a:uFillTx/>
              <a:latin typeface="+mn-lt"/>
              <a:ea typeface="+mn-ea"/>
              <a:cs typeface="+mn-cs"/>
            </a:rPr>
            <a:t> has been taken because....</a:t>
          </a:r>
        </a:p>
      </xdr:txBody>
    </xdr:sp>
    <xdr:clientData/>
  </xdr:twoCellAnchor>
  <xdr:twoCellAnchor editAs="oneCell">
    <xdr:from>
      <xdr:col>6</xdr:col>
      <xdr:colOff>1020536</xdr:colOff>
      <xdr:row>40</xdr:row>
      <xdr:rowOff>0</xdr:rowOff>
    </xdr:from>
    <xdr:to>
      <xdr:col>6</xdr:col>
      <xdr:colOff>1413044</xdr:colOff>
      <xdr:row>42</xdr:row>
      <xdr:rowOff>48885</xdr:rowOff>
    </xdr:to>
    <xdr:pic>
      <xdr:nvPicPr>
        <xdr:cNvPr id="16" name="Picture 15">
          <a:extLst>
            <a:ext uri="{FF2B5EF4-FFF2-40B4-BE49-F238E27FC236}">
              <a16:creationId xmlns:a16="http://schemas.microsoft.com/office/drawing/2014/main" id="{CF6F1B14-9308-4140-82BC-42F093BEC95D}"/>
            </a:ext>
          </a:extLst>
        </xdr:cNvPr>
        <xdr:cNvPicPr>
          <a:picLocks noChangeAspect="1"/>
        </xdr:cNvPicPr>
      </xdr:nvPicPr>
      <xdr:blipFill>
        <a:blip xmlns:r="http://schemas.openxmlformats.org/officeDocument/2006/relationships" r:embed="rId2"/>
        <a:stretch>
          <a:fillRect/>
        </a:stretch>
      </xdr:blipFill>
      <xdr:spPr>
        <a:xfrm>
          <a:off x="17934215" y="20029714"/>
          <a:ext cx="392508" cy="429885"/>
        </a:xfrm>
        <a:prstGeom prst="rect">
          <a:avLst/>
        </a:prstGeom>
      </xdr:spPr>
    </xdr:pic>
    <xdr:clientData/>
  </xdr:twoCellAnchor>
</xdr:wsDr>
</file>

<file path=xl/drawings/drawing7.xml><?xml version="1.0" encoding="utf-8"?>
<c:userShapes xmlns:c="http://schemas.openxmlformats.org/drawingml/2006/chart">
  <cdr:relSizeAnchor xmlns:cdr="http://schemas.openxmlformats.org/drawingml/2006/chartDrawing">
    <cdr:from>
      <cdr:x>0.72999</cdr:x>
      <cdr:y>0.00598</cdr:y>
    </cdr:from>
    <cdr:to>
      <cdr:x>0.99615</cdr:x>
      <cdr:y>0.13873</cdr:y>
    </cdr:to>
    <cdr:sp macro="" textlink="">
      <cdr:nvSpPr>
        <cdr:cNvPr id="12" name="TextBox 15">
          <a:extLst xmlns:a="http://schemas.openxmlformats.org/drawingml/2006/main">
            <a:ext uri="{FF2B5EF4-FFF2-40B4-BE49-F238E27FC236}">
              <a16:creationId xmlns:a16="http://schemas.microsoft.com/office/drawing/2014/main" id="{00000000-0008-0000-0B00-000010000000}"/>
            </a:ext>
          </a:extLst>
        </cdr:cNvPr>
        <cdr:cNvSpPr txBox="1"/>
      </cdr:nvSpPr>
      <cdr:spPr>
        <a:xfrm xmlns:a="http://schemas.openxmlformats.org/drawingml/2006/main">
          <a:off x="12528550" y="64407"/>
          <a:ext cx="4568031" cy="1428750"/>
        </a:xfrm>
        <a:prstGeom xmlns:a="http://schemas.openxmlformats.org/drawingml/2006/main" prst="rect">
          <a:avLst/>
        </a:prstGeom>
        <a:noFill xmlns:a="http://schemas.openxmlformats.org/drawingml/2006/main"/>
        <a:ln xmlns:a="http://schemas.openxmlformats.org/drawingml/2006/main" w="3175" cmpd="sng">
          <a:solidFill>
            <a:schemeClr val="bg1">
              <a:lumMod val="65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US" sz="1400" b="1" i="0" u="none" strike="noStrike">
              <a:solidFill>
                <a:sysClr val="windowText" lastClr="000000"/>
              </a:solidFill>
              <a:latin typeface="Calibri"/>
            </a:rPr>
            <a:t>Current State.......................................................</a:t>
          </a:r>
        </a:p>
        <a:p xmlns:a="http://schemas.openxmlformats.org/drawingml/2006/main">
          <a:pPr algn="l"/>
          <a:endParaRPr lang="en-US" sz="1400" b="1" i="0" u="none" strike="noStrike">
            <a:solidFill>
              <a:sysClr val="windowText" lastClr="000000"/>
            </a:solidFill>
            <a:latin typeface="Calibri"/>
          </a:endParaRPr>
        </a:p>
        <a:p xmlns:a="http://schemas.openxmlformats.org/drawingml/2006/main">
          <a:pPr algn="l"/>
          <a:r>
            <a:rPr lang="en-US" sz="1400" b="1" i="0" u="none" strike="noStrike">
              <a:solidFill>
                <a:sysClr val="windowText" lastClr="000000"/>
              </a:solidFill>
              <a:latin typeface="Calibri"/>
            </a:rPr>
            <a:t>Potential</a:t>
          </a:r>
          <a:r>
            <a:rPr lang="en-US" sz="1400" b="1" i="0" u="none" strike="noStrike" baseline="0">
              <a:solidFill>
                <a:sysClr val="windowText" lastClr="000000"/>
              </a:solidFill>
              <a:latin typeface="Calibri"/>
            </a:rPr>
            <a:t> Future State..........................................</a:t>
          </a:r>
        </a:p>
        <a:p xmlns:a="http://schemas.openxmlformats.org/drawingml/2006/main">
          <a:pPr algn="l"/>
          <a:endParaRPr lang="en-US" sz="1400" b="1" i="0" u="none" strike="noStrike" baseline="0">
            <a:solidFill>
              <a:sysClr val="windowText" lastClr="000000"/>
            </a:solidFill>
            <a:latin typeface="Calibri"/>
          </a:endParaRPr>
        </a:p>
        <a:p xmlns:a="http://schemas.openxmlformats.org/drawingml/2006/main">
          <a:pPr algn="l"/>
          <a:r>
            <a:rPr lang="en-US" sz="1400" b="1" i="0" u="none" strike="noStrike" baseline="0">
              <a:solidFill>
                <a:sysClr val="windowText" lastClr="000000"/>
              </a:solidFill>
              <a:latin typeface="Calibri"/>
            </a:rPr>
            <a:t>Not all data available or more data may</a:t>
          </a:r>
        </a:p>
        <a:p xmlns:a="http://schemas.openxmlformats.org/drawingml/2006/main">
          <a:pPr algn="l"/>
          <a:r>
            <a:rPr lang="en-US" sz="1400" b="1" i="0" u="none" strike="noStrike" baseline="0">
              <a:solidFill>
                <a:sysClr val="windowText" lastClr="000000"/>
              </a:solidFill>
              <a:latin typeface="Calibri"/>
            </a:rPr>
            <a:t>become available that may impact assessment....</a:t>
          </a:r>
          <a:endParaRPr lang="en-US" sz="1400" b="1" i="0" u="none" strike="noStrike">
            <a:solidFill>
              <a:sysClr val="windowText" lastClr="000000"/>
            </a:solidFill>
            <a:latin typeface="Calibri"/>
          </a:endParaRPr>
        </a:p>
      </cdr:txBody>
    </cdr:sp>
  </cdr:relSizeAnchor>
  <cdr:relSizeAnchor xmlns:cdr="http://schemas.openxmlformats.org/drawingml/2006/chartDrawing">
    <cdr:from>
      <cdr:x>0.94925</cdr:x>
      <cdr:y>0.01863</cdr:y>
    </cdr:from>
    <cdr:to>
      <cdr:x>0.98238</cdr:x>
      <cdr:y>0.01886</cdr:y>
    </cdr:to>
    <cdr:cxnSp macro="">
      <cdr:nvCxnSpPr>
        <cdr:cNvPr id="13" name="Straight Connector 12">
          <a:extLst xmlns:a="http://schemas.openxmlformats.org/drawingml/2006/main">
            <a:ext uri="{FF2B5EF4-FFF2-40B4-BE49-F238E27FC236}">
              <a16:creationId xmlns:a16="http://schemas.microsoft.com/office/drawing/2014/main" id="{00000000-0008-0000-0B00-000012000000}"/>
            </a:ext>
          </a:extLst>
        </cdr:cNvPr>
        <cdr:cNvCxnSpPr/>
      </cdr:nvCxnSpPr>
      <cdr:spPr>
        <a:xfrm xmlns:a="http://schemas.openxmlformats.org/drawingml/2006/main" flipH="1">
          <a:off x="16291507" y="200479"/>
          <a:ext cx="568648" cy="2524"/>
        </a:xfrm>
        <a:prstGeom xmlns:a="http://schemas.openxmlformats.org/drawingml/2006/main" prst="line">
          <a:avLst/>
        </a:prstGeom>
        <a:ln xmlns:a="http://schemas.openxmlformats.org/drawingml/2006/main" w="57150">
          <a:solidFill>
            <a:schemeClr val="tx1"/>
          </a:solidFill>
          <a:headEnd type="diamond"/>
          <a:tailEnd type="diamond"/>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0.94991</cdr:x>
      <cdr:y>0.05597</cdr:y>
    </cdr:from>
    <cdr:to>
      <cdr:x>0.98344</cdr:x>
      <cdr:y>0.05655</cdr:y>
    </cdr:to>
    <cdr:cxnSp macro="">
      <cdr:nvCxnSpPr>
        <cdr:cNvPr id="14" name="Straight Connector 13">
          <a:extLst xmlns:a="http://schemas.openxmlformats.org/drawingml/2006/main">
            <a:ext uri="{FF2B5EF4-FFF2-40B4-BE49-F238E27FC236}">
              <a16:creationId xmlns:a16="http://schemas.microsoft.com/office/drawing/2014/main" id="{00000000-0008-0000-0B00-000014000000}"/>
            </a:ext>
          </a:extLst>
        </cdr:cNvPr>
        <cdr:cNvCxnSpPr/>
      </cdr:nvCxnSpPr>
      <cdr:spPr>
        <a:xfrm xmlns:a="http://schemas.openxmlformats.org/drawingml/2006/main" flipH="1" flipV="1">
          <a:off x="16302903" y="602467"/>
          <a:ext cx="575396" cy="6225"/>
        </a:xfrm>
        <a:prstGeom xmlns:a="http://schemas.openxmlformats.org/drawingml/2006/main" prst="line">
          <a:avLst/>
        </a:prstGeom>
        <a:ln xmlns:a="http://schemas.openxmlformats.org/drawingml/2006/main" w="57150">
          <a:solidFill>
            <a:schemeClr val="tx1"/>
          </a:solidFill>
          <a:prstDash val="sysDot"/>
          <a:headEnd type="diamond"/>
          <a:tailEnd type="diamond"/>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xdr:wsDr xmlns:xdr="http://schemas.openxmlformats.org/drawingml/2006/spreadsheetDrawing" xmlns:a="http://schemas.openxmlformats.org/drawingml/2006/main">
  <xdr:twoCellAnchor>
    <xdr:from>
      <xdr:col>0</xdr:col>
      <xdr:colOff>123825</xdr:colOff>
      <xdr:row>0</xdr:row>
      <xdr:rowOff>171450</xdr:rowOff>
    </xdr:from>
    <xdr:to>
      <xdr:col>13</xdr:col>
      <xdr:colOff>387719</xdr:colOff>
      <xdr:row>39</xdr:row>
      <xdr:rowOff>180975</xdr:rowOff>
    </xdr:to>
    <xdr:grpSp>
      <xdr:nvGrpSpPr>
        <xdr:cNvPr id="58" name="Group 57">
          <a:extLst>
            <a:ext uri="{FF2B5EF4-FFF2-40B4-BE49-F238E27FC236}">
              <a16:creationId xmlns:a16="http://schemas.microsoft.com/office/drawing/2014/main" id="{00000000-0008-0000-0F00-00003A000000}"/>
            </a:ext>
          </a:extLst>
        </xdr:cNvPr>
        <xdr:cNvGrpSpPr/>
      </xdr:nvGrpSpPr>
      <xdr:grpSpPr>
        <a:xfrm>
          <a:off x="123825" y="171450"/>
          <a:ext cx="8188694" cy="7439025"/>
          <a:chOff x="171450" y="400050"/>
          <a:chExt cx="8188694" cy="7439025"/>
        </a:xfrm>
      </xdr:grpSpPr>
      <xdr:pic>
        <xdr:nvPicPr>
          <xdr:cNvPr id="56" name="Picture 55">
            <a:extLst>
              <a:ext uri="{FF2B5EF4-FFF2-40B4-BE49-F238E27FC236}">
                <a16:creationId xmlns:a16="http://schemas.microsoft.com/office/drawing/2014/main" id="{00000000-0008-0000-0F00-00003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1450" y="400050"/>
            <a:ext cx="8188694" cy="7439025"/>
          </a:xfrm>
          <a:prstGeom prst="rect">
            <a:avLst/>
          </a:prstGeom>
          <a:solidFill>
            <a:schemeClr val="bg1"/>
          </a:solidFill>
          <a:ln>
            <a:solidFill>
              <a:sysClr val="windowText" lastClr="000000"/>
            </a:solidFill>
          </a:ln>
        </xdr:spPr>
      </xdr:pic>
      <xdr:sp macro="" textlink="">
        <xdr:nvSpPr>
          <xdr:cNvPr id="57" name="TextBox 56">
            <a:extLst>
              <a:ext uri="{FF2B5EF4-FFF2-40B4-BE49-F238E27FC236}">
                <a16:creationId xmlns:a16="http://schemas.microsoft.com/office/drawing/2014/main" id="{00000000-0008-0000-0F00-000039000000}"/>
              </a:ext>
            </a:extLst>
          </xdr:cNvPr>
          <xdr:cNvSpPr txBox="1"/>
        </xdr:nvSpPr>
        <xdr:spPr>
          <a:xfrm>
            <a:off x="6657975" y="7553325"/>
            <a:ext cx="160020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AU" sz="1100"/>
              <a:t>V.Singh,</a:t>
            </a:r>
            <a:r>
              <a:rPr lang="en-AU" sz="1100" baseline="0"/>
              <a:t> </a:t>
            </a:r>
            <a:r>
              <a:rPr lang="en-AU" sz="1100"/>
              <a:t>2018</a:t>
            </a:r>
          </a:p>
        </xdr:txBody>
      </xdr:sp>
    </xdr:grpSp>
    <xdr:clientData/>
  </xdr:twoCellAnchor>
  <xdr:twoCellAnchor>
    <xdr:from>
      <xdr:col>3</xdr:col>
      <xdr:colOff>142875</xdr:colOff>
      <xdr:row>21</xdr:row>
      <xdr:rowOff>95250</xdr:rowOff>
    </xdr:from>
    <xdr:to>
      <xdr:col>3</xdr:col>
      <xdr:colOff>152400</xdr:colOff>
      <xdr:row>38</xdr:row>
      <xdr:rowOff>47625</xdr:rowOff>
    </xdr:to>
    <xdr:cxnSp macro="">
      <xdr:nvCxnSpPr>
        <xdr:cNvPr id="60" name="Straight Connector 59">
          <a:extLst>
            <a:ext uri="{FF2B5EF4-FFF2-40B4-BE49-F238E27FC236}">
              <a16:creationId xmlns:a16="http://schemas.microsoft.com/office/drawing/2014/main" id="{00000000-0008-0000-0F00-00003C000000}"/>
            </a:ext>
          </a:extLst>
        </xdr:cNvPr>
        <xdr:cNvCxnSpPr/>
      </xdr:nvCxnSpPr>
      <xdr:spPr>
        <a:xfrm>
          <a:off x="1971675" y="4095750"/>
          <a:ext cx="9525" cy="3190875"/>
        </a:xfrm>
        <a:prstGeom prst="line">
          <a:avLst/>
        </a:prstGeom>
        <a:ln>
          <a:solidFill>
            <a:sysClr val="windowText" lastClr="00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238125</xdr:colOff>
      <xdr:row>21</xdr:row>
      <xdr:rowOff>95250</xdr:rowOff>
    </xdr:from>
    <xdr:to>
      <xdr:col>8</xdr:col>
      <xdr:colOff>247650</xdr:colOff>
      <xdr:row>38</xdr:row>
      <xdr:rowOff>47625</xdr:rowOff>
    </xdr:to>
    <xdr:cxnSp macro="">
      <xdr:nvCxnSpPr>
        <xdr:cNvPr id="62" name="Straight Connector 61">
          <a:extLst>
            <a:ext uri="{FF2B5EF4-FFF2-40B4-BE49-F238E27FC236}">
              <a16:creationId xmlns:a16="http://schemas.microsoft.com/office/drawing/2014/main" id="{00000000-0008-0000-0F00-00003E000000}"/>
            </a:ext>
          </a:extLst>
        </xdr:cNvPr>
        <xdr:cNvCxnSpPr/>
      </xdr:nvCxnSpPr>
      <xdr:spPr>
        <a:xfrm>
          <a:off x="5114925" y="4095750"/>
          <a:ext cx="9525" cy="3190875"/>
        </a:xfrm>
        <a:prstGeom prst="line">
          <a:avLst/>
        </a:prstGeom>
        <a:ln>
          <a:solidFill>
            <a:sysClr val="windowText" lastClr="00000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603249</xdr:colOff>
      <xdr:row>27</xdr:row>
      <xdr:rowOff>52918</xdr:rowOff>
    </xdr:from>
    <xdr:to>
      <xdr:col>5</xdr:col>
      <xdr:colOff>1778000</xdr:colOff>
      <xdr:row>63</xdr:row>
      <xdr:rowOff>137584</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onnect/Organisation/Exploration/CI/Pages/Global-Above-Ground-Risk.aspx"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L67"/>
  <sheetViews>
    <sheetView workbookViewId="0">
      <selection activeCell="F8" sqref="F8"/>
    </sheetView>
  </sheetViews>
  <sheetFormatPr defaultRowHeight="15" x14ac:dyDescent="0.25"/>
  <cols>
    <col min="2" max="2" width="17.85546875" customWidth="1"/>
    <col min="3" max="3" width="57.28515625" customWidth="1"/>
    <col min="4" max="4" width="78.42578125" style="26" customWidth="1"/>
    <col min="5" max="5" width="17.42578125" customWidth="1"/>
    <col min="6" max="6" width="13.140625" customWidth="1"/>
    <col min="7" max="7" width="9.140625" customWidth="1"/>
    <col min="11" max="11" width="64" customWidth="1"/>
    <col min="12" max="12" width="71.7109375" style="26" customWidth="1"/>
    <col min="13" max="13" width="15.42578125" customWidth="1"/>
  </cols>
  <sheetData>
    <row r="2" spans="3:8" ht="15.75" thickBot="1" x14ac:dyDescent="0.3"/>
    <row r="3" spans="3:8" ht="15.75" x14ac:dyDescent="0.25">
      <c r="C3" s="184" t="s">
        <v>31</v>
      </c>
      <c r="D3" s="191" t="s">
        <v>53</v>
      </c>
      <c r="E3" s="192"/>
    </row>
    <row r="4" spans="3:8" ht="15.75" x14ac:dyDescent="0.25">
      <c r="C4" s="185"/>
      <c r="D4" s="27" t="s">
        <v>2</v>
      </c>
      <c r="E4" s="187" t="s">
        <v>1</v>
      </c>
      <c r="F4" s="190">
        <f>IF(C4="N",0,10)</f>
        <v>10</v>
      </c>
      <c r="H4" s="190"/>
    </row>
    <row r="5" spans="3:8" ht="15.75" x14ac:dyDescent="0.25">
      <c r="C5" s="185"/>
      <c r="D5" s="28" t="s">
        <v>3</v>
      </c>
      <c r="E5" s="188"/>
      <c r="F5" s="190"/>
      <c r="G5" t="s">
        <v>0</v>
      </c>
      <c r="H5" s="190"/>
    </row>
    <row r="6" spans="3:8" ht="15.75" x14ac:dyDescent="0.25">
      <c r="C6" s="185"/>
      <c r="D6" s="28" t="s">
        <v>4</v>
      </c>
      <c r="E6" s="188"/>
      <c r="F6" s="190"/>
      <c r="G6" t="s">
        <v>1</v>
      </c>
      <c r="H6" s="190"/>
    </row>
    <row r="7" spans="3:8" ht="16.5" thickBot="1" x14ac:dyDescent="0.3">
      <c r="C7" s="186"/>
      <c r="D7" s="29" t="s">
        <v>5</v>
      </c>
      <c r="E7" s="189"/>
      <c r="F7" s="190"/>
      <c r="H7" s="190"/>
    </row>
    <row r="8" spans="3:8" ht="15.75" x14ac:dyDescent="0.25">
      <c r="C8" s="184" t="s">
        <v>44</v>
      </c>
      <c r="D8" s="14" t="s">
        <v>38</v>
      </c>
      <c r="E8" s="6" t="s">
        <v>1</v>
      </c>
      <c r="F8">
        <f>IF(E8="N",0,2.5)</f>
        <v>2.5</v>
      </c>
    </row>
    <row r="9" spans="3:8" ht="15.75" x14ac:dyDescent="0.25">
      <c r="C9" s="185"/>
      <c r="D9" s="15" t="s">
        <v>40</v>
      </c>
      <c r="E9" s="2" t="s">
        <v>1</v>
      </c>
      <c r="F9">
        <f>IF(E9="N",0,2.5)</f>
        <v>2.5</v>
      </c>
    </row>
    <row r="10" spans="3:8" ht="15.75" x14ac:dyDescent="0.25">
      <c r="C10" s="185"/>
      <c r="D10" s="15" t="s">
        <v>43</v>
      </c>
      <c r="E10" s="2"/>
      <c r="F10">
        <f>IF(E10="N",0,2.5)</f>
        <v>2.5</v>
      </c>
    </row>
    <row r="11" spans="3:8" ht="16.5" thickBot="1" x14ac:dyDescent="0.3">
      <c r="C11" s="186"/>
      <c r="D11" s="30" t="s">
        <v>13</v>
      </c>
      <c r="E11" s="5" t="s">
        <v>0</v>
      </c>
      <c r="F11">
        <f>IF(E11="N",0,2.5)</f>
        <v>0</v>
      </c>
    </row>
    <row r="12" spans="3:8" ht="15.75" x14ac:dyDescent="0.25">
      <c r="C12" s="193" t="s">
        <v>9</v>
      </c>
      <c r="D12" s="31" t="s">
        <v>33</v>
      </c>
      <c r="E12" s="6" t="s">
        <v>0</v>
      </c>
      <c r="F12">
        <f>IF(E12="N",2.5,0)</f>
        <v>2.5</v>
      </c>
    </row>
    <row r="13" spans="3:8" ht="15.75" x14ac:dyDescent="0.25">
      <c r="C13" s="194"/>
      <c r="D13" s="32" t="s">
        <v>52</v>
      </c>
      <c r="E13" s="2" t="s">
        <v>0</v>
      </c>
      <c r="F13">
        <f>IF(E13="Y",0,2.5)</f>
        <v>2.5</v>
      </c>
    </row>
    <row r="14" spans="3:8" ht="15.75" x14ac:dyDescent="0.25">
      <c r="C14" s="194"/>
      <c r="D14" s="32" t="s">
        <v>35</v>
      </c>
      <c r="E14" s="2" t="s">
        <v>1</v>
      </c>
      <c r="F14">
        <f>IF(E14="N",0,2.5)</f>
        <v>2.5</v>
      </c>
    </row>
    <row r="15" spans="3:8" ht="32.25" thickBot="1" x14ac:dyDescent="0.3">
      <c r="C15" s="195"/>
      <c r="D15" s="33" t="s">
        <v>39</v>
      </c>
      <c r="E15" s="2" t="s">
        <v>0</v>
      </c>
      <c r="F15">
        <f>IF(E15="N",2.5,0)</f>
        <v>2.5</v>
      </c>
    </row>
    <row r="16" spans="3:8" ht="15.75" x14ac:dyDescent="0.25">
      <c r="C16" s="196" t="s">
        <v>41</v>
      </c>
      <c r="D16" s="10" t="s">
        <v>45</v>
      </c>
      <c r="E16" s="6" t="s">
        <v>0</v>
      </c>
      <c r="F16">
        <f t="shared" ref="F16:F25" si="0">IF(E16="N",0,2.5)</f>
        <v>0</v>
      </c>
    </row>
    <row r="17" spans="3:6" ht="15.75" x14ac:dyDescent="0.25">
      <c r="C17" s="197"/>
      <c r="D17" s="34" t="s">
        <v>47</v>
      </c>
      <c r="E17" s="2" t="s">
        <v>0</v>
      </c>
      <c r="F17">
        <f t="shared" si="0"/>
        <v>0</v>
      </c>
    </row>
    <row r="18" spans="3:6" ht="16.5" thickBot="1" x14ac:dyDescent="0.3">
      <c r="C18" s="197"/>
      <c r="D18" s="15" t="s">
        <v>46</v>
      </c>
      <c r="E18" s="2" t="s">
        <v>1</v>
      </c>
      <c r="F18">
        <f t="shared" si="0"/>
        <v>2.5</v>
      </c>
    </row>
    <row r="19" spans="3:6" ht="15.75" x14ac:dyDescent="0.25">
      <c r="C19" s="184" t="s">
        <v>27</v>
      </c>
      <c r="D19" s="25"/>
      <c r="E19" s="6" t="s">
        <v>0</v>
      </c>
      <c r="F19">
        <f t="shared" si="0"/>
        <v>0</v>
      </c>
    </row>
    <row r="20" spans="3:6" ht="15.75" x14ac:dyDescent="0.25">
      <c r="C20" s="185"/>
      <c r="D20" s="21"/>
      <c r="E20" s="2" t="s">
        <v>0</v>
      </c>
      <c r="F20">
        <f t="shared" si="0"/>
        <v>0</v>
      </c>
    </row>
    <row r="21" spans="3:6" ht="15.75" x14ac:dyDescent="0.25">
      <c r="C21" s="185"/>
      <c r="D21" s="21"/>
      <c r="E21" s="2"/>
      <c r="F21">
        <f t="shared" si="0"/>
        <v>2.5</v>
      </c>
    </row>
    <row r="22" spans="3:6" ht="16.5" thickBot="1" x14ac:dyDescent="0.3">
      <c r="C22" s="186"/>
      <c r="D22" s="30"/>
      <c r="E22" s="5" t="s">
        <v>1</v>
      </c>
      <c r="F22">
        <f t="shared" si="0"/>
        <v>2.5</v>
      </c>
    </row>
    <row r="23" spans="3:6" ht="15.75" x14ac:dyDescent="0.25">
      <c r="C23" s="184" t="s">
        <v>29</v>
      </c>
      <c r="D23" s="10" t="s">
        <v>14</v>
      </c>
      <c r="E23" s="6" t="s">
        <v>1</v>
      </c>
      <c r="F23">
        <f t="shared" si="0"/>
        <v>2.5</v>
      </c>
    </row>
    <row r="24" spans="3:6" ht="15.75" x14ac:dyDescent="0.25">
      <c r="C24" s="185"/>
      <c r="D24" s="15" t="s">
        <v>15</v>
      </c>
      <c r="E24" s="2" t="s">
        <v>1</v>
      </c>
      <c r="F24">
        <f t="shared" si="0"/>
        <v>2.5</v>
      </c>
    </row>
    <row r="25" spans="3:6" ht="16.5" thickBot="1" x14ac:dyDescent="0.3">
      <c r="C25" s="186"/>
      <c r="D25" s="30" t="s">
        <v>16</v>
      </c>
      <c r="E25" s="5" t="s">
        <v>1</v>
      </c>
      <c r="F25">
        <f t="shared" si="0"/>
        <v>2.5</v>
      </c>
    </row>
    <row r="26" spans="3:6" x14ac:dyDescent="0.25">
      <c r="D26" s="35"/>
    </row>
    <row r="47" spans="3:4" ht="32.25" customHeight="1" thickBot="1" x14ac:dyDescent="0.3"/>
    <row r="48" spans="3:4" ht="19.5" thickBot="1" x14ac:dyDescent="0.35">
      <c r="C48" s="22" t="s">
        <v>30</v>
      </c>
      <c r="D48" s="36">
        <f>SUM(F4:F7)*10</f>
        <v>100</v>
      </c>
    </row>
    <row r="49" spans="3:12" ht="19.5" thickBot="1" x14ac:dyDescent="0.35">
      <c r="C49" s="22" t="s">
        <v>44</v>
      </c>
      <c r="D49" s="36">
        <f>SUM(F8:F11)*10</f>
        <v>75</v>
      </c>
    </row>
    <row r="50" spans="3:12" ht="19.5" thickBot="1" x14ac:dyDescent="0.35">
      <c r="C50" s="22" t="s">
        <v>9</v>
      </c>
      <c r="D50" s="36">
        <f>SUM(F12:F15)*10</f>
        <v>100</v>
      </c>
    </row>
    <row r="51" spans="3:12" ht="19.5" thickBot="1" x14ac:dyDescent="0.35">
      <c r="C51" s="23" t="s">
        <v>42</v>
      </c>
      <c r="D51" s="36">
        <f>SUM(F16:F18)*10</f>
        <v>25</v>
      </c>
    </row>
    <row r="52" spans="3:12" ht="19.5" thickBot="1" x14ac:dyDescent="0.35">
      <c r="C52" s="22" t="s">
        <v>25</v>
      </c>
      <c r="D52" s="36">
        <f>SUM(F19:F22)*10</f>
        <v>50</v>
      </c>
    </row>
    <row r="53" spans="3:12" ht="19.5" thickBot="1" x14ac:dyDescent="0.35">
      <c r="C53" s="24" t="s">
        <v>29</v>
      </c>
      <c r="D53" s="36">
        <f>SUM(F20:F23)*10</f>
        <v>75</v>
      </c>
    </row>
    <row r="54" spans="3:12" x14ac:dyDescent="0.25">
      <c r="L54" s="38" t="s">
        <v>48</v>
      </c>
    </row>
    <row r="55" spans="3:12" ht="30" x14ac:dyDescent="0.25">
      <c r="K55" s="37" t="s">
        <v>31</v>
      </c>
      <c r="L55" s="26" t="s">
        <v>49</v>
      </c>
    </row>
    <row r="56" spans="3:12" x14ac:dyDescent="0.25">
      <c r="K56" s="181" t="s">
        <v>50</v>
      </c>
    </row>
    <row r="57" spans="3:12" x14ac:dyDescent="0.25">
      <c r="K57" s="182"/>
    </row>
    <row r="58" spans="3:12" x14ac:dyDescent="0.25">
      <c r="K58" s="182"/>
    </row>
    <row r="59" spans="3:12" x14ac:dyDescent="0.25">
      <c r="K59" s="183"/>
    </row>
    <row r="60" spans="3:12" x14ac:dyDescent="0.25">
      <c r="K60" s="181" t="s">
        <v>51</v>
      </c>
    </row>
    <row r="61" spans="3:12" x14ac:dyDescent="0.25">
      <c r="K61" s="182"/>
    </row>
    <row r="62" spans="3:12" x14ac:dyDescent="0.25">
      <c r="K62" s="182"/>
    </row>
    <row r="63" spans="3:12" ht="30" x14ac:dyDescent="0.25">
      <c r="K63" s="183"/>
      <c r="L63" s="26" t="s">
        <v>54</v>
      </c>
    </row>
    <row r="64" spans="3:12" ht="30" x14ac:dyDescent="0.25">
      <c r="K64" s="181" t="s">
        <v>42</v>
      </c>
      <c r="L64" s="39" t="s">
        <v>55</v>
      </c>
    </row>
    <row r="65" spans="11:12" ht="45" x14ac:dyDescent="0.25">
      <c r="K65" s="182"/>
      <c r="L65" s="26" t="s">
        <v>56</v>
      </c>
    </row>
    <row r="66" spans="11:12" ht="30" x14ac:dyDescent="0.25">
      <c r="K66" s="182"/>
      <c r="L66" s="26" t="s">
        <v>57</v>
      </c>
    </row>
    <row r="67" spans="11:12" x14ac:dyDescent="0.25">
      <c r="K67" s="183"/>
    </row>
  </sheetData>
  <mergeCells count="13">
    <mergeCell ref="K60:K63"/>
    <mergeCell ref="K64:K67"/>
    <mergeCell ref="C19:C22"/>
    <mergeCell ref="C23:C25"/>
    <mergeCell ref="E4:E7"/>
    <mergeCell ref="F4:F7"/>
    <mergeCell ref="C3:C7"/>
    <mergeCell ref="D3:E3"/>
    <mergeCell ref="H4:H7"/>
    <mergeCell ref="C8:C11"/>
    <mergeCell ref="C12:C15"/>
    <mergeCell ref="C16:C18"/>
    <mergeCell ref="K56:K59"/>
  </mergeCells>
  <conditionalFormatting sqref="E4">
    <cfRule type="colorScale" priority="3">
      <colorScale>
        <cfvo type="min"/>
        <cfvo type="percentile" val="50"/>
        <cfvo type="max"/>
        <color rgb="FF63BE7B"/>
        <color rgb="FFFFEB84"/>
        <color rgb="FFF8696B"/>
      </colorScale>
    </cfRule>
  </conditionalFormatting>
  <conditionalFormatting sqref="D48:D53">
    <cfRule type="colorScale" priority="2">
      <colorScale>
        <cfvo type="num" val="0"/>
        <cfvo type="num" val="50"/>
        <cfvo type="num" val="75"/>
        <color rgb="FFF8696B"/>
        <color rgb="FFFFEB84"/>
        <color rgb="FF63BE7B"/>
      </colorScale>
    </cfRule>
  </conditionalFormatting>
  <conditionalFormatting sqref="D48:D53 D33">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E4 E8:E25" xr:uid="{00000000-0002-0000-0000-000000000000}">
      <formula1>$G$5:$G$6</formula1>
    </dataValidation>
  </dataValidations>
  <hyperlinks>
    <hyperlink ref="L64" r:id="rId1"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activeCell="G64" sqref="G64"/>
    </sheetView>
  </sheetViews>
  <sheetFormatPr defaultRowHeight="15" x14ac:dyDescent="0.25"/>
  <cols>
    <col min="8" max="8" width="9.140625" customWidth="1"/>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C26"/>
  <sheetViews>
    <sheetView workbookViewId="0">
      <selection activeCell="F11" sqref="F11"/>
    </sheetView>
  </sheetViews>
  <sheetFormatPr defaultColWidth="9.140625" defaultRowHeight="15" x14ac:dyDescent="0.25"/>
  <cols>
    <col min="1" max="2" width="9.140625" style="47"/>
    <col min="3" max="3" width="9.140625" style="47" customWidth="1"/>
    <col min="4" max="16384" width="9.140625" style="47"/>
  </cols>
  <sheetData>
    <row r="2" spans="1:3" x14ac:dyDescent="0.25">
      <c r="A2" s="48"/>
      <c r="B2" s="48"/>
    </row>
    <row r="5" spans="1:3" ht="15.75" x14ac:dyDescent="0.25">
      <c r="A5" s="50"/>
      <c r="B5" s="51"/>
      <c r="C5" s="51"/>
    </row>
    <row r="6" spans="1:3" ht="15.75" x14ac:dyDescent="0.25">
      <c r="A6" s="50"/>
      <c r="B6" s="44"/>
      <c r="C6" s="52"/>
    </row>
    <row r="7" spans="1:3" ht="15.75" x14ac:dyDescent="0.25">
      <c r="A7" s="50"/>
      <c r="B7" s="44"/>
      <c r="C7" s="52"/>
    </row>
    <row r="8" spans="1:3" ht="15.75" x14ac:dyDescent="0.25">
      <c r="A8" s="50"/>
      <c r="B8" s="45"/>
      <c r="C8" s="52"/>
    </row>
    <row r="9" spans="1:3" ht="15.75" x14ac:dyDescent="0.25">
      <c r="A9" s="50"/>
      <c r="B9" s="44"/>
      <c r="C9" s="52"/>
    </row>
    <row r="10" spans="1:3" ht="15.75" x14ac:dyDescent="0.25">
      <c r="A10" s="50"/>
      <c r="B10" s="41"/>
      <c r="C10" s="49"/>
    </row>
    <row r="11" spans="1:3" ht="15.75" x14ac:dyDescent="0.25">
      <c r="A11" s="50"/>
      <c r="B11" s="41"/>
      <c r="C11" s="49"/>
    </row>
    <row r="12" spans="1:3" ht="15.75" x14ac:dyDescent="0.25">
      <c r="A12" s="50"/>
      <c r="B12" s="41"/>
      <c r="C12" s="49"/>
    </row>
    <row r="13" spans="1:3" ht="15.75" x14ac:dyDescent="0.25">
      <c r="A13" s="50"/>
      <c r="B13" s="41"/>
      <c r="C13" s="49"/>
    </row>
    <row r="14" spans="1:3" ht="15.75" x14ac:dyDescent="0.25">
      <c r="A14" s="50"/>
      <c r="B14" s="41"/>
      <c r="C14" s="49"/>
    </row>
    <row r="15" spans="1:3" ht="15.75" x14ac:dyDescent="0.25">
      <c r="A15" s="50"/>
      <c r="B15" s="41"/>
      <c r="C15" s="49"/>
    </row>
    <row r="16" spans="1:3" ht="15.75" x14ac:dyDescent="0.25">
      <c r="A16" s="53"/>
      <c r="B16" s="41"/>
      <c r="C16" s="49"/>
    </row>
    <row r="17" spans="1:3" ht="15.75" x14ac:dyDescent="0.25">
      <c r="A17" s="53"/>
      <c r="B17" s="41"/>
      <c r="C17" s="49"/>
    </row>
    <row r="18" spans="1:3" ht="15.75" x14ac:dyDescent="0.25">
      <c r="A18" s="53"/>
      <c r="B18" s="41"/>
      <c r="C18" s="49"/>
    </row>
    <row r="19" spans="1:3" ht="15.75" x14ac:dyDescent="0.25">
      <c r="A19" s="53"/>
      <c r="B19" s="41"/>
      <c r="C19" s="49"/>
    </row>
    <row r="20" spans="1:3" ht="15.75" x14ac:dyDescent="0.25">
      <c r="A20" s="50"/>
      <c r="B20" s="46"/>
      <c r="C20" s="49"/>
    </row>
    <row r="21" spans="1:3" ht="15.75" x14ac:dyDescent="0.25">
      <c r="A21" s="50"/>
      <c r="B21" s="46"/>
      <c r="C21" s="49"/>
    </row>
    <row r="22" spans="1:3" ht="15.75" x14ac:dyDescent="0.25">
      <c r="A22" s="50"/>
      <c r="B22" s="46"/>
      <c r="C22" s="49"/>
    </row>
    <row r="23" spans="1:3" ht="15.75" x14ac:dyDescent="0.25">
      <c r="A23" s="50"/>
      <c r="B23" s="41"/>
      <c r="C23" s="49"/>
    </row>
    <row r="24" spans="1:3" ht="15.75" x14ac:dyDescent="0.25">
      <c r="A24" s="50"/>
      <c r="B24" s="41"/>
      <c r="C24" s="49"/>
    </row>
    <row r="25" spans="1:3" ht="15.75" x14ac:dyDescent="0.25">
      <c r="A25" s="50"/>
      <c r="B25" s="41"/>
      <c r="C25" s="49"/>
    </row>
    <row r="26" spans="1:3" ht="15.75" x14ac:dyDescent="0.25">
      <c r="A26" s="50"/>
      <c r="B26" s="41"/>
      <c r="C26" s="49"/>
    </row>
  </sheetData>
  <conditionalFormatting sqref="C6:C7">
    <cfRule type="colorScale" priority="1">
      <colorScale>
        <cfvo type="min"/>
        <cfvo type="percentile" val="50"/>
        <cfvo type="max"/>
        <color rgb="FF63BE7B"/>
        <color rgb="FFFFEB84"/>
        <color rgb="FFF8696B"/>
      </colorScale>
    </cfRule>
  </conditionalFormatting>
  <dataValidations count="1">
    <dataValidation type="list" allowBlank="1" showInputMessage="1" showErrorMessage="1" sqref="C6:C7 C10:C26" xr:uid="{00000000-0002-0000-0A00-000000000000}">
      <formula1>$H$9:$H$10</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119"/>
  <sheetViews>
    <sheetView topLeftCell="B3" zoomScale="70" zoomScaleNormal="70" workbookViewId="0">
      <selection activeCell="G11" sqref="G11:G14"/>
    </sheetView>
  </sheetViews>
  <sheetFormatPr defaultColWidth="9.140625" defaultRowHeight="15" x14ac:dyDescent="0.25"/>
  <cols>
    <col min="1" max="1" width="9.140625" style="122"/>
    <col min="2" max="2" width="31" style="122" customWidth="1"/>
    <col min="3" max="3" width="27" style="122" customWidth="1"/>
    <col min="4" max="4" width="68.42578125" style="122" customWidth="1"/>
    <col min="5" max="5" width="96.5703125" style="122" customWidth="1"/>
    <col min="6" max="6" width="21.7109375" style="122" bestFit="1" customWidth="1"/>
    <col min="7" max="7" width="65.85546875" style="122" customWidth="1"/>
    <col min="8" max="8" width="25.7109375" style="122" customWidth="1"/>
    <col min="9" max="9" width="15.28515625" style="122" customWidth="1"/>
    <col min="10" max="10" width="9.140625" style="122" customWidth="1"/>
    <col min="11" max="11" width="18.85546875" style="122" customWidth="1"/>
    <col min="12" max="12" width="9.140625" style="122" customWidth="1"/>
    <col min="13" max="13" width="13.140625" style="122" customWidth="1"/>
    <col min="14" max="14" width="12.140625" style="122" customWidth="1"/>
    <col min="15" max="15" width="11" style="122" customWidth="1"/>
    <col min="16" max="16" width="19.85546875" style="122" customWidth="1"/>
    <col min="17" max="17" width="22" style="122" customWidth="1"/>
    <col min="18" max="18" width="16.5703125" style="122" customWidth="1"/>
    <col min="19" max="19" width="25.140625" style="122" customWidth="1"/>
    <col min="20" max="20" width="14.42578125" style="122" customWidth="1"/>
    <col min="21" max="23" width="9.140625" style="122" customWidth="1"/>
    <col min="24" max="16384" width="9.140625" style="122"/>
  </cols>
  <sheetData>
    <row r="1" spans="1:25" ht="28.5" x14ac:dyDescent="0.45">
      <c r="A1" s="171" t="s">
        <v>358</v>
      </c>
      <c r="B1" s="171" t="s">
        <v>389</v>
      </c>
      <c r="C1" s="171"/>
      <c r="D1" s="171"/>
      <c r="E1" s="171"/>
      <c r="F1" s="171"/>
      <c r="G1" s="171"/>
      <c r="H1" s="171"/>
    </row>
    <row r="2" spans="1:25" ht="28.5" x14ac:dyDescent="0.45">
      <c r="A2" s="171" t="s">
        <v>359</v>
      </c>
      <c r="B2" s="171" t="s">
        <v>367</v>
      </c>
      <c r="C2" s="171"/>
      <c r="D2" s="171"/>
      <c r="E2" s="171"/>
      <c r="F2" s="171"/>
      <c r="G2" s="171"/>
      <c r="H2" s="171"/>
    </row>
    <row r="3" spans="1:25" s="79" customFormat="1" ht="28.5" x14ac:dyDescent="0.45">
      <c r="A3" s="171" t="s">
        <v>363</v>
      </c>
      <c r="B3" s="171" t="s">
        <v>368</v>
      </c>
      <c r="C3" s="171"/>
      <c r="D3" s="171"/>
      <c r="E3" s="171"/>
      <c r="F3" s="171"/>
      <c r="G3" s="171"/>
      <c r="H3" s="171"/>
    </row>
    <row r="4" spans="1:25" s="79" customFormat="1" ht="28.5" x14ac:dyDescent="0.45">
      <c r="A4" s="171" t="s">
        <v>366</v>
      </c>
      <c r="B4" s="171" t="s">
        <v>364</v>
      </c>
      <c r="C4" s="171"/>
      <c r="D4" s="171"/>
      <c r="E4" s="171"/>
      <c r="F4" s="171"/>
      <c r="G4" s="171"/>
      <c r="H4" s="171"/>
    </row>
    <row r="5" spans="1:25" s="79" customFormat="1" ht="18.75" x14ac:dyDescent="0.3"/>
    <row r="6" spans="1:25" ht="19.5" thickBot="1" x14ac:dyDescent="0.35">
      <c r="B6" s="142" t="s">
        <v>203</v>
      </c>
      <c r="C6" s="43"/>
      <c r="D6" s="142" t="s">
        <v>365</v>
      </c>
      <c r="E6" s="80"/>
      <c r="G6" s="142" t="s">
        <v>380</v>
      </c>
      <c r="I6" s="98"/>
      <c r="K6" s="82"/>
      <c r="M6" s="98"/>
      <c r="N6" s="83"/>
      <c r="O6" s="98"/>
      <c r="P6" s="83"/>
      <c r="Q6" s="98"/>
      <c r="R6" s="83"/>
      <c r="S6" s="98"/>
      <c r="T6" s="83"/>
      <c r="U6" s="98"/>
      <c r="V6" s="83"/>
      <c r="W6" s="98"/>
      <c r="X6" s="83"/>
      <c r="Y6" s="98"/>
    </row>
    <row r="7" spans="1:25" ht="15.75" thickBot="1" x14ac:dyDescent="0.3">
      <c r="B7" s="158" t="s">
        <v>297</v>
      </c>
      <c r="D7" s="159" t="s">
        <v>300</v>
      </c>
      <c r="E7" s="83"/>
      <c r="G7" s="179" t="s">
        <v>381</v>
      </c>
      <c r="I7" s="82"/>
      <c r="K7" s="82"/>
      <c r="M7" s="98"/>
      <c r="N7" s="83"/>
      <c r="O7" s="98"/>
      <c r="P7" s="83"/>
      <c r="Q7" s="98"/>
      <c r="R7" s="83"/>
      <c r="S7" s="98"/>
      <c r="T7" s="83"/>
      <c r="U7" s="98"/>
      <c r="V7" s="83"/>
      <c r="W7" s="98"/>
      <c r="X7" s="83"/>
      <c r="Y7" s="98"/>
    </row>
    <row r="8" spans="1:25" x14ac:dyDescent="0.25">
      <c r="I8" s="98"/>
      <c r="K8" s="82"/>
      <c r="M8" s="98"/>
      <c r="N8" s="83"/>
      <c r="O8" s="83"/>
      <c r="P8" s="83"/>
      <c r="Q8" s="83"/>
      <c r="R8" s="83"/>
      <c r="S8" s="83"/>
      <c r="T8" s="83"/>
      <c r="U8" s="83"/>
      <c r="V8" s="83"/>
      <c r="W8" s="83"/>
      <c r="X8" s="83"/>
      <c r="Y8" s="83"/>
    </row>
    <row r="9" spans="1:25" ht="15.75" thickBot="1" x14ac:dyDescent="0.3">
      <c r="K9" s="82"/>
      <c r="M9" s="83"/>
      <c r="N9" s="83"/>
      <c r="O9" s="83"/>
      <c r="P9" s="83"/>
      <c r="Q9" s="83"/>
      <c r="R9" s="83"/>
      <c r="S9" s="83"/>
      <c r="T9" s="83"/>
      <c r="U9" s="83"/>
      <c r="V9" s="83"/>
      <c r="W9" s="83"/>
      <c r="X9" s="83"/>
      <c r="Y9" s="83"/>
    </row>
    <row r="10" spans="1:25" ht="19.5" thickBot="1" x14ac:dyDescent="0.3">
      <c r="B10" s="139" t="s">
        <v>294</v>
      </c>
      <c r="C10" s="137" t="s">
        <v>306</v>
      </c>
      <c r="D10" s="139" t="s">
        <v>303</v>
      </c>
      <c r="E10" s="137" t="s">
        <v>304</v>
      </c>
      <c r="F10" s="139" t="s">
        <v>208</v>
      </c>
      <c r="G10" s="138" t="s">
        <v>138</v>
      </c>
      <c r="H10" s="129"/>
      <c r="I10" s="129"/>
      <c r="K10" s="82"/>
      <c r="M10" s="82"/>
      <c r="N10" s="82"/>
      <c r="O10" s="82"/>
      <c r="P10" s="83"/>
      <c r="Q10" s="83"/>
      <c r="R10" s="83"/>
      <c r="S10" s="83"/>
      <c r="T10" s="83"/>
      <c r="U10" s="83"/>
      <c r="V10" s="83"/>
      <c r="W10" s="83"/>
      <c r="X10" s="83"/>
      <c r="Y10" s="83"/>
    </row>
    <row r="11" spans="1:25" ht="47.25" x14ac:dyDescent="0.25">
      <c r="B11" s="219" t="s">
        <v>321</v>
      </c>
      <c r="C11" s="168" t="s">
        <v>324</v>
      </c>
      <c r="D11" s="134" t="s">
        <v>371</v>
      </c>
      <c r="E11" s="136" t="s">
        <v>370</v>
      </c>
      <c r="F11" s="160" t="s">
        <v>212</v>
      </c>
      <c r="G11" s="213" t="s">
        <v>398</v>
      </c>
      <c r="H11" s="107"/>
      <c r="I11" s="108"/>
      <c r="M11" s="84"/>
      <c r="N11" s="130"/>
      <c r="O11" s="82"/>
      <c r="P11" s="83"/>
    </row>
    <row r="12" spans="1:25" ht="94.5" x14ac:dyDescent="0.25">
      <c r="B12" s="219"/>
      <c r="C12" s="169" t="str">
        <f>B7</f>
        <v>PROSPECT</v>
      </c>
      <c r="D12" s="141" t="s">
        <v>390</v>
      </c>
      <c r="E12" s="141" t="s">
        <v>399</v>
      </c>
      <c r="F12" s="161" t="s">
        <v>317</v>
      </c>
      <c r="G12" s="214"/>
      <c r="H12" s="107"/>
      <c r="I12" s="108"/>
      <c r="M12" s="84"/>
      <c r="N12" s="130"/>
      <c r="O12" s="82"/>
      <c r="P12" s="83"/>
    </row>
    <row r="13" spans="1:25" ht="47.25" x14ac:dyDescent="0.25">
      <c r="B13" s="219"/>
      <c r="C13" s="169" t="s">
        <v>323</v>
      </c>
      <c r="D13" s="135" t="s">
        <v>351</v>
      </c>
      <c r="E13" s="141" t="s">
        <v>386</v>
      </c>
      <c r="F13" s="161" t="s">
        <v>338</v>
      </c>
      <c r="G13" s="214"/>
      <c r="H13" s="107"/>
      <c r="I13" s="108"/>
      <c r="M13" s="84"/>
      <c r="N13" s="130"/>
      <c r="O13" s="82"/>
      <c r="P13" s="83"/>
    </row>
    <row r="14" spans="1:25" ht="63.75" thickBot="1" x14ac:dyDescent="0.3">
      <c r="B14" s="220"/>
      <c r="C14" s="170" t="str">
        <f>D7</f>
        <v>FARM-IN (drilling)</v>
      </c>
      <c r="D14" s="140" t="s">
        <v>392</v>
      </c>
      <c r="E14" s="140" t="s">
        <v>391</v>
      </c>
      <c r="F14" s="161" t="s">
        <v>211</v>
      </c>
      <c r="G14" s="215"/>
      <c r="H14" s="107"/>
      <c r="I14" s="108"/>
      <c r="M14" s="84"/>
      <c r="N14" s="130"/>
      <c r="O14" s="82"/>
      <c r="P14" s="83"/>
    </row>
    <row r="15" spans="1:25" ht="47.25" x14ac:dyDescent="0.25">
      <c r="B15" s="218" t="s">
        <v>362</v>
      </c>
      <c r="C15" s="168" t="s">
        <v>324</v>
      </c>
      <c r="D15" s="93" t="s">
        <v>372</v>
      </c>
      <c r="E15" s="93" t="s">
        <v>373</v>
      </c>
      <c r="F15" s="162" t="s">
        <v>212</v>
      </c>
      <c r="G15" s="221" t="s">
        <v>397</v>
      </c>
      <c r="H15" s="107"/>
      <c r="I15" s="108"/>
      <c r="M15" s="84"/>
      <c r="N15" s="130"/>
      <c r="O15" s="82"/>
      <c r="P15" s="82"/>
    </row>
    <row r="16" spans="1:25" ht="94.5" x14ac:dyDescent="0.25">
      <c r="B16" s="219"/>
      <c r="C16" s="169" t="str">
        <f>B7</f>
        <v>PROSPECT</v>
      </c>
      <c r="D16" s="95" t="s">
        <v>369</v>
      </c>
      <c r="E16" s="93" t="s">
        <v>388</v>
      </c>
      <c r="F16" s="163" t="s">
        <v>212</v>
      </c>
      <c r="G16" s="222"/>
      <c r="H16" s="107"/>
      <c r="I16" s="108"/>
      <c r="M16" s="84"/>
      <c r="N16" s="130"/>
      <c r="O16" s="82"/>
      <c r="P16" s="82"/>
    </row>
    <row r="17" spans="2:16" ht="31.5" x14ac:dyDescent="0.25">
      <c r="B17" s="219"/>
      <c r="C17" s="169" t="s">
        <v>323</v>
      </c>
      <c r="D17" s="93" t="s">
        <v>342</v>
      </c>
      <c r="E17" s="93" t="s">
        <v>343</v>
      </c>
      <c r="F17" s="163" t="s">
        <v>211</v>
      </c>
      <c r="G17" s="222"/>
      <c r="H17" s="107"/>
      <c r="I17" s="108"/>
      <c r="M17" s="84"/>
      <c r="N17" s="130"/>
      <c r="O17" s="82"/>
      <c r="P17" s="82"/>
    </row>
    <row r="18" spans="2:16" ht="48" thickBot="1" x14ac:dyDescent="0.3">
      <c r="B18" s="220"/>
      <c r="C18" s="169" t="str">
        <f>D7</f>
        <v>FARM-IN (drilling)</v>
      </c>
      <c r="D18" s="93" t="s">
        <v>355</v>
      </c>
      <c r="E18" s="93" t="s">
        <v>377</v>
      </c>
      <c r="F18" s="164" t="s">
        <v>211</v>
      </c>
      <c r="G18" s="223"/>
      <c r="H18" s="107"/>
      <c r="I18" s="108"/>
      <c r="M18" s="84"/>
      <c r="N18" s="130"/>
    </row>
    <row r="19" spans="2:16" ht="63" x14ac:dyDescent="0.25">
      <c r="B19" s="210" t="s">
        <v>44</v>
      </c>
      <c r="C19" s="168" t="s">
        <v>324</v>
      </c>
      <c r="D19" s="150" t="s">
        <v>315</v>
      </c>
      <c r="E19" s="150" t="s">
        <v>350</v>
      </c>
      <c r="F19" s="162" t="s">
        <v>215</v>
      </c>
      <c r="G19" s="213" t="s">
        <v>396</v>
      </c>
      <c r="H19" s="107"/>
      <c r="I19" s="108"/>
      <c r="M19" s="84"/>
      <c r="N19" s="130"/>
    </row>
    <row r="20" spans="2:16" ht="63" x14ac:dyDescent="0.25">
      <c r="B20" s="211"/>
      <c r="C20" s="169" t="str">
        <f>B7</f>
        <v>PROSPECT</v>
      </c>
      <c r="D20" s="151" t="s">
        <v>356</v>
      </c>
      <c r="E20" s="151" t="s">
        <v>349</v>
      </c>
      <c r="F20" s="163" t="s">
        <v>216</v>
      </c>
      <c r="G20" s="214"/>
      <c r="H20" s="107"/>
      <c r="I20" s="108"/>
      <c r="M20" s="84"/>
      <c r="N20" s="130"/>
    </row>
    <row r="21" spans="2:16" ht="78.75" x14ac:dyDescent="0.25">
      <c r="B21" s="211"/>
      <c r="C21" s="169" t="s">
        <v>325</v>
      </c>
      <c r="D21" s="152" t="s">
        <v>326</v>
      </c>
      <c r="E21" s="151" t="s">
        <v>348</v>
      </c>
      <c r="F21" s="163" t="s">
        <v>211</v>
      </c>
      <c r="G21" s="214"/>
      <c r="H21" s="107"/>
      <c r="I21" s="108"/>
      <c r="M21" s="84"/>
      <c r="N21" s="130"/>
    </row>
    <row r="22" spans="2:16" ht="79.5" thickBot="1" x14ac:dyDescent="0.3">
      <c r="B22" s="212"/>
      <c r="C22" s="170" t="str">
        <f>D7</f>
        <v>FARM-IN (drilling)</v>
      </c>
      <c r="D22" s="153" t="s">
        <v>361</v>
      </c>
      <c r="E22" s="94" t="s">
        <v>400</v>
      </c>
      <c r="F22" s="164" t="s">
        <v>211</v>
      </c>
      <c r="G22" s="215"/>
      <c r="H22" s="107"/>
      <c r="I22" s="108"/>
      <c r="M22" s="84"/>
      <c r="N22" s="130"/>
    </row>
    <row r="23" spans="2:16" ht="31.5" x14ac:dyDescent="0.25">
      <c r="B23" s="210" t="s">
        <v>9</v>
      </c>
      <c r="C23" s="165" t="s">
        <v>324</v>
      </c>
      <c r="D23" s="92" t="s">
        <v>378</v>
      </c>
      <c r="E23" s="92" t="s">
        <v>379</v>
      </c>
      <c r="F23" s="162" t="s">
        <v>216</v>
      </c>
      <c r="G23" s="213" t="s">
        <v>395</v>
      </c>
      <c r="H23" s="107"/>
      <c r="I23" s="108"/>
      <c r="M23" s="84"/>
      <c r="N23" s="130"/>
    </row>
    <row r="24" spans="2:16" ht="47.25" x14ac:dyDescent="0.25">
      <c r="B24" s="211"/>
      <c r="C24" s="166" t="str">
        <f>B7</f>
        <v>PROSPECT</v>
      </c>
      <c r="D24" s="93" t="s">
        <v>314</v>
      </c>
      <c r="E24" s="93" t="s">
        <v>352</v>
      </c>
      <c r="F24" s="163" t="s">
        <v>211</v>
      </c>
      <c r="G24" s="214"/>
      <c r="H24" s="107"/>
      <c r="I24" s="108"/>
      <c r="M24" s="84"/>
      <c r="N24" s="130"/>
    </row>
    <row r="25" spans="2:16" ht="31.5" x14ac:dyDescent="0.25">
      <c r="B25" s="211"/>
      <c r="C25" s="166" t="s">
        <v>325</v>
      </c>
      <c r="D25" s="93" t="s">
        <v>305</v>
      </c>
      <c r="E25" s="132" t="s">
        <v>344</v>
      </c>
      <c r="F25" s="163" t="s">
        <v>211</v>
      </c>
      <c r="G25" s="214"/>
      <c r="H25" s="107"/>
      <c r="I25" s="108"/>
      <c r="M25" s="84"/>
      <c r="N25" s="130"/>
    </row>
    <row r="26" spans="2:16" ht="32.25" thickBot="1" x14ac:dyDescent="0.3">
      <c r="B26" s="212"/>
      <c r="C26" s="167" t="str">
        <f>D7</f>
        <v>FARM-IN (drilling)</v>
      </c>
      <c r="D26" s="94" t="s">
        <v>316</v>
      </c>
      <c r="E26" s="94" t="s">
        <v>345</v>
      </c>
      <c r="F26" s="164" t="s">
        <v>212</v>
      </c>
      <c r="G26" s="215"/>
      <c r="H26" s="107"/>
      <c r="I26" s="108"/>
      <c r="M26" s="84"/>
      <c r="N26" s="130"/>
    </row>
    <row r="27" spans="2:16" ht="18.75" x14ac:dyDescent="0.25">
      <c r="B27" s="216" t="s">
        <v>32</v>
      </c>
      <c r="C27" s="165" t="s">
        <v>324</v>
      </c>
      <c r="D27" s="92" t="s">
        <v>318</v>
      </c>
      <c r="E27" s="92" t="s">
        <v>346</v>
      </c>
      <c r="F27" s="162" t="s">
        <v>211</v>
      </c>
      <c r="G27" s="213" t="s">
        <v>393</v>
      </c>
      <c r="H27" s="107"/>
      <c r="I27" s="108"/>
      <c r="M27" s="84"/>
      <c r="N27" s="130"/>
    </row>
    <row r="28" spans="2:16" ht="31.5" x14ac:dyDescent="0.25">
      <c r="B28" s="217"/>
      <c r="C28" s="166" t="str">
        <f>B7</f>
        <v>PROSPECT</v>
      </c>
      <c r="D28" s="95" t="s">
        <v>374</v>
      </c>
      <c r="E28" s="95" t="s">
        <v>375</v>
      </c>
      <c r="F28" s="163" t="s">
        <v>211</v>
      </c>
      <c r="G28" s="214"/>
      <c r="H28" s="107"/>
      <c r="I28" s="108"/>
      <c r="M28" s="84"/>
      <c r="N28" s="130"/>
    </row>
    <row r="29" spans="2:16" ht="47.25" x14ac:dyDescent="0.25">
      <c r="B29" s="217"/>
      <c r="C29" s="166" t="s">
        <v>325</v>
      </c>
      <c r="D29" s="95" t="s">
        <v>319</v>
      </c>
      <c r="E29" s="95" t="s">
        <v>347</v>
      </c>
      <c r="F29" s="163" t="s">
        <v>211</v>
      </c>
      <c r="G29" s="214"/>
      <c r="H29" s="107"/>
      <c r="I29" s="108"/>
      <c r="M29" s="84"/>
      <c r="N29" s="130"/>
    </row>
    <row r="30" spans="2:16" ht="111" thickBot="1" x14ac:dyDescent="0.3">
      <c r="B30" s="217"/>
      <c r="C30" s="167" t="str">
        <f>D7</f>
        <v>FARM-IN (drilling)</v>
      </c>
      <c r="D30" s="94" t="s">
        <v>384</v>
      </c>
      <c r="E30" s="94" t="s">
        <v>387</v>
      </c>
      <c r="F30" s="164" t="s">
        <v>211</v>
      </c>
      <c r="G30" s="215"/>
      <c r="H30" s="107"/>
      <c r="I30" s="108"/>
      <c r="M30" s="84"/>
      <c r="N30" s="130"/>
    </row>
    <row r="31" spans="2:16" ht="47.25" x14ac:dyDescent="0.25">
      <c r="B31" s="218" t="s">
        <v>248</v>
      </c>
      <c r="C31" s="165" t="s">
        <v>324</v>
      </c>
      <c r="D31" s="93" t="s">
        <v>382</v>
      </c>
      <c r="E31" s="134" t="s">
        <v>385</v>
      </c>
      <c r="F31" s="162" t="s">
        <v>211</v>
      </c>
      <c r="G31" s="213" t="s">
        <v>394</v>
      </c>
      <c r="H31" s="107"/>
      <c r="I31" s="108"/>
      <c r="M31" s="84"/>
      <c r="N31" s="130"/>
    </row>
    <row r="32" spans="2:16" ht="47.25" x14ac:dyDescent="0.25">
      <c r="B32" s="219"/>
      <c r="C32" s="166" t="str">
        <f>B7</f>
        <v>PROSPECT</v>
      </c>
      <c r="D32" s="93" t="s">
        <v>360</v>
      </c>
      <c r="E32" s="141" t="s">
        <v>383</v>
      </c>
      <c r="F32" s="163" t="s">
        <v>211</v>
      </c>
      <c r="G32" s="214"/>
      <c r="H32" s="107"/>
      <c r="I32" s="108"/>
      <c r="M32" s="84"/>
      <c r="N32" s="130"/>
    </row>
    <row r="33" spans="2:19" ht="31.5" x14ac:dyDescent="0.25">
      <c r="B33" s="219"/>
      <c r="C33" s="166" t="s">
        <v>325</v>
      </c>
      <c r="D33" s="93" t="s">
        <v>354</v>
      </c>
      <c r="E33" s="141" t="s">
        <v>333</v>
      </c>
      <c r="F33" s="163" t="s">
        <v>211</v>
      </c>
      <c r="G33" s="214"/>
      <c r="M33" s="84"/>
      <c r="N33" s="130"/>
    </row>
    <row r="34" spans="2:19" ht="32.25" thickBot="1" x14ac:dyDescent="0.3">
      <c r="B34" s="220"/>
      <c r="C34" s="167" t="str">
        <f>D7</f>
        <v>FARM-IN (drilling)</v>
      </c>
      <c r="D34" s="94" t="s">
        <v>337</v>
      </c>
      <c r="E34" s="140" t="s">
        <v>320</v>
      </c>
      <c r="F34" s="164" t="s">
        <v>211</v>
      </c>
      <c r="G34" s="215"/>
      <c r="I34" s="109"/>
      <c r="M34" s="84"/>
      <c r="N34" s="130"/>
    </row>
    <row r="35" spans="2:19" x14ac:dyDescent="0.25">
      <c r="I35" s="109"/>
      <c r="M35" s="84"/>
      <c r="N35" s="130"/>
    </row>
    <row r="36" spans="2:19" x14ac:dyDescent="0.25">
      <c r="I36" s="109"/>
      <c r="M36" s="84"/>
      <c r="N36" s="130"/>
    </row>
    <row r="37" spans="2:19" x14ac:dyDescent="0.25">
      <c r="I37" s="109"/>
      <c r="M37" s="84"/>
      <c r="N37" s="130"/>
    </row>
    <row r="38" spans="2:19" x14ac:dyDescent="0.25">
      <c r="I38" s="109"/>
      <c r="M38" s="84"/>
      <c r="N38" s="130"/>
    </row>
    <row r="39" spans="2:19" x14ac:dyDescent="0.25">
      <c r="I39" s="109"/>
      <c r="M39" s="84"/>
      <c r="N39" s="130"/>
      <c r="S39" s="43"/>
    </row>
    <row r="40" spans="2:19" x14ac:dyDescent="0.25">
      <c r="M40" s="84"/>
      <c r="N40" s="130"/>
    </row>
    <row r="41" spans="2:19" x14ac:dyDescent="0.25">
      <c r="M41" s="84"/>
      <c r="N41" s="130"/>
    </row>
    <row r="42" spans="2:19" x14ac:dyDescent="0.25">
      <c r="M42" s="84"/>
      <c r="N42" s="130"/>
    </row>
    <row r="43" spans="2:19" x14ac:dyDescent="0.25">
      <c r="M43" s="84"/>
      <c r="N43" s="130"/>
    </row>
    <row r="44" spans="2:19" x14ac:dyDescent="0.25">
      <c r="M44" s="84"/>
      <c r="N44" s="130"/>
    </row>
    <row r="45" spans="2:19" x14ac:dyDescent="0.25">
      <c r="M45" s="84"/>
      <c r="N45" s="130"/>
    </row>
    <row r="46" spans="2:19" x14ac:dyDescent="0.25">
      <c r="M46" s="84"/>
      <c r="N46" s="130"/>
    </row>
    <row r="47" spans="2:19" x14ac:dyDescent="0.25">
      <c r="M47" s="84"/>
      <c r="N47" s="130"/>
    </row>
    <row r="48" spans="2:19" x14ac:dyDescent="0.25">
      <c r="M48" s="84"/>
      <c r="N48" s="130"/>
    </row>
    <row r="49" spans="13:14" x14ac:dyDescent="0.25">
      <c r="M49" s="84"/>
      <c r="N49" s="130"/>
    </row>
    <row r="50" spans="13:14" x14ac:dyDescent="0.25">
      <c r="M50" s="84"/>
      <c r="N50" s="130"/>
    </row>
    <row r="51" spans="13:14" x14ac:dyDescent="0.25">
      <c r="M51" s="84"/>
      <c r="N51" s="130"/>
    </row>
    <row r="52" spans="13:14" x14ac:dyDescent="0.25">
      <c r="M52" s="84"/>
      <c r="N52" s="130"/>
    </row>
    <row r="53" spans="13:14" x14ac:dyDescent="0.25">
      <c r="M53" s="84"/>
      <c r="N53" s="130"/>
    </row>
    <row r="54" spans="13:14" x14ac:dyDescent="0.25">
      <c r="M54" s="84"/>
      <c r="N54" s="130"/>
    </row>
    <row r="55" spans="13:14" x14ac:dyDescent="0.25">
      <c r="M55" s="84"/>
      <c r="N55" s="130"/>
    </row>
    <row r="56" spans="13:14" x14ac:dyDescent="0.25">
      <c r="M56" s="84"/>
      <c r="N56" s="130"/>
    </row>
    <row r="57" spans="13:14" x14ac:dyDescent="0.25">
      <c r="M57" s="84"/>
      <c r="N57" s="130"/>
    </row>
    <row r="58" spans="13:14" x14ac:dyDescent="0.25">
      <c r="M58" s="84"/>
      <c r="N58" s="130"/>
    </row>
    <row r="59" spans="13:14" x14ac:dyDescent="0.25">
      <c r="M59" s="84"/>
      <c r="N59" s="130"/>
    </row>
    <row r="60" spans="13:14" x14ac:dyDescent="0.25">
      <c r="M60" s="84"/>
      <c r="N60" s="130"/>
    </row>
    <row r="61" spans="13:14" x14ac:dyDescent="0.25">
      <c r="M61" s="84"/>
      <c r="N61" s="130"/>
    </row>
    <row r="62" spans="13:14" x14ac:dyDescent="0.25">
      <c r="M62" s="84"/>
      <c r="N62" s="130"/>
    </row>
    <row r="63" spans="13:14" x14ac:dyDescent="0.25">
      <c r="M63" s="84"/>
      <c r="N63" s="130"/>
    </row>
    <row r="64" spans="13:14" x14ac:dyDescent="0.25">
      <c r="M64" s="84"/>
      <c r="N64" s="130"/>
    </row>
    <row r="65" spans="13:14" x14ac:dyDescent="0.25">
      <c r="M65" s="84"/>
      <c r="N65" s="130"/>
    </row>
    <row r="66" spans="13:14" x14ac:dyDescent="0.25">
      <c r="M66" s="84"/>
      <c r="N66" s="130"/>
    </row>
    <row r="67" spans="13:14" x14ac:dyDescent="0.25">
      <c r="M67" s="84"/>
      <c r="N67" s="130"/>
    </row>
    <row r="68" spans="13:14" x14ac:dyDescent="0.25">
      <c r="M68" s="84"/>
      <c r="N68" s="130"/>
    </row>
    <row r="69" spans="13:14" x14ac:dyDescent="0.25">
      <c r="M69" s="84"/>
      <c r="N69" s="130"/>
    </row>
    <row r="70" spans="13:14" x14ac:dyDescent="0.25">
      <c r="M70" s="84"/>
      <c r="N70" s="130"/>
    </row>
    <row r="71" spans="13:14" x14ac:dyDescent="0.25">
      <c r="M71" s="84"/>
      <c r="N71" s="130"/>
    </row>
    <row r="72" spans="13:14" x14ac:dyDescent="0.25">
      <c r="M72" s="84"/>
      <c r="N72" s="130"/>
    </row>
    <row r="73" spans="13:14" x14ac:dyDescent="0.25">
      <c r="M73" s="84"/>
      <c r="N73" s="130"/>
    </row>
    <row r="74" spans="13:14" x14ac:dyDescent="0.25">
      <c r="M74" s="84"/>
      <c r="N74" s="130"/>
    </row>
    <row r="75" spans="13:14" x14ac:dyDescent="0.25">
      <c r="M75" s="84"/>
      <c r="N75" s="130"/>
    </row>
    <row r="76" spans="13:14" x14ac:dyDescent="0.25">
      <c r="M76" s="84"/>
      <c r="N76" s="130"/>
    </row>
    <row r="77" spans="13:14" x14ac:dyDescent="0.25">
      <c r="M77" s="84"/>
      <c r="N77" s="130"/>
    </row>
    <row r="78" spans="13:14" x14ac:dyDescent="0.25">
      <c r="M78" s="84"/>
      <c r="N78" s="130"/>
    </row>
    <row r="79" spans="13:14" x14ac:dyDescent="0.25">
      <c r="M79" s="84"/>
      <c r="N79" s="130"/>
    </row>
    <row r="80" spans="13:14" x14ac:dyDescent="0.25">
      <c r="M80" s="84"/>
      <c r="N80" s="130"/>
    </row>
    <row r="81" spans="1:14" x14ac:dyDescent="0.25">
      <c r="M81" s="84"/>
      <c r="N81" s="130"/>
    </row>
    <row r="82" spans="1:14" x14ac:dyDescent="0.25">
      <c r="M82" s="84"/>
      <c r="N82" s="130"/>
    </row>
    <row r="83" spans="1:14" x14ac:dyDescent="0.25">
      <c r="M83" s="84"/>
      <c r="N83" s="130"/>
    </row>
    <row r="84" spans="1:14" x14ac:dyDescent="0.25">
      <c r="M84" s="84"/>
      <c r="N84" s="130"/>
    </row>
    <row r="85" spans="1:14" x14ac:dyDescent="0.25">
      <c r="M85" s="84"/>
      <c r="N85" s="130"/>
    </row>
    <row r="86" spans="1:14" x14ac:dyDescent="0.25">
      <c r="M86" s="84"/>
      <c r="N86" s="133"/>
    </row>
    <row r="87" spans="1:14" x14ac:dyDescent="0.25">
      <c r="M87" s="84"/>
      <c r="N87" s="133"/>
    </row>
    <row r="88" spans="1:14" x14ac:dyDescent="0.25">
      <c r="M88" s="84"/>
      <c r="N88" s="133"/>
    </row>
    <row r="89" spans="1:14" x14ac:dyDescent="0.25">
      <c r="M89" s="84"/>
      <c r="N89" s="133"/>
    </row>
    <row r="90" spans="1:14" x14ac:dyDescent="0.25">
      <c r="M90" s="84"/>
      <c r="N90" s="133"/>
    </row>
    <row r="91" spans="1:14" x14ac:dyDescent="0.25">
      <c r="M91" s="84"/>
      <c r="N91" s="133"/>
    </row>
    <row r="92" spans="1:14" x14ac:dyDescent="0.25">
      <c r="M92" s="84"/>
      <c r="N92" s="133"/>
    </row>
    <row r="93" spans="1:14" x14ac:dyDescent="0.25">
      <c r="M93" s="84"/>
      <c r="N93" s="133"/>
    </row>
    <row r="94" spans="1:14" x14ac:dyDescent="0.25">
      <c r="M94" s="84"/>
      <c r="N94" s="133"/>
    </row>
    <row r="95" spans="1:14" x14ac:dyDescent="0.25">
      <c r="A95" s="147" t="s">
        <v>313</v>
      </c>
      <c r="B95" s="147" t="s">
        <v>307</v>
      </c>
      <c r="C95" s="147" t="s">
        <v>308</v>
      </c>
      <c r="D95" s="147" t="s">
        <v>309</v>
      </c>
      <c r="E95" s="147" t="s">
        <v>310</v>
      </c>
      <c r="F95" s="147" t="s">
        <v>311</v>
      </c>
      <c r="M95" s="84"/>
      <c r="N95" s="133"/>
    </row>
    <row r="96" spans="1:14" x14ac:dyDescent="0.25">
      <c r="A96" s="147" t="s">
        <v>321</v>
      </c>
      <c r="B96" s="148">
        <v>90</v>
      </c>
      <c r="C96" s="148">
        <v>70</v>
      </c>
      <c r="D96" s="148">
        <v>50</v>
      </c>
      <c r="E96" s="148">
        <v>30</v>
      </c>
      <c r="F96" s="148">
        <v>10</v>
      </c>
      <c r="M96" s="84"/>
      <c r="N96" s="133"/>
    </row>
    <row r="97" spans="1:14" x14ac:dyDescent="0.25">
      <c r="A97" s="147" t="s">
        <v>341</v>
      </c>
      <c r="B97" s="148">
        <v>90</v>
      </c>
      <c r="C97" s="148">
        <v>70</v>
      </c>
      <c r="D97" s="148">
        <v>50</v>
      </c>
      <c r="E97" s="148">
        <v>30</v>
      </c>
      <c r="F97" s="148">
        <v>10</v>
      </c>
      <c r="M97" s="84"/>
      <c r="N97" s="133"/>
    </row>
    <row r="98" spans="1:14" x14ac:dyDescent="0.25">
      <c r="A98" s="147" t="s">
        <v>44</v>
      </c>
      <c r="B98" s="148">
        <v>90</v>
      </c>
      <c r="C98" s="148">
        <v>70</v>
      </c>
      <c r="D98" s="148">
        <v>50</v>
      </c>
      <c r="E98" s="148">
        <v>30</v>
      </c>
      <c r="F98" s="148">
        <v>10</v>
      </c>
      <c r="M98" s="84"/>
      <c r="N98" s="133"/>
    </row>
    <row r="99" spans="1:14" x14ac:dyDescent="0.25">
      <c r="A99" s="147" t="s">
        <v>9</v>
      </c>
      <c r="B99" s="148">
        <v>90</v>
      </c>
      <c r="C99" s="148">
        <v>70</v>
      </c>
      <c r="D99" s="148">
        <v>50</v>
      </c>
      <c r="E99" s="148">
        <v>30</v>
      </c>
      <c r="F99" s="148">
        <v>10</v>
      </c>
      <c r="M99" s="84"/>
      <c r="N99" s="133"/>
    </row>
    <row r="100" spans="1:14" x14ac:dyDescent="0.25">
      <c r="A100" s="147" t="s">
        <v>32</v>
      </c>
      <c r="B100" s="148">
        <v>90</v>
      </c>
      <c r="C100" s="148">
        <v>70</v>
      </c>
      <c r="D100" s="148">
        <v>50</v>
      </c>
      <c r="E100" s="148">
        <v>30</v>
      </c>
      <c r="F100" s="148">
        <v>10</v>
      </c>
      <c r="M100" s="84"/>
      <c r="N100" s="133"/>
    </row>
    <row r="101" spans="1:14" x14ac:dyDescent="0.25">
      <c r="A101" s="147" t="s">
        <v>248</v>
      </c>
      <c r="B101" s="148">
        <v>90</v>
      </c>
      <c r="C101" s="148">
        <v>70</v>
      </c>
      <c r="D101" s="148">
        <v>50</v>
      </c>
      <c r="E101" s="148">
        <v>30</v>
      </c>
      <c r="F101" s="148">
        <v>10</v>
      </c>
      <c r="M101" s="84"/>
      <c r="N101" s="133"/>
    </row>
    <row r="102" spans="1:14" x14ac:dyDescent="0.25">
      <c r="M102" s="84"/>
      <c r="N102" s="133"/>
    </row>
    <row r="103" spans="1:14" x14ac:dyDescent="0.25">
      <c r="M103" s="84"/>
      <c r="N103" s="133"/>
    </row>
    <row r="104" spans="1:14" x14ac:dyDescent="0.25">
      <c r="M104" s="84"/>
      <c r="N104" s="133"/>
    </row>
    <row r="105" spans="1:14" x14ac:dyDescent="0.25">
      <c r="M105" s="84"/>
      <c r="N105" s="133"/>
    </row>
    <row r="106" spans="1:14" x14ac:dyDescent="0.25">
      <c r="M106" s="84"/>
      <c r="N106" s="133"/>
    </row>
    <row r="107" spans="1:14" x14ac:dyDescent="0.25">
      <c r="M107" s="84"/>
      <c r="N107" s="133"/>
    </row>
    <row r="108" spans="1:14" x14ac:dyDescent="0.25">
      <c r="M108" s="84"/>
      <c r="N108" s="133"/>
    </row>
    <row r="109" spans="1:14" x14ac:dyDescent="0.25">
      <c r="M109" s="84"/>
      <c r="N109" s="133"/>
    </row>
    <row r="110" spans="1:14" x14ac:dyDescent="0.25">
      <c r="M110" s="84"/>
      <c r="N110" s="133"/>
    </row>
    <row r="111" spans="1:14" x14ac:dyDescent="0.25">
      <c r="M111" s="84"/>
      <c r="N111" s="133"/>
    </row>
    <row r="112" spans="1:14" x14ac:dyDescent="0.25">
      <c r="M112" s="84"/>
      <c r="N112" s="133"/>
    </row>
    <row r="113" spans="13:14" x14ac:dyDescent="0.25">
      <c r="M113" s="84"/>
      <c r="N113" s="133"/>
    </row>
    <row r="114" spans="13:14" x14ac:dyDescent="0.25">
      <c r="M114" s="84"/>
      <c r="N114" s="133"/>
    </row>
    <row r="115" spans="13:14" x14ac:dyDescent="0.25">
      <c r="M115" s="84"/>
      <c r="N115" s="131"/>
    </row>
    <row r="116" spans="13:14" x14ac:dyDescent="0.25">
      <c r="M116" s="84"/>
      <c r="N116" s="131"/>
    </row>
    <row r="117" spans="13:14" x14ac:dyDescent="0.25">
      <c r="M117" s="84"/>
      <c r="N117" s="131"/>
    </row>
    <row r="118" spans="13:14" x14ac:dyDescent="0.25">
      <c r="M118" s="84"/>
      <c r="N118" s="131"/>
    </row>
    <row r="119" spans="13:14" x14ac:dyDescent="0.25">
      <c r="M119" s="84"/>
      <c r="N119" s="131"/>
    </row>
  </sheetData>
  <sheetProtection selectLockedCells="1"/>
  <mergeCells count="12">
    <mergeCell ref="B11:B14"/>
    <mergeCell ref="G11:G14"/>
    <mergeCell ref="B15:B18"/>
    <mergeCell ref="G15:G18"/>
    <mergeCell ref="B19:B22"/>
    <mergeCell ref="G19:G22"/>
    <mergeCell ref="B23:B26"/>
    <mergeCell ref="G23:G26"/>
    <mergeCell ref="B27:B30"/>
    <mergeCell ref="G27:G30"/>
    <mergeCell ref="B31:B34"/>
    <mergeCell ref="G31:G34"/>
  </mergeCells>
  <conditionalFormatting sqref="F19">
    <cfRule type="colorScale" priority="13">
      <colorScale>
        <cfvo type="min"/>
        <cfvo type="percentile" val="50"/>
        <cfvo type="max"/>
        <color rgb="FF63BE7B"/>
        <color rgb="FFFFEB84"/>
        <color rgb="FFF8696B"/>
      </colorScale>
    </cfRule>
  </conditionalFormatting>
  <conditionalFormatting sqref="F22">
    <cfRule type="colorScale" priority="12">
      <colorScale>
        <cfvo type="min"/>
        <cfvo type="percentile" val="50"/>
        <cfvo type="max"/>
        <color rgb="FF63BE7B"/>
        <color rgb="FFFFEB84"/>
        <color rgb="FFF8696B"/>
      </colorScale>
    </cfRule>
  </conditionalFormatting>
  <conditionalFormatting sqref="F20:F21">
    <cfRule type="colorScale" priority="11">
      <colorScale>
        <cfvo type="min"/>
        <cfvo type="percentile" val="50"/>
        <cfvo type="max"/>
        <color rgb="FF63BE7B"/>
        <color rgb="FFFFEB84"/>
        <color rgb="FFF8696B"/>
      </colorScale>
    </cfRule>
  </conditionalFormatting>
  <conditionalFormatting sqref="F23:F24">
    <cfRule type="colorScale" priority="10">
      <colorScale>
        <cfvo type="min"/>
        <cfvo type="percentile" val="50"/>
        <cfvo type="max"/>
        <color rgb="FF63BE7B"/>
        <color rgb="FFFFEB84"/>
        <color rgb="FFF8696B"/>
      </colorScale>
    </cfRule>
  </conditionalFormatting>
  <conditionalFormatting sqref="F25">
    <cfRule type="colorScale" priority="9">
      <colorScale>
        <cfvo type="min"/>
        <cfvo type="percentile" val="50"/>
        <cfvo type="max"/>
        <color rgb="FF63BE7B"/>
        <color rgb="FFFFEB84"/>
        <color rgb="FFF8696B"/>
      </colorScale>
    </cfRule>
  </conditionalFormatting>
  <conditionalFormatting sqref="F26">
    <cfRule type="colorScale" priority="8">
      <colorScale>
        <cfvo type="min"/>
        <cfvo type="percentile" val="50"/>
        <cfvo type="max"/>
        <color rgb="FF63BE7B"/>
        <color rgb="FFFFEB84"/>
        <color rgb="FFF8696B"/>
      </colorScale>
    </cfRule>
  </conditionalFormatting>
  <conditionalFormatting sqref="F27">
    <cfRule type="colorScale" priority="7">
      <colorScale>
        <cfvo type="min"/>
        <cfvo type="percentile" val="50"/>
        <cfvo type="max"/>
        <color rgb="FF63BE7B"/>
        <color rgb="FFFFEB84"/>
        <color rgb="FFF8696B"/>
      </colorScale>
    </cfRule>
  </conditionalFormatting>
  <conditionalFormatting sqref="F28:F29">
    <cfRule type="colorScale" priority="6">
      <colorScale>
        <cfvo type="min"/>
        <cfvo type="percentile" val="50"/>
        <cfvo type="max"/>
        <color rgb="FF63BE7B"/>
        <color rgb="FFFFEB84"/>
        <color rgb="FFF8696B"/>
      </colorScale>
    </cfRule>
  </conditionalFormatting>
  <conditionalFormatting sqref="F30">
    <cfRule type="colorScale" priority="5">
      <colorScale>
        <cfvo type="min"/>
        <cfvo type="percentile" val="50"/>
        <cfvo type="max"/>
        <color rgb="FF63BE7B"/>
        <color rgb="FFFFEB84"/>
        <color rgb="FFF8696B"/>
      </colorScale>
    </cfRule>
  </conditionalFormatting>
  <conditionalFormatting sqref="F31">
    <cfRule type="colorScale" priority="4">
      <colorScale>
        <cfvo type="min"/>
        <cfvo type="percentile" val="50"/>
        <cfvo type="max"/>
        <color rgb="FF63BE7B"/>
        <color rgb="FFFFEB84"/>
        <color rgb="FFF8696B"/>
      </colorScale>
    </cfRule>
  </conditionalFormatting>
  <conditionalFormatting sqref="F32">
    <cfRule type="colorScale" priority="3">
      <colorScale>
        <cfvo type="min"/>
        <cfvo type="percentile" val="50"/>
        <cfvo type="max"/>
        <color rgb="FF63BE7B"/>
        <color rgb="FFFFEB84"/>
        <color rgb="FFF8696B"/>
      </colorScale>
    </cfRule>
  </conditionalFormatting>
  <conditionalFormatting sqref="F33">
    <cfRule type="colorScale" priority="2">
      <colorScale>
        <cfvo type="min"/>
        <cfvo type="percentile" val="50"/>
        <cfvo type="max"/>
        <color rgb="FF63BE7B"/>
        <color rgb="FFFFEB84"/>
        <color rgb="FFF8696B"/>
      </colorScale>
    </cfRule>
  </conditionalFormatting>
  <conditionalFormatting sqref="F34">
    <cfRule type="colorScale" priority="1">
      <colorScale>
        <cfvo type="min"/>
        <cfvo type="percentile" val="50"/>
        <cfvo type="max"/>
        <color rgb="FF63BE7B"/>
        <color rgb="FFFFEB84"/>
        <color rgb="FFF8696B"/>
      </colorScale>
    </cfRule>
  </conditionalFormatting>
  <conditionalFormatting sqref="F11:F13">
    <cfRule type="colorScale" priority="14">
      <colorScale>
        <cfvo type="min"/>
        <cfvo type="percentile" val="50"/>
        <cfvo type="max"/>
        <color rgb="FF63BE7B"/>
        <color rgb="FFFFEB84"/>
        <color rgb="FFF8696B"/>
      </colorScale>
    </cfRule>
  </conditionalFormatting>
  <conditionalFormatting sqref="F14:F18">
    <cfRule type="colorScale" priority="15">
      <colorScale>
        <cfvo type="min"/>
        <cfvo type="percentile" val="50"/>
        <cfvo type="max"/>
        <color rgb="FF63BE7B"/>
        <color rgb="FFFFEB84"/>
        <color rgb="FFF8696B"/>
      </colorScale>
    </cfRule>
  </conditionalFormatting>
  <dataValidations count="1">
    <dataValidation type="list" allowBlank="1" showInputMessage="1" showErrorMessage="1" sqref="E7" xr:uid="{00000000-0002-0000-0B00-000000000000}">
      <formula1>$K$4:$K$10</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B00-000001000000}">
          <x14:formula1>
            <xm:f>'Do Not Touch Working Sheet'!$A$26:$A$28</xm:f>
          </x14:formula1>
          <xm:sqref>F23 F19:F20</xm:sqref>
        </x14:dataValidation>
        <x14:dataValidation type="list" allowBlank="1" showInputMessage="1" showErrorMessage="1" xr:uid="{00000000-0002-0000-0B00-000002000000}">
          <x14:formula1>
            <xm:f>'Do Not Touch Working Sheet'!$A$10:$A$12</xm:f>
          </x14:formula1>
          <xm:sqref>F13</xm:sqref>
        </x14:dataValidation>
        <x14:dataValidation type="list" allowBlank="1" showInputMessage="1" showErrorMessage="1" xr:uid="{00000000-0002-0000-0B00-000003000000}">
          <x14:formula1>
            <xm:f>'Do Not Touch Working Sheet'!$A$6:$A$8</xm:f>
          </x14:formula1>
          <xm:sqref>F12</xm:sqref>
        </x14:dataValidation>
        <x14:dataValidation type="list" allowBlank="1" showInputMessage="1" showErrorMessage="1" xr:uid="{00000000-0002-0000-0B00-000004000000}">
          <x14:formula1>
            <xm:f>'Do Not Touch Working Sheet'!$A$22:$A$24</xm:f>
          </x14:formula1>
          <xm:sqref>F26 F31 F21:F22 F24</xm:sqref>
        </x14:dataValidation>
        <x14:dataValidation type="list" allowBlank="1" showInputMessage="1" showErrorMessage="1" xr:uid="{00000000-0002-0000-0B00-000005000000}">
          <x14:formula1>
            <xm:f>'Do Not Touch Working Sheet'!$A$39:$A$46</xm:f>
          </x14:formula1>
          <xm:sqref>D7</xm:sqref>
        </x14:dataValidation>
        <x14:dataValidation type="list" allowBlank="1" showInputMessage="1" showErrorMessage="1" xr:uid="{00000000-0002-0000-0B00-000006000000}">
          <x14:formula1>
            <xm:f>'Do Not Touch Working Sheet'!$A$18:$A$20</xm:f>
          </x14:formula1>
          <xm:sqref>F18 F25 F29:F30</xm:sqref>
        </x14:dataValidation>
        <x14:dataValidation type="list" allowBlank="1" showInputMessage="1" showErrorMessage="1" xr:uid="{00000000-0002-0000-0B00-000007000000}">
          <x14:formula1>
            <xm:f>'Do Not Touch Working Sheet'!$A$30:$A$32</xm:f>
          </x14:formula1>
          <xm:sqref>F32:F33</xm:sqref>
        </x14:dataValidation>
        <x14:dataValidation type="list" allowBlank="1" showInputMessage="1" showErrorMessage="1" xr:uid="{00000000-0002-0000-0B00-000008000000}">
          <x14:formula1>
            <xm:f>'Do Not Touch Working Sheet'!$A$34:$A$37</xm:f>
          </x14:formula1>
          <xm:sqref>B7</xm:sqref>
        </x14:dataValidation>
        <x14:dataValidation type="list" allowBlank="1" showInputMessage="1" showErrorMessage="1" xr:uid="{00000000-0002-0000-0B00-000009000000}">
          <x14:formula1>
            <xm:f>'Do Not Touch Working Sheet'!$A$14:$A$15</xm:f>
          </x14:formula1>
          <xm:sqref>F14</xm:sqref>
        </x14:dataValidation>
        <x14:dataValidation type="list" allowBlank="1" showInputMessage="1" showErrorMessage="1" xr:uid="{00000000-0002-0000-0B00-00000A000000}">
          <x14:formula1>
            <xm:f>'Do Not Touch Working Sheet'!$A$3:$A$4</xm:f>
          </x14:formula1>
          <xm:sqref>F34 F11 F15:F17 F27</xm:sqref>
        </x14:dataValidation>
        <x14:dataValidation type="list" allowBlank="1" showInputMessage="1" showErrorMessage="1" xr:uid="{00000000-0002-0000-0B00-00000B000000}">
          <x14:formula1>
            <xm:f>'Do Not Touch Working Sheet'!$A$48:$A$50</xm:f>
          </x14:formula1>
          <xm:sqref>F28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101"/>
  <sheetViews>
    <sheetView tabSelected="1" workbookViewId="0">
      <selection activeCell="G4" sqref="G4"/>
    </sheetView>
  </sheetViews>
  <sheetFormatPr defaultColWidth="9.140625" defaultRowHeight="15" x14ac:dyDescent="0.25"/>
  <cols>
    <col min="1" max="1" width="22.28515625" style="125" bestFit="1" customWidth="1"/>
    <col min="2" max="2" width="23.140625" style="66" customWidth="1"/>
    <col min="3" max="8" width="9.140625" style="144"/>
    <col min="9" max="9" width="15.85546875" style="67" customWidth="1"/>
    <col min="10" max="10" width="9.140625" style="66"/>
    <col min="11" max="11" width="11" style="67" bestFit="1" customWidth="1"/>
    <col min="12" max="16384" width="9.140625" style="122"/>
  </cols>
  <sheetData>
    <row r="1" spans="1:14" x14ac:dyDescent="0.25">
      <c r="A1" s="123" t="s">
        <v>322</v>
      </c>
      <c r="B1" s="64" t="s">
        <v>327</v>
      </c>
      <c r="C1" s="143"/>
      <c r="D1" s="143"/>
      <c r="E1" s="143"/>
      <c r="F1" s="143"/>
      <c r="G1" s="143"/>
      <c r="H1" s="143"/>
      <c r="I1" s="65"/>
      <c r="J1" s="64" t="s">
        <v>334</v>
      </c>
      <c r="K1" s="65"/>
    </row>
    <row r="2" spans="1:14" x14ac:dyDescent="0.25">
      <c r="C2" s="144" t="s">
        <v>328</v>
      </c>
      <c r="D2" s="144" t="s">
        <v>329</v>
      </c>
      <c r="E2" s="144" t="s">
        <v>330</v>
      </c>
      <c r="F2" s="47" t="s">
        <v>331</v>
      </c>
      <c r="G2" s="144" t="s">
        <v>312</v>
      </c>
      <c r="H2" s="47" t="s">
        <v>332</v>
      </c>
      <c r="I2" s="145" t="s">
        <v>335</v>
      </c>
      <c r="J2" s="66">
        <v>0</v>
      </c>
      <c r="K2" s="155" t="s">
        <v>296</v>
      </c>
    </row>
    <row r="3" spans="1:14" ht="18.75" x14ac:dyDescent="0.3">
      <c r="A3" s="125" t="s">
        <v>211</v>
      </c>
      <c r="B3" s="66" t="s">
        <v>321</v>
      </c>
      <c r="C3" s="144">
        <f>IF('DMAT Current State'!F11="YES",5,IF('DMAT Current State'!F11="NO",1))</f>
        <v>1</v>
      </c>
      <c r="D3" s="144">
        <f>IF('DMAT Current State'!F12="YES",5,IF('DMAT Current State'!F12="POSSIBLE",3,1))</f>
        <v>3</v>
      </c>
      <c r="E3" s="144">
        <f>IF('DMAT Current State'!F13="ESTABLISHED",5,IF('DMAT Current State'!F13="EMERGING",3,1))</f>
        <v>5</v>
      </c>
      <c r="F3" s="144">
        <f>IF('DMAT Current State'!F14="YES",5,IF('DMAT Current State'!F14="NO",2))</f>
        <v>5</v>
      </c>
      <c r="G3" s="144">
        <f>SUM(C3:F3)</f>
        <v>14</v>
      </c>
      <c r="H3" s="146">
        <f>(G3/20*100)</f>
        <v>70</v>
      </c>
      <c r="I3" s="149" t="str">
        <f t="shared" ref="I3:I8" si="0">VLOOKUP(H3,J$2:K$101,2,TRUE)</f>
        <v>Strong</v>
      </c>
      <c r="J3" s="66">
        <v>1</v>
      </c>
      <c r="K3" s="155" t="s">
        <v>296</v>
      </c>
    </row>
    <row r="4" spans="1:14" ht="18.75" x14ac:dyDescent="0.3">
      <c r="A4" s="125" t="s">
        <v>212</v>
      </c>
      <c r="B4" s="66" t="s">
        <v>362</v>
      </c>
      <c r="C4" s="144">
        <f>IF('DMAT Current State'!F15="YES",6,IF('DMAT Current State'!F15="NO",1))</f>
        <v>1</v>
      </c>
      <c r="D4" s="144">
        <f>IF('DMAT Current State'!F16="YES",4,IF('DMAT Current State'!F16="NO",1))</f>
        <v>1</v>
      </c>
      <c r="E4" s="144">
        <f>IF('DMAT Current State'!F17="YES",4,IF('DMAT Current State'!F17="NO",1))</f>
        <v>4</v>
      </c>
      <c r="F4" s="144">
        <f>IF('DMAT Current State'!F18="YES",6,IF('DMAT Current State'!F18="NO",1,3))</f>
        <v>6</v>
      </c>
      <c r="G4" s="154">
        <f>SUM(C4:F4)</f>
        <v>12</v>
      </c>
      <c r="H4" s="146">
        <f>(G4/20*100)</f>
        <v>60</v>
      </c>
      <c r="I4" s="149" t="str">
        <f t="shared" si="0"/>
        <v>Strong</v>
      </c>
      <c r="J4" s="66">
        <v>2</v>
      </c>
      <c r="K4" s="155" t="s">
        <v>296</v>
      </c>
    </row>
    <row r="5" spans="1:14" ht="18.75" x14ac:dyDescent="0.3">
      <c r="B5" s="66" t="s">
        <v>44</v>
      </c>
      <c r="C5" s="144">
        <f>IF('DMAT Current State'!F19="LOW",4,IF('DMAT Current State'!F19="HIGH",1,2))</f>
        <v>2</v>
      </c>
      <c r="D5" s="144">
        <f>IF('DMAT Current State'!F20="LOW",4,IF('DMAT Current State'!F20="HIGH",1,2))</f>
        <v>4</v>
      </c>
      <c r="E5" s="144">
        <f>IF('DMAT Current State'!F21="YES",8,IF('DMAT Current State'!F21="NO",1,4))</f>
        <v>8</v>
      </c>
      <c r="F5" s="144">
        <f>IF('DMAT Current State'!F22="YES",4,IF('DMAT Current State'!F22="NO",1,2))</f>
        <v>4</v>
      </c>
      <c r="G5" s="144">
        <f t="shared" ref="G5:G8" si="1">SUM(C5:F5)</f>
        <v>18</v>
      </c>
      <c r="H5" s="146">
        <f t="shared" ref="H5:H8" si="2">(G5/20*100)</f>
        <v>90</v>
      </c>
      <c r="I5" s="149" t="str">
        <f t="shared" si="0"/>
        <v>Very Strong</v>
      </c>
      <c r="J5" s="66">
        <v>3</v>
      </c>
      <c r="K5" s="155" t="s">
        <v>296</v>
      </c>
    </row>
    <row r="6" spans="1:14" ht="18.75" x14ac:dyDescent="0.3">
      <c r="A6" s="125" t="s">
        <v>211</v>
      </c>
      <c r="B6" s="66" t="s">
        <v>9</v>
      </c>
      <c r="C6" s="144">
        <f>IF('DMAT Current State'!F23="LOW",5,IF('DMAT Current State'!F23="HIGH",0,2.5))</f>
        <v>5</v>
      </c>
      <c r="D6" s="144">
        <f>IF('DMAT Current State'!F24="YES",5,IF('DMAT Current State'!F24="NO",0,2.5))</f>
        <v>5</v>
      </c>
      <c r="E6" s="144">
        <f>IF('DMAT Current State'!F25="YES",5,IF('DMAT Current State'!F25="NO",1,3))</f>
        <v>5</v>
      </c>
      <c r="F6" s="144">
        <f>IF('DMAT Current State'!F26="NO",5,IF('DMAT Current State'!F26="YES",0,2.5))</f>
        <v>5</v>
      </c>
      <c r="G6" s="144">
        <f t="shared" si="1"/>
        <v>20</v>
      </c>
      <c r="H6" s="146">
        <f t="shared" si="2"/>
        <v>100</v>
      </c>
      <c r="I6" s="149" t="str">
        <f t="shared" si="0"/>
        <v>Very Strong</v>
      </c>
      <c r="J6" s="66">
        <v>4</v>
      </c>
      <c r="K6" s="155" t="s">
        <v>296</v>
      </c>
    </row>
    <row r="7" spans="1:14" ht="18.75" x14ac:dyDescent="0.3">
      <c r="A7" s="125" t="s">
        <v>317</v>
      </c>
      <c r="B7" s="66" t="s">
        <v>32</v>
      </c>
      <c r="C7" s="144">
        <f>IF('DMAT Current State'!F27="YES",4,IF('DMAT Current State'!F27="NO",1))</f>
        <v>4</v>
      </c>
      <c r="D7" s="144">
        <f>IF('DMAT Current State'!F28="YES",4,IF('DMAT Current State'!F28="NO",1, 1))</f>
        <v>4</v>
      </c>
      <c r="E7" s="144">
        <f>IF('DMAT Current State'!F29="YES",4,IF('DMAT Current State'!F29="NO",0,2))</f>
        <v>4</v>
      </c>
      <c r="F7" s="144">
        <f>IF('DMAT Current State'!F30="YES",8,IF('DMAT Current State'!F30="NO",0,4))</f>
        <v>8</v>
      </c>
      <c r="G7" s="144">
        <f t="shared" si="1"/>
        <v>20</v>
      </c>
      <c r="H7" s="146">
        <f t="shared" si="2"/>
        <v>100</v>
      </c>
      <c r="I7" s="149" t="str">
        <f t="shared" si="0"/>
        <v>Very Strong</v>
      </c>
      <c r="J7" s="66">
        <v>5</v>
      </c>
      <c r="K7" s="155" t="s">
        <v>296</v>
      </c>
    </row>
    <row r="8" spans="1:14" ht="18.75" x14ac:dyDescent="0.3">
      <c r="A8" s="125" t="s">
        <v>212</v>
      </c>
      <c r="B8" s="66" t="s">
        <v>248</v>
      </c>
      <c r="C8" s="144">
        <f>IF('DMAT Current State'!F31="YES",8,IF('DMAT Current State'!F31="NO",0,4))</f>
        <v>8</v>
      </c>
      <c r="D8" s="144">
        <f>IF('DMAT Current State'!F32="YES",4,IF('DMAT Current State'!F32="NO",0,2))</f>
        <v>4</v>
      </c>
      <c r="E8" s="144">
        <f>IF('DMAT Current State'!F33="YES",4,IF('DMAT Current State'!F33="NO",0,2))</f>
        <v>4</v>
      </c>
      <c r="F8" s="144">
        <f>IF('DMAT Current State'!F34="YES",4,IF('DMAT Current State'!F34="NO",2))</f>
        <v>4</v>
      </c>
      <c r="G8" s="144">
        <f t="shared" si="1"/>
        <v>20</v>
      </c>
      <c r="H8" s="146">
        <f t="shared" si="2"/>
        <v>100</v>
      </c>
      <c r="I8" s="149" t="str">
        <f t="shared" si="0"/>
        <v>Very Strong</v>
      </c>
      <c r="J8" s="66">
        <v>6</v>
      </c>
      <c r="K8" s="155" t="s">
        <v>296</v>
      </c>
    </row>
    <row r="9" spans="1:14" x14ac:dyDescent="0.25">
      <c r="J9" s="66">
        <v>7</v>
      </c>
      <c r="K9" s="155" t="s">
        <v>296</v>
      </c>
    </row>
    <row r="10" spans="1:14" x14ac:dyDescent="0.25">
      <c r="A10" s="125" t="s">
        <v>338</v>
      </c>
      <c r="E10" s="47"/>
      <c r="F10" s="47"/>
      <c r="J10" s="66">
        <v>8</v>
      </c>
      <c r="K10" s="155" t="s">
        <v>296</v>
      </c>
    </row>
    <row r="11" spans="1:14" x14ac:dyDescent="0.25">
      <c r="A11" s="125" t="s">
        <v>339</v>
      </c>
      <c r="C11" s="178"/>
      <c r="J11" s="66">
        <v>9</v>
      </c>
      <c r="K11" s="155" t="s">
        <v>296</v>
      </c>
    </row>
    <row r="12" spans="1:14" x14ac:dyDescent="0.25">
      <c r="A12" s="125" t="s">
        <v>340</v>
      </c>
      <c r="C12" s="178"/>
      <c r="J12" s="66">
        <v>10</v>
      </c>
      <c r="K12" s="155" t="s">
        <v>296</v>
      </c>
    </row>
    <row r="13" spans="1:14" x14ac:dyDescent="0.25">
      <c r="C13" s="178"/>
      <c r="J13" s="66">
        <v>11</v>
      </c>
      <c r="K13" s="155" t="s">
        <v>296</v>
      </c>
      <c r="N13" s="144"/>
    </row>
    <row r="14" spans="1:14" x14ac:dyDescent="0.25">
      <c r="A14" s="125" t="s">
        <v>211</v>
      </c>
      <c r="C14" s="178"/>
      <c r="J14" s="66">
        <v>12</v>
      </c>
      <c r="K14" s="155" t="s">
        <v>296</v>
      </c>
      <c r="N14" s="144"/>
    </row>
    <row r="15" spans="1:14" x14ac:dyDescent="0.25">
      <c r="A15" s="125" t="s">
        <v>212</v>
      </c>
      <c r="C15" s="178"/>
      <c r="J15" s="66">
        <v>13</v>
      </c>
      <c r="K15" s="155" t="s">
        <v>296</v>
      </c>
      <c r="N15" s="144"/>
    </row>
    <row r="16" spans="1:14" x14ac:dyDescent="0.25">
      <c r="C16" s="178"/>
      <c r="J16" s="66">
        <v>14</v>
      </c>
      <c r="K16" s="155" t="s">
        <v>296</v>
      </c>
    </row>
    <row r="17" spans="1:11" x14ac:dyDescent="0.25">
      <c r="J17" s="66">
        <v>15</v>
      </c>
      <c r="K17" s="155" t="s">
        <v>296</v>
      </c>
    </row>
    <row r="18" spans="1:11" x14ac:dyDescent="0.25">
      <c r="A18" s="125" t="s">
        <v>211</v>
      </c>
      <c r="J18" s="66">
        <v>16</v>
      </c>
      <c r="K18" s="155" t="s">
        <v>296</v>
      </c>
    </row>
    <row r="19" spans="1:11" x14ac:dyDescent="0.25">
      <c r="A19" s="125" t="s">
        <v>215</v>
      </c>
      <c r="J19" s="66">
        <v>17</v>
      </c>
      <c r="K19" s="155" t="s">
        <v>296</v>
      </c>
    </row>
    <row r="20" spans="1:11" x14ac:dyDescent="0.25">
      <c r="A20" s="125" t="s">
        <v>212</v>
      </c>
      <c r="J20" s="66">
        <v>18</v>
      </c>
      <c r="K20" s="155" t="s">
        <v>296</v>
      </c>
    </row>
    <row r="21" spans="1:11" x14ac:dyDescent="0.25">
      <c r="J21" s="66">
        <v>20</v>
      </c>
      <c r="K21" s="155" t="s">
        <v>296</v>
      </c>
    </row>
    <row r="22" spans="1:11" x14ac:dyDescent="0.25">
      <c r="A22" s="125" t="s">
        <v>211</v>
      </c>
      <c r="J22" s="66">
        <v>21</v>
      </c>
      <c r="K22" s="155" t="s">
        <v>296</v>
      </c>
    </row>
    <row r="23" spans="1:11" x14ac:dyDescent="0.25">
      <c r="A23" s="125" t="s">
        <v>317</v>
      </c>
      <c r="J23" s="66">
        <v>22</v>
      </c>
      <c r="K23" s="155" t="s">
        <v>296</v>
      </c>
    </row>
    <row r="24" spans="1:11" x14ac:dyDescent="0.25">
      <c r="A24" s="125" t="s">
        <v>212</v>
      </c>
      <c r="J24" s="66">
        <v>23</v>
      </c>
      <c r="K24" s="155" t="s">
        <v>296</v>
      </c>
    </row>
    <row r="25" spans="1:11" x14ac:dyDescent="0.25">
      <c r="J25" s="66">
        <v>24</v>
      </c>
      <c r="K25" s="155" t="s">
        <v>296</v>
      </c>
    </row>
    <row r="26" spans="1:11" x14ac:dyDescent="0.25">
      <c r="A26" s="125" t="s">
        <v>214</v>
      </c>
      <c r="J26" s="66">
        <v>25</v>
      </c>
      <c r="K26" s="155" t="s">
        <v>296</v>
      </c>
    </row>
    <row r="27" spans="1:11" x14ac:dyDescent="0.25">
      <c r="A27" s="125" t="s">
        <v>215</v>
      </c>
      <c r="J27" s="66">
        <v>26</v>
      </c>
      <c r="K27" s="155" t="s">
        <v>296</v>
      </c>
    </row>
    <row r="28" spans="1:11" x14ac:dyDescent="0.25">
      <c r="A28" s="125" t="s">
        <v>216</v>
      </c>
      <c r="J28" s="66">
        <v>27</v>
      </c>
      <c r="K28" s="155" t="s">
        <v>296</v>
      </c>
    </row>
    <row r="29" spans="1:11" x14ac:dyDescent="0.25">
      <c r="J29" s="66">
        <v>28</v>
      </c>
      <c r="K29" s="155" t="s">
        <v>296</v>
      </c>
    </row>
    <row r="30" spans="1:11" x14ac:dyDescent="0.25">
      <c r="A30" s="125" t="s">
        <v>211</v>
      </c>
      <c r="J30" s="66">
        <v>29</v>
      </c>
      <c r="K30" s="155" t="s">
        <v>296</v>
      </c>
    </row>
    <row r="31" spans="1:11" x14ac:dyDescent="0.25">
      <c r="A31" s="125" t="s">
        <v>250</v>
      </c>
      <c r="J31" s="66">
        <v>30</v>
      </c>
      <c r="K31" s="155" t="s">
        <v>296</v>
      </c>
    </row>
    <row r="32" spans="1:11" x14ac:dyDescent="0.25">
      <c r="A32" s="125" t="s">
        <v>212</v>
      </c>
      <c r="J32" s="66">
        <v>31</v>
      </c>
      <c r="K32" s="155" t="s">
        <v>296</v>
      </c>
    </row>
    <row r="33" spans="1:11" x14ac:dyDescent="0.25">
      <c r="J33" s="66">
        <v>32</v>
      </c>
      <c r="K33" s="155" t="s">
        <v>296</v>
      </c>
    </row>
    <row r="34" spans="1:11" x14ac:dyDescent="0.25">
      <c r="A34" s="125" t="s">
        <v>297</v>
      </c>
      <c r="J34" s="66">
        <v>33</v>
      </c>
      <c r="K34" s="155" t="s">
        <v>296</v>
      </c>
    </row>
    <row r="35" spans="1:11" x14ac:dyDescent="0.25">
      <c r="A35" s="125" t="s">
        <v>299</v>
      </c>
      <c r="J35" s="66">
        <v>34</v>
      </c>
      <c r="K35" s="155" t="s">
        <v>296</v>
      </c>
    </row>
    <row r="36" spans="1:11" x14ac:dyDescent="0.25">
      <c r="A36" s="125" t="s">
        <v>336</v>
      </c>
      <c r="J36" s="66">
        <v>35</v>
      </c>
      <c r="K36" s="155" t="s">
        <v>296</v>
      </c>
    </row>
    <row r="37" spans="1:11" x14ac:dyDescent="0.25">
      <c r="A37" s="125" t="s">
        <v>298</v>
      </c>
      <c r="J37" s="66">
        <v>36</v>
      </c>
      <c r="K37" s="155" t="s">
        <v>296</v>
      </c>
    </row>
    <row r="38" spans="1:11" x14ac:dyDescent="0.25">
      <c r="J38" s="66">
        <v>37</v>
      </c>
      <c r="K38" s="155" t="s">
        <v>296</v>
      </c>
    </row>
    <row r="39" spans="1:11" x14ac:dyDescent="0.25">
      <c r="A39" s="125" t="s">
        <v>300</v>
      </c>
      <c r="J39" s="66">
        <v>38</v>
      </c>
      <c r="K39" s="155" t="s">
        <v>296</v>
      </c>
    </row>
    <row r="40" spans="1:11" x14ac:dyDescent="0.25">
      <c r="A40" s="125" t="s">
        <v>301</v>
      </c>
      <c r="J40" s="66">
        <v>39</v>
      </c>
      <c r="K40" s="155" t="s">
        <v>296</v>
      </c>
    </row>
    <row r="41" spans="1:11" x14ac:dyDescent="0.25">
      <c r="A41" s="125" t="s">
        <v>125</v>
      </c>
      <c r="J41" s="66">
        <v>40</v>
      </c>
      <c r="K41" s="155" t="s">
        <v>296</v>
      </c>
    </row>
    <row r="42" spans="1:11" x14ac:dyDescent="0.25">
      <c r="A42" s="125" t="s">
        <v>124</v>
      </c>
      <c r="J42" s="66">
        <v>41</v>
      </c>
      <c r="K42" s="156" t="s">
        <v>129</v>
      </c>
    </row>
    <row r="43" spans="1:11" x14ac:dyDescent="0.25">
      <c r="A43" s="125" t="s">
        <v>353</v>
      </c>
      <c r="J43" s="66">
        <v>42</v>
      </c>
      <c r="K43" s="156" t="s">
        <v>129</v>
      </c>
    </row>
    <row r="44" spans="1:11" x14ac:dyDescent="0.25">
      <c r="A44" s="125" t="s">
        <v>101</v>
      </c>
      <c r="J44" s="66">
        <v>43</v>
      </c>
      <c r="K44" s="156" t="s">
        <v>129</v>
      </c>
    </row>
    <row r="45" spans="1:11" x14ac:dyDescent="0.25">
      <c r="A45" s="125" t="s">
        <v>302</v>
      </c>
      <c r="J45" s="66">
        <v>44</v>
      </c>
      <c r="K45" s="156" t="s">
        <v>129</v>
      </c>
    </row>
    <row r="46" spans="1:11" x14ac:dyDescent="0.25">
      <c r="A46" s="125" t="s">
        <v>105</v>
      </c>
      <c r="J46" s="66">
        <v>45</v>
      </c>
      <c r="K46" s="156" t="s">
        <v>129</v>
      </c>
    </row>
    <row r="47" spans="1:11" x14ac:dyDescent="0.25">
      <c r="J47" s="66">
        <v>46</v>
      </c>
      <c r="K47" s="156" t="s">
        <v>129</v>
      </c>
    </row>
    <row r="48" spans="1:11" x14ac:dyDescent="0.25">
      <c r="A48" s="125" t="s">
        <v>211</v>
      </c>
      <c r="J48" s="66">
        <v>47</v>
      </c>
      <c r="K48" s="156" t="s">
        <v>129</v>
      </c>
    </row>
    <row r="49" spans="1:11" x14ac:dyDescent="0.25">
      <c r="A49" s="125" t="s">
        <v>212</v>
      </c>
      <c r="J49" s="66">
        <v>48</v>
      </c>
      <c r="K49" s="156" t="s">
        <v>129</v>
      </c>
    </row>
    <row r="50" spans="1:11" x14ac:dyDescent="0.25">
      <c r="A50" s="125" t="s">
        <v>376</v>
      </c>
      <c r="J50" s="66">
        <v>49</v>
      </c>
      <c r="K50" s="156" t="s">
        <v>129</v>
      </c>
    </row>
    <row r="51" spans="1:11" x14ac:dyDescent="0.25">
      <c r="J51" s="66">
        <v>50</v>
      </c>
      <c r="K51" s="156" t="s">
        <v>129</v>
      </c>
    </row>
    <row r="52" spans="1:11" x14ac:dyDescent="0.25">
      <c r="J52" s="66">
        <v>51</v>
      </c>
      <c r="K52" s="156" t="s">
        <v>129</v>
      </c>
    </row>
    <row r="53" spans="1:11" x14ac:dyDescent="0.25">
      <c r="J53" s="66">
        <v>52</v>
      </c>
      <c r="K53" s="156" t="s">
        <v>129</v>
      </c>
    </row>
    <row r="54" spans="1:11" x14ac:dyDescent="0.25">
      <c r="J54" s="66">
        <v>53</v>
      </c>
      <c r="K54" s="156" t="s">
        <v>129</v>
      </c>
    </row>
    <row r="55" spans="1:11" x14ac:dyDescent="0.25">
      <c r="J55" s="66">
        <v>54</v>
      </c>
      <c r="K55" s="156" t="s">
        <v>129</v>
      </c>
    </row>
    <row r="56" spans="1:11" x14ac:dyDescent="0.25">
      <c r="J56" s="66">
        <v>55</v>
      </c>
      <c r="K56" s="156" t="s">
        <v>129</v>
      </c>
    </row>
    <row r="57" spans="1:11" x14ac:dyDescent="0.25">
      <c r="J57" s="66">
        <v>56</v>
      </c>
      <c r="K57" s="156" t="s">
        <v>129</v>
      </c>
    </row>
    <row r="58" spans="1:11" x14ac:dyDescent="0.25">
      <c r="J58" s="66">
        <v>57</v>
      </c>
      <c r="K58" s="156" t="s">
        <v>129</v>
      </c>
    </row>
    <row r="59" spans="1:11" x14ac:dyDescent="0.25">
      <c r="J59" s="66">
        <v>58</v>
      </c>
      <c r="K59" s="156" t="s">
        <v>129</v>
      </c>
    </row>
    <row r="60" spans="1:11" x14ac:dyDescent="0.25">
      <c r="J60" s="66">
        <v>59</v>
      </c>
      <c r="K60" s="156" t="s">
        <v>129</v>
      </c>
    </row>
    <row r="61" spans="1:11" x14ac:dyDescent="0.25">
      <c r="J61" s="66">
        <v>60</v>
      </c>
      <c r="K61" s="157" t="s">
        <v>295</v>
      </c>
    </row>
    <row r="62" spans="1:11" x14ac:dyDescent="0.25">
      <c r="J62" s="66">
        <v>61</v>
      </c>
      <c r="K62" s="157" t="s">
        <v>295</v>
      </c>
    </row>
    <row r="63" spans="1:11" x14ac:dyDescent="0.25">
      <c r="J63" s="66">
        <v>62</v>
      </c>
      <c r="K63" s="157" t="s">
        <v>295</v>
      </c>
    </row>
    <row r="64" spans="1:11" x14ac:dyDescent="0.25">
      <c r="J64" s="66">
        <v>63</v>
      </c>
      <c r="K64" s="157" t="s">
        <v>295</v>
      </c>
    </row>
    <row r="65" spans="10:11" x14ac:dyDescent="0.25">
      <c r="J65" s="66">
        <v>64</v>
      </c>
      <c r="K65" s="157" t="s">
        <v>295</v>
      </c>
    </row>
    <row r="66" spans="10:11" x14ac:dyDescent="0.25">
      <c r="J66" s="66">
        <v>65</v>
      </c>
      <c r="K66" s="157" t="s">
        <v>295</v>
      </c>
    </row>
    <row r="67" spans="10:11" x14ac:dyDescent="0.25">
      <c r="J67" s="66">
        <v>66</v>
      </c>
      <c r="K67" s="157" t="s">
        <v>295</v>
      </c>
    </row>
    <row r="68" spans="10:11" x14ac:dyDescent="0.25">
      <c r="J68" s="66">
        <v>67</v>
      </c>
      <c r="K68" s="157" t="s">
        <v>295</v>
      </c>
    </row>
    <row r="69" spans="10:11" x14ac:dyDescent="0.25">
      <c r="J69" s="66">
        <v>68</v>
      </c>
      <c r="K69" s="157" t="s">
        <v>295</v>
      </c>
    </row>
    <row r="70" spans="10:11" x14ac:dyDescent="0.25">
      <c r="J70" s="66">
        <v>69</v>
      </c>
      <c r="K70" s="157" t="s">
        <v>295</v>
      </c>
    </row>
    <row r="71" spans="10:11" x14ac:dyDescent="0.25">
      <c r="J71" s="66">
        <v>70</v>
      </c>
      <c r="K71" s="157" t="s">
        <v>295</v>
      </c>
    </row>
    <row r="72" spans="10:11" x14ac:dyDescent="0.25">
      <c r="J72" s="66">
        <v>71</v>
      </c>
      <c r="K72" s="157" t="s">
        <v>295</v>
      </c>
    </row>
    <row r="73" spans="10:11" x14ac:dyDescent="0.25">
      <c r="J73" s="66">
        <v>72</v>
      </c>
      <c r="K73" s="157" t="s">
        <v>295</v>
      </c>
    </row>
    <row r="74" spans="10:11" x14ac:dyDescent="0.25">
      <c r="J74" s="66">
        <v>73</v>
      </c>
      <c r="K74" s="157" t="s">
        <v>295</v>
      </c>
    </row>
    <row r="75" spans="10:11" x14ac:dyDescent="0.25">
      <c r="J75" s="66">
        <v>74</v>
      </c>
      <c r="K75" s="157" t="s">
        <v>295</v>
      </c>
    </row>
    <row r="76" spans="10:11" x14ac:dyDescent="0.25">
      <c r="J76" s="66">
        <v>75</v>
      </c>
      <c r="K76" s="157" t="s">
        <v>295</v>
      </c>
    </row>
    <row r="77" spans="10:11" x14ac:dyDescent="0.25">
      <c r="J77" s="66">
        <v>76</v>
      </c>
      <c r="K77" s="157" t="s">
        <v>357</v>
      </c>
    </row>
    <row r="78" spans="10:11" x14ac:dyDescent="0.25">
      <c r="J78" s="66">
        <v>77</v>
      </c>
      <c r="K78" s="157" t="s">
        <v>357</v>
      </c>
    </row>
    <row r="79" spans="10:11" x14ac:dyDescent="0.25">
      <c r="J79" s="66">
        <v>78</v>
      </c>
      <c r="K79" s="157" t="s">
        <v>357</v>
      </c>
    </row>
    <row r="80" spans="10:11" x14ac:dyDescent="0.25">
      <c r="J80" s="66">
        <v>79</v>
      </c>
      <c r="K80" s="157" t="s">
        <v>357</v>
      </c>
    </row>
    <row r="81" spans="10:11" x14ac:dyDescent="0.25">
      <c r="J81" s="66">
        <v>80</v>
      </c>
      <c r="K81" s="157" t="s">
        <v>357</v>
      </c>
    </row>
    <row r="82" spans="10:11" x14ac:dyDescent="0.25">
      <c r="J82" s="66">
        <v>81</v>
      </c>
      <c r="K82" s="157" t="s">
        <v>357</v>
      </c>
    </row>
    <row r="83" spans="10:11" x14ac:dyDescent="0.25">
      <c r="J83" s="66">
        <v>82</v>
      </c>
      <c r="K83" s="157" t="s">
        <v>357</v>
      </c>
    </row>
    <row r="84" spans="10:11" x14ac:dyDescent="0.25">
      <c r="J84" s="66">
        <v>83</v>
      </c>
      <c r="K84" s="157" t="s">
        <v>357</v>
      </c>
    </row>
    <row r="85" spans="10:11" x14ac:dyDescent="0.25">
      <c r="J85" s="66">
        <v>84</v>
      </c>
      <c r="K85" s="157" t="s">
        <v>357</v>
      </c>
    </row>
    <row r="86" spans="10:11" x14ac:dyDescent="0.25">
      <c r="J86" s="66">
        <v>85</v>
      </c>
      <c r="K86" s="157" t="s">
        <v>357</v>
      </c>
    </row>
    <row r="87" spans="10:11" x14ac:dyDescent="0.25">
      <c r="J87" s="66">
        <v>86</v>
      </c>
      <c r="K87" s="157" t="s">
        <v>357</v>
      </c>
    </row>
    <row r="88" spans="10:11" x14ac:dyDescent="0.25">
      <c r="J88" s="66">
        <v>87</v>
      </c>
      <c r="K88" s="157" t="s">
        <v>357</v>
      </c>
    </row>
    <row r="89" spans="10:11" x14ac:dyDescent="0.25">
      <c r="J89" s="66">
        <v>88</v>
      </c>
      <c r="K89" s="157" t="s">
        <v>357</v>
      </c>
    </row>
    <row r="90" spans="10:11" x14ac:dyDescent="0.25">
      <c r="J90" s="66">
        <v>89</v>
      </c>
      <c r="K90" s="157" t="s">
        <v>357</v>
      </c>
    </row>
    <row r="91" spans="10:11" x14ac:dyDescent="0.25">
      <c r="J91" s="66">
        <v>90</v>
      </c>
      <c r="K91" s="157" t="s">
        <v>357</v>
      </c>
    </row>
    <row r="92" spans="10:11" x14ac:dyDescent="0.25">
      <c r="J92" s="66">
        <v>91</v>
      </c>
      <c r="K92" s="157" t="s">
        <v>357</v>
      </c>
    </row>
    <row r="93" spans="10:11" x14ac:dyDescent="0.25">
      <c r="J93" s="66">
        <v>92</v>
      </c>
      <c r="K93" s="157" t="s">
        <v>357</v>
      </c>
    </row>
    <row r="94" spans="10:11" x14ac:dyDescent="0.25">
      <c r="J94" s="66">
        <v>93</v>
      </c>
      <c r="K94" s="157" t="s">
        <v>357</v>
      </c>
    </row>
    <row r="95" spans="10:11" x14ac:dyDescent="0.25">
      <c r="J95" s="66">
        <v>94</v>
      </c>
      <c r="K95" s="157" t="s">
        <v>357</v>
      </c>
    </row>
    <row r="96" spans="10:11" x14ac:dyDescent="0.25">
      <c r="J96" s="66">
        <v>95</v>
      </c>
      <c r="K96" s="157" t="s">
        <v>357</v>
      </c>
    </row>
    <row r="97" spans="10:11" x14ac:dyDescent="0.25">
      <c r="J97" s="66">
        <v>96</v>
      </c>
      <c r="K97" s="157" t="s">
        <v>357</v>
      </c>
    </row>
    <row r="98" spans="10:11" x14ac:dyDescent="0.25">
      <c r="J98" s="66">
        <v>97</v>
      </c>
      <c r="K98" s="157" t="s">
        <v>357</v>
      </c>
    </row>
    <row r="99" spans="10:11" x14ac:dyDescent="0.25">
      <c r="J99" s="66">
        <v>98</v>
      </c>
      <c r="K99" s="157" t="s">
        <v>357</v>
      </c>
    </row>
    <row r="100" spans="10:11" x14ac:dyDescent="0.25">
      <c r="J100" s="66">
        <v>99</v>
      </c>
      <c r="K100" s="157" t="s">
        <v>357</v>
      </c>
    </row>
    <row r="101" spans="10:11" x14ac:dyDescent="0.25">
      <c r="J101" s="66">
        <v>100</v>
      </c>
      <c r="K101" s="157" t="s">
        <v>357</v>
      </c>
    </row>
  </sheetData>
  <sheetProtection selectLockedCell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Y119"/>
  <sheetViews>
    <sheetView zoomScale="70" zoomScaleNormal="70" workbookViewId="0">
      <selection activeCell="D29" sqref="D29"/>
    </sheetView>
  </sheetViews>
  <sheetFormatPr defaultColWidth="9.140625" defaultRowHeight="15" x14ac:dyDescent="0.25"/>
  <cols>
    <col min="1" max="1" width="9.140625" style="122"/>
    <col min="2" max="2" width="31" style="122" customWidth="1"/>
    <col min="3" max="3" width="27" style="122" customWidth="1"/>
    <col min="4" max="4" width="68.42578125" style="122" customWidth="1"/>
    <col min="5" max="5" width="96.5703125" style="122" customWidth="1"/>
    <col min="6" max="6" width="21.7109375" style="122" bestFit="1" customWidth="1"/>
    <col min="7" max="7" width="65.85546875" style="122" customWidth="1"/>
    <col min="8" max="8" width="25.7109375" style="122" customWidth="1"/>
    <col min="9" max="9" width="15.28515625" style="122" customWidth="1"/>
    <col min="10" max="10" width="9.140625" style="122" customWidth="1"/>
    <col min="11" max="11" width="18.85546875" style="122" customWidth="1"/>
    <col min="12" max="12" width="9.140625" style="122" customWidth="1"/>
    <col min="13" max="13" width="13.140625" style="122" customWidth="1"/>
    <col min="14" max="14" width="12.140625" style="122" customWidth="1"/>
    <col min="15" max="15" width="11" style="122" customWidth="1"/>
    <col min="16" max="16" width="19.85546875" style="122" customWidth="1"/>
    <col min="17" max="17" width="22" style="122" customWidth="1"/>
    <col min="18" max="18" width="16.5703125" style="122" customWidth="1"/>
    <col min="19" max="19" width="25.140625" style="122" customWidth="1"/>
    <col min="20" max="20" width="14.42578125" style="122" customWidth="1"/>
    <col min="21" max="23" width="9.140625" style="122" customWidth="1"/>
    <col min="24" max="16384" width="9.140625" style="122"/>
  </cols>
  <sheetData>
    <row r="1" spans="1:25" ht="28.5" x14ac:dyDescent="0.45">
      <c r="A1" s="171" t="s">
        <v>358</v>
      </c>
      <c r="B1" s="171" t="s">
        <v>389</v>
      </c>
      <c r="C1" s="171"/>
      <c r="D1" s="171"/>
      <c r="E1" s="171"/>
      <c r="F1" s="171"/>
      <c r="G1" s="171"/>
      <c r="H1" s="171"/>
    </row>
    <row r="2" spans="1:25" ht="28.5" x14ac:dyDescent="0.45">
      <c r="A2" s="171" t="s">
        <v>359</v>
      </c>
      <c r="B2" s="171" t="s">
        <v>367</v>
      </c>
      <c r="C2" s="171"/>
      <c r="D2" s="171"/>
      <c r="E2" s="171"/>
      <c r="F2" s="171"/>
      <c r="G2" s="171"/>
      <c r="H2" s="171"/>
    </row>
    <row r="3" spans="1:25" s="79" customFormat="1" ht="28.5" x14ac:dyDescent="0.45">
      <c r="A3" s="171" t="s">
        <v>363</v>
      </c>
      <c r="B3" s="171" t="s">
        <v>368</v>
      </c>
      <c r="C3" s="171"/>
      <c r="D3" s="171"/>
      <c r="E3" s="171"/>
      <c r="F3" s="171"/>
      <c r="G3" s="171"/>
      <c r="H3" s="171"/>
    </row>
    <row r="4" spans="1:25" s="79" customFormat="1" ht="28.5" x14ac:dyDescent="0.45">
      <c r="A4" s="171" t="s">
        <v>366</v>
      </c>
      <c r="B4" s="171" t="s">
        <v>364</v>
      </c>
      <c r="C4" s="171"/>
      <c r="D4" s="171"/>
      <c r="E4" s="171"/>
      <c r="F4" s="171"/>
      <c r="G4" s="171"/>
      <c r="H4" s="171"/>
    </row>
    <row r="5" spans="1:25" s="79" customFormat="1" ht="18.75" x14ac:dyDescent="0.3"/>
    <row r="6" spans="1:25" ht="19.5" thickBot="1" x14ac:dyDescent="0.35">
      <c r="B6" s="142" t="s">
        <v>203</v>
      </c>
      <c r="C6" s="43"/>
      <c r="D6" s="142" t="s">
        <v>365</v>
      </c>
      <c r="E6" s="80"/>
      <c r="G6" s="142" t="s">
        <v>380</v>
      </c>
      <c r="I6" s="98"/>
      <c r="K6" s="82"/>
      <c r="M6" s="98"/>
      <c r="N6" s="83"/>
      <c r="O6" s="98"/>
      <c r="P6" s="83"/>
      <c r="Q6" s="98"/>
      <c r="R6" s="83"/>
      <c r="S6" s="98"/>
      <c r="T6" s="83"/>
      <c r="U6" s="98"/>
      <c r="V6" s="83"/>
      <c r="W6" s="98"/>
      <c r="X6" s="83"/>
      <c r="Y6" s="98"/>
    </row>
    <row r="7" spans="1:25" ht="15.75" thickBot="1" x14ac:dyDescent="0.3">
      <c r="B7" s="158" t="s">
        <v>297</v>
      </c>
      <c r="D7" s="159" t="s">
        <v>300</v>
      </c>
      <c r="E7" s="83"/>
      <c r="G7" s="179" t="s">
        <v>381</v>
      </c>
      <c r="I7" s="82"/>
      <c r="K7" s="82"/>
      <c r="M7" s="98"/>
      <c r="N7" s="83"/>
      <c r="O7" s="98"/>
      <c r="P7" s="83"/>
      <c r="Q7" s="98"/>
      <c r="R7" s="83"/>
      <c r="S7" s="98"/>
      <c r="T7" s="83"/>
      <c r="U7" s="98"/>
      <c r="V7" s="83"/>
      <c r="W7" s="98"/>
      <c r="X7" s="83"/>
      <c r="Y7" s="98"/>
    </row>
    <row r="8" spans="1:25" x14ac:dyDescent="0.25">
      <c r="I8" s="98"/>
      <c r="K8" s="82"/>
      <c r="M8" s="98"/>
      <c r="N8" s="83"/>
      <c r="O8" s="83"/>
      <c r="P8" s="83"/>
      <c r="Q8" s="83"/>
      <c r="R8" s="83"/>
      <c r="S8" s="83"/>
      <c r="T8" s="83"/>
      <c r="U8" s="83"/>
      <c r="V8" s="83"/>
      <c r="W8" s="83"/>
      <c r="X8" s="83"/>
      <c r="Y8" s="83"/>
    </row>
    <row r="9" spans="1:25" ht="15.75" thickBot="1" x14ac:dyDescent="0.3">
      <c r="K9" s="82"/>
      <c r="M9" s="83"/>
      <c r="N9" s="83"/>
      <c r="O9" s="83"/>
      <c r="P9" s="83"/>
      <c r="Q9" s="83"/>
      <c r="R9" s="83"/>
      <c r="S9" s="83"/>
      <c r="T9" s="83"/>
      <c r="U9" s="83"/>
      <c r="V9" s="83"/>
      <c r="W9" s="83"/>
      <c r="X9" s="83"/>
      <c r="Y9" s="83"/>
    </row>
    <row r="10" spans="1:25" ht="19.5" thickBot="1" x14ac:dyDescent="0.3">
      <c r="B10" s="139" t="s">
        <v>294</v>
      </c>
      <c r="C10" s="137" t="s">
        <v>306</v>
      </c>
      <c r="D10" s="139" t="s">
        <v>303</v>
      </c>
      <c r="E10" s="137" t="s">
        <v>304</v>
      </c>
      <c r="F10" s="139" t="s">
        <v>208</v>
      </c>
      <c r="G10" s="138" t="s">
        <v>138</v>
      </c>
      <c r="H10" s="129"/>
      <c r="I10" s="129"/>
      <c r="K10" s="82"/>
      <c r="M10" s="82"/>
      <c r="N10" s="82"/>
      <c r="O10" s="82"/>
      <c r="P10" s="83"/>
      <c r="Q10" s="83"/>
      <c r="R10" s="83"/>
      <c r="S10" s="83"/>
      <c r="T10" s="83"/>
      <c r="U10" s="83"/>
      <c r="V10" s="83"/>
      <c r="W10" s="83"/>
      <c r="X10" s="83"/>
      <c r="Y10" s="83"/>
    </row>
    <row r="11" spans="1:25" ht="47.25" x14ac:dyDescent="0.25">
      <c r="B11" s="219" t="s">
        <v>321</v>
      </c>
      <c r="C11" s="175" t="s">
        <v>324</v>
      </c>
      <c r="D11" s="134" t="s">
        <v>371</v>
      </c>
      <c r="E11" s="136" t="s">
        <v>370</v>
      </c>
      <c r="F11" s="160" t="s">
        <v>212</v>
      </c>
      <c r="G11" s="213" t="s">
        <v>398</v>
      </c>
      <c r="H11" s="107"/>
      <c r="I11" s="108"/>
      <c r="M11" s="84"/>
      <c r="N11" s="130"/>
      <c r="O11" s="82"/>
      <c r="P11" s="83"/>
    </row>
    <row r="12" spans="1:25" ht="94.5" x14ac:dyDescent="0.25">
      <c r="B12" s="219"/>
      <c r="C12" s="176" t="str">
        <f>B7</f>
        <v>PROSPECT</v>
      </c>
      <c r="D12" s="141" t="s">
        <v>390</v>
      </c>
      <c r="E12" s="141" t="s">
        <v>399</v>
      </c>
      <c r="F12" s="161" t="s">
        <v>212</v>
      </c>
      <c r="G12" s="214"/>
      <c r="H12" s="107"/>
      <c r="I12" s="108"/>
      <c r="M12" s="84"/>
      <c r="N12" s="130"/>
      <c r="O12" s="82"/>
      <c r="P12" s="83"/>
    </row>
    <row r="13" spans="1:25" ht="47.25" x14ac:dyDescent="0.25">
      <c r="B13" s="219"/>
      <c r="C13" s="176" t="s">
        <v>323</v>
      </c>
      <c r="D13" s="141" t="s">
        <v>351</v>
      </c>
      <c r="E13" s="141" t="s">
        <v>386</v>
      </c>
      <c r="F13" s="161" t="s">
        <v>338</v>
      </c>
      <c r="G13" s="214"/>
      <c r="H13" s="107"/>
      <c r="I13" s="108"/>
      <c r="M13" s="84"/>
      <c r="N13" s="130"/>
      <c r="O13" s="82"/>
      <c r="P13" s="83"/>
    </row>
    <row r="14" spans="1:25" ht="63.75" thickBot="1" x14ac:dyDescent="0.3">
      <c r="B14" s="220"/>
      <c r="C14" s="177" t="str">
        <f>D7</f>
        <v>FARM-IN (drilling)</v>
      </c>
      <c r="D14" s="140" t="s">
        <v>392</v>
      </c>
      <c r="E14" s="140" t="s">
        <v>391</v>
      </c>
      <c r="F14" s="161" t="s">
        <v>211</v>
      </c>
      <c r="G14" s="215"/>
      <c r="H14" s="107"/>
      <c r="I14" s="108"/>
      <c r="M14" s="84"/>
      <c r="N14" s="130"/>
      <c r="O14" s="82"/>
      <c r="P14" s="83"/>
    </row>
    <row r="15" spans="1:25" ht="47.25" x14ac:dyDescent="0.25">
      <c r="B15" s="218" t="s">
        <v>362</v>
      </c>
      <c r="C15" s="175" t="s">
        <v>324</v>
      </c>
      <c r="D15" s="93" t="s">
        <v>372</v>
      </c>
      <c r="E15" s="93" t="s">
        <v>373</v>
      </c>
      <c r="F15" s="162" t="s">
        <v>212</v>
      </c>
      <c r="G15" s="221" t="s">
        <v>397</v>
      </c>
      <c r="H15" s="107"/>
      <c r="I15" s="108"/>
      <c r="M15" s="84"/>
      <c r="N15" s="130"/>
      <c r="O15" s="82"/>
      <c r="P15" s="82"/>
    </row>
    <row r="16" spans="1:25" ht="94.5" x14ac:dyDescent="0.25">
      <c r="B16" s="219"/>
      <c r="C16" s="176" t="str">
        <f>B7</f>
        <v>PROSPECT</v>
      </c>
      <c r="D16" s="95" t="s">
        <v>369</v>
      </c>
      <c r="E16" s="93" t="s">
        <v>388</v>
      </c>
      <c r="F16" s="163" t="s">
        <v>211</v>
      </c>
      <c r="G16" s="222"/>
      <c r="H16" s="107"/>
      <c r="I16" s="108"/>
      <c r="M16" s="84"/>
      <c r="N16" s="130"/>
      <c r="O16" s="82"/>
      <c r="P16" s="82"/>
    </row>
    <row r="17" spans="2:16" ht="31.5" x14ac:dyDescent="0.25">
      <c r="B17" s="219"/>
      <c r="C17" s="176" t="s">
        <v>323</v>
      </c>
      <c r="D17" s="93" t="s">
        <v>342</v>
      </c>
      <c r="E17" s="93" t="s">
        <v>343</v>
      </c>
      <c r="F17" s="163" t="s">
        <v>211</v>
      </c>
      <c r="G17" s="222"/>
      <c r="H17" s="107"/>
      <c r="I17" s="108"/>
      <c r="M17" s="84"/>
      <c r="N17" s="130"/>
      <c r="O17" s="82"/>
      <c r="P17" s="82"/>
    </row>
    <row r="18" spans="2:16" ht="48" thickBot="1" x14ac:dyDescent="0.3">
      <c r="B18" s="220"/>
      <c r="C18" s="176" t="str">
        <f>D7</f>
        <v>FARM-IN (drilling)</v>
      </c>
      <c r="D18" s="93" t="s">
        <v>355</v>
      </c>
      <c r="E18" s="93" t="s">
        <v>377</v>
      </c>
      <c r="F18" s="164" t="s">
        <v>211</v>
      </c>
      <c r="G18" s="223"/>
      <c r="H18" s="107"/>
      <c r="I18" s="108"/>
      <c r="M18" s="84"/>
      <c r="N18" s="130"/>
    </row>
    <row r="19" spans="2:16" ht="63" x14ac:dyDescent="0.25">
      <c r="B19" s="210" t="s">
        <v>44</v>
      </c>
      <c r="C19" s="175" t="s">
        <v>324</v>
      </c>
      <c r="D19" s="150" t="s">
        <v>315</v>
      </c>
      <c r="E19" s="150" t="s">
        <v>350</v>
      </c>
      <c r="F19" s="162" t="s">
        <v>216</v>
      </c>
      <c r="G19" s="213" t="s">
        <v>396</v>
      </c>
      <c r="H19" s="107"/>
      <c r="I19" s="108"/>
      <c r="M19" s="84"/>
      <c r="N19" s="130"/>
    </row>
    <row r="20" spans="2:16" ht="63" x14ac:dyDescent="0.25">
      <c r="B20" s="211"/>
      <c r="C20" s="176" t="str">
        <f>B7</f>
        <v>PROSPECT</v>
      </c>
      <c r="D20" s="151" t="s">
        <v>356</v>
      </c>
      <c r="E20" s="151" t="s">
        <v>349</v>
      </c>
      <c r="F20" s="163" t="s">
        <v>216</v>
      </c>
      <c r="G20" s="214"/>
      <c r="H20" s="107"/>
      <c r="I20" s="108"/>
      <c r="M20" s="84"/>
      <c r="N20" s="130"/>
    </row>
    <row r="21" spans="2:16" ht="78.75" x14ac:dyDescent="0.25">
      <c r="B21" s="211"/>
      <c r="C21" s="176" t="s">
        <v>325</v>
      </c>
      <c r="D21" s="152" t="s">
        <v>326</v>
      </c>
      <c r="E21" s="151" t="s">
        <v>348</v>
      </c>
      <c r="F21" s="163" t="s">
        <v>211</v>
      </c>
      <c r="G21" s="214"/>
      <c r="H21" s="107"/>
      <c r="I21" s="108"/>
      <c r="M21" s="84"/>
      <c r="N21" s="130"/>
    </row>
    <row r="22" spans="2:16" ht="79.5" thickBot="1" x14ac:dyDescent="0.3">
      <c r="B22" s="212"/>
      <c r="C22" s="177" t="str">
        <f>D7</f>
        <v>FARM-IN (drilling)</v>
      </c>
      <c r="D22" s="153" t="s">
        <v>361</v>
      </c>
      <c r="E22" s="94" t="s">
        <v>400</v>
      </c>
      <c r="F22" s="164" t="s">
        <v>211</v>
      </c>
      <c r="G22" s="215"/>
      <c r="H22" s="107"/>
      <c r="I22" s="108"/>
      <c r="M22" s="84"/>
      <c r="N22" s="130"/>
    </row>
    <row r="23" spans="2:16" ht="31.5" customHeight="1" x14ac:dyDescent="0.25">
      <c r="B23" s="210" t="s">
        <v>9</v>
      </c>
      <c r="C23" s="172" t="s">
        <v>324</v>
      </c>
      <c r="D23" s="92" t="s">
        <v>378</v>
      </c>
      <c r="E23" s="92" t="s">
        <v>379</v>
      </c>
      <c r="F23" s="162" t="s">
        <v>216</v>
      </c>
      <c r="G23" s="213" t="s">
        <v>395</v>
      </c>
      <c r="H23" s="107"/>
      <c r="I23" s="108"/>
      <c r="M23" s="84"/>
      <c r="N23" s="130"/>
    </row>
    <row r="24" spans="2:16" ht="47.25" x14ac:dyDescent="0.25">
      <c r="B24" s="211"/>
      <c r="C24" s="173" t="str">
        <f>B7</f>
        <v>PROSPECT</v>
      </c>
      <c r="D24" s="93" t="s">
        <v>314</v>
      </c>
      <c r="E24" s="93" t="s">
        <v>352</v>
      </c>
      <c r="F24" s="163" t="s">
        <v>211</v>
      </c>
      <c r="G24" s="214"/>
      <c r="H24" s="107"/>
      <c r="I24" s="108"/>
      <c r="M24" s="84"/>
      <c r="N24" s="130"/>
    </row>
    <row r="25" spans="2:16" ht="31.5" x14ac:dyDescent="0.25">
      <c r="B25" s="211"/>
      <c r="C25" s="173" t="s">
        <v>325</v>
      </c>
      <c r="D25" s="93" t="s">
        <v>305</v>
      </c>
      <c r="E25" s="132" t="s">
        <v>344</v>
      </c>
      <c r="F25" s="163" t="s">
        <v>211</v>
      </c>
      <c r="G25" s="214"/>
      <c r="H25" s="107"/>
      <c r="I25" s="108"/>
      <c r="M25" s="84"/>
      <c r="N25" s="130"/>
    </row>
    <row r="26" spans="2:16" ht="32.25" thickBot="1" x14ac:dyDescent="0.3">
      <c r="B26" s="212"/>
      <c r="C26" s="174" t="str">
        <f>D7</f>
        <v>FARM-IN (drilling)</v>
      </c>
      <c r="D26" s="94" t="s">
        <v>316</v>
      </c>
      <c r="E26" s="94" t="s">
        <v>345</v>
      </c>
      <c r="F26" s="164" t="s">
        <v>212</v>
      </c>
      <c r="G26" s="215"/>
      <c r="H26" s="107"/>
      <c r="I26" s="108"/>
      <c r="M26" s="84"/>
      <c r="N26" s="130"/>
    </row>
    <row r="27" spans="2:16" ht="18.75" x14ac:dyDescent="0.25">
      <c r="B27" s="216" t="s">
        <v>32</v>
      </c>
      <c r="C27" s="172" t="s">
        <v>324</v>
      </c>
      <c r="D27" s="92" t="s">
        <v>318</v>
      </c>
      <c r="E27" s="92" t="s">
        <v>346</v>
      </c>
      <c r="F27" s="162" t="s">
        <v>211</v>
      </c>
      <c r="G27" s="213" t="s">
        <v>393</v>
      </c>
      <c r="H27" s="107"/>
      <c r="I27" s="108"/>
      <c r="M27" s="84"/>
      <c r="N27" s="130"/>
    </row>
    <row r="28" spans="2:16" ht="31.5" x14ac:dyDescent="0.25">
      <c r="B28" s="217"/>
      <c r="C28" s="173" t="str">
        <f>B7</f>
        <v>PROSPECT</v>
      </c>
      <c r="D28" s="95" t="s">
        <v>374</v>
      </c>
      <c r="E28" s="95" t="s">
        <v>375</v>
      </c>
      <c r="F28" s="163" t="s">
        <v>211</v>
      </c>
      <c r="G28" s="214"/>
      <c r="H28" s="107"/>
      <c r="I28" s="108"/>
      <c r="M28" s="84"/>
      <c r="N28" s="130"/>
    </row>
    <row r="29" spans="2:16" ht="47.25" x14ac:dyDescent="0.25">
      <c r="B29" s="217"/>
      <c r="C29" s="173" t="s">
        <v>325</v>
      </c>
      <c r="D29" s="95" t="s">
        <v>319</v>
      </c>
      <c r="E29" s="95" t="s">
        <v>347</v>
      </c>
      <c r="F29" s="163" t="s">
        <v>211</v>
      </c>
      <c r="G29" s="214"/>
      <c r="H29" s="107"/>
      <c r="I29" s="108"/>
      <c r="M29" s="84"/>
      <c r="N29" s="130"/>
    </row>
    <row r="30" spans="2:16" ht="111" thickBot="1" x14ac:dyDescent="0.3">
      <c r="B30" s="217"/>
      <c r="C30" s="174" t="str">
        <f>D7</f>
        <v>FARM-IN (drilling)</v>
      </c>
      <c r="D30" s="94" t="s">
        <v>384</v>
      </c>
      <c r="E30" s="94" t="s">
        <v>387</v>
      </c>
      <c r="F30" s="164" t="s">
        <v>211</v>
      </c>
      <c r="G30" s="215"/>
      <c r="H30" s="107"/>
      <c r="I30" s="108"/>
      <c r="M30" s="84"/>
      <c r="N30" s="130"/>
    </row>
    <row r="31" spans="2:16" ht="47.25" x14ac:dyDescent="0.25">
      <c r="B31" s="218" t="s">
        <v>248</v>
      </c>
      <c r="C31" s="172" t="s">
        <v>324</v>
      </c>
      <c r="D31" s="93" t="s">
        <v>382</v>
      </c>
      <c r="E31" s="134" t="s">
        <v>385</v>
      </c>
      <c r="F31" s="162" t="s">
        <v>211</v>
      </c>
      <c r="G31" s="213" t="s">
        <v>394</v>
      </c>
      <c r="H31" s="107"/>
      <c r="I31" s="108"/>
      <c r="M31" s="84"/>
      <c r="N31" s="130"/>
    </row>
    <row r="32" spans="2:16" ht="47.25" x14ac:dyDescent="0.25">
      <c r="B32" s="219"/>
      <c r="C32" s="173" t="str">
        <f>B7</f>
        <v>PROSPECT</v>
      </c>
      <c r="D32" s="93" t="s">
        <v>360</v>
      </c>
      <c r="E32" s="141" t="s">
        <v>383</v>
      </c>
      <c r="F32" s="163" t="s">
        <v>211</v>
      </c>
      <c r="G32" s="214"/>
      <c r="H32" s="107"/>
      <c r="I32" s="108"/>
      <c r="M32" s="84"/>
      <c r="N32" s="130"/>
    </row>
    <row r="33" spans="2:19" ht="31.5" x14ac:dyDescent="0.25">
      <c r="B33" s="219"/>
      <c r="C33" s="173" t="s">
        <v>325</v>
      </c>
      <c r="D33" s="93" t="s">
        <v>354</v>
      </c>
      <c r="E33" s="141" t="s">
        <v>333</v>
      </c>
      <c r="F33" s="163" t="s">
        <v>211</v>
      </c>
      <c r="G33" s="214"/>
      <c r="M33" s="84"/>
      <c r="N33" s="130"/>
    </row>
    <row r="34" spans="2:19" ht="32.25" thickBot="1" x14ac:dyDescent="0.3">
      <c r="B34" s="220"/>
      <c r="C34" s="174" t="str">
        <f>D7</f>
        <v>FARM-IN (drilling)</v>
      </c>
      <c r="D34" s="94" t="s">
        <v>337</v>
      </c>
      <c r="E34" s="140" t="s">
        <v>320</v>
      </c>
      <c r="F34" s="164" t="s">
        <v>211</v>
      </c>
      <c r="G34" s="215"/>
      <c r="I34" s="109"/>
      <c r="M34" s="84"/>
      <c r="N34" s="130"/>
    </row>
    <row r="35" spans="2:19" x14ac:dyDescent="0.25">
      <c r="I35" s="109"/>
      <c r="M35" s="84"/>
      <c r="N35" s="130"/>
    </row>
    <row r="36" spans="2:19" x14ac:dyDescent="0.25">
      <c r="I36" s="109"/>
      <c r="M36" s="84"/>
      <c r="N36" s="130"/>
    </row>
    <row r="37" spans="2:19" x14ac:dyDescent="0.25">
      <c r="I37" s="109"/>
      <c r="M37" s="84"/>
      <c r="N37" s="130"/>
    </row>
    <row r="38" spans="2:19" x14ac:dyDescent="0.25">
      <c r="I38" s="109"/>
      <c r="M38" s="84"/>
      <c r="N38" s="130"/>
    </row>
    <row r="39" spans="2:19" x14ac:dyDescent="0.25">
      <c r="I39" s="109"/>
      <c r="M39" s="84"/>
      <c r="N39" s="130"/>
      <c r="S39" s="43"/>
    </row>
    <row r="40" spans="2:19" x14ac:dyDescent="0.25">
      <c r="M40" s="84"/>
      <c r="N40" s="130"/>
    </row>
    <row r="41" spans="2:19" x14ac:dyDescent="0.25">
      <c r="M41" s="84"/>
      <c r="N41" s="130"/>
    </row>
    <row r="42" spans="2:19" x14ac:dyDescent="0.25">
      <c r="M42" s="84"/>
      <c r="N42" s="130"/>
    </row>
    <row r="43" spans="2:19" x14ac:dyDescent="0.25">
      <c r="M43" s="84"/>
      <c r="N43" s="130"/>
    </row>
    <row r="44" spans="2:19" x14ac:dyDescent="0.25">
      <c r="M44" s="84"/>
      <c r="N44" s="130"/>
    </row>
    <row r="45" spans="2:19" x14ac:dyDescent="0.25">
      <c r="M45" s="84"/>
      <c r="N45" s="130"/>
    </row>
    <row r="46" spans="2:19" x14ac:dyDescent="0.25">
      <c r="M46" s="84"/>
      <c r="N46" s="130"/>
    </row>
    <row r="47" spans="2:19" x14ac:dyDescent="0.25">
      <c r="M47" s="84"/>
      <c r="N47" s="130"/>
    </row>
    <row r="48" spans="2:19" x14ac:dyDescent="0.25">
      <c r="M48" s="84"/>
      <c r="N48" s="130"/>
    </row>
    <row r="49" spans="13:14" x14ac:dyDescent="0.25">
      <c r="M49" s="84"/>
      <c r="N49" s="130"/>
    </row>
    <row r="50" spans="13:14" x14ac:dyDescent="0.25">
      <c r="M50" s="84"/>
      <c r="N50" s="130"/>
    </row>
    <row r="51" spans="13:14" x14ac:dyDescent="0.25">
      <c r="M51" s="84"/>
      <c r="N51" s="130"/>
    </row>
    <row r="52" spans="13:14" x14ac:dyDescent="0.25">
      <c r="M52" s="84"/>
      <c r="N52" s="130"/>
    </row>
    <row r="53" spans="13:14" x14ac:dyDescent="0.25">
      <c r="M53" s="84"/>
      <c r="N53" s="130"/>
    </row>
    <row r="54" spans="13:14" x14ac:dyDescent="0.25">
      <c r="M54" s="84"/>
      <c r="N54" s="130"/>
    </row>
    <row r="55" spans="13:14" x14ac:dyDescent="0.25">
      <c r="M55" s="84"/>
      <c r="N55" s="130"/>
    </row>
    <row r="56" spans="13:14" x14ac:dyDescent="0.25">
      <c r="M56" s="84"/>
      <c r="N56" s="130"/>
    </row>
    <row r="57" spans="13:14" x14ac:dyDescent="0.25">
      <c r="M57" s="84"/>
      <c r="N57" s="130"/>
    </row>
    <row r="58" spans="13:14" x14ac:dyDescent="0.25">
      <c r="M58" s="84"/>
      <c r="N58" s="130"/>
    </row>
    <row r="59" spans="13:14" x14ac:dyDescent="0.25">
      <c r="M59" s="84"/>
      <c r="N59" s="130"/>
    </row>
    <row r="60" spans="13:14" x14ac:dyDescent="0.25">
      <c r="M60" s="84"/>
      <c r="N60" s="130"/>
    </row>
    <row r="61" spans="13:14" x14ac:dyDescent="0.25">
      <c r="M61" s="84"/>
      <c r="N61" s="130"/>
    </row>
    <row r="62" spans="13:14" x14ac:dyDescent="0.25">
      <c r="M62" s="84"/>
      <c r="N62" s="130"/>
    </row>
    <row r="63" spans="13:14" x14ac:dyDescent="0.25">
      <c r="M63" s="84"/>
      <c r="N63" s="130"/>
    </row>
    <row r="64" spans="13:14" x14ac:dyDescent="0.25">
      <c r="M64" s="84"/>
      <c r="N64" s="130"/>
    </row>
    <row r="65" spans="13:14" x14ac:dyDescent="0.25">
      <c r="M65" s="84"/>
      <c r="N65" s="130"/>
    </row>
    <row r="66" spans="13:14" x14ac:dyDescent="0.25">
      <c r="M66" s="84"/>
      <c r="N66" s="130"/>
    </row>
    <row r="67" spans="13:14" x14ac:dyDescent="0.25">
      <c r="M67" s="84"/>
      <c r="N67" s="130"/>
    </row>
    <row r="68" spans="13:14" x14ac:dyDescent="0.25">
      <c r="M68" s="84"/>
      <c r="N68" s="130"/>
    </row>
    <row r="69" spans="13:14" x14ac:dyDescent="0.25">
      <c r="M69" s="84"/>
      <c r="N69" s="130"/>
    </row>
    <row r="70" spans="13:14" x14ac:dyDescent="0.25">
      <c r="M70" s="84"/>
      <c r="N70" s="130"/>
    </row>
    <row r="71" spans="13:14" x14ac:dyDescent="0.25">
      <c r="M71" s="84"/>
      <c r="N71" s="130"/>
    </row>
    <row r="72" spans="13:14" x14ac:dyDescent="0.25">
      <c r="M72" s="84"/>
      <c r="N72" s="130"/>
    </row>
    <row r="73" spans="13:14" x14ac:dyDescent="0.25">
      <c r="M73" s="84"/>
      <c r="N73" s="130"/>
    </row>
    <row r="74" spans="13:14" x14ac:dyDescent="0.25">
      <c r="M74" s="84"/>
      <c r="N74" s="130"/>
    </row>
    <row r="75" spans="13:14" x14ac:dyDescent="0.25">
      <c r="M75" s="84"/>
      <c r="N75" s="130"/>
    </row>
    <row r="76" spans="13:14" x14ac:dyDescent="0.25">
      <c r="M76" s="84"/>
      <c r="N76" s="130"/>
    </row>
    <row r="77" spans="13:14" x14ac:dyDescent="0.25">
      <c r="M77" s="84"/>
      <c r="N77" s="130"/>
    </row>
    <row r="78" spans="13:14" x14ac:dyDescent="0.25">
      <c r="M78" s="84"/>
      <c r="N78" s="130"/>
    </row>
    <row r="79" spans="13:14" x14ac:dyDescent="0.25">
      <c r="M79" s="84"/>
      <c r="N79" s="130"/>
    </row>
    <row r="80" spans="13:14" x14ac:dyDescent="0.25">
      <c r="M80" s="84"/>
      <c r="N80" s="130"/>
    </row>
    <row r="81" spans="1:14" x14ac:dyDescent="0.25">
      <c r="M81" s="84"/>
      <c r="N81" s="130"/>
    </row>
    <row r="82" spans="1:14" x14ac:dyDescent="0.25">
      <c r="M82" s="84"/>
      <c r="N82" s="130"/>
    </row>
    <row r="83" spans="1:14" x14ac:dyDescent="0.25">
      <c r="M83" s="84"/>
      <c r="N83" s="130"/>
    </row>
    <row r="84" spans="1:14" x14ac:dyDescent="0.25">
      <c r="M84" s="84"/>
      <c r="N84" s="130"/>
    </row>
    <row r="85" spans="1:14" x14ac:dyDescent="0.25">
      <c r="M85" s="84"/>
      <c r="N85" s="130"/>
    </row>
    <row r="86" spans="1:14" x14ac:dyDescent="0.25">
      <c r="M86" s="84"/>
      <c r="N86" s="133"/>
    </row>
    <row r="87" spans="1:14" x14ac:dyDescent="0.25">
      <c r="M87" s="84"/>
      <c r="N87" s="133"/>
    </row>
    <row r="88" spans="1:14" x14ac:dyDescent="0.25">
      <c r="M88" s="84"/>
      <c r="N88" s="133"/>
    </row>
    <row r="89" spans="1:14" x14ac:dyDescent="0.25">
      <c r="M89" s="84"/>
      <c r="N89" s="133"/>
    </row>
    <row r="90" spans="1:14" x14ac:dyDescent="0.25">
      <c r="M90" s="84"/>
      <c r="N90" s="133"/>
    </row>
    <row r="91" spans="1:14" x14ac:dyDescent="0.25">
      <c r="M91" s="84"/>
      <c r="N91" s="133"/>
    </row>
    <row r="92" spans="1:14" x14ac:dyDescent="0.25">
      <c r="M92" s="84"/>
      <c r="N92" s="133"/>
    </row>
    <row r="93" spans="1:14" x14ac:dyDescent="0.25">
      <c r="M93" s="84"/>
      <c r="N93" s="133"/>
    </row>
    <row r="94" spans="1:14" x14ac:dyDescent="0.25">
      <c r="M94" s="84"/>
      <c r="N94" s="133"/>
    </row>
    <row r="95" spans="1:14" x14ac:dyDescent="0.25">
      <c r="A95" s="147" t="s">
        <v>313</v>
      </c>
      <c r="B95" s="147" t="s">
        <v>307</v>
      </c>
      <c r="C95" s="147" t="s">
        <v>308</v>
      </c>
      <c r="D95" s="147" t="s">
        <v>309</v>
      </c>
      <c r="E95" s="147" t="s">
        <v>310</v>
      </c>
      <c r="F95" s="147" t="s">
        <v>311</v>
      </c>
      <c r="M95" s="84"/>
      <c r="N95" s="133"/>
    </row>
    <row r="96" spans="1:14" x14ac:dyDescent="0.25">
      <c r="A96" s="147" t="s">
        <v>321</v>
      </c>
      <c r="B96" s="148">
        <v>90</v>
      </c>
      <c r="C96" s="148">
        <v>70</v>
      </c>
      <c r="D96" s="148">
        <v>50</v>
      </c>
      <c r="E96" s="148">
        <v>30</v>
      </c>
      <c r="F96" s="148">
        <v>10</v>
      </c>
      <c r="M96" s="84"/>
      <c r="N96" s="133"/>
    </row>
    <row r="97" spans="1:14" x14ac:dyDescent="0.25">
      <c r="A97" s="147" t="s">
        <v>341</v>
      </c>
      <c r="B97" s="148">
        <v>90</v>
      </c>
      <c r="C97" s="148">
        <v>70</v>
      </c>
      <c r="D97" s="148">
        <v>50</v>
      </c>
      <c r="E97" s="148">
        <v>30</v>
      </c>
      <c r="F97" s="148">
        <v>10</v>
      </c>
      <c r="M97" s="84"/>
      <c r="N97" s="133"/>
    </row>
    <row r="98" spans="1:14" x14ac:dyDescent="0.25">
      <c r="A98" s="147" t="s">
        <v>44</v>
      </c>
      <c r="B98" s="148">
        <v>90</v>
      </c>
      <c r="C98" s="148">
        <v>70</v>
      </c>
      <c r="D98" s="148">
        <v>50</v>
      </c>
      <c r="E98" s="148">
        <v>30</v>
      </c>
      <c r="F98" s="148">
        <v>10</v>
      </c>
      <c r="M98" s="84"/>
      <c r="N98" s="133"/>
    </row>
    <row r="99" spans="1:14" x14ac:dyDescent="0.25">
      <c r="A99" s="147" t="s">
        <v>9</v>
      </c>
      <c r="B99" s="148">
        <v>90</v>
      </c>
      <c r="C99" s="148">
        <v>70</v>
      </c>
      <c r="D99" s="148">
        <v>50</v>
      </c>
      <c r="E99" s="148">
        <v>30</v>
      </c>
      <c r="F99" s="148">
        <v>10</v>
      </c>
      <c r="M99" s="84"/>
      <c r="N99" s="133"/>
    </row>
    <row r="100" spans="1:14" x14ac:dyDescent="0.25">
      <c r="A100" s="147" t="s">
        <v>32</v>
      </c>
      <c r="B100" s="148">
        <v>90</v>
      </c>
      <c r="C100" s="148">
        <v>70</v>
      </c>
      <c r="D100" s="148">
        <v>50</v>
      </c>
      <c r="E100" s="148">
        <v>30</v>
      </c>
      <c r="F100" s="148">
        <v>10</v>
      </c>
      <c r="M100" s="84"/>
      <c r="N100" s="133"/>
    </row>
    <row r="101" spans="1:14" x14ac:dyDescent="0.25">
      <c r="A101" s="147" t="s">
        <v>248</v>
      </c>
      <c r="B101" s="148">
        <v>90</v>
      </c>
      <c r="C101" s="148">
        <v>70</v>
      </c>
      <c r="D101" s="148">
        <v>50</v>
      </c>
      <c r="E101" s="148">
        <v>30</v>
      </c>
      <c r="F101" s="148">
        <v>10</v>
      </c>
      <c r="M101" s="84"/>
      <c r="N101" s="133"/>
    </row>
    <row r="102" spans="1:14" x14ac:dyDescent="0.25">
      <c r="M102" s="84"/>
      <c r="N102" s="133"/>
    </row>
    <row r="103" spans="1:14" x14ac:dyDescent="0.25">
      <c r="M103" s="84"/>
      <c r="N103" s="133"/>
    </row>
    <row r="104" spans="1:14" x14ac:dyDescent="0.25">
      <c r="M104" s="84"/>
      <c r="N104" s="133"/>
    </row>
    <row r="105" spans="1:14" x14ac:dyDescent="0.25">
      <c r="M105" s="84"/>
      <c r="N105" s="133"/>
    </row>
    <row r="106" spans="1:14" x14ac:dyDescent="0.25">
      <c r="M106" s="84"/>
      <c r="N106" s="133"/>
    </row>
    <row r="107" spans="1:14" x14ac:dyDescent="0.25">
      <c r="M107" s="84"/>
      <c r="N107" s="133"/>
    </row>
    <row r="108" spans="1:14" x14ac:dyDescent="0.25">
      <c r="M108" s="84"/>
      <c r="N108" s="133"/>
    </row>
    <row r="109" spans="1:14" x14ac:dyDescent="0.25">
      <c r="M109" s="84"/>
      <c r="N109" s="133"/>
    </row>
    <row r="110" spans="1:14" x14ac:dyDescent="0.25">
      <c r="M110" s="84"/>
      <c r="N110" s="133"/>
    </row>
    <row r="111" spans="1:14" x14ac:dyDescent="0.25">
      <c r="M111" s="84"/>
      <c r="N111" s="133"/>
    </row>
    <row r="112" spans="1:14" x14ac:dyDescent="0.25">
      <c r="M112" s="84"/>
      <c r="N112" s="133"/>
    </row>
    <row r="113" spans="13:14" x14ac:dyDescent="0.25">
      <c r="M113" s="84"/>
      <c r="N113" s="133"/>
    </row>
    <row r="114" spans="13:14" x14ac:dyDescent="0.25">
      <c r="M114" s="84"/>
      <c r="N114" s="133"/>
    </row>
    <row r="115" spans="13:14" x14ac:dyDescent="0.25">
      <c r="M115" s="84"/>
      <c r="N115" s="131"/>
    </row>
    <row r="116" spans="13:14" x14ac:dyDescent="0.25">
      <c r="M116" s="84"/>
      <c r="N116" s="131"/>
    </row>
    <row r="117" spans="13:14" x14ac:dyDescent="0.25">
      <c r="M117" s="84"/>
      <c r="N117" s="131"/>
    </row>
    <row r="118" spans="13:14" x14ac:dyDescent="0.25">
      <c r="M118" s="84"/>
      <c r="N118" s="131"/>
    </row>
    <row r="119" spans="13:14" x14ac:dyDescent="0.25">
      <c r="M119" s="84"/>
      <c r="N119" s="131"/>
    </row>
  </sheetData>
  <sheetProtection selectLockedCells="1"/>
  <mergeCells count="12">
    <mergeCell ref="B11:B14"/>
    <mergeCell ref="G11:G14"/>
    <mergeCell ref="B15:B18"/>
    <mergeCell ref="G15:G18"/>
    <mergeCell ref="B19:B22"/>
    <mergeCell ref="G19:G22"/>
    <mergeCell ref="B23:B26"/>
    <mergeCell ref="G23:G26"/>
    <mergeCell ref="B27:B30"/>
    <mergeCell ref="G27:G30"/>
    <mergeCell ref="B31:B34"/>
    <mergeCell ref="G31:G34"/>
  </mergeCells>
  <conditionalFormatting sqref="F19">
    <cfRule type="colorScale" priority="13">
      <colorScale>
        <cfvo type="min"/>
        <cfvo type="percentile" val="50"/>
        <cfvo type="max"/>
        <color rgb="FF63BE7B"/>
        <color rgb="FFFFEB84"/>
        <color rgb="FFF8696B"/>
      </colorScale>
    </cfRule>
  </conditionalFormatting>
  <conditionalFormatting sqref="F22">
    <cfRule type="colorScale" priority="12">
      <colorScale>
        <cfvo type="min"/>
        <cfvo type="percentile" val="50"/>
        <cfvo type="max"/>
        <color rgb="FF63BE7B"/>
        <color rgb="FFFFEB84"/>
        <color rgb="FFF8696B"/>
      </colorScale>
    </cfRule>
  </conditionalFormatting>
  <conditionalFormatting sqref="F20:F21">
    <cfRule type="colorScale" priority="11">
      <colorScale>
        <cfvo type="min"/>
        <cfvo type="percentile" val="50"/>
        <cfvo type="max"/>
        <color rgb="FF63BE7B"/>
        <color rgb="FFFFEB84"/>
        <color rgb="FFF8696B"/>
      </colorScale>
    </cfRule>
  </conditionalFormatting>
  <conditionalFormatting sqref="F23:F24">
    <cfRule type="colorScale" priority="10">
      <colorScale>
        <cfvo type="min"/>
        <cfvo type="percentile" val="50"/>
        <cfvo type="max"/>
        <color rgb="FF63BE7B"/>
        <color rgb="FFFFEB84"/>
        <color rgb="FFF8696B"/>
      </colorScale>
    </cfRule>
  </conditionalFormatting>
  <conditionalFormatting sqref="F25">
    <cfRule type="colorScale" priority="9">
      <colorScale>
        <cfvo type="min"/>
        <cfvo type="percentile" val="50"/>
        <cfvo type="max"/>
        <color rgb="FF63BE7B"/>
        <color rgb="FFFFEB84"/>
        <color rgb="FFF8696B"/>
      </colorScale>
    </cfRule>
  </conditionalFormatting>
  <conditionalFormatting sqref="F26">
    <cfRule type="colorScale" priority="8">
      <colorScale>
        <cfvo type="min"/>
        <cfvo type="percentile" val="50"/>
        <cfvo type="max"/>
        <color rgb="FF63BE7B"/>
        <color rgb="FFFFEB84"/>
        <color rgb="FFF8696B"/>
      </colorScale>
    </cfRule>
  </conditionalFormatting>
  <conditionalFormatting sqref="F27">
    <cfRule type="colorScale" priority="7">
      <colorScale>
        <cfvo type="min"/>
        <cfvo type="percentile" val="50"/>
        <cfvo type="max"/>
        <color rgb="FF63BE7B"/>
        <color rgb="FFFFEB84"/>
        <color rgb="FFF8696B"/>
      </colorScale>
    </cfRule>
  </conditionalFormatting>
  <conditionalFormatting sqref="F28:F29">
    <cfRule type="colorScale" priority="6">
      <colorScale>
        <cfvo type="min"/>
        <cfvo type="percentile" val="50"/>
        <cfvo type="max"/>
        <color rgb="FF63BE7B"/>
        <color rgb="FFFFEB84"/>
        <color rgb="FFF8696B"/>
      </colorScale>
    </cfRule>
  </conditionalFormatting>
  <conditionalFormatting sqref="F30">
    <cfRule type="colorScale" priority="5">
      <colorScale>
        <cfvo type="min"/>
        <cfvo type="percentile" val="50"/>
        <cfvo type="max"/>
        <color rgb="FF63BE7B"/>
        <color rgb="FFFFEB84"/>
        <color rgb="FFF8696B"/>
      </colorScale>
    </cfRule>
  </conditionalFormatting>
  <conditionalFormatting sqref="F31">
    <cfRule type="colorScale" priority="4">
      <colorScale>
        <cfvo type="min"/>
        <cfvo type="percentile" val="50"/>
        <cfvo type="max"/>
        <color rgb="FF63BE7B"/>
        <color rgb="FFFFEB84"/>
        <color rgb="FFF8696B"/>
      </colorScale>
    </cfRule>
  </conditionalFormatting>
  <conditionalFormatting sqref="F32">
    <cfRule type="colorScale" priority="3">
      <colorScale>
        <cfvo type="min"/>
        <cfvo type="percentile" val="50"/>
        <cfvo type="max"/>
        <color rgb="FF63BE7B"/>
        <color rgb="FFFFEB84"/>
        <color rgb="FFF8696B"/>
      </colorScale>
    </cfRule>
  </conditionalFormatting>
  <conditionalFormatting sqref="F33">
    <cfRule type="colorScale" priority="2">
      <colorScale>
        <cfvo type="min"/>
        <cfvo type="percentile" val="50"/>
        <cfvo type="max"/>
        <color rgb="FF63BE7B"/>
        <color rgb="FFFFEB84"/>
        <color rgb="FFF8696B"/>
      </colorScale>
    </cfRule>
  </conditionalFormatting>
  <conditionalFormatting sqref="F34">
    <cfRule type="colorScale" priority="1">
      <colorScale>
        <cfvo type="min"/>
        <cfvo type="percentile" val="50"/>
        <cfvo type="max"/>
        <color rgb="FF63BE7B"/>
        <color rgb="FFFFEB84"/>
        <color rgb="FFF8696B"/>
      </colorScale>
    </cfRule>
  </conditionalFormatting>
  <conditionalFormatting sqref="F11:F13">
    <cfRule type="colorScale" priority="14">
      <colorScale>
        <cfvo type="min"/>
        <cfvo type="percentile" val="50"/>
        <cfvo type="max"/>
        <color rgb="FF63BE7B"/>
        <color rgb="FFFFEB84"/>
        <color rgb="FFF8696B"/>
      </colorScale>
    </cfRule>
  </conditionalFormatting>
  <conditionalFormatting sqref="F14:F18">
    <cfRule type="colorScale" priority="15">
      <colorScale>
        <cfvo type="min"/>
        <cfvo type="percentile" val="50"/>
        <cfvo type="max"/>
        <color rgb="FF63BE7B"/>
        <color rgb="FFFFEB84"/>
        <color rgb="FFF8696B"/>
      </colorScale>
    </cfRule>
  </conditionalFormatting>
  <dataValidations count="1">
    <dataValidation type="list" allowBlank="1" showInputMessage="1" showErrorMessage="1" sqref="E7" xr:uid="{00000000-0002-0000-0D00-000000000000}">
      <formula1>$K$4:$K$10</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D00-000001000000}">
          <x14:formula1>
            <xm:f>'Do Not Touch PFS Working Sheet'!$A$48:$A$50</xm:f>
          </x14:formula1>
          <xm:sqref>F28</xm:sqref>
        </x14:dataValidation>
        <x14:dataValidation type="list" allowBlank="1" showInputMessage="1" showErrorMessage="1" xr:uid="{00000000-0002-0000-0D00-000002000000}">
          <x14:formula1>
            <xm:f>'Do Not Touch PFS Working Sheet'!$A$3:$A$4</xm:f>
          </x14:formula1>
          <xm:sqref>F34 F11 F15:F17 F27</xm:sqref>
        </x14:dataValidation>
        <x14:dataValidation type="list" allowBlank="1" showInputMessage="1" showErrorMessage="1" xr:uid="{00000000-0002-0000-0D00-000003000000}">
          <x14:formula1>
            <xm:f>'Do Not Touch PFS Working Sheet'!$A$34:$A$37</xm:f>
          </x14:formula1>
          <xm:sqref>B7</xm:sqref>
        </x14:dataValidation>
        <x14:dataValidation type="list" allowBlank="1" showInputMessage="1" showErrorMessage="1" xr:uid="{00000000-0002-0000-0D00-000004000000}">
          <x14:formula1>
            <xm:f>'Do Not Touch PFS Working Sheet'!$A$30:$A$32</xm:f>
          </x14:formula1>
          <xm:sqref>F32:F33</xm:sqref>
        </x14:dataValidation>
        <x14:dataValidation type="list" allowBlank="1" showInputMessage="1" showErrorMessage="1" xr:uid="{00000000-0002-0000-0D00-000005000000}">
          <x14:formula1>
            <xm:f>'Do Not Touch PFS Working Sheet'!$A$18:$A$20</xm:f>
          </x14:formula1>
          <xm:sqref>F18 F25 F29:F30</xm:sqref>
        </x14:dataValidation>
        <x14:dataValidation type="list" allowBlank="1" showInputMessage="1" showErrorMessage="1" xr:uid="{00000000-0002-0000-0D00-000006000000}">
          <x14:formula1>
            <xm:f>'Do Not Touch PFS Working Sheet'!$A$39:$A$46</xm:f>
          </x14:formula1>
          <xm:sqref>D7</xm:sqref>
        </x14:dataValidation>
        <x14:dataValidation type="list" allowBlank="1" showInputMessage="1" showErrorMessage="1" xr:uid="{00000000-0002-0000-0D00-000007000000}">
          <x14:formula1>
            <xm:f>'Do Not Touch PFS Working Sheet'!$A$22:$A$24</xm:f>
          </x14:formula1>
          <xm:sqref>F26 F31 F21:F22 F24</xm:sqref>
        </x14:dataValidation>
        <x14:dataValidation type="list" allowBlank="1" showInputMessage="1" showErrorMessage="1" xr:uid="{00000000-0002-0000-0D00-000008000000}">
          <x14:formula1>
            <xm:f>'Do Not Touch PFS Working Sheet'!$A$6:$A$8</xm:f>
          </x14:formula1>
          <xm:sqref>F12</xm:sqref>
        </x14:dataValidation>
        <x14:dataValidation type="list" allowBlank="1" showInputMessage="1" showErrorMessage="1" xr:uid="{00000000-0002-0000-0D00-000009000000}">
          <x14:formula1>
            <xm:f>'Do Not Touch PFS Working Sheet'!$A$10:$A$12</xm:f>
          </x14:formula1>
          <xm:sqref>F13</xm:sqref>
        </x14:dataValidation>
        <x14:dataValidation type="list" allowBlank="1" showInputMessage="1" showErrorMessage="1" xr:uid="{00000000-0002-0000-0D00-00000A000000}">
          <x14:formula1>
            <xm:f>'Do Not Touch PFS Working Sheet'!$A$26:$A$28</xm:f>
          </x14:formula1>
          <xm:sqref>F23 F19:F20</xm:sqref>
        </x14:dataValidation>
        <x14:dataValidation type="list" allowBlank="1" showInputMessage="1" showErrorMessage="1" xr:uid="{00000000-0002-0000-0D00-00000B000000}">
          <x14:formula1>
            <xm:f>'Do Not Touch PFS Working Sheet'!$A$14:$A$15</xm:f>
          </x14:formula1>
          <xm:sqref>F14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101"/>
  <sheetViews>
    <sheetView workbookViewId="0">
      <selection activeCell="N11" sqref="N11"/>
    </sheetView>
  </sheetViews>
  <sheetFormatPr defaultColWidth="9.140625" defaultRowHeight="15" x14ac:dyDescent="0.25"/>
  <cols>
    <col min="1" max="1" width="22.28515625" style="125" bestFit="1" customWidth="1"/>
    <col min="2" max="2" width="23.140625" style="66" customWidth="1"/>
    <col min="3" max="8" width="9.140625" style="144"/>
    <col min="9" max="9" width="15.85546875" style="67" customWidth="1"/>
    <col min="10" max="10" width="9.140625" style="66"/>
    <col min="11" max="11" width="11" style="67" bestFit="1" customWidth="1"/>
    <col min="12" max="12" width="9.140625" style="122"/>
    <col min="13" max="13" width="18.28515625" style="122" customWidth="1"/>
    <col min="14" max="14" width="22" style="122" customWidth="1"/>
    <col min="15" max="16384" width="9.140625" style="122"/>
  </cols>
  <sheetData>
    <row r="1" spans="1:16" x14ac:dyDescent="0.25">
      <c r="A1" s="123" t="s">
        <v>322</v>
      </c>
      <c r="B1" s="64" t="s">
        <v>327</v>
      </c>
      <c r="C1" s="143"/>
      <c r="D1" s="143"/>
      <c r="E1" s="143"/>
      <c r="F1" s="143"/>
      <c r="G1" s="143"/>
      <c r="H1" s="143"/>
      <c r="I1" s="65"/>
      <c r="J1" s="64" t="s">
        <v>334</v>
      </c>
      <c r="K1" s="65"/>
    </row>
    <row r="2" spans="1:16" x14ac:dyDescent="0.25">
      <c r="C2" s="144" t="s">
        <v>328</v>
      </c>
      <c r="D2" s="144" t="s">
        <v>329</v>
      </c>
      <c r="E2" s="144" t="s">
        <v>330</v>
      </c>
      <c r="F2" s="47" t="s">
        <v>331</v>
      </c>
      <c r="G2" s="144" t="s">
        <v>312</v>
      </c>
      <c r="H2" s="47" t="s">
        <v>332</v>
      </c>
      <c r="I2" s="145" t="s">
        <v>335</v>
      </c>
      <c r="J2" s="66">
        <v>0</v>
      </c>
      <c r="K2" s="155" t="s">
        <v>296</v>
      </c>
    </row>
    <row r="3" spans="1:16" ht="18.75" x14ac:dyDescent="0.3">
      <c r="A3" s="125" t="s">
        <v>211</v>
      </c>
      <c r="B3" s="66" t="s">
        <v>321</v>
      </c>
      <c r="C3" s="144">
        <f>IF('DMAT Potential Future State'!F11="YES",5,IF('DMAT Potential Future State'!F11="NO",1))</f>
        <v>1</v>
      </c>
      <c r="D3" s="144">
        <f>IF('DMAT Potential Future State'!F12="YES",5,IF('DMAT Potential Future State'!F12="POSSIBLE",3,1))</f>
        <v>1</v>
      </c>
      <c r="E3" s="144">
        <f>IF('DMAT Potential Future State'!F13="ESTABLISHED",5,IF('DMAT Potential Future State'!F13="EMERGING",3,1))</f>
        <v>5</v>
      </c>
      <c r="F3" s="144">
        <f>IF('DMAT Potential Future State'!F14="YES",5,IF('DMAT Potential Future State'!F14="NO",2))</f>
        <v>5</v>
      </c>
      <c r="G3" s="144">
        <f>SUM(C3:F3)</f>
        <v>12</v>
      </c>
      <c r="H3" s="146">
        <f>(G3/20*100)</f>
        <v>60</v>
      </c>
      <c r="I3" s="149" t="str">
        <f t="shared" ref="I3:I8" si="0">VLOOKUP(H3,J$2:K$101,2,TRUE)</f>
        <v>Strong</v>
      </c>
      <c r="J3" s="66">
        <v>1</v>
      </c>
      <c r="K3" s="155" t="s">
        <v>296</v>
      </c>
      <c r="M3" s="66" t="s">
        <v>321</v>
      </c>
      <c r="N3" s="122" t="s">
        <v>401</v>
      </c>
      <c r="O3" s="122">
        <v>1</v>
      </c>
      <c r="P3" s="109">
        <f>O3/5*100</f>
        <v>20</v>
      </c>
    </row>
    <row r="4" spans="1:16" ht="18.75" x14ac:dyDescent="0.3">
      <c r="A4" s="125" t="s">
        <v>212</v>
      </c>
      <c r="B4" s="66" t="s">
        <v>362</v>
      </c>
      <c r="C4" s="144">
        <f>IF('DMAT Potential Future State'!F15="YES",6,IF('DMAT Potential Future State'!F15="NO",1))</f>
        <v>1</v>
      </c>
      <c r="D4" s="144">
        <v>1</v>
      </c>
      <c r="E4" s="144">
        <f>IF('DMAT Potential Future State'!F17="YES",4,IF('DMAT Potential Future State'!F17="NO",1))</f>
        <v>4</v>
      </c>
      <c r="F4" s="144">
        <f>IF('DMAT Potential Future State'!F18="YES",6,IF('DMAT Potential Future State'!F18="NO",1,3))</f>
        <v>6</v>
      </c>
      <c r="G4" s="154">
        <f>SUM(C4:F4)</f>
        <v>12</v>
      </c>
      <c r="H4" s="146">
        <f>(G4/20*100)</f>
        <v>60</v>
      </c>
      <c r="I4" s="149" t="str">
        <f t="shared" si="0"/>
        <v>Strong</v>
      </c>
      <c r="J4" s="66">
        <v>2</v>
      </c>
      <c r="K4" s="155" t="s">
        <v>296</v>
      </c>
      <c r="M4" s="66" t="s">
        <v>321</v>
      </c>
      <c r="N4" s="122" t="s">
        <v>404</v>
      </c>
      <c r="O4" s="122">
        <v>1</v>
      </c>
      <c r="P4" s="109">
        <f>O4/5*100</f>
        <v>20</v>
      </c>
    </row>
    <row r="5" spans="1:16" ht="18.75" x14ac:dyDescent="0.3">
      <c r="B5" s="66" t="s">
        <v>44</v>
      </c>
      <c r="C5" s="144">
        <f>IF('DMAT Potential Future State'!F19="LOW",4,IF('DMAT Potential Future State'!F19="HIGH",1,2))</f>
        <v>4</v>
      </c>
      <c r="D5" s="144">
        <f>IF('DMAT Potential Future State'!F20="LOW",4,IF('DMAT Potential Future State'!F20="HIGH",1,2))</f>
        <v>4</v>
      </c>
      <c r="E5" s="144">
        <f>IF('DMAT Potential Future State'!F21="YES",8,IF('DMAT Potential Future State'!F21="NO",1,4))</f>
        <v>8</v>
      </c>
      <c r="F5" s="144">
        <f>IF('DMAT Potential Future State'!F22="YES",4,IF('DMAT Potential Future State'!F22="NO",1,2))</f>
        <v>4</v>
      </c>
      <c r="G5" s="144">
        <f t="shared" ref="G5:G8" si="1">SUM(C5:F5)</f>
        <v>20</v>
      </c>
      <c r="H5" s="146">
        <f t="shared" ref="H5:H8" si="2">(G5/20*100)</f>
        <v>100</v>
      </c>
      <c r="I5" s="149" t="str">
        <f t="shared" si="0"/>
        <v>Very Strong</v>
      </c>
      <c r="J5" s="66">
        <v>3</v>
      </c>
      <c r="K5" s="155" t="s">
        <v>296</v>
      </c>
      <c r="M5" s="66" t="s">
        <v>321</v>
      </c>
      <c r="N5" s="122" t="s">
        <v>402</v>
      </c>
      <c r="O5" s="122">
        <v>5</v>
      </c>
      <c r="P5" s="109">
        <f>O5/5*100</f>
        <v>100</v>
      </c>
    </row>
    <row r="6" spans="1:16" ht="18.75" x14ac:dyDescent="0.3">
      <c r="A6" s="125" t="s">
        <v>211</v>
      </c>
      <c r="B6" s="66" t="s">
        <v>9</v>
      </c>
      <c r="C6" s="144">
        <f>IF('DMAT Potential Future State'!F23="LOW",5,IF('DMAT Potential Future State'!F23="HIGH",0,2.5))</f>
        <v>5</v>
      </c>
      <c r="D6" s="144">
        <f>IF('DMAT Potential Future State'!F24="YES",5,IF('DMAT Potential Future State'!F24="NO",0,2.5))</f>
        <v>5</v>
      </c>
      <c r="E6" s="144">
        <f>IF('DMAT Potential Future State'!F25="YES",5,IF('DMAT Potential Future State'!F25="NO",1,3))</f>
        <v>5</v>
      </c>
      <c r="F6" s="144">
        <f>IF('DMAT Potential Future State'!F26="NO",5,IF('DMAT Potential Future State'!F26="YES",0,2.5))</f>
        <v>5</v>
      </c>
      <c r="G6" s="144">
        <f t="shared" si="1"/>
        <v>20</v>
      </c>
      <c r="H6" s="146">
        <f t="shared" si="2"/>
        <v>100</v>
      </c>
      <c r="I6" s="149" t="str">
        <f t="shared" si="0"/>
        <v>Very Strong</v>
      </c>
      <c r="J6" s="66">
        <v>4</v>
      </c>
      <c r="K6" s="155" t="s">
        <v>296</v>
      </c>
      <c r="M6" s="66" t="s">
        <v>321</v>
      </c>
      <c r="N6" s="122" t="s">
        <v>403</v>
      </c>
      <c r="O6" s="122">
        <v>5</v>
      </c>
      <c r="P6" s="109">
        <f>O6/5*100</f>
        <v>100</v>
      </c>
    </row>
    <row r="7" spans="1:16" ht="18.75" x14ac:dyDescent="0.3">
      <c r="A7" s="125" t="s">
        <v>317</v>
      </c>
      <c r="B7" s="66" t="s">
        <v>32</v>
      </c>
      <c r="C7" s="144">
        <f>IF('DMAT Potential Future State'!F27="YES",4,IF('DMAT Potential Future State'!F27="NO",1))</f>
        <v>4</v>
      </c>
      <c r="D7" s="144">
        <f>IF('DMAT Potential Future State'!F28="YES",4,IF('DMAT Potential Future State'!F28="NO",1, 1))</f>
        <v>4</v>
      </c>
      <c r="E7" s="144">
        <f>IF('DMAT Potential Future State'!F29="YES",4,IF('DMAT Potential Future State'!F29="NO",0,2))</f>
        <v>4</v>
      </c>
      <c r="F7" s="144">
        <f>IF('DMAT Potential Future State'!F30="YES",8,IF('DMAT Potential Future State'!F30="NO",0,4))</f>
        <v>8</v>
      </c>
      <c r="G7" s="144">
        <f t="shared" si="1"/>
        <v>20</v>
      </c>
      <c r="H7" s="146">
        <f t="shared" si="2"/>
        <v>100</v>
      </c>
      <c r="I7" s="149" t="str">
        <f t="shared" si="0"/>
        <v>Very Strong</v>
      </c>
      <c r="J7" s="66">
        <v>5</v>
      </c>
      <c r="K7" s="155" t="s">
        <v>296</v>
      </c>
      <c r="M7" s="66" t="s">
        <v>362</v>
      </c>
      <c r="N7" s="122" t="s">
        <v>405</v>
      </c>
      <c r="O7" s="122">
        <v>1</v>
      </c>
      <c r="P7" s="109">
        <f>O7/6*100</f>
        <v>16.666666666666664</v>
      </c>
    </row>
    <row r="8" spans="1:16" ht="18.75" x14ac:dyDescent="0.3">
      <c r="A8" s="125" t="s">
        <v>212</v>
      </c>
      <c r="B8" s="66" t="s">
        <v>248</v>
      </c>
      <c r="C8" s="144">
        <f>IF('DMAT Potential Future State'!F31="YES",8,IF('DMAT Potential Future State'!F31="NO",0,4))</f>
        <v>8</v>
      </c>
      <c r="D8" s="144">
        <f>IF('DMAT Potential Future State'!F32="YES",4,IF('DMAT Potential Future State'!F32="NO",0,2))</f>
        <v>4</v>
      </c>
      <c r="E8" s="144">
        <f>IF('DMAT Potential Future State'!F33="YES",4,IF('DMAT Potential Future State'!F33="NO",0,2))</f>
        <v>4</v>
      </c>
      <c r="F8" s="144">
        <f>IF('DMAT Potential Future State'!F34="YES",4,IF('DMAT Potential Future State'!F34="NO",2))</f>
        <v>4</v>
      </c>
      <c r="G8" s="144">
        <f t="shared" si="1"/>
        <v>20</v>
      </c>
      <c r="H8" s="146">
        <f t="shared" si="2"/>
        <v>100</v>
      </c>
      <c r="I8" s="149" t="str">
        <f t="shared" si="0"/>
        <v>Very Strong</v>
      </c>
      <c r="J8" s="66">
        <v>6</v>
      </c>
      <c r="K8" s="155" t="s">
        <v>296</v>
      </c>
      <c r="M8" s="66" t="s">
        <v>362</v>
      </c>
      <c r="N8" s="122" t="s">
        <v>406</v>
      </c>
      <c r="O8" s="122">
        <v>1</v>
      </c>
      <c r="P8" s="109">
        <f>O8/4*100</f>
        <v>25</v>
      </c>
    </row>
    <row r="9" spans="1:16" x14ac:dyDescent="0.25">
      <c r="J9" s="66">
        <v>7</v>
      </c>
      <c r="K9" s="155" t="s">
        <v>296</v>
      </c>
      <c r="M9" s="66" t="s">
        <v>362</v>
      </c>
      <c r="N9" s="122" t="s">
        <v>407</v>
      </c>
      <c r="O9" s="122">
        <v>4</v>
      </c>
      <c r="P9" s="109">
        <f>O9/4*100</f>
        <v>100</v>
      </c>
    </row>
    <row r="10" spans="1:16" x14ac:dyDescent="0.25">
      <c r="A10" s="125" t="s">
        <v>338</v>
      </c>
      <c r="J10" s="66">
        <v>8</v>
      </c>
      <c r="K10" s="155" t="s">
        <v>296</v>
      </c>
      <c r="M10" s="66" t="s">
        <v>362</v>
      </c>
      <c r="N10" s="122" t="s">
        <v>408</v>
      </c>
      <c r="O10" s="122">
        <v>6</v>
      </c>
      <c r="P10" s="109">
        <f>O10/6*100</f>
        <v>100</v>
      </c>
    </row>
    <row r="11" spans="1:16" x14ac:dyDescent="0.25">
      <c r="A11" s="125" t="s">
        <v>339</v>
      </c>
      <c r="J11" s="66">
        <v>9</v>
      </c>
      <c r="K11" s="155" t="s">
        <v>296</v>
      </c>
      <c r="M11" s="180" t="s">
        <v>44</v>
      </c>
      <c r="N11" s="122" t="s">
        <v>401</v>
      </c>
      <c r="O11" s="122">
        <v>4</v>
      </c>
      <c r="P11" s="109">
        <f>O11/4*100</f>
        <v>100</v>
      </c>
    </row>
    <row r="12" spans="1:16" x14ac:dyDescent="0.25">
      <c r="A12" s="125" t="s">
        <v>340</v>
      </c>
      <c r="J12" s="66">
        <v>10</v>
      </c>
      <c r="K12" s="155" t="s">
        <v>296</v>
      </c>
      <c r="M12" s="180" t="s">
        <v>44</v>
      </c>
      <c r="N12" s="122" t="s">
        <v>404</v>
      </c>
      <c r="O12" s="122">
        <v>4</v>
      </c>
      <c r="P12" s="109">
        <f>O12/4*100</f>
        <v>100</v>
      </c>
    </row>
    <row r="13" spans="1:16" x14ac:dyDescent="0.25">
      <c r="J13" s="66">
        <v>11</v>
      </c>
      <c r="K13" s="155" t="s">
        <v>296</v>
      </c>
      <c r="M13" s="180" t="s">
        <v>44</v>
      </c>
      <c r="N13" s="122" t="s">
        <v>402</v>
      </c>
      <c r="O13" s="122">
        <v>8</v>
      </c>
      <c r="P13" s="109">
        <f>O13/8*100</f>
        <v>100</v>
      </c>
    </row>
    <row r="14" spans="1:16" x14ac:dyDescent="0.25">
      <c r="A14" s="125" t="s">
        <v>211</v>
      </c>
      <c r="J14" s="66">
        <v>12</v>
      </c>
      <c r="K14" s="155" t="s">
        <v>296</v>
      </c>
      <c r="M14" s="180" t="s">
        <v>44</v>
      </c>
      <c r="N14" s="122" t="s">
        <v>403</v>
      </c>
      <c r="O14" s="122">
        <v>4</v>
      </c>
      <c r="P14" s="109">
        <f>O14/4*100</f>
        <v>100</v>
      </c>
    </row>
    <row r="15" spans="1:16" x14ac:dyDescent="0.25">
      <c r="A15" s="125" t="s">
        <v>212</v>
      </c>
      <c r="J15" s="66">
        <v>13</v>
      </c>
      <c r="K15" s="155" t="s">
        <v>296</v>
      </c>
      <c r="M15" s="66" t="s">
        <v>9</v>
      </c>
      <c r="N15" s="144"/>
      <c r="O15" s="122">
        <v>5</v>
      </c>
      <c r="P15" s="109">
        <f t="shared" ref="P15:P18" si="3">O15/5*100</f>
        <v>100</v>
      </c>
    </row>
    <row r="16" spans="1:16" x14ac:dyDescent="0.25">
      <c r="J16" s="66">
        <v>14</v>
      </c>
      <c r="K16" s="155" t="s">
        <v>296</v>
      </c>
      <c r="M16" s="66" t="s">
        <v>9</v>
      </c>
      <c r="O16" s="122">
        <v>5</v>
      </c>
      <c r="P16" s="109">
        <f t="shared" si="3"/>
        <v>100</v>
      </c>
    </row>
    <row r="17" spans="1:16" x14ac:dyDescent="0.25">
      <c r="J17" s="66">
        <v>15</v>
      </c>
      <c r="K17" s="155" t="s">
        <v>296</v>
      </c>
      <c r="M17" s="66" t="s">
        <v>9</v>
      </c>
      <c r="O17" s="122">
        <v>5</v>
      </c>
      <c r="P17" s="109">
        <f t="shared" si="3"/>
        <v>100</v>
      </c>
    </row>
    <row r="18" spans="1:16" x14ac:dyDescent="0.25">
      <c r="A18" s="125" t="s">
        <v>211</v>
      </c>
      <c r="J18" s="66">
        <v>16</v>
      </c>
      <c r="K18" s="155" t="s">
        <v>296</v>
      </c>
      <c r="M18" s="66" t="s">
        <v>9</v>
      </c>
      <c r="O18" s="122">
        <v>5</v>
      </c>
      <c r="P18" s="109">
        <f t="shared" si="3"/>
        <v>100</v>
      </c>
    </row>
    <row r="19" spans="1:16" x14ac:dyDescent="0.25">
      <c r="A19" s="125" t="s">
        <v>215</v>
      </c>
      <c r="J19" s="66">
        <v>17</v>
      </c>
      <c r="K19" s="155" t="s">
        <v>296</v>
      </c>
      <c r="M19" s="66" t="s">
        <v>32</v>
      </c>
      <c r="O19" s="122">
        <v>4</v>
      </c>
      <c r="P19" s="109">
        <f>O19/4*100</f>
        <v>100</v>
      </c>
    </row>
    <row r="20" spans="1:16" x14ac:dyDescent="0.25">
      <c r="A20" s="125" t="s">
        <v>212</v>
      </c>
      <c r="J20" s="66">
        <v>18</v>
      </c>
      <c r="K20" s="155" t="s">
        <v>296</v>
      </c>
      <c r="M20" s="66" t="s">
        <v>32</v>
      </c>
      <c r="O20" s="122">
        <v>4</v>
      </c>
      <c r="P20" s="109">
        <f t="shared" ref="P20:P21" si="4">O20/4*100</f>
        <v>100</v>
      </c>
    </row>
    <row r="21" spans="1:16" x14ac:dyDescent="0.25">
      <c r="J21" s="66">
        <v>20</v>
      </c>
      <c r="K21" s="155" t="s">
        <v>296</v>
      </c>
      <c r="M21" s="66" t="s">
        <v>32</v>
      </c>
      <c r="O21" s="122">
        <v>4</v>
      </c>
      <c r="P21" s="109">
        <f t="shared" si="4"/>
        <v>100</v>
      </c>
    </row>
    <row r="22" spans="1:16" x14ac:dyDescent="0.25">
      <c r="A22" s="125" t="s">
        <v>211</v>
      </c>
      <c r="J22" s="66">
        <v>21</v>
      </c>
      <c r="K22" s="155" t="s">
        <v>296</v>
      </c>
      <c r="M22" s="66" t="s">
        <v>32</v>
      </c>
      <c r="O22" s="122">
        <v>8</v>
      </c>
      <c r="P22" s="109">
        <f t="shared" ref="P22:P23" si="5">O22/8*100</f>
        <v>100</v>
      </c>
    </row>
    <row r="23" spans="1:16" x14ac:dyDescent="0.25">
      <c r="A23" s="125" t="s">
        <v>317</v>
      </c>
      <c r="J23" s="66">
        <v>22</v>
      </c>
      <c r="K23" s="155" t="s">
        <v>296</v>
      </c>
      <c r="M23" s="66" t="s">
        <v>248</v>
      </c>
      <c r="O23" s="122">
        <v>8</v>
      </c>
      <c r="P23" s="109">
        <f t="shared" si="5"/>
        <v>100</v>
      </c>
    </row>
    <row r="24" spans="1:16" x14ac:dyDescent="0.25">
      <c r="A24" s="125" t="s">
        <v>212</v>
      </c>
      <c r="J24" s="66">
        <v>23</v>
      </c>
      <c r="K24" s="155" t="s">
        <v>296</v>
      </c>
      <c r="M24" s="66" t="s">
        <v>248</v>
      </c>
      <c r="O24" s="122">
        <v>4</v>
      </c>
      <c r="P24" s="109">
        <f t="shared" ref="P24:P26" si="6">O24/4*100</f>
        <v>100</v>
      </c>
    </row>
    <row r="25" spans="1:16" x14ac:dyDescent="0.25">
      <c r="J25" s="66">
        <v>24</v>
      </c>
      <c r="K25" s="155" t="s">
        <v>296</v>
      </c>
      <c r="M25" s="66" t="s">
        <v>248</v>
      </c>
      <c r="O25" s="122">
        <v>4</v>
      </c>
      <c r="P25" s="109">
        <f t="shared" si="6"/>
        <v>100</v>
      </c>
    </row>
    <row r="26" spans="1:16" x14ac:dyDescent="0.25">
      <c r="A26" s="125" t="s">
        <v>214</v>
      </c>
      <c r="J26" s="66">
        <v>25</v>
      </c>
      <c r="K26" s="155" t="s">
        <v>296</v>
      </c>
      <c r="M26" s="66" t="s">
        <v>248</v>
      </c>
      <c r="O26" s="122">
        <v>4</v>
      </c>
      <c r="P26" s="109">
        <f t="shared" si="6"/>
        <v>100</v>
      </c>
    </row>
    <row r="27" spans="1:16" x14ac:dyDescent="0.25">
      <c r="A27" s="125" t="s">
        <v>215</v>
      </c>
      <c r="J27" s="66">
        <v>26</v>
      </c>
      <c r="K27" s="155" t="s">
        <v>296</v>
      </c>
    </row>
    <row r="28" spans="1:16" x14ac:dyDescent="0.25">
      <c r="A28" s="125" t="s">
        <v>216</v>
      </c>
      <c r="J28" s="66">
        <v>27</v>
      </c>
      <c r="K28" s="155" t="s">
        <v>296</v>
      </c>
    </row>
    <row r="29" spans="1:16" x14ac:dyDescent="0.25">
      <c r="J29" s="66">
        <v>28</v>
      </c>
      <c r="K29" s="155" t="s">
        <v>296</v>
      </c>
    </row>
    <row r="30" spans="1:16" x14ac:dyDescent="0.25">
      <c r="A30" s="125" t="s">
        <v>211</v>
      </c>
      <c r="J30" s="66">
        <v>29</v>
      </c>
      <c r="K30" s="155" t="s">
        <v>296</v>
      </c>
    </row>
    <row r="31" spans="1:16" x14ac:dyDescent="0.25">
      <c r="A31" s="125" t="s">
        <v>250</v>
      </c>
      <c r="J31" s="66">
        <v>30</v>
      </c>
      <c r="K31" s="155" t="s">
        <v>296</v>
      </c>
    </row>
    <row r="32" spans="1:16" x14ac:dyDescent="0.25">
      <c r="A32" s="125" t="s">
        <v>212</v>
      </c>
      <c r="J32" s="66">
        <v>31</v>
      </c>
      <c r="K32" s="155" t="s">
        <v>296</v>
      </c>
    </row>
    <row r="33" spans="1:11" x14ac:dyDescent="0.25">
      <c r="J33" s="66">
        <v>32</v>
      </c>
      <c r="K33" s="155" t="s">
        <v>296</v>
      </c>
    </row>
    <row r="34" spans="1:11" x14ac:dyDescent="0.25">
      <c r="A34" s="125" t="s">
        <v>297</v>
      </c>
      <c r="J34" s="66">
        <v>33</v>
      </c>
      <c r="K34" s="155" t="s">
        <v>296</v>
      </c>
    </row>
    <row r="35" spans="1:11" x14ac:dyDescent="0.25">
      <c r="A35" s="125" t="s">
        <v>299</v>
      </c>
      <c r="J35" s="66">
        <v>34</v>
      </c>
      <c r="K35" s="155" t="s">
        <v>296</v>
      </c>
    </row>
    <row r="36" spans="1:11" x14ac:dyDescent="0.25">
      <c r="A36" s="125" t="s">
        <v>336</v>
      </c>
      <c r="J36" s="66">
        <v>35</v>
      </c>
      <c r="K36" s="155" t="s">
        <v>296</v>
      </c>
    </row>
    <row r="37" spans="1:11" x14ac:dyDescent="0.25">
      <c r="A37" s="125" t="s">
        <v>298</v>
      </c>
      <c r="J37" s="66">
        <v>36</v>
      </c>
      <c r="K37" s="155" t="s">
        <v>296</v>
      </c>
    </row>
    <row r="38" spans="1:11" x14ac:dyDescent="0.25">
      <c r="J38" s="66">
        <v>37</v>
      </c>
      <c r="K38" s="155" t="s">
        <v>296</v>
      </c>
    </row>
    <row r="39" spans="1:11" x14ac:dyDescent="0.25">
      <c r="A39" s="125" t="s">
        <v>300</v>
      </c>
      <c r="J39" s="66">
        <v>38</v>
      </c>
      <c r="K39" s="155" t="s">
        <v>296</v>
      </c>
    </row>
    <row r="40" spans="1:11" x14ac:dyDescent="0.25">
      <c r="A40" s="125" t="s">
        <v>301</v>
      </c>
      <c r="J40" s="66">
        <v>39</v>
      </c>
      <c r="K40" s="155" t="s">
        <v>296</v>
      </c>
    </row>
    <row r="41" spans="1:11" x14ac:dyDescent="0.25">
      <c r="A41" s="125" t="s">
        <v>125</v>
      </c>
      <c r="J41" s="66">
        <v>40</v>
      </c>
      <c r="K41" s="155" t="s">
        <v>296</v>
      </c>
    </row>
    <row r="42" spans="1:11" x14ac:dyDescent="0.25">
      <c r="A42" s="125" t="s">
        <v>124</v>
      </c>
      <c r="J42" s="66">
        <v>41</v>
      </c>
      <c r="K42" s="156" t="s">
        <v>129</v>
      </c>
    </row>
    <row r="43" spans="1:11" x14ac:dyDescent="0.25">
      <c r="A43" s="125" t="s">
        <v>353</v>
      </c>
      <c r="J43" s="66">
        <v>42</v>
      </c>
      <c r="K43" s="156" t="s">
        <v>129</v>
      </c>
    </row>
    <row r="44" spans="1:11" x14ac:dyDescent="0.25">
      <c r="A44" s="125" t="s">
        <v>101</v>
      </c>
      <c r="J44" s="66">
        <v>43</v>
      </c>
      <c r="K44" s="156" t="s">
        <v>129</v>
      </c>
    </row>
    <row r="45" spans="1:11" x14ac:dyDescent="0.25">
      <c r="A45" s="125" t="s">
        <v>302</v>
      </c>
      <c r="J45" s="66">
        <v>44</v>
      </c>
      <c r="K45" s="156" t="s">
        <v>129</v>
      </c>
    </row>
    <row r="46" spans="1:11" x14ac:dyDescent="0.25">
      <c r="A46" s="125" t="s">
        <v>105</v>
      </c>
      <c r="J46" s="66">
        <v>45</v>
      </c>
      <c r="K46" s="156" t="s">
        <v>129</v>
      </c>
    </row>
    <row r="47" spans="1:11" x14ac:dyDescent="0.25">
      <c r="J47" s="66">
        <v>46</v>
      </c>
      <c r="K47" s="156" t="s">
        <v>129</v>
      </c>
    </row>
    <row r="48" spans="1:11" x14ac:dyDescent="0.25">
      <c r="A48" s="125" t="s">
        <v>211</v>
      </c>
      <c r="J48" s="66">
        <v>47</v>
      </c>
      <c r="K48" s="156" t="s">
        <v>129</v>
      </c>
    </row>
    <row r="49" spans="1:11" x14ac:dyDescent="0.25">
      <c r="A49" s="125" t="s">
        <v>212</v>
      </c>
      <c r="J49" s="66">
        <v>48</v>
      </c>
      <c r="K49" s="156" t="s">
        <v>129</v>
      </c>
    </row>
    <row r="50" spans="1:11" x14ac:dyDescent="0.25">
      <c r="A50" s="125" t="s">
        <v>376</v>
      </c>
      <c r="J50" s="66">
        <v>49</v>
      </c>
      <c r="K50" s="156" t="s">
        <v>129</v>
      </c>
    </row>
    <row r="51" spans="1:11" x14ac:dyDescent="0.25">
      <c r="J51" s="66">
        <v>50</v>
      </c>
      <c r="K51" s="156" t="s">
        <v>129</v>
      </c>
    </row>
    <row r="52" spans="1:11" x14ac:dyDescent="0.25">
      <c r="J52" s="66">
        <v>51</v>
      </c>
      <c r="K52" s="156" t="s">
        <v>129</v>
      </c>
    </row>
    <row r="53" spans="1:11" x14ac:dyDescent="0.25">
      <c r="J53" s="66">
        <v>52</v>
      </c>
      <c r="K53" s="156" t="s">
        <v>129</v>
      </c>
    </row>
    <row r="54" spans="1:11" x14ac:dyDescent="0.25">
      <c r="J54" s="66">
        <v>53</v>
      </c>
      <c r="K54" s="156" t="s">
        <v>129</v>
      </c>
    </row>
    <row r="55" spans="1:11" x14ac:dyDescent="0.25">
      <c r="J55" s="66">
        <v>54</v>
      </c>
      <c r="K55" s="156" t="s">
        <v>129</v>
      </c>
    </row>
    <row r="56" spans="1:11" x14ac:dyDescent="0.25">
      <c r="J56" s="66">
        <v>55</v>
      </c>
      <c r="K56" s="156" t="s">
        <v>129</v>
      </c>
    </row>
    <row r="57" spans="1:11" x14ac:dyDescent="0.25">
      <c r="J57" s="66">
        <v>56</v>
      </c>
      <c r="K57" s="156" t="s">
        <v>129</v>
      </c>
    </row>
    <row r="58" spans="1:11" x14ac:dyDescent="0.25">
      <c r="J58" s="66">
        <v>57</v>
      </c>
      <c r="K58" s="156" t="s">
        <v>129</v>
      </c>
    </row>
    <row r="59" spans="1:11" x14ac:dyDescent="0.25">
      <c r="J59" s="66">
        <v>58</v>
      </c>
      <c r="K59" s="156" t="s">
        <v>129</v>
      </c>
    </row>
    <row r="60" spans="1:11" x14ac:dyDescent="0.25">
      <c r="J60" s="66">
        <v>59</v>
      </c>
      <c r="K60" s="156" t="s">
        <v>129</v>
      </c>
    </row>
    <row r="61" spans="1:11" x14ac:dyDescent="0.25">
      <c r="J61" s="66">
        <v>60</v>
      </c>
      <c r="K61" s="157" t="s">
        <v>295</v>
      </c>
    </row>
    <row r="62" spans="1:11" x14ac:dyDescent="0.25">
      <c r="J62" s="66">
        <v>61</v>
      </c>
      <c r="K62" s="157" t="s">
        <v>295</v>
      </c>
    </row>
    <row r="63" spans="1:11" x14ac:dyDescent="0.25">
      <c r="J63" s="66">
        <v>62</v>
      </c>
      <c r="K63" s="157" t="s">
        <v>295</v>
      </c>
    </row>
    <row r="64" spans="1:11" x14ac:dyDescent="0.25">
      <c r="J64" s="66">
        <v>63</v>
      </c>
      <c r="K64" s="157" t="s">
        <v>295</v>
      </c>
    </row>
    <row r="65" spans="10:11" x14ac:dyDescent="0.25">
      <c r="J65" s="66">
        <v>64</v>
      </c>
      <c r="K65" s="157" t="s">
        <v>295</v>
      </c>
    </row>
    <row r="66" spans="10:11" x14ac:dyDescent="0.25">
      <c r="J66" s="66">
        <v>65</v>
      </c>
      <c r="K66" s="157" t="s">
        <v>295</v>
      </c>
    </row>
    <row r="67" spans="10:11" x14ac:dyDescent="0.25">
      <c r="J67" s="66">
        <v>66</v>
      </c>
      <c r="K67" s="157" t="s">
        <v>295</v>
      </c>
    </row>
    <row r="68" spans="10:11" x14ac:dyDescent="0.25">
      <c r="J68" s="66">
        <v>67</v>
      </c>
      <c r="K68" s="157" t="s">
        <v>295</v>
      </c>
    </row>
    <row r="69" spans="10:11" x14ac:dyDescent="0.25">
      <c r="J69" s="66">
        <v>68</v>
      </c>
      <c r="K69" s="157" t="s">
        <v>295</v>
      </c>
    </row>
    <row r="70" spans="10:11" x14ac:dyDescent="0.25">
      <c r="J70" s="66">
        <v>69</v>
      </c>
      <c r="K70" s="157" t="s">
        <v>295</v>
      </c>
    </row>
    <row r="71" spans="10:11" x14ac:dyDescent="0.25">
      <c r="J71" s="66">
        <v>70</v>
      </c>
      <c r="K71" s="157" t="s">
        <v>295</v>
      </c>
    </row>
    <row r="72" spans="10:11" x14ac:dyDescent="0.25">
      <c r="J72" s="66">
        <v>71</v>
      </c>
      <c r="K72" s="157" t="s">
        <v>295</v>
      </c>
    </row>
    <row r="73" spans="10:11" x14ac:dyDescent="0.25">
      <c r="J73" s="66">
        <v>72</v>
      </c>
      <c r="K73" s="157" t="s">
        <v>295</v>
      </c>
    </row>
    <row r="74" spans="10:11" x14ac:dyDescent="0.25">
      <c r="J74" s="66">
        <v>73</v>
      </c>
      <c r="K74" s="157" t="s">
        <v>295</v>
      </c>
    </row>
    <row r="75" spans="10:11" x14ac:dyDescent="0.25">
      <c r="J75" s="66">
        <v>74</v>
      </c>
      <c r="K75" s="157" t="s">
        <v>295</v>
      </c>
    </row>
    <row r="76" spans="10:11" x14ac:dyDescent="0.25">
      <c r="J76" s="66">
        <v>75</v>
      </c>
      <c r="K76" s="157" t="s">
        <v>295</v>
      </c>
    </row>
    <row r="77" spans="10:11" x14ac:dyDescent="0.25">
      <c r="J77" s="66">
        <v>76</v>
      </c>
      <c r="K77" s="157" t="s">
        <v>357</v>
      </c>
    </row>
    <row r="78" spans="10:11" x14ac:dyDescent="0.25">
      <c r="J78" s="66">
        <v>77</v>
      </c>
      <c r="K78" s="157" t="s">
        <v>357</v>
      </c>
    </row>
    <row r="79" spans="10:11" x14ac:dyDescent="0.25">
      <c r="J79" s="66">
        <v>78</v>
      </c>
      <c r="K79" s="157" t="s">
        <v>357</v>
      </c>
    </row>
    <row r="80" spans="10:11" x14ac:dyDescent="0.25">
      <c r="J80" s="66">
        <v>79</v>
      </c>
      <c r="K80" s="157" t="s">
        <v>357</v>
      </c>
    </row>
    <row r="81" spans="10:11" x14ac:dyDescent="0.25">
      <c r="J81" s="66">
        <v>80</v>
      </c>
      <c r="K81" s="157" t="s">
        <v>357</v>
      </c>
    </row>
    <row r="82" spans="10:11" x14ac:dyDescent="0.25">
      <c r="J82" s="66">
        <v>81</v>
      </c>
      <c r="K82" s="157" t="s">
        <v>357</v>
      </c>
    </row>
    <row r="83" spans="10:11" x14ac:dyDescent="0.25">
      <c r="J83" s="66">
        <v>82</v>
      </c>
      <c r="K83" s="157" t="s">
        <v>357</v>
      </c>
    </row>
    <row r="84" spans="10:11" x14ac:dyDescent="0.25">
      <c r="J84" s="66">
        <v>83</v>
      </c>
      <c r="K84" s="157" t="s">
        <v>357</v>
      </c>
    </row>
    <row r="85" spans="10:11" x14ac:dyDescent="0.25">
      <c r="J85" s="66">
        <v>84</v>
      </c>
      <c r="K85" s="157" t="s">
        <v>357</v>
      </c>
    </row>
    <row r="86" spans="10:11" x14ac:dyDescent="0.25">
      <c r="J86" s="66">
        <v>85</v>
      </c>
      <c r="K86" s="157" t="s">
        <v>357</v>
      </c>
    </row>
    <row r="87" spans="10:11" x14ac:dyDescent="0.25">
      <c r="J87" s="66">
        <v>86</v>
      </c>
      <c r="K87" s="157" t="s">
        <v>357</v>
      </c>
    </row>
    <row r="88" spans="10:11" x14ac:dyDescent="0.25">
      <c r="J88" s="66">
        <v>87</v>
      </c>
      <c r="K88" s="157" t="s">
        <v>357</v>
      </c>
    </row>
    <row r="89" spans="10:11" x14ac:dyDescent="0.25">
      <c r="J89" s="66">
        <v>88</v>
      </c>
      <c r="K89" s="157" t="s">
        <v>357</v>
      </c>
    </row>
    <row r="90" spans="10:11" x14ac:dyDescent="0.25">
      <c r="J90" s="66">
        <v>89</v>
      </c>
      <c r="K90" s="157" t="s">
        <v>357</v>
      </c>
    </row>
    <row r="91" spans="10:11" x14ac:dyDescent="0.25">
      <c r="J91" s="66">
        <v>90</v>
      </c>
      <c r="K91" s="157" t="s">
        <v>357</v>
      </c>
    </row>
    <row r="92" spans="10:11" x14ac:dyDescent="0.25">
      <c r="J92" s="66">
        <v>91</v>
      </c>
      <c r="K92" s="157" t="s">
        <v>357</v>
      </c>
    </row>
    <row r="93" spans="10:11" x14ac:dyDescent="0.25">
      <c r="J93" s="66">
        <v>92</v>
      </c>
      <c r="K93" s="157" t="s">
        <v>357</v>
      </c>
    </row>
    <row r="94" spans="10:11" x14ac:dyDescent="0.25">
      <c r="J94" s="66">
        <v>93</v>
      </c>
      <c r="K94" s="157" t="s">
        <v>357</v>
      </c>
    </row>
    <row r="95" spans="10:11" x14ac:dyDescent="0.25">
      <c r="J95" s="66">
        <v>94</v>
      </c>
      <c r="K95" s="157" t="s">
        <v>357</v>
      </c>
    </row>
    <row r="96" spans="10:11" x14ac:dyDescent="0.25">
      <c r="J96" s="66">
        <v>95</v>
      </c>
      <c r="K96" s="157" t="s">
        <v>357</v>
      </c>
    </row>
    <row r="97" spans="10:11" x14ac:dyDescent="0.25">
      <c r="J97" s="66">
        <v>96</v>
      </c>
      <c r="K97" s="157" t="s">
        <v>357</v>
      </c>
    </row>
    <row r="98" spans="10:11" x14ac:dyDescent="0.25">
      <c r="J98" s="66">
        <v>97</v>
      </c>
      <c r="K98" s="157" t="s">
        <v>357</v>
      </c>
    </row>
    <row r="99" spans="10:11" x14ac:dyDescent="0.25">
      <c r="J99" s="66">
        <v>98</v>
      </c>
      <c r="K99" s="157" t="s">
        <v>357</v>
      </c>
    </row>
    <row r="100" spans="10:11" x14ac:dyDescent="0.25">
      <c r="J100" s="66">
        <v>99</v>
      </c>
      <c r="K100" s="157" t="s">
        <v>357</v>
      </c>
    </row>
    <row r="101" spans="10:11" x14ac:dyDescent="0.25">
      <c r="J101" s="66">
        <v>100</v>
      </c>
      <c r="K101" s="157" t="s">
        <v>357</v>
      </c>
    </row>
  </sheetData>
  <sheetProtection selectLockedCells="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election activeCell="S42" sqref="S42"/>
    </sheetView>
  </sheetViews>
  <sheetFormatPr defaultRowHeight="15" x14ac:dyDescent="0.25"/>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V34"/>
  <sheetViews>
    <sheetView topLeftCell="C16" zoomScale="90" zoomScaleNormal="90" workbookViewId="0">
      <selection activeCell="E10" sqref="E10"/>
    </sheetView>
  </sheetViews>
  <sheetFormatPr defaultColWidth="9.140625" defaultRowHeight="15" x14ac:dyDescent="0.25"/>
  <cols>
    <col min="1" max="1" width="9.140625" style="119"/>
    <col min="2" max="2" width="31" style="119" customWidth="1"/>
    <col min="3" max="3" width="27" style="119" customWidth="1"/>
    <col min="4" max="4" width="85.42578125" style="119" customWidth="1"/>
    <col min="5" max="5" width="17.28515625" style="119" customWidth="1"/>
    <col min="6" max="6" width="82" style="119" customWidth="1"/>
    <col min="7" max="7" width="5.7109375" style="119" bestFit="1" customWidth="1"/>
    <col min="8" max="8" width="31.7109375" style="119" bestFit="1" customWidth="1"/>
    <col min="9" max="9" width="9.140625" style="119"/>
    <col min="10" max="10" width="18.85546875" style="119" bestFit="1" customWidth="1"/>
    <col min="11" max="11" width="9.140625" style="119"/>
    <col min="12" max="12" width="13.140625" style="119" bestFit="1" customWidth="1"/>
    <col min="13" max="13" width="9.140625" style="119"/>
    <col min="14" max="14" width="11" style="119" bestFit="1" customWidth="1"/>
    <col min="15" max="15" width="9.140625" style="119"/>
    <col min="16" max="16" width="12.7109375" style="119" bestFit="1" customWidth="1"/>
    <col min="17" max="16384" width="9.140625" style="119"/>
  </cols>
  <sheetData>
    <row r="1" spans="2:22" s="79" customFormat="1" ht="18.75" x14ac:dyDescent="0.3">
      <c r="B1" s="79" t="s">
        <v>242</v>
      </c>
    </row>
    <row r="2" spans="2:22" x14ac:dyDescent="0.25">
      <c r="H2" s="97" t="s">
        <v>160</v>
      </c>
      <c r="J2" s="97" t="s">
        <v>99</v>
      </c>
      <c r="L2" s="96" t="s">
        <v>211</v>
      </c>
      <c r="N2" s="96" t="s">
        <v>214</v>
      </c>
      <c r="P2" s="96" t="s">
        <v>211</v>
      </c>
      <c r="R2" s="96" t="s">
        <v>211</v>
      </c>
      <c r="T2" s="96" t="s">
        <v>211</v>
      </c>
      <c r="V2" s="96" t="s">
        <v>211</v>
      </c>
    </row>
    <row r="3" spans="2:22" ht="18.75" x14ac:dyDescent="0.3">
      <c r="B3" s="80" t="s">
        <v>203</v>
      </c>
      <c r="C3" s="43"/>
      <c r="D3" s="80" t="s">
        <v>204</v>
      </c>
      <c r="H3" s="97" t="s">
        <v>161</v>
      </c>
      <c r="J3" s="97" t="s">
        <v>101</v>
      </c>
      <c r="L3" s="96" t="s">
        <v>212</v>
      </c>
      <c r="N3" s="96" t="s">
        <v>215</v>
      </c>
      <c r="P3" s="96" t="s">
        <v>212</v>
      </c>
      <c r="R3" s="96" t="s">
        <v>212</v>
      </c>
      <c r="T3" s="96" t="s">
        <v>212</v>
      </c>
      <c r="V3" s="96" t="s">
        <v>212</v>
      </c>
    </row>
    <row r="4" spans="2:22" x14ac:dyDescent="0.25">
      <c r="B4" s="81" t="s">
        <v>273</v>
      </c>
      <c r="D4" s="81" t="s">
        <v>103</v>
      </c>
      <c r="H4" s="96" t="s">
        <v>273</v>
      </c>
      <c r="J4" s="97" t="s">
        <v>102</v>
      </c>
      <c r="L4" s="96" t="s">
        <v>213</v>
      </c>
      <c r="N4" s="96" t="s">
        <v>216</v>
      </c>
      <c r="P4" s="96" t="s">
        <v>224</v>
      </c>
      <c r="R4" s="96" t="s">
        <v>225</v>
      </c>
      <c r="T4" s="96" t="s">
        <v>226</v>
      </c>
      <c r="V4" s="96" t="s">
        <v>250</v>
      </c>
    </row>
    <row r="5" spans="2:22" x14ac:dyDescent="0.25">
      <c r="J5" s="97" t="s">
        <v>103</v>
      </c>
      <c r="L5" s="98"/>
    </row>
    <row r="6" spans="2:22" x14ac:dyDescent="0.25">
      <c r="J6" s="97" t="s">
        <v>105</v>
      </c>
      <c r="L6" s="98"/>
    </row>
    <row r="7" spans="2:22" x14ac:dyDescent="0.25">
      <c r="J7" s="97" t="s">
        <v>124</v>
      </c>
    </row>
    <row r="8" spans="2:22" x14ac:dyDescent="0.25">
      <c r="J8" s="97" t="s">
        <v>125</v>
      </c>
    </row>
    <row r="9" spans="2:22" ht="19.5" thickBot="1" x14ac:dyDescent="0.3">
      <c r="B9" s="85" t="s">
        <v>205</v>
      </c>
      <c r="C9" s="85" t="s">
        <v>207</v>
      </c>
      <c r="D9" s="85" t="s">
        <v>206</v>
      </c>
      <c r="E9" s="85" t="s">
        <v>208</v>
      </c>
      <c r="F9" s="85" t="s">
        <v>209</v>
      </c>
      <c r="G9" s="107" t="s">
        <v>227</v>
      </c>
      <c r="H9" s="107" t="s">
        <v>249</v>
      </c>
      <c r="L9" s="82"/>
      <c r="M9" s="82"/>
      <c r="N9" s="82"/>
      <c r="O9" s="83"/>
    </row>
    <row r="10" spans="2:22" ht="31.5" customHeight="1" x14ac:dyDescent="0.25">
      <c r="B10" s="218" t="s">
        <v>76</v>
      </c>
      <c r="C10" s="224" t="s">
        <v>274</v>
      </c>
      <c r="D10" s="87" t="s">
        <v>228</v>
      </c>
      <c r="E10" s="99" t="s">
        <v>211</v>
      </c>
      <c r="F10" s="123" t="s">
        <v>139</v>
      </c>
      <c r="G10" s="107">
        <f>IF(E10="Yes",5,IF(E10="no",0,2.5))</f>
        <v>5</v>
      </c>
      <c r="H10" s="108"/>
      <c r="L10" s="84"/>
      <c r="M10" s="82"/>
      <c r="N10" s="82"/>
      <c r="O10" s="83"/>
    </row>
    <row r="11" spans="2:22" ht="32.25" thickBot="1" x14ac:dyDescent="0.3">
      <c r="B11" s="220"/>
      <c r="C11" s="226"/>
      <c r="D11" s="88" t="s">
        <v>217</v>
      </c>
      <c r="E11" s="100" t="s">
        <v>211</v>
      </c>
      <c r="F11" s="124" t="s">
        <v>141</v>
      </c>
      <c r="G11" s="107">
        <f>IF(E11="Yes",5,IF(E11="no",0,2.5))</f>
        <v>5</v>
      </c>
      <c r="H11" s="108">
        <f>((G10+G11)/10)*100</f>
        <v>100</v>
      </c>
      <c r="L11" s="84"/>
      <c r="M11" s="82"/>
      <c r="N11" s="82"/>
      <c r="O11" s="83"/>
    </row>
    <row r="12" spans="2:22" ht="18.75" x14ac:dyDescent="0.25">
      <c r="B12" s="210" t="s">
        <v>44</v>
      </c>
      <c r="C12" s="227" t="s">
        <v>274</v>
      </c>
      <c r="D12" s="89" t="s">
        <v>106</v>
      </c>
      <c r="E12" s="99" t="s">
        <v>211</v>
      </c>
      <c r="F12" s="125" t="s">
        <v>149</v>
      </c>
      <c r="G12" s="107">
        <f>IF(E12="yes",3.33,IF(E12="no",0,1.66))</f>
        <v>3.33</v>
      </c>
      <c r="H12" s="108"/>
      <c r="L12" s="84"/>
      <c r="M12" s="82"/>
      <c r="N12" s="82"/>
      <c r="O12" s="82"/>
    </row>
    <row r="13" spans="2:22" ht="18.75" x14ac:dyDescent="0.25">
      <c r="B13" s="211"/>
      <c r="C13" s="228"/>
      <c r="D13" s="90" t="s">
        <v>218</v>
      </c>
      <c r="E13" s="100" t="s">
        <v>225</v>
      </c>
      <c r="F13" s="125" t="s">
        <v>144</v>
      </c>
      <c r="G13" s="107">
        <f>IF(E13="yes",3.33,IF(E13="no",0,1.66))</f>
        <v>1.66</v>
      </c>
      <c r="H13" s="108"/>
      <c r="L13" s="84"/>
      <c r="M13" s="82"/>
      <c r="N13" s="82"/>
      <c r="O13" s="82"/>
    </row>
    <row r="14" spans="2:22" ht="28.5" customHeight="1" thickBot="1" x14ac:dyDescent="0.3">
      <c r="B14" s="212"/>
      <c r="C14" s="229"/>
      <c r="D14" s="91" t="s">
        <v>219</v>
      </c>
      <c r="E14" s="101" t="s">
        <v>211</v>
      </c>
      <c r="F14" s="125" t="s">
        <v>151</v>
      </c>
      <c r="G14" s="107">
        <f>IF(E14="yes",3.33,IF(E14="no",0))</f>
        <v>3.33</v>
      </c>
      <c r="H14" s="108">
        <f>((G12+G13+G14)/10)*100</f>
        <v>83.2</v>
      </c>
    </row>
    <row r="15" spans="2:22" ht="29.25" customHeight="1" x14ac:dyDescent="0.25">
      <c r="B15" s="210" t="s">
        <v>9</v>
      </c>
      <c r="C15" s="224" t="s">
        <v>275</v>
      </c>
      <c r="D15" s="92" t="s">
        <v>220</v>
      </c>
      <c r="E15" s="99" t="s">
        <v>214</v>
      </c>
      <c r="F15" s="123" t="s">
        <v>152</v>
      </c>
      <c r="G15" s="107">
        <f>IF(E15="low",3.33,IF(E15="high",0,1.66))</f>
        <v>0</v>
      </c>
      <c r="H15" s="108"/>
    </row>
    <row r="16" spans="2:22" ht="31.5" x14ac:dyDescent="0.25">
      <c r="B16" s="211"/>
      <c r="C16" s="225"/>
      <c r="D16" s="93" t="s">
        <v>111</v>
      </c>
      <c r="E16" s="100" t="s">
        <v>212</v>
      </c>
      <c r="F16" s="125" t="s">
        <v>153</v>
      </c>
      <c r="G16" s="107">
        <f>IF(E16="yes",3.33,IF(E16="no",0,1.66))</f>
        <v>0</v>
      </c>
      <c r="H16" s="108"/>
    </row>
    <row r="17" spans="2:8" ht="18.75" customHeight="1" thickBot="1" x14ac:dyDescent="0.3">
      <c r="B17" s="212"/>
      <c r="C17" s="226"/>
      <c r="D17" s="94" t="s">
        <v>221</v>
      </c>
      <c r="E17" s="101" t="s">
        <v>225</v>
      </c>
      <c r="F17" s="124" t="s">
        <v>272</v>
      </c>
      <c r="G17" s="107">
        <f>IF(E17="no",3.33,IF(E17="yes",0,1.66))</f>
        <v>1.66</v>
      </c>
      <c r="H17" s="108">
        <f>((G15+G16+G17)/10)*100</f>
        <v>16.599999999999998</v>
      </c>
    </row>
    <row r="18" spans="2:8" ht="30.75" customHeight="1" x14ac:dyDescent="0.25">
      <c r="B18" s="216" t="s">
        <v>32</v>
      </c>
      <c r="C18" s="224" t="s">
        <v>275</v>
      </c>
      <c r="D18" s="92" t="s">
        <v>159</v>
      </c>
      <c r="E18" s="99" t="s">
        <v>211</v>
      </c>
      <c r="F18" s="126" t="s">
        <v>146</v>
      </c>
      <c r="G18" s="107">
        <f>IF(E18="yes",3.33,IF(E18="no",0))</f>
        <v>3.33</v>
      </c>
      <c r="H18" s="108"/>
    </row>
    <row r="19" spans="2:8" ht="18.75" x14ac:dyDescent="0.25">
      <c r="B19" s="217"/>
      <c r="C19" s="225"/>
      <c r="D19" s="95" t="s">
        <v>222</v>
      </c>
      <c r="E19" s="100" t="s">
        <v>212</v>
      </c>
      <c r="F19" s="125" t="s">
        <v>156</v>
      </c>
      <c r="G19" s="107">
        <f>IF(E19="no",3.33,IF(E19="yes",0,1.66))</f>
        <v>3.33</v>
      </c>
      <c r="H19" s="108"/>
    </row>
    <row r="20" spans="2:8" ht="32.25" customHeight="1" thickBot="1" x14ac:dyDescent="0.3">
      <c r="B20" s="217"/>
      <c r="C20" s="226"/>
      <c r="D20" s="94" t="s">
        <v>117</v>
      </c>
      <c r="E20" s="101" t="s">
        <v>211</v>
      </c>
      <c r="F20" s="124" t="s">
        <v>86</v>
      </c>
      <c r="G20" s="107">
        <f>IF(E20="yes",3.33,IF(E20="no",0))</f>
        <v>3.33</v>
      </c>
      <c r="H20" s="108">
        <f>((G18+G19+G20)/10)*100</f>
        <v>99.9</v>
      </c>
    </row>
    <row r="21" spans="2:8" ht="34.5" customHeight="1" x14ac:dyDescent="0.25">
      <c r="B21" s="218" t="s">
        <v>248</v>
      </c>
      <c r="C21" s="86" t="s">
        <v>276</v>
      </c>
      <c r="D21" s="93" t="s">
        <v>210</v>
      </c>
      <c r="E21" s="100" t="s">
        <v>212</v>
      </c>
      <c r="F21" s="123" t="s">
        <v>87</v>
      </c>
      <c r="G21" s="107">
        <f>IF(E21="yes",2,IF(E21="no",0))</f>
        <v>0</v>
      </c>
      <c r="H21" s="108"/>
    </row>
    <row r="22" spans="2:8" ht="31.5" x14ac:dyDescent="0.25">
      <c r="B22" s="219"/>
      <c r="C22" s="225" t="s">
        <v>275</v>
      </c>
      <c r="D22" s="93" t="s">
        <v>223</v>
      </c>
      <c r="E22" s="100" t="s">
        <v>212</v>
      </c>
      <c r="F22" s="125" t="s">
        <v>87</v>
      </c>
      <c r="G22" s="107">
        <f>IF(E22="yes",2,IF(E22="no",0,1))</f>
        <v>0</v>
      </c>
      <c r="H22" s="108"/>
    </row>
    <row r="23" spans="2:8" ht="35.25" customHeight="1" x14ac:dyDescent="0.25">
      <c r="B23" s="219"/>
      <c r="C23" s="225"/>
      <c r="D23" s="93" t="s">
        <v>122</v>
      </c>
      <c r="E23" s="100" t="s">
        <v>212</v>
      </c>
      <c r="F23" s="125" t="s">
        <v>87</v>
      </c>
      <c r="G23" s="107">
        <f>IF(E23="yes",2,IF(E23="no",0,1))</f>
        <v>0</v>
      </c>
      <c r="H23" s="108"/>
    </row>
    <row r="24" spans="2:8" ht="31.5" x14ac:dyDescent="0.25">
      <c r="B24" s="219"/>
      <c r="C24" s="225"/>
      <c r="D24" s="93" t="s">
        <v>123</v>
      </c>
      <c r="E24" s="100" t="s">
        <v>212</v>
      </c>
      <c r="F24" s="125" t="s">
        <v>87</v>
      </c>
      <c r="G24" s="107">
        <f>IF(E24="yes",2,IF(E24="no",0,1))</f>
        <v>0</v>
      </c>
      <c r="H24" s="108"/>
    </row>
    <row r="25" spans="2:8" ht="32.25" thickBot="1" x14ac:dyDescent="0.3">
      <c r="B25" s="220"/>
      <c r="C25" s="226"/>
      <c r="D25" s="94" t="s">
        <v>130</v>
      </c>
      <c r="E25" s="100" t="s">
        <v>224</v>
      </c>
      <c r="F25" s="124" t="s">
        <v>277</v>
      </c>
      <c r="G25" s="107">
        <f>IF(E25="yes",2,IF(E25="no",0,1))</f>
        <v>1</v>
      </c>
      <c r="H25" s="108">
        <f>((G21+G22+G23+G24+G25)/10)*100</f>
        <v>10</v>
      </c>
    </row>
    <row r="26" spans="2:8" ht="33" customHeight="1" x14ac:dyDescent="0.25">
      <c r="B26" s="218" t="s">
        <v>247</v>
      </c>
      <c r="C26" s="224" t="s">
        <v>275</v>
      </c>
      <c r="D26" s="92" t="s">
        <v>118</v>
      </c>
      <c r="E26" s="99" t="s">
        <v>211</v>
      </c>
      <c r="F26" s="125" t="s">
        <v>148</v>
      </c>
      <c r="G26" s="107">
        <f>IF(E26="yes",5,IF(E26="no",0,2.5))</f>
        <v>5</v>
      </c>
      <c r="H26" s="108"/>
    </row>
    <row r="27" spans="2:8" ht="32.25" customHeight="1" thickBot="1" x14ac:dyDescent="0.3">
      <c r="B27" s="220"/>
      <c r="C27" s="226"/>
      <c r="D27" s="94" t="s">
        <v>119</v>
      </c>
      <c r="E27" s="101" t="s">
        <v>212</v>
      </c>
      <c r="F27" s="124" t="s">
        <v>157</v>
      </c>
      <c r="G27" s="107">
        <f>IF(E27="no",5,IF(E27="yes",0,2.5))</f>
        <v>5</v>
      </c>
      <c r="H27" s="108">
        <f>((G26+G27)/10)*100</f>
        <v>100</v>
      </c>
    </row>
    <row r="28" spans="2:8" ht="15" customHeight="1" x14ac:dyDescent="0.25"/>
    <row r="29" spans="2:8" x14ac:dyDescent="0.25">
      <c r="G29" s="119" t="str">
        <f>B10</f>
        <v xml:space="preserve">Strategic Fit </v>
      </c>
      <c r="H29" s="109">
        <f>H11</f>
        <v>100</v>
      </c>
    </row>
    <row r="30" spans="2:8" x14ac:dyDescent="0.25">
      <c r="G30" s="119" t="str">
        <f>B12</f>
        <v>Development Concept</v>
      </c>
      <c r="H30" s="109">
        <f>H14</f>
        <v>83.2</v>
      </c>
    </row>
    <row r="31" spans="2:8" x14ac:dyDescent="0.25">
      <c r="G31" s="119" t="str">
        <f>B15</f>
        <v>Technical/Subsurface</v>
      </c>
      <c r="H31" s="109">
        <f>H17</f>
        <v>16.599999999999998</v>
      </c>
    </row>
    <row r="32" spans="2:8" x14ac:dyDescent="0.25">
      <c r="G32" s="119" t="str">
        <f>B18</f>
        <v>Above Ground</v>
      </c>
      <c r="H32" s="109">
        <f>H20</f>
        <v>99.9</v>
      </c>
    </row>
    <row r="33" spans="7:8" x14ac:dyDescent="0.25">
      <c r="G33" s="119" t="str">
        <f>B21</f>
        <v xml:space="preserve">Commercial </v>
      </c>
      <c r="H33" s="109">
        <f>H25</f>
        <v>10</v>
      </c>
    </row>
    <row r="34" spans="7:8" x14ac:dyDescent="0.25">
      <c r="G34" s="119" t="str">
        <f>B26</f>
        <v xml:space="preserve">Budget &amp; Flexibility </v>
      </c>
      <c r="H34" s="109">
        <f>H27</f>
        <v>100</v>
      </c>
    </row>
  </sheetData>
  <mergeCells count="12">
    <mergeCell ref="B10:B11"/>
    <mergeCell ref="C10:C11"/>
    <mergeCell ref="B12:B14"/>
    <mergeCell ref="C12:C14"/>
    <mergeCell ref="B15:B17"/>
    <mergeCell ref="C15:C17"/>
    <mergeCell ref="B18:B20"/>
    <mergeCell ref="C18:C20"/>
    <mergeCell ref="B21:B25"/>
    <mergeCell ref="C22:C25"/>
    <mergeCell ref="B26:B27"/>
    <mergeCell ref="C26:C27"/>
  </mergeCells>
  <conditionalFormatting sqref="E11">
    <cfRule type="colorScale" priority="17">
      <colorScale>
        <cfvo type="min"/>
        <cfvo type="percentile" val="50"/>
        <cfvo type="max"/>
        <color rgb="FF63BE7B"/>
        <color rgb="FFFFEB84"/>
        <color rgb="FFF8696B"/>
      </colorScale>
    </cfRule>
  </conditionalFormatting>
  <conditionalFormatting sqref="E12">
    <cfRule type="colorScale" priority="16">
      <colorScale>
        <cfvo type="min"/>
        <cfvo type="percentile" val="50"/>
        <cfvo type="max"/>
        <color rgb="FF63BE7B"/>
        <color rgb="FFFFEB84"/>
        <color rgb="FFF8696B"/>
      </colorScale>
    </cfRule>
  </conditionalFormatting>
  <conditionalFormatting sqref="E14">
    <cfRule type="colorScale" priority="15">
      <colorScale>
        <cfvo type="min"/>
        <cfvo type="percentile" val="50"/>
        <cfvo type="max"/>
        <color rgb="FF63BE7B"/>
        <color rgb="FFFFEB84"/>
        <color rgb="FFF8696B"/>
      </colorScale>
    </cfRule>
  </conditionalFormatting>
  <conditionalFormatting sqref="E13">
    <cfRule type="colorScale" priority="14">
      <colorScale>
        <cfvo type="min"/>
        <cfvo type="percentile" val="50"/>
        <cfvo type="max"/>
        <color rgb="FF63BE7B"/>
        <color rgb="FFFFEB84"/>
        <color rgb="FFF8696B"/>
      </colorScale>
    </cfRule>
  </conditionalFormatting>
  <conditionalFormatting sqref="E15">
    <cfRule type="colorScale" priority="13">
      <colorScale>
        <cfvo type="min"/>
        <cfvo type="percentile" val="50"/>
        <cfvo type="max"/>
        <color rgb="FF63BE7B"/>
        <color rgb="FFFFEB84"/>
        <color rgb="FFF8696B"/>
      </colorScale>
    </cfRule>
  </conditionalFormatting>
  <conditionalFormatting sqref="E16">
    <cfRule type="colorScale" priority="12">
      <colorScale>
        <cfvo type="min"/>
        <cfvo type="percentile" val="50"/>
        <cfvo type="max"/>
        <color rgb="FF63BE7B"/>
        <color rgb="FFFFEB84"/>
        <color rgb="FFF8696B"/>
      </colorScale>
    </cfRule>
  </conditionalFormatting>
  <conditionalFormatting sqref="E17">
    <cfRule type="colorScale" priority="11">
      <colorScale>
        <cfvo type="min"/>
        <cfvo type="percentile" val="50"/>
        <cfvo type="max"/>
        <color rgb="FF63BE7B"/>
        <color rgb="FFFFEB84"/>
        <color rgb="FFF8696B"/>
      </colorScale>
    </cfRule>
  </conditionalFormatting>
  <conditionalFormatting sqref="E18">
    <cfRule type="colorScale" priority="10">
      <colorScale>
        <cfvo type="min"/>
        <cfvo type="percentile" val="50"/>
        <cfvo type="max"/>
        <color rgb="FF63BE7B"/>
        <color rgb="FFFFEB84"/>
        <color rgb="FFF8696B"/>
      </colorScale>
    </cfRule>
  </conditionalFormatting>
  <conditionalFormatting sqref="E19">
    <cfRule type="colorScale" priority="9">
      <colorScale>
        <cfvo type="min"/>
        <cfvo type="percentile" val="50"/>
        <cfvo type="max"/>
        <color rgb="FF63BE7B"/>
        <color rgb="FFFFEB84"/>
        <color rgb="FFF8696B"/>
      </colorScale>
    </cfRule>
  </conditionalFormatting>
  <conditionalFormatting sqref="E20">
    <cfRule type="colorScale" priority="8">
      <colorScale>
        <cfvo type="min"/>
        <cfvo type="percentile" val="50"/>
        <cfvo type="max"/>
        <color rgb="FF63BE7B"/>
        <color rgb="FFFFEB84"/>
        <color rgb="FFF8696B"/>
      </colorScale>
    </cfRule>
  </conditionalFormatting>
  <conditionalFormatting sqref="E26">
    <cfRule type="colorScale" priority="7">
      <colorScale>
        <cfvo type="min"/>
        <cfvo type="percentile" val="50"/>
        <cfvo type="max"/>
        <color rgb="FF63BE7B"/>
        <color rgb="FFFFEB84"/>
        <color rgb="FFF8696B"/>
      </colorScale>
    </cfRule>
  </conditionalFormatting>
  <conditionalFormatting sqref="E27">
    <cfRule type="colorScale" priority="6">
      <colorScale>
        <cfvo type="min"/>
        <cfvo type="percentile" val="50"/>
        <cfvo type="max"/>
        <color rgb="FF63BE7B"/>
        <color rgb="FFFFEB84"/>
        <color rgb="FFF8696B"/>
      </colorScale>
    </cfRule>
  </conditionalFormatting>
  <conditionalFormatting sqref="E21">
    <cfRule type="colorScale" priority="5">
      <colorScale>
        <cfvo type="min"/>
        <cfvo type="percentile" val="50"/>
        <cfvo type="max"/>
        <color rgb="FF63BE7B"/>
        <color rgb="FFFFEB84"/>
        <color rgb="FFF8696B"/>
      </colorScale>
    </cfRule>
  </conditionalFormatting>
  <conditionalFormatting sqref="E22">
    <cfRule type="colorScale" priority="4">
      <colorScale>
        <cfvo type="min"/>
        <cfvo type="percentile" val="50"/>
        <cfvo type="max"/>
        <color rgb="FF63BE7B"/>
        <color rgb="FFFFEB84"/>
        <color rgb="FFF8696B"/>
      </colorScale>
    </cfRule>
  </conditionalFormatting>
  <conditionalFormatting sqref="E23">
    <cfRule type="colorScale" priority="3">
      <colorScale>
        <cfvo type="min"/>
        <cfvo type="percentile" val="50"/>
        <cfvo type="max"/>
        <color rgb="FF63BE7B"/>
        <color rgb="FFFFEB84"/>
        <color rgb="FFF8696B"/>
      </colorScale>
    </cfRule>
  </conditionalFormatting>
  <conditionalFormatting sqref="E24">
    <cfRule type="colorScale" priority="2">
      <colorScale>
        <cfvo type="min"/>
        <cfvo type="percentile" val="50"/>
        <cfvo type="max"/>
        <color rgb="FF63BE7B"/>
        <color rgb="FFFFEB84"/>
        <color rgb="FFF8696B"/>
      </colorScale>
    </cfRule>
  </conditionalFormatting>
  <conditionalFormatting sqref="E25">
    <cfRule type="colorScale" priority="1">
      <colorScale>
        <cfvo type="min"/>
        <cfvo type="percentile" val="50"/>
        <cfvo type="max"/>
        <color rgb="FF63BE7B"/>
        <color rgb="FFFFEB84"/>
        <color rgb="FFF8696B"/>
      </colorScale>
    </cfRule>
  </conditionalFormatting>
  <conditionalFormatting sqref="E10">
    <cfRule type="colorScale" priority="18">
      <colorScale>
        <cfvo type="min"/>
        <cfvo type="percentile" val="50"/>
        <cfvo type="max"/>
        <color rgb="FF63BE7B"/>
        <color rgb="FFFFEB84"/>
        <color rgb="FFF8696B"/>
      </colorScale>
    </cfRule>
  </conditionalFormatting>
  <dataValidations count="9">
    <dataValidation type="list" allowBlank="1" showInputMessage="1" showErrorMessage="1" sqref="E27" xr:uid="{00000000-0002-0000-1000-000000000000}">
      <formula1>$T$2:$T$4</formula1>
    </dataValidation>
    <dataValidation type="list" allowBlank="1" showInputMessage="1" showErrorMessage="1" sqref="E18 E14 E20" xr:uid="{00000000-0002-0000-1000-000001000000}">
      <formula1>$L$2:$L$3</formula1>
    </dataValidation>
    <dataValidation type="list" allowBlank="1" showInputMessage="1" showErrorMessage="1" sqref="E19 E24 E17 E26 E10:E13" xr:uid="{00000000-0002-0000-1000-000002000000}">
      <formula1>$R$2:$R$4</formula1>
    </dataValidation>
    <dataValidation type="list" allowBlank="1" showInputMessage="1" showErrorMessage="1" sqref="B4" xr:uid="{00000000-0002-0000-1000-000003000000}">
      <formula1>$H$2:$H$4</formula1>
    </dataValidation>
    <dataValidation type="list" allowBlank="1" showInputMessage="1" showErrorMessage="1" sqref="D4" xr:uid="{00000000-0002-0000-1000-000004000000}">
      <formula1>$J$2:$J$8</formula1>
    </dataValidation>
    <dataValidation type="list" allowBlank="1" showInputMessage="1" showErrorMessage="1" sqref="E15" xr:uid="{00000000-0002-0000-1000-000005000000}">
      <formula1>$N$2:$N$4</formula1>
    </dataValidation>
    <dataValidation type="list" allowBlank="1" showInputMessage="1" showErrorMessage="1" sqref="E25 E16" xr:uid="{00000000-0002-0000-1000-000006000000}">
      <formula1>$P$2:$P$4</formula1>
    </dataValidation>
    <dataValidation type="list" allowBlank="1" showInputMessage="1" showErrorMessage="1" sqref="E22:E23" xr:uid="{00000000-0002-0000-1000-000007000000}">
      <formula1>$V$2:$V$4</formula1>
    </dataValidation>
    <dataValidation type="list" allowBlank="1" showInputMessage="1" showErrorMessage="1" sqref="E21" xr:uid="{00000000-0002-0000-1000-000008000000}">
      <formula1>$V$2:$V$3</formula1>
    </dataValidation>
  </dataValidation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V34"/>
  <sheetViews>
    <sheetView topLeftCell="A10" zoomScale="90" zoomScaleNormal="90" workbookViewId="0">
      <selection activeCell="E12" sqref="E12"/>
    </sheetView>
  </sheetViews>
  <sheetFormatPr defaultRowHeight="15" x14ac:dyDescent="0.25"/>
  <cols>
    <col min="2" max="2" width="31" customWidth="1"/>
    <col min="3" max="3" width="27" customWidth="1"/>
    <col min="4" max="4" width="85.42578125" customWidth="1"/>
    <col min="5" max="5" width="17.28515625" customWidth="1"/>
    <col min="6" max="6" width="82" customWidth="1"/>
    <col min="7" max="7" width="5.7109375" bestFit="1" customWidth="1"/>
    <col min="8" max="8" width="31.7109375" bestFit="1" customWidth="1"/>
    <col min="10" max="10" width="18.85546875" bestFit="1" customWidth="1"/>
    <col min="12" max="12" width="13.140625" bestFit="1" customWidth="1"/>
    <col min="14" max="14" width="11" bestFit="1" customWidth="1"/>
    <col min="16" max="16" width="12.7109375" bestFit="1" customWidth="1"/>
  </cols>
  <sheetData>
    <row r="1" spans="2:22" s="79" customFormat="1" ht="18.75" x14ac:dyDescent="0.3">
      <c r="B1" s="79" t="s">
        <v>242</v>
      </c>
    </row>
    <row r="2" spans="2:22" x14ac:dyDescent="0.25">
      <c r="H2" s="97" t="s">
        <v>160</v>
      </c>
      <c r="J2" s="97" t="s">
        <v>99</v>
      </c>
      <c r="L2" s="96" t="s">
        <v>211</v>
      </c>
      <c r="N2" s="96" t="s">
        <v>214</v>
      </c>
      <c r="P2" s="96" t="s">
        <v>211</v>
      </c>
      <c r="R2" s="96" t="s">
        <v>211</v>
      </c>
      <c r="T2" s="96" t="s">
        <v>211</v>
      </c>
      <c r="V2" s="96" t="s">
        <v>211</v>
      </c>
    </row>
    <row r="3" spans="2:22" ht="18.75" x14ac:dyDescent="0.3">
      <c r="B3" s="80" t="s">
        <v>203</v>
      </c>
      <c r="C3" s="43"/>
      <c r="D3" s="80" t="s">
        <v>204</v>
      </c>
      <c r="H3" s="97" t="s">
        <v>161</v>
      </c>
      <c r="J3" s="97" t="s">
        <v>101</v>
      </c>
      <c r="L3" s="96" t="s">
        <v>212</v>
      </c>
      <c r="N3" s="96" t="s">
        <v>215</v>
      </c>
      <c r="P3" s="96" t="s">
        <v>212</v>
      </c>
      <c r="R3" s="96" t="s">
        <v>212</v>
      </c>
      <c r="T3" s="96" t="s">
        <v>212</v>
      </c>
      <c r="V3" s="96" t="s">
        <v>212</v>
      </c>
    </row>
    <row r="4" spans="2:22" x14ac:dyDescent="0.25">
      <c r="B4" s="81" t="s">
        <v>161</v>
      </c>
      <c r="D4" s="81" t="s">
        <v>267</v>
      </c>
      <c r="J4" s="97" t="s">
        <v>102</v>
      </c>
      <c r="L4" s="96" t="s">
        <v>213</v>
      </c>
      <c r="N4" s="96" t="s">
        <v>216</v>
      </c>
      <c r="P4" s="96" t="s">
        <v>224</v>
      </c>
      <c r="R4" s="96" t="s">
        <v>225</v>
      </c>
      <c r="T4" s="96" t="s">
        <v>226</v>
      </c>
      <c r="V4" s="96" t="s">
        <v>250</v>
      </c>
    </row>
    <row r="5" spans="2:22" x14ac:dyDescent="0.25">
      <c r="J5" s="97" t="s">
        <v>103</v>
      </c>
      <c r="L5" s="98"/>
    </row>
    <row r="6" spans="2:22" x14ac:dyDescent="0.25">
      <c r="J6" s="97" t="s">
        <v>105</v>
      </c>
      <c r="L6" s="98"/>
    </row>
    <row r="7" spans="2:22" x14ac:dyDescent="0.25">
      <c r="J7" s="97" t="s">
        <v>124</v>
      </c>
    </row>
    <row r="8" spans="2:22" x14ac:dyDescent="0.25">
      <c r="J8" s="97" t="s">
        <v>125</v>
      </c>
    </row>
    <row r="9" spans="2:22" ht="19.5" thickBot="1" x14ac:dyDescent="0.3">
      <c r="B9" s="85" t="s">
        <v>205</v>
      </c>
      <c r="C9" s="85" t="s">
        <v>207</v>
      </c>
      <c r="D9" s="85" t="s">
        <v>206</v>
      </c>
      <c r="E9" s="85" t="s">
        <v>208</v>
      </c>
      <c r="F9" s="85" t="s">
        <v>209</v>
      </c>
      <c r="G9" s="107" t="s">
        <v>227</v>
      </c>
      <c r="H9" s="107" t="s">
        <v>249</v>
      </c>
      <c r="J9" s="97" t="s">
        <v>267</v>
      </c>
      <c r="L9" s="82"/>
      <c r="M9" s="82"/>
      <c r="N9" s="82"/>
      <c r="O9" s="83"/>
    </row>
    <row r="10" spans="2:22" ht="31.5" customHeight="1" x14ac:dyDescent="0.25">
      <c r="B10" s="218" t="s">
        <v>76</v>
      </c>
      <c r="C10" s="224" t="s">
        <v>268</v>
      </c>
      <c r="D10" s="87" t="s">
        <v>228</v>
      </c>
      <c r="E10" s="99" t="s">
        <v>211</v>
      </c>
      <c r="F10" s="102" t="s">
        <v>251</v>
      </c>
      <c r="G10" s="107">
        <f>IF(E10="Yes",5,IF(E10="no",0,2.5))</f>
        <v>5</v>
      </c>
      <c r="H10" s="108"/>
      <c r="L10" s="84"/>
      <c r="M10" s="82"/>
      <c r="N10" s="82"/>
      <c r="O10" s="83"/>
    </row>
    <row r="11" spans="2:22" ht="32.25" thickBot="1" x14ac:dyDescent="0.3">
      <c r="B11" s="220"/>
      <c r="C11" s="226"/>
      <c r="D11" s="88" t="s">
        <v>217</v>
      </c>
      <c r="E11" s="100" t="s">
        <v>211</v>
      </c>
      <c r="F11" s="105" t="s">
        <v>252</v>
      </c>
      <c r="G11" s="107">
        <f>IF(E11="Yes",5,IF(E11="no",0,2.5))</f>
        <v>5</v>
      </c>
      <c r="H11" s="108">
        <f>((G10+G11)/10)*100</f>
        <v>100</v>
      </c>
      <c r="L11" s="84"/>
      <c r="M11" s="82"/>
      <c r="N11" s="82"/>
      <c r="O11" s="83"/>
    </row>
    <row r="12" spans="2:22" ht="18.75" x14ac:dyDescent="0.25">
      <c r="B12" s="210" t="s">
        <v>44</v>
      </c>
      <c r="C12" s="227" t="s">
        <v>268</v>
      </c>
      <c r="D12" s="89" t="s">
        <v>106</v>
      </c>
      <c r="E12" s="99" t="s">
        <v>211</v>
      </c>
      <c r="F12" s="110" t="s">
        <v>254</v>
      </c>
      <c r="G12" s="107">
        <f>IF(E12="yes",3.33,IF(E12="no",0,1.66))</f>
        <v>3.33</v>
      </c>
      <c r="H12" s="108"/>
      <c r="L12" s="84"/>
      <c r="M12" s="82"/>
      <c r="N12" s="82"/>
      <c r="O12" s="82"/>
    </row>
    <row r="13" spans="2:22" ht="18.75" x14ac:dyDescent="0.25">
      <c r="B13" s="211"/>
      <c r="C13" s="228"/>
      <c r="D13" s="90" t="s">
        <v>218</v>
      </c>
      <c r="E13" s="100" t="s">
        <v>211</v>
      </c>
      <c r="F13" s="112" t="s">
        <v>253</v>
      </c>
      <c r="G13" s="107">
        <f>IF(E13="yes",3.33,IF(E13="no",0,1.66))</f>
        <v>3.33</v>
      </c>
      <c r="H13" s="108"/>
      <c r="L13" s="84"/>
      <c r="M13" s="82"/>
      <c r="N13" s="82"/>
      <c r="O13" s="82"/>
    </row>
    <row r="14" spans="2:22" ht="28.5" customHeight="1" thickBot="1" x14ac:dyDescent="0.3">
      <c r="B14" s="212"/>
      <c r="C14" s="229"/>
      <c r="D14" s="91" t="s">
        <v>219</v>
      </c>
      <c r="E14" s="101" t="s">
        <v>211</v>
      </c>
      <c r="F14" s="111"/>
      <c r="G14" s="107">
        <f>IF(E14="yes",3.33,IF(E14="no",0))</f>
        <v>3.33</v>
      </c>
      <c r="H14" s="108">
        <f>((G12+G13+G14)/10)*100</f>
        <v>99.9</v>
      </c>
    </row>
    <row r="15" spans="2:22" ht="29.25" customHeight="1" x14ac:dyDescent="0.25">
      <c r="B15" s="210" t="s">
        <v>9</v>
      </c>
      <c r="C15" s="224" t="s">
        <v>268</v>
      </c>
      <c r="D15" s="92" t="s">
        <v>220</v>
      </c>
      <c r="E15" s="99" t="s">
        <v>214</v>
      </c>
      <c r="F15" s="113" t="s">
        <v>256</v>
      </c>
      <c r="G15" s="107">
        <f>IF(E15="low",3.33,IF(E15="high",0,1.66))</f>
        <v>0</v>
      </c>
      <c r="H15" s="108"/>
    </row>
    <row r="16" spans="2:22" ht="31.5" x14ac:dyDescent="0.25">
      <c r="B16" s="211"/>
      <c r="C16" s="225"/>
      <c r="D16" s="93" t="s">
        <v>111</v>
      </c>
      <c r="E16" s="100" t="s">
        <v>212</v>
      </c>
      <c r="F16" s="115" t="s">
        <v>257</v>
      </c>
      <c r="G16" s="107">
        <f>IF(E16="yes",3.33,IF(E16="no",0,1.66))</f>
        <v>0</v>
      </c>
      <c r="H16" s="108"/>
    </row>
    <row r="17" spans="2:8" ht="18.75" customHeight="1" thickBot="1" x14ac:dyDescent="0.3">
      <c r="B17" s="212"/>
      <c r="C17" s="226"/>
      <c r="D17" s="94" t="s">
        <v>221</v>
      </c>
      <c r="E17" s="101" t="s">
        <v>212</v>
      </c>
      <c r="F17" s="114" t="s">
        <v>255</v>
      </c>
      <c r="G17" s="107">
        <f>IF(E17="no",3.33,IF(E17="yes",0,1.66))</f>
        <v>3.33</v>
      </c>
      <c r="H17" s="108">
        <f>((G15+G16+G17)/10)*100</f>
        <v>33.300000000000004</v>
      </c>
    </row>
    <row r="18" spans="2:8" ht="30.75" customHeight="1" x14ac:dyDescent="0.25">
      <c r="B18" s="216" t="s">
        <v>32</v>
      </c>
      <c r="C18" s="224" t="s">
        <v>268</v>
      </c>
      <c r="D18" s="92" t="s">
        <v>159</v>
      </c>
      <c r="E18" s="99" t="s">
        <v>211</v>
      </c>
      <c r="F18" s="103" t="s">
        <v>264</v>
      </c>
      <c r="G18" s="107">
        <f>IF(E18="yes",3.33,IF(E18="no",0))</f>
        <v>3.33</v>
      </c>
      <c r="H18" s="108"/>
    </row>
    <row r="19" spans="2:8" ht="18.75" x14ac:dyDescent="0.25">
      <c r="B19" s="217"/>
      <c r="C19" s="225"/>
      <c r="D19" s="95" t="s">
        <v>222</v>
      </c>
      <c r="E19" s="100" t="s">
        <v>212</v>
      </c>
      <c r="F19" s="103" t="s">
        <v>265</v>
      </c>
      <c r="G19" s="107">
        <f>IF(E19="no",3.33,IF(E19="yes",0,1.66))</f>
        <v>3.33</v>
      </c>
      <c r="H19" s="108"/>
    </row>
    <row r="20" spans="2:8" ht="32.25" customHeight="1" thickBot="1" x14ac:dyDescent="0.3">
      <c r="B20" s="217"/>
      <c r="C20" s="226"/>
      <c r="D20" s="94" t="s">
        <v>117</v>
      </c>
      <c r="E20" s="101" t="s">
        <v>211</v>
      </c>
      <c r="F20" s="103" t="s">
        <v>266</v>
      </c>
      <c r="G20" s="107">
        <f>IF(E20="yes",3.33,IF(E20="no",0))</f>
        <v>3.33</v>
      </c>
      <c r="H20" s="108">
        <f>((G18+G19+G20)/10)*100</f>
        <v>99.9</v>
      </c>
    </row>
    <row r="21" spans="2:8" ht="34.5" customHeight="1" x14ac:dyDescent="0.25">
      <c r="B21" s="218" t="s">
        <v>248</v>
      </c>
      <c r="C21" s="86" t="s">
        <v>269</v>
      </c>
      <c r="D21" s="93" t="s">
        <v>210</v>
      </c>
      <c r="E21" s="100" t="s">
        <v>212</v>
      </c>
      <c r="F21" s="116" t="s">
        <v>258</v>
      </c>
      <c r="G21" s="107">
        <f>IF(E21="yes",2,IF(E21="no",0))</f>
        <v>0</v>
      </c>
      <c r="H21" s="108"/>
    </row>
    <row r="22" spans="2:8" ht="31.5" x14ac:dyDescent="0.25">
      <c r="B22" s="219"/>
      <c r="C22" s="225" t="s">
        <v>270</v>
      </c>
      <c r="D22" s="93" t="s">
        <v>223</v>
      </c>
      <c r="E22" s="100" t="s">
        <v>250</v>
      </c>
      <c r="F22" s="118" t="s">
        <v>259</v>
      </c>
      <c r="G22" s="107">
        <f>IF(E22="yes",2,IF(E22="no",0,1))</f>
        <v>1</v>
      </c>
      <c r="H22" s="108"/>
    </row>
    <row r="23" spans="2:8" ht="35.25" customHeight="1" x14ac:dyDescent="0.25">
      <c r="B23" s="219"/>
      <c r="C23" s="225"/>
      <c r="D23" s="93" t="s">
        <v>122</v>
      </c>
      <c r="E23" s="100" t="s">
        <v>250</v>
      </c>
      <c r="F23" s="118" t="s">
        <v>260</v>
      </c>
      <c r="G23" s="107">
        <f>IF(E23="yes",2,IF(E23="no",0,1))</f>
        <v>1</v>
      </c>
      <c r="H23" s="108"/>
    </row>
    <row r="24" spans="2:8" ht="31.5" x14ac:dyDescent="0.25">
      <c r="B24" s="219"/>
      <c r="C24" s="225"/>
      <c r="D24" s="93" t="s">
        <v>123</v>
      </c>
      <c r="E24" s="100" t="s">
        <v>211</v>
      </c>
      <c r="F24" s="103"/>
      <c r="G24" s="107">
        <f>IF(E24="yes",2,IF(E24="no",0,1))</f>
        <v>2</v>
      </c>
      <c r="H24" s="108"/>
    </row>
    <row r="25" spans="2:8" ht="32.25" thickBot="1" x14ac:dyDescent="0.3">
      <c r="B25" s="220"/>
      <c r="C25" s="226"/>
      <c r="D25" s="94" t="s">
        <v>130</v>
      </c>
      <c r="E25" s="100" t="s">
        <v>211</v>
      </c>
      <c r="F25" s="117" t="s">
        <v>261</v>
      </c>
      <c r="G25" s="107">
        <f>IF(E25="yes",2,IF(E25="no",0,1))</f>
        <v>2</v>
      </c>
      <c r="H25" s="108">
        <f>((G21+G22+G23+G24+G25)/10)*100</f>
        <v>60</v>
      </c>
    </row>
    <row r="26" spans="2:8" ht="33" customHeight="1" x14ac:dyDescent="0.25">
      <c r="B26" s="218" t="s">
        <v>247</v>
      </c>
      <c r="C26" s="224" t="s">
        <v>271</v>
      </c>
      <c r="D26" s="92" t="s">
        <v>118</v>
      </c>
      <c r="E26" s="99" t="s">
        <v>225</v>
      </c>
      <c r="F26" s="120" t="s">
        <v>262</v>
      </c>
      <c r="G26" s="107">
        <f>IF(E26="yes",5,IF(E26="no",0,2.5))</f>
        <v>2.5</v>
      </c>
      <c r="H26" s="108"/>
    </row>
    <row r="27" spans="2:8" ht="32.25" customHeight="1" thickBot="1" x14ac:dyDescent="0.3">
      <c r="B27" s="220"/>
      <c r="C27" s="226"/>
      <c r="D27" s="94" t="s">
        <v>119</v>
      </c>
      <c r="E27" s="101" t="s">
        <v>212</v>
      </c>
      <c r="F27" s="121" t="s">
        <v>263</v>
      </c>
      <c r="G27" s="107">
        <f>IF(E27="no",5,IF(E27="yes",0,2.5))</f>
        <v>5</v>
      </c>
      <c r="H27" s="108">
        <f>((G26+G27)/10)*100</f>
        <v>75</v>
      </c>
    </row>
    <row r="28" spans="2:8" ht="15" customHeight="1" x14ac:dyDescent="0.25"/>
    <row r="29" spans="2:8" x14ac:dyDescent="0.25">
      <c r="G29" t="str">
        <f>B10</f>
        <v xml:space="preserve">Strategic Fit </v>
      </c>
      <c r="H29" s="109">
        <f>H11</f>
        <v>100</v>
      </c>
    </row>
    <row r="30" spans="2:8" x14ac:dyDescent="0.25">
      <c r="G30" t="str">
        <f>B12</f>
        <v>Development Concept</v>
      </c>
      <c r="H30" s="109">
        <f>H14</f>
        <v>99.9</v>
      </c>
    </row>
    <row r="31" spans="2:8" x14ac:dyDescent="0.25">
      <c r="G31" t="str">
        <f>B15</f>
        <v>Technical/Subsurface</v>
      </c>
      <c r="H31" s="109">
        <f>H17</f>
        <v>33.300000000000004</v>
      </c>
    </row>
    <row r="32" spans="2:8" x14ac:dyDescent="0.25">
      <c r="G32" t="str">
        <f>B18</f>
        <v>Above Ground</v>
      </c>
      <c r="H32" s="109">
        <f>H20</f>
        <v>99.9</v>
      </c>
    </row>
    <row r="33" spans="7:8" x14ac:dyDescent="0.25">
      <c r="G33" t="str">
        <f>B21</f>
        <v xml:space="preserve">Commercial </v>
      </c>
      <c r="H33" s="109">
        <f>H25</f>
        <v>60</v>
      </c>
    </row>
    <row r="34" spans="7:8" x14ac:dyDescent="0.25">
      <c r="G34" t="str">
        <f>B26</f>
        <v xml:space="preserve">Budget &amp; Flexibility </v>
      </c>
      <c r="H34" s="109">
        <f>H27</f>
        <v>75</v>
      </c>
    </row>
  </sheetData>
  <mergeCells count="12">
    <mergeCell ref="B10:B11"/>
    <mergeCell ref="C10:C11"/>
    <mergeCell ref="B12:B14"/>
    <mergeCell ref="C12:C14"/>
    <mergeCell ref="B15:B17"/>
    <mergeCell ref="C15:C17"/>
    <mergeCell ref="B18:B20"/>
    <mergeCell ref="C18:C20"/>
    <mergeCell ref="B21:B25"/>
    <mergeCell ref="C22:C25"/>
    <mergeCell ref="B26:B27"/>
    <mergeCell ref="C26:C27"/>
  </mergeCells>
  <conditionalFormatting sqref="E11">
    <cfRule type="colorScale" priority="17">
      <colorScale>
        <cfvo type="min"/>
        <cfvo type="percentile" val="50"/>
        <cfvo type="max"/>
        <color rgb="FF63BE7B"/>
        <color rgb="FFFFEB84"/>
        <color rgb="FFF8696B"/>
      </colorScale>
    </cfRule>
  </conditionalFormatting>
  <conditionalFormatting sqref="E12">
    <cfRule type="colorScale" priority="16">
      <colorScale>
        <cfvo type="min"/>
        <cfvo type="percentile" val="50"/>
        <cfvo type="max"/>
        <color rgb="FF63BE7B"/>
        <color rgb="FFFFEB84"/>
        <color rgb="FFF8696B"/>
      </colorScale>
    </cfRule>
  </conditionalFormatting>
  <conditionalFormatting sqref="E14">
    <cfRule type="colorScale" priority="15">
      <colorScale>
        <cfvo type="min"/>
        <cfvo type="percentile" val="50"/>
        <cfvo type="max"/>
        <color rgb="FF63BE7B"/>
        <color rgb="FFFFEB84"/>
        <color rgb="FFF8696B"/>
      </colorScale>
    </cfRule>
  </conditionalFormatting>
  <conditionalFormatting sqref="E13">
    <cfRule type="colorScale" priority="14">
      <colorScale>
        <cfvo type="min"/>
        <cfvo type="percentile" val="50"/>
        <cfvo type="max"/>
        <color rgb="FF63BE7B"/>
        <color rgb="FFFFEB84"/>
        <color rgb="FFF8696B"/>
      </colorScale>
    </cfRule>
  </conditionalFormatting>
  <conditionalFormatting sqref="E15">
    <cfRule type="colorScale" priority="13">
      <colorScale>
        <cfvo type="min"/>
        <cfvo type="percentile" val="50"/>
        <cfvo type="max"/>
        <color rgb="FF63BE7B"/>
        <color rgb="FFFFEB84"/>
        <color rgb="FFF8696B"/>
      </colorScale>
    </cfRule>
  </conditionalFormatting>
  <conditionalFormatting sqref="E16">
    <cfRule type="colorScale" priority="12">
      <colorScale>
        <cfvo type="min"/>
        <cfvo type="percentile" val="50"/>
        <cfvo type="max"/>
        <color rgb="FF63BE7B"/>
        <color rgb="FFFFEB84"/>
        <color rgb="FFF8696B"/>
      </colorScale>
    </cfRule>
  </conditionalFormatting>
  <conditionalFormatting sqref="E17">
    <cfRule type="colorScale" priority="11">
      <colorScale>
        <cfvo type="min"/>
        <cfvo type="percentile" val="50"/>
        <cfvo type="max"/>
        <color rgb="FF63BE7B"/>
        <color rgb="FFFFEB84"/>
        <color rgb="FFF8696B"/>
      </colorScale>
    </cfRule>
  </conditionalFormatting>
  <conditionalFormatting sqref="E18">
    <cfRule type="colorScale" priority="10">
      <colorScale>
        <cfvo type="min"/>
        <cfvo type="percentile" val="50"/>
        <cfvo type="max"/>
        <color rgb="FF63BE7B"/>
        <color rgb="FFFFEB84"/>
        <color rgb="FFF8696B"/>
      </colorScale>
    </cfRule>
  </conditionalFormatting>
  <conditionalFormatting sqref="E19">
    <cfRule type="colorScale" priority="9">
      <colorScale>
        <cfvo type="min"/>
        <cfvo type="percentile" val="50"/>
        <cfvo type="max"/>
        <color rgb="FF63BE7B"/>
        <color rgb="FFFFEB84"/>
        <color rgb="FFF8696B"/>
      </colorScale>
    </cfRule>
  </conditionalFormatting>
  <conditionalFormatting sqref="E20">
    <cfRule type="colorScale" priority="8">
      <colorScale>
        <cfvo type="min"/>
        <cfvo type="percentile" val="50"/>
        <cfvo type="max"/>
        <color rgb="FF63BE7B"/>
        <color rgb="FFFFEB84"/>
        <color rgb="FFF8696B"/>
      </colorScale>
    </cfRule>
  </conditionalFormatting>
  <conditionalFormatting sqref="E26">
    <cfRule type="colorScale" priority="7">
      <colorScale>
        <cfvo type="min"/>
        <cfvo type="percentile" val="50"/>
        <cfvo type="max"/>
        <color rgb="FF63BE7B"/>
        <color rgb="FFFFEB84"/>
        <color rgb="FFF8696B"/>
      </colorScale>
    </cfRule>
  </conditionalFormatting>
  <conditionalFormatting sqref="E27">
    <cfRule type="colorScale" priority="6">
      <colorScale>
        <cfvo type="min"/>
        <cfvo type="percentile" val="50"/>
        <cfvo type="max"/>
        <color rgb="FF63BE7B"/>
        <color rgb="FFFFEB84"/>
        <color rgb="FFF8696B"/>
      </colorScale>
    </cfRule>
  </conditionalFormatting>
  <conditionalFormatting sqref="E21">
    <cfRule type="colorScale" priority="5">
      <colorScale>
        <cfvo type="min"/>
        <cfvo type="percentile" val="50"/>
        <cfvo type="max"/>
        <color rgb="FF63BE7B"/>
        <color rgb="FFFFEB84"/>
        <color rgb="FFF8696B"/>
      </colorScale>
    </cfRule>
  </conditionalFormatting>
  <conditionalFormatting sqref="E22">
    <cfRule type="colorScale" priority="4">
      <colorScale>
        <cfvo type="min"/>
        <cfvo type="percentile" val="50"/>
        <cfvo type="max"/>
        <color rgb="FF63BE7B"/>
        <color rgb="FFFFEB84"/>
        <color rgb="FFF8696B"/>
      </colorScale>
    </cfRule>
  </conditionalFormatting>
  <conditionalFormatting sqref="E23">
    <cfRule type="colorScale" priority="3">
      <colorScale>
        <cfvo type="min"/>
        <cfvo type="percentile" val="50"/>
        <cfvo type="max"/>
        <color rgb="FF63BE7B"/>
        <color rgb="FFFFEB84"/>
        <color rgb="FFF8696B"/>
      </colorScale>
    </cfRule>
  </conditionalFormatting>
  <conditionalFormatting sqref="E24">
    <cfRule type="colorScale" priority="2">
      <colorScale>
        <cfvo type="min"/>
        <cfvo type="percentile" val="50"/>
        <cfvo type="max"/>
        <color rgb="FF63BE7B"/>
        <color rgb="FFFFEB84"/>
        <color rgb="FFF8696B"/>
      </colorScale>
    </cfRule>
  </conditionalFormatting>
  <conditionalFormatting sqref="E25">
    <cfRule type="colorScale" priority="1">
      <colorScale>
        <cfvo type="min"/>
        <cfvo type="percentile" val="50"/>
        <cfvo type="max"/>
        <color rgb="FF63BE7B"/>
        <color rgb="FFFFEB84"/>
        <color rgb="FFF8696B"/>
      </colorScale>
    </cfRule>
  </conditionalFormatting>
  <conditionalFormatting sqref="E10">
    <cfRule type="colorScale" priority="18">
      <colorScale>
        <cfvo type="min"/>
        <cfvo type="percentile" val="50"/>
        <cfvo type="max"/>
        <color rgb="FF63BE7B"/>
        <color rgb="FFFFEB84"/>
        <color rgb="FFF8696B"/>
      </colorScale>
    </cfRule>
  </conditionalFormatting>
  <dataValidations count="9">
    <dataValidation type="list" allowBlank="1" showInputMessage="1" showErrorMessage="1" sqref="E21" xr:uid="{00000000-0002-0000-1100-000000000000}">
      <formula1>$V$2:$V$3</formula1>
    </dataValidation>
    <dataValidation type="list" allowBlank="1" showInputMessage="1" showErrorMessage="1" sqref="E22:E23" xr:uid="{00000000-0002-0000-1100-000001000000}">
      <formula1>$V$2:$V$4</formula1>
    </dataValidation>
    <dataValidation type="list" allowBlank="1" showInputMessage="1" showErrorMessage="1" sqref="E25 E16" xr:uid="{00000000-0002-0000-1100-000002000000}">
      <formula1>$P$2:$P$4</formula1>
    </dataValidation>
    <dataValidation type="list" allowBlank="1" showInputMessage="1" showErrorMessage="1" sqref="E15" xr:uid="{00000000-0002-0000-1100-000003000000}">
      <formula1>$N$2:$N$4</formula1>
    </dataValidation>
    <dataValidation type="list" allowBlank="1" showInputMessage="1" showErrorMessage="1" sqref="D4" xr:uid="{00000000-0002-0000-1100-000004000000}">
      <formula1>$J$2:$J$9</formula1>
    </dataValidation>
    <dataValidation type="list" allowBlank="1" showInputMessage="1" showErrorMessage="1" sqref="B4" xr:uid="{00000000-0002-0000-1100-000005000000}">
      <formula1>$H$2:$H$3</formula1>
    </dataValidation>
    <dataValidation type="list" allowBlank="1" showInputMessage="1" showErrorMessage="1" sqref="E19 E24 E17 E26 E10:E13" xr:uid="{00000000-0002-0000-1100-000006000000}">
      <formula1>$R$2:$R$4</formula1>
    </dataValidation>
    <dataValidation type="list" allowBlank="1" showInputMessage="1" showErrorMessage="1" sqref="E18 E14 E20" xr:uid="{00000000-0002-0000-1100-000007000000}">
      <formula1>$L$2:$L$3</formula1>
    </dataValidation>
    <dataValidation type="list" allowBlank="1" showInputMessage="1" showErrorMessage="1" sqref="E27" xr:uid="{00000000-0002-0000-1100-000008000000}">
      <formula1>$T$2:$T$4</formula1>
    </dataValidation>
  </dataValidation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V34"/>
  <sheetViews>
    <sheetView topLeftCell="A19" zoomScale="90" zoomScaleNormal="90" workbookViewId="0">
      <selection activeCell="H29" sqref="H29:H34"/>
    </sheetView>
  </sheetViews>
  <sheetFormatPr defaultRowHeight="15" x14ac:dyDescent="0.25"/>
  <cols>
    <col min="2" max="2" width="31" customWidth="1"/>
    <col min="3" max="3" width="27" customWidth="1"/>
    <col min="4" max="4" width="85.42578125" customWidth="1"/>
    <col min="5" max="5" width="17.28515625" customWidth="1"/>
    <col min="6" max="6" width="82" customWidth="1"/>
    <col min="7" max="7" width="5.7109375" bestFit="1" customWidth="1"/>
    <col min="8" max="8" width="31.7109375" bestFit="1" customWidth="1"/>
    <col min="10" max="10" width="18.85546875" bestFit="1" customWidth="1"/>
    <col min="12" max="12" width="13.140625" bestFit="1" customWidth="1"/>
    <col min="14" max="14" width="11" bestFit="1" customWidth="1"/>
    <col min="16" max="16" width="12.7109375" bestFit="1" customWidth="1"/>
  </cols>
  <sheetData>
    <row r="1" spans="2:22" s="79" customFormat="1" ht="18.75" x14ac:dyDescent="0.3">
      <c r="B1" s="79" t="s">
        <v>242</v>
      </c>
    </row>
    <row r="2" spans="2:22" x14ac:dyDescent="0.25">
      <c r="H2" s="97" t="s">
        <v>160</v>
      </c>
      <c r="J2" s="97" t="s">
        <v>99</v>
      </c>
      <c r="L2" s="96" t="s">
        <v>211</v>
      </c>
      <c r="N2" s="96" t="s">
        <v>214</v>
      </c>
      <c r="P2" s="96" t="s">
        <v>211</v>
      </c>
      <c r="R2" s="96" t="s">
        <v>211</v>
      </c>
      <c r="T2" s="96" t="s">
        <v>211</v>
      </c>
      <c r="V2" s="96" t="s">
        <v>211</v>
      </c>
    </row>
    <row r="3" spans="2:22" ht="18.75" x14ac:dyDescent="0.3">
      <c r="B3" s="80" t="s">
        <v>203</v>
      </c>
      <c r="C3" s="43"/>
      <c r="D3" s="80" t="s">
        <v>204</v>
      </c>
      <c r="H3" s="97" t="s">
        <v>161</v>
      </c>
      <c r="J3" s="97" t="s">
        <v>101</v>
      </c>
      <c r="L3" s="96" t="s">
        <v>212</v>
      </c>
      <c r="N3" s="96" t="s">
        <v>215</v>
      </c>
      <c r="P3" s="96" t="s">
        <v>212</v>
      </c>
      <c r="R3" s="96" t="s">
        <v>212</v>
      </c>
      <c r="T3" s="96" t="s">
        <v>212</v>
      </c>
      <c r="V3" s="96" t="s">
        <v>212</v>
      </c>
    </row>
    <row r="4" spans="2:22" x14ac:dyDescent="0.25">
      <c r="B4" s="81" t="s">
        <v>161</v>
      </c>
      <c r="D4" s="81" t="s">
        <v>101</v>
      </c>
      <c r="J4" s="97" t="s">
        <v>102</v>
      </c>
      <c r="L4" s="96" t="s">
        <v>213</v>
      </c>
      <c r="N4" s="96" t="s">
        <v>216</v>
      </c>
      <c r="P4" s="96" t="s">
        <v>224</v>
      </c>
      <c r="R4" s="96" t="s">
        <v>225</v>
      </c>
      <c r="T4" s="96" t="s">
        <v>226</v>
      </c>
      <c r="V4" s="96" t="s">
        <v>250</v>
      </c>
    </row>
    <row r="5" spans="2:22" x14ac:dyDescent="0.25">
      <c r="J5" s="97" t="s">
        <v>103</v>
      </c>
      <c r="L5" s="98"/>
    </row>
    <row r="6" spans="2:22" x14ac:dyDescent="0.25">
      <c r="J6" s="97" t="s">
        <v>105</v>
      </c>
      <c r="L6" s="98"/>
    </row>
    <row r="7" spans="2:22" x14ac:dyDescent="0.25">
      <c r="J7" s="97" t="s">
        <v>124</v>
      </c>
    </row>
    <row r="8" spans="2:22" x14ac:dyDescent="0.25">
      <c r="J8" s="97" t="s">
        <v>125</v>
      </c>
    </row>
    <row r="9" spans="2:22" ht="19.5" thickBot="1" x14ac:dyDescent="0.3">
      <c r="B9" s="85" t="s">
        <v>294</v>
      </c>
      <c r="C9" s="85" t="s">
        <v>207</v>
      </c>
      <c r="D9" s="85" t="s">
        <v>206</v>
      </c>
      <c r="E9" s="85" t="s">
        <v>208</v>
      </c>
      <c r="F9" s="85" t="s">
        <v>209</v>
      </c>
      <c r="G9" s="107" t="s">
        <v>227</v>
      </c>
      <c r="H9" s="107" t="s">
        <v>249</v>
      </c>
      <c r="L9" s="82"/>
      <c r="M9" s="82"/>
      <c r="N9" s="82"/>
      <c r="O9" s="83"/>
    </row>
    <row r="10" spans="2:22" ht="31.5" customHeight="1" x14ac:dyDescent="0.25">
      <c r="B10" s="218" t="s">
        <v>76</v>
      </c>
      <c r="C10" s="224" t="s">
        <v>162</v>
      </c>
      <c r="D10" s="87" t="s">
        <v>228</v>
      </c>
      <c r="E10" s="99" t="s">
        <v>211</v>
      </c>
      <c r="F10" s="102" t="s">
        <v>229</v>
      </c>
      <c r="G10" s="107">
        <f>IF(E10="Yes",5,IF(E10="no",0,2.5))</f>
        <v>5</v>
      </c>
      <c r="H10" s="108"/>
      <c r="L10" s="84"/>
      <c r="M10" s="82"/>
      <c r="N10" s="82"/>
      <c r="O10" s="83"/>
    </row>
    <row r="11" spans="2:22" ht="45.75" thickBot="1" x14ac:dyDescent="0.3">
      <c r="B11" s="220"/>
      <c r="C11" s="226"/>
      <c r="D11" s="88" t="s">
        <v>217</v>
      </c>
      <c r="E11" s="100" t="s">
        <v>225</v>
      </c>
      <c r="F11" s="105" t="s">
        <v>230</v>
      </c>
      <c r="G11" s="107">
        <f>IF(E11="Yes",5,IF(E11="no",0,2.5))</f>
        <v>2.5</v>
      </c>
      <c r="H11" s="108">
        <f>((G10+G11)/10)*100</f>
        <v>75</v>
      </c>
      <c r="L11" s="84"/>
      <c r="M11" s="82"/>
      <c r="N11" s="82"/>
      <c r="O11" s="83"/>
    </row>
    <row r="12" spans="2:22" ht="18.75" x14ac:dyDescent="0.25">
      <c r="B12" s="210" t="s">
        <v>44</v>
      </c>
      <c r="C12" s="227" t="s">
        <v>162</v>
      </c>
      <c r="D12" s="89" t="s">
        <v>106</v>
      </c>
      <c r="E12" s="99" t="s">
        <v>211</v>
      </c>
      <c r="F12" s="103" t="s">
        <v>231</v>
      </c>
      <c r="G12" s="107">
        <f>IF(E12="yes",3.33,IF(E12="no",0,1.66))</f>
        <v>3.33</v>
      </c>
      <c r="H12" s="108"/>
      <c r="L12" s="84"/>
      <c r="M12" s="82"/>
      <c r="N12" s="82"/>
      <c r="O12" s="82"/>
    </row>
    <row r="13" spans="2:22" ht="30" x14ac:dyDescent="0.25">
      <c r="B13" s="211"/>
      <c r="C13" s="228"/>
      <c r="D13" s="90" t="s">
        <v>218</v>
      </c>
      <c r="E13" s="100" t="s">
        <v>225</v>
      </c>
      <c r="F13" s="103" t="s">
        <v>234</v>
      </c>
      <c r="G13" s="107">
        <f>IF(E13="yes",3.33,IF(E13="no",0,1.66))</f>
        <v>1.66</v>
      </c>
      <c r="H13" s="108"/>
      <c r="L13" s="84"/>
      <c r="M13" s="82"/>
      <c r="N13" s="82"/>
      <c r="O13" s="82"/>
    </row>
    <row r="14" spans="2:22" ht="28.5" customHeight="1" thickBot="1" x14ac:dyDescent="0.3">
      <c r="B14" s="212"/>
      <c r="C14" s="229"/>
      <c r="D14" s="91" t="s">
        <v>219</v>
      </c>
      <c r="E14" s="101" t="s">
        <v>212</v>
      </c>
      <c r="F14" s="103" t="s">
        <v>245</v>
      </c>
      <c r="G14" s="107">
        <f>IF(E14="yes",3.33,IF(E14="no",0))</f>
        <v>0</v>
      </c>
      <c r="H14" s="108">
        <f>((G12+G13+G14)/10)*100</f>
        <v>49.9</v>
      </c>
    </row>
    <row r="15" spans="2:22" ht="29.25" customHeight="1" x14ac:dyDescent="0.25">
      <c r="B15" s="210" t="s">
        <v>9</v>
      </c>
      <c r="C15" s="224" t="s">
        <v>163</v>
      </c>
      <c r="D15" s="92" t="s">
        <v>220</v>
      </c>
      <c r="E15" s="99" t="s">
        <v>215</v>
      </c>
      <c r="F15" s="106" t="s">
        <v>233</v>
      </c>
      <c r="G15" s="107">
        <f>IF(E15="low",3.33,IF(E15="high",0,1.66))</f>
        <v>1.66</v>
      </c>
      <c r="H15" s="108"/>
    </row>
    <row r="16" spans="2:22" ht="31.5" x14ac:dyDescent="0.25">
      <c r="B16" s="211"/>
      <c r="C16" s="225"/>
      <c r="D16" s="93" t="s">
        <v>111</v>
      </c>
      <c r="E16" s="100" t="s">
        <v>224</v>
      </c>
      <c r="F16" s="103" t="s">
        <v>232</v>
      </c>
      <c r="G16" s="107">
        <f>IF(E16="yes",3.33,IF(E16="no",0,1.66))</f>
        <v>1.66</v>
      </c>
      <c r="H16" s="108"/>
    </row>
    <row r="17" spans="2:8" ht="18.75" customHeight="1" thickBot="1" x14ac:dyDescent="0.3">
      <c r="B17" s="212"/>
      <c r="C17" s="226"/>
      <c r="D17" s="94" t="s">
        <v>221</v>
      </c>
      <c r="E17" s="101" t="s">
        <v>211</v>
      </c>
      <c r="F17" s="104" t="s">
        <v>235</v>
      </c>
      <c r="G17" s="107">
        <f>IF(E17="no",3.33,IF(E17="yes",0,1.66))</f>
        <v>0</v>
      </c>
      <c r="H17" s="108">
        <f>((G15+G16+G17)/10)*100</f>
        <v>33.199999999999996</v>
      </c>
    </row>
    <row r="18" spans="2:8" ht="30.75" customHeight="1" x14ac:dyDescent="0.25">
      <c r="B18" s="216" t="s">
        <v>32</v>
      </c>
      <c r="C18" s="224" t="s">
        <v>163</v>
      </c>
      <c r="D18" s="92" t="s">
        <v>159</v>
      </c>
      <c r="E18" s="99" t="s">
        <v>211</v>
      </c>
      <c r="F18" s="103" t="s">
        <v>236</v>
      </c>
      <c r="G18" s="107">
        <f>IF(E18="yes",3.33,IF(E18="no",0))</f>
        <v>3.33</v>
      </c>
      <c r="H18" s="108"/>
    </row>
    <row r="19" spans="2:8" ht="18.75" x14ac:dyDescent="0.25">
      <c r="B19" s="217"/>
      <c r="C19" s="225"/>
      <c r="D19" s="95" t="s">
        <v>222</v>
      </c>
      <c r="E19" s="100" t="s">
        <v>212</v>
      </c>
      <c r="F19" s="103" t="s">
        <v>237</v>
      </c>
      <c r="G19" s="107">
        <f>IF(E19="no",3.33,IF(E19="yes",0,1.66))</f>
        <v>3.33</v>
      </c>
      <c r="H19" s="108"/>
    </row>
    <row r="20" spans="2:8" ht="32.25" customHeight="1" thickBot="1" x14ac:dyDescent="0.3">
      <c r="B20" s="217"/>
      <c r="C20" s="226"/>
      <c r="D20" s="94" t="s">
        <v>117</v>
      </c>
      <c r="E20" s="101" t="s">
        <v>211</v>
      </c>
      <c r="F20" s="103" t="s">
        <v>238</v>
      </c>
      <c r="G20" s="107">
        <f>IF(E20="yes",3.33,IF(E20="no",0))</f>
        <v>3.33</v>
      </c>
      <c r="H20" s="108">
        <f>((G18+G19+G20)/10)*100</f>
        <v>99.9</v>
      </c>
    </row>
    <row r="21" spans="2:8" ht="34.5" customHeight="1" x14ac:dyDescent="0.25">
      <c r="B21" s="218" t="s">
        <v>248</v>
      </c>
      <c r="C21" s="86" t="s">
        <v>164</v>
      </c>
      <c r="D21" s="93" t="s">
        <v>210</v>
      </c>
      <c r="E21" s="100" t="s">
        <v>212</v>
      </c>
      <c r="F21" s="106" t="s">
        <v>239</v>
      </c>
      <c r="G21" s="107">
        <f>IF(E21="yes",2,IF(E21="no",0))</f>
        <v>0</v>
      </c>
      <c r="H21" s="108"/>
    </row>
    <row r="22" spans="2:8" ht="31.5" x14ac:dyDescent="0.25">
      <c r="B22" s="219"/>
      <c r="C22" s="225" t="s">
        <v>163</v>
      </c>
      <c r="D22" s="93" t="s">
        <v>223</v>
      </c>
      <c r="E22" s="100" t="s">
        <v>250</v>
      </c>
      <c r="F22" s="103" t="s">
        <v>240</v>
      </c>
      <c r="G22" s="107">
        <f>IF(E22="yes",2,IF(E22="no",0,1))</f>
        <v>1</v>
      </c>
      <c r="H22" s="108"/>
    </row>
    <row r="23" spans="2:8" ht="35.25" customHeight="1" x14ac:dyDescent="0.25">
      <c r="B23" s="219"/>
      <c r="C23" s="225"/>
      <c r="D23" s="93" t="s">
        <v>122</v>
      </c>
      <c r="E23" s="100" t="s">
        <v>250</v>
      </c>
      <c r="F23" s="103" t="s">
        <v>241</v>
      </c>
      <c r="G23" s="107">
        <f>IF(E23="yes",2,IF(E23="no",0,1))</f>
        <v>1</v>
      </c>
      <c r="H23" s="108"/>
    </row>
    <row r="24" spans="2:8" ht="31.5" x14ac:dyDescent="0.25">
      <c r="B24" s="219"/>
      <c r="C24" s="225"/>
      <c r="D24" s="93" t="s">
        <v>123</v>
      </c>
      <c r="E24" s="100" t="s">
        <v>212</v>
      </c>
      <c r="F24" s="103" t="s">
        <v>246</v>
      </c>
      <c r="G24" s="107">
        <f>IF(E24="yes",2,IF(E24="no",0,1))</f>
        <v>0</v>
      </c>
      <c r="H24" s="108"/>
    </row>
    <row r="25" spans="2:8" ht="32.25" thickBot="1" x14ac:dyDescent="0.3">
      <c r="B25" s="220"/>
      <c r="C25" s="226"/>
      <c r="D25" s="94" t="s">
        <v>130</v>
      </c>
      <c r="E25" s="100" t="s">
        <v>211</v>
      </c>
      <c r="F25" s="104" t="s">
        <v>236</v>
      </c>
      <c r="G25" s="107">
        <f>IF(E25="yes",2,IF(E25="no",0,1))</f>
        <v>2</v>
      </c>
      <c r="H25" s="108">
        <f>((G21+G22+G23+G24+G25)/10)*100</f>
        <v>40</v>
      </c>
    </row>
    <row r="26" spans="2:8" ht="33" customHeight="1" x14ac:dyDescent="0.25">
      <c r="B26" s="218" t="s">
        <v>247</v>
      </c>
      <c r="C26" s="224" t="s">
        <v>163</v>
      </c>
      <c r="D26" s="92" t="s">
        <v>118</v>
      </c>
      <c r="E26" s="99" t="s">
        <v>211</v>
      </c>
      <c r="F26" s="103" t="s">
        <v>243</v>
      </c>
      <c r="G26" s="107">
        <f>IF(E26="yes",5,IF(E26="no",0,2.5))</f>
        <v>5</v>
      </c>
      <c r="H26" s="108"/>
    </row>
    <row r="27" spans="2:8" ht="32.25" customHeight="1" thickBot="1" x14ac:dyDescent="0.3">
      <c r="B27" s="220"/>
      <c r="C27" s="226"/>
      <c r="D27" s="94" t="s">
        <v>119</v>
      </c>
      <c r="E27" s="101" t="s">
        <v>212</v>
      </c>
      <c r="F27" s="104" t="s">
        <v>244</v>
      </c>
      <c r="G27" s="107">
        <f>IF(E27="no",5,IF(E27="yes",0,2.5))</f>
        <v>5</v>
      </c>
      <c r="H27" s="108">
        <f>((G26+G27)/10)*100</f>
        <v>100</v>
      </c>
    </row>
    <row r="28" spans="2:8" ht="15" customHeight="1" x14ac:dyDescent="0.25"/>
    <row r="29" spans="2:8" x14ac:dyDescent="0.25">
      <c r="G29" t="str">
        <f>B10</f>
        <v xml:space="preserve">Strategic Fit </v>
      </c>
      <c r="H29" s="109">
        <f>H11</f>
        <v>75</v>
      </c>
    </row>
    <row r="30" spans="2:8" x14ac:dyDescent="0.25">
      <c r="G30" t="str">
        <f>B12</f>
        <v>Development Concept</v>
      </c>
      <c r="H30" s="109">
        <f>H14</f>
        <v>49.9</v>
      </c>
    </row>
    <row r="31" spans="2:8" x14ac:dyDescent="0.25">
      <c r="G31" t="str">
        <f>B15</f>
        <v>Technical/Subsurface</v>
      </c>
      <c r="H31" s="109">
        <f>H17</f>
        <v>33.199999999999996</v>
      </c>
    </row>
    <row r="32" spans="2:8" x14ac:dyDescent="0.25">
      <c r="G32" t="str">
        <f>B18</f>
        <v>Above Ground</v>
      </c>
      <c r="H32" s="109">
        <f>H20</f>
        <v>99.9</v>
      </c>
    </row>
    <row r="33" spans="7:8" x14ac:dyDescent="0.25">
      <c r="G33" t="str">
        <f>B21</f>
        <v xml:space="preserve">Commercial </v>
      </c>
      <c r="H33" s="109">
        <f>H25</f>
        <v>40</v>
      </c>
    </row>
    <row r="34" spans="7:8" x14ac:dyDescent="0.25">
      <c r="G34" t="str">
        <f>B26</f>
        <v xml:space="preserve">Budget &amp; Flexibility </v>
      </c>
      <c r="H34" s="109">
        <f>H27</f>
        <v>100</v>
      </c>
    </row>
  </sheetData>
  <mergeCells count="12">
    <mergeCell ref="B26:B27"/>
    <mergeCell ref="C26:C27"/>
    <mergeCell ref="B10:B11"/>
    <mergeCell ref="C10:C11"/>
    <mergeCell ref="C22:C25"/>
    <mergeCell ref="B12:B14"/>
    <mergeCell ref="C12:C14"/>
    <mergeCell ref="B15:B17"/>
    <mergeCell ref="C15:C17"/>
    <mergeCell ref="B18:B20"/>
    <mergeCell ref="C18:C20"/>
    <mergeCell ref="B21:B25"/>
  </mergeCells>
  <conditionalFormatting sqref="E11">
    <cfRule type="colorScale" priority="17">
      <colorScale>
        <cfvo type="min"/>
        <cfvo type="percentile" val="50"/>
        <cfvo type="max"/>
        <color rgb="FF63BE7B"/>
        <color rgb="FFFFEB84"/>
        <color rgb="FFF8696B"/>
      </colorScale>
    </cfRule>
  </conditionalFormatting>
  <conditionalFormatting sqref="E12">
    <cfRule type="colorScale" priority="16">
      <colorScale>
        <cfvo type="min"/>
        <cfvo type="percentile" val="50"/>
        <cfvo type="max"/>
        <color rgb="FF63BE7B"/>
        <color rgb="FFFFEB84"/>
        <color rgb="FFF8696B"/>
      </colorScale>
    </cfRule>
  </conditionalFormatting>
  <conditionalFormatting sqref="E14">
    <cfRule type="colorScale" priority="15">
      <colorScale>
        <cfvo type="min"/>
        <cfvo type="percentile" val="50"/>
        <cfvo type="max"/>
        <color rgb="FF63BE7B"/>
        <color rgb="FFFFEB84"/>
        <color rgb="FFF8696B"/>
      </colorScale>
    </cfRule>
  </conditionalFormatting>
  <conditionalFormatting sqref="E13">
    <cfRule type="colorScale" priority="14">
      <colorScale>
        <cfvo type="min"/>
        <cfvo type="percentile" val="50"/>
        <cfvo type="max"/>
        <color rgb="FF63BE7B"/>
        <color rgb="FFFFEB84"/>
        <color rgb="FFF8696B"/>
      </colorScale>
    </cfRule>
  </conditionalFormatting>
  <conditionalFormatting sqref="E15">
    <cfRule type="colorScale" priority="13">
      <colorScale>
        <cfvo type="min"/>
        <cfvo type="percentile" val="50"/>
        <cfvo type="max"/>
        <color rgb="FF63BE7B"/>
        <color rgb="FFFFEB84"/>
        <color rgb="FFF8696B"/>
      </colorScale>
    </cfRule>
  </conditionalFormatting>
  <conditionalFormatting sqref="E16">
    <cfRule type="colorScale" priority="12">
      <colorScale>
        <cfvo type="min"/>
        <cfvo type="percentile" val="50"/>
        <cfvo type="max"/>
        <color rgb="FF63BE7B"/>
        <color rgb="FFFFEB84"/>
        <color rgb="FFF8696B"/>
      </colorScale>
    </cfRule>
  </conditionalFormatting>
  <conditionalFormatting sqref="E17">
    <cfRule type="colorScale" priority="11">
      <colorScale>
        <cfvo type="min"/>
        <cfvo type="percentile" val="50"/>
        <cfvo type="max"/>
        <color rgb="FF63BE7B"/>
        <color rgb="FFFFEB84"/>
        <color rgb="FFF8696B"/>
      </colorScale>
    </cfRule>
  </conditionalFormatting>
  <conditionalFormatting sqref="E18">
    <cfRule type="colorScale" priority="10">
      <colorScale>
        <cfvo type="min"/>
        <cfvo type="percentile" val="50"/>
        <cfvo type="max"/>
        <color rgb="FF63BE7B"/>
        <color rgb="FFFFEB84"/>
        <color rgb="FFF8696B"/>
      </colorScale>
    </cfRule>
  </conditionalFormatting>
  <conditionalFormatting sqref="E19">
    <cfRule type="colorScale" priority="9">
      <colorScale>
        <cfvo type="min"/>
        <cfvo type="percentile" val="50"/>
        <cfvo type="max"/>
        <color rgb="FF63BE7B"/>
        <color rgb="FFFFEB84"/>
        <color rgb="FFF8696B"/>
      </colorScale>
    </cfRule>
  </conditionalFormatting>
  <conditionalFormatting sqref="E20">
    <cfRule type="colorScale" priority="8">
      <colorScale>
        <cfvo type="min"/>
        <cfvo type="percentile" val="50"/>
        <cfvo type="max"/>
        <color rgb="FF63BE7B"/>
        <color rgb="FFFFEB84"/>
        <color rgb="FFF8696B"/>
      </colorScale>
    </cfRule>
  </conditionalFormatting>
  <conditionalFormatting sqref="E26">
    <cfRule type="colorScale" priority="7">
      <colorScale>
        <cfvo type="min"/>
        <cfvo type="percentile" val="50"/>
        <cfvo type="max"/>
        <color rgb="FF63BE7B"/>
        <color rgb="FFFFEB84"/>
        <color rgb="FFF8696B"/>
      </colorScale>
    </cfRule>
  </conditionalFormatting>
  <conditionalFormatting sqref="E27">
    <cfRule type="colorScale" priority="6">
      <colorScale>
        <cfvo type="min"/>
        <cfvo type="percentile" val="50"/>
        <cfvo type="max"/>
        <color rgb="FF63BE7B"/>
        <color rgb="FFFFEB84"/>
        <color rgb="FFF8696B"/>
      </colorScale>
    </cfRule>
  </conditionalFormatting>
  <conditionalFormatting sqref="E21">
    <cfRule type="colorScale" priority="5">
      <colorScale>
        <cfvo type="min"/>
        <cfvo type="percentile" val="50"/>
        <cfvo type="max"/>
        <color rgb="FF63BE7B"/>
        <color rgb="FFFFEB84"/>
        <color rgb="FFF8696B"/>
      </colorScale>
    </cfRule>
  </conditionalFormatting>
  <conditionalFormatting sqref="E22">
    <cfRule type="colorScale" priority="4">
      <colorScale>
        <cfvo type="min"/>
        <cfvo type="percentile" val="50"/>
        <cfvo type="max"/>
        <color rgb="FF63BE7B"/>
        <color rgb="FFFFEB84"/>
        <color rgb="FFF8696B"/>
      </colorScale>
    </cfRule>
  </conditionalFormatting>
  <conditionalFormatting sqref="E23">
    <cfRule type="colorScale" priority="3">
      <colorScale>
        <cfvo type="min"/>
        <cfvo type="percentile" val="50"/>
        <cfvo type="max"/>
        <color rgb="FF63BE7B"/>
        <color rgb="FFFFEB84"/>
        <color rgb="FFF8696B"/>
      </colorScale>
    </cfRule>
  </conditionalFormatting>
  <conditionalFormatting sqref="E24">
    <cfRule type="colorScale" priority="2">
      <colorScale>
        <cfvo type="min"/>
        <cfvo type="percentile" val="50"/>
        <cfvo type="max"/>
        <color rgb="FF63BE7B"/>
        <color rgb="FFFFEB84"/>
        <color rgb="FFF8696B"/>
      </colorScale>
    </cfRule>
  </conditionalFormatting>
  <conditionalFormatting sqref="E25">
    <cfRule type="colorScale" priority="1">
      <colorScale>
        <cfvo type="min"/>
        <cfvo type="percentile" val="50"/>
        <cfvo type="max"/>
        <color rgb="FF63BE7B"/>
        <color rgb="FFFFEB84"/>
        <color rgb="FFF8696B"/>
      </colorScale>
    </cfRule>
  </conditionalFormatting>
  <conditionalFormatting sqref="E10">
    <cfRule type="colorScale" priority="18">
      <colorScale>
        <cfvo type="min"/>
        <cfvo type="percentile" val="50"/>
        <cfvo type="max"/>
        <color rgb="FF63BE7B"/>
        <color rgb="FFFFEB84"/>
        <color rgb="FFF8696B"/>
      </colorScale>
    </cfRule>
  </conditionalFormatting>
  <dataValidations count="9">
    <dataValidation type="list" allowBlank="1" showInputMessage="1" showErrorMessage="1" sqref="E27" xr:uid="{00000000-0002-0000-1200-000000000000}">
      <formula1>$T$2:$T$4</formula1>
    </dataValidation>
    <dataValidation type="list" allowBlank="1" showInputMessage="1" showErrorMessage="1" sqref="E18 E14 E20" xr:uid="{00000000-0002-0000-1200-000001000000}">
      <formula1>$L$2:$L$3</formula1>
    </dataValidation>
    <dataValidation type="list" allowBlank="1" showInputMessage="1" showErrorMessage="1" sqref="E19 E24 E17 E26 E10:E13" xr:uid="{00000000-0002-0000-1200-000002000000}">
      <formula1>$R$2:$R$4</formula1>
    </dataValidation>
    <dataValidation type="list" allowBlank="1" showInputMessage="1" showErrorMessage="1" sqref="B4" xr:uid="{00000000-0002-0000-1200-000003000000}">
      <formula1>$H$2:$H$3</formula1>
    </dataValidation>
    <dataValidation type="list" allowBlank="1" showInputMessage="1" showErrorMessage="1" sqref="D4" xr:uid="{00000000-0002-0000-1200-000004000000}">
      <formula1>$J$2:$J$8</formula1>
    </dataValidation>
    <dataValidation type="list" allowBlank="1" showInputMessage="1" showErrorMessage="1" sqref="E15" xr:uid="{00000000-0002-0000-1200-000005000000}">
      <formula1>$N$2:$N$4</formula1>
    </dataValidation>
    <dataValidation type="list" allowBlank="1" showInputMessage="1" showErrorMessage="1" sqref="E25 E16" xr:uid="{00000000-0002-0000-1200-000006000000}">
      <formula1>$P$2:$P$4</formula1>
    </dataValidation>
    <dataValidation type="list" allowBlank="1" showInputMessage="1" showErrorMessage="1" sqref="E23 E22" xr:uid="{00000000-0002-0000-1200-000007000000}">
      <formula1>$V$2:$V$4</formula1>
    </dataValidation>
    <dataValidation type="list" allowBlank="1" showInputMessage="1" showErrorMessage="1" sqref="E21" xr:uid="{00000000-0002-0000-1200-000008000000}">
      <formula1>$V$2:$V$3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G50"/>
  <sheetViews>
    <sheetView workbookViewId="0">
      <selection activeCell="I21" sqref="I21"/>
    </sheetView>
  </sheetViews>
  <sheetFormatPr defaultRowHeight="15" x14ac:dyDescent="0.25"/>
  <cols>
    <col min="2" max="2" width="17.85546875" customWidth="1"/>
    <col min="3" max="3" width="37.7109375" customWidth="1"/>
    <col min="4" max="4" width="75.28515625" customWidth="1"/>
    <col min="5" max="5" width="17.42578125" customWidth="1"/>
    <col min="6" max="6" width="13.140625" customWidth="1"/>
    <col min="7" max="7" width="9.140625" customWidth="1"/>
    <col min="11" max="11" width="30.28515625" customWidth="1"/>
    <col min="12" max="12" width="71.7109375" customWidth="1"/>
    <col min="13" max="13" width="15.42578125" customWidth="1"/>
  </cols>
  <sheetData>
    <row r="2" spans="3:7" ht="15.75" thickBot="1" x14ac:dyDescent="0.3"/>
    <row r="3" spans="3:7" ht="15.75" x14ac:dyDescent="0.25">
      <c r="C3" s="184" t="s">
        <v>31</v>
      </c>
      <c r="D3" s="191" t="s">
        <v>6</v>
      </c>
      <c r="E3" s="192"/>
    </row>
    <row r="4" spans="3:7" ht="15.75" x14ac:dyDescent="0.25">
      <c r="C4" s="185"/>
      <c r="D4" s="1" t="s">
        <v>2</v>
      </c>
      <c r="E4" s="2" t="s">
        <v>0</v>
      </c>
      <c r="F4">
        <f>IF(E4="N",0,2.5)</f>
        <v>0</v>
      </c>
    </row>
    <row r="5" spans="3:7" ht="15.75" x14ac:dyDescent="0.25">
      <c r="C5" s="185"/>
      <c r="D5" s="3" t="s">
        <v>3</v>
      </c>
      <c r="E5" s="2" t="s">
        <v>1</v>
      </c>
      <c r="F5">
        <f>IF(E5="N",0,2.5)</f>
        <v>2.5</v>
      </c>
      <c r="G5" t="s">
        <v>0</v>
      </c>
    </row>
    <row r="6" spans="3:7" ht="15.75" x14ac:dyDescent="0.25">
      <c r="C6" s="185"/>
      <c r="D6" s="3" t="s">
        <v>4</v>
      </c>
      <c r="E6" s="2" t="s">
        <v>0</v>
      </c>
      <c r="F6">
        <f>IF(E6="N",0,2.5)</f>
        <v>0</v>
      </c>
      <c r="G6" t="s">
        <v>1</v>
      </c>
    </row>
    <row r="7" spans="3:7" ht="16.5" thickBot="1" x14ac:dyDescent="0.3">
      <c r="C7" s="186"/>
      <c r="D7" s="4" t="s">
        <v>5</v>
      </c>
      <c r="E7" s="5" t="s">
        <v>1</v>
      </c>
      <c r="F7">
        <f>IF(E7="N",0,2.5)</f>
        <v>2.5</v>
      </c>
    </row>
    <row r="8" spans="3:7" ht="15.75" x14ac:dyDescent="0.25">
      <c r="C8" s="184" t="s">
        <v>7</v>
      </c>
      <c r="D8" s="14" t="s">
        <v>23</v>
      </c>
      <c r="E8" s="6" t="s">
        <v>1</v>
      </c>
      <c r="F8">
        <f>IF(E8="N",0,3.33)</f>
        <v>3.33</v>
      </c>
    </row>
    <row r="9" spans="3:7" ht="15.75" x14ac:dyDescent="0.25">
      <c r="C9" s="185"/>
      <c r="D9" s="15" t="s">
        <v>24</v>
      </c>
      <c r="E9" s="2" t="s">
        <v>1</v>
      </c>
      <c r="F9">
        <f t="shared" ref="F9:F22" si="0">IF(E9="N",0,3.33)</f>
        <v>3.33</v>
      </c>
    </row>
    <row r="10" spans="3:7" ht="16.5" thickBot="1" x14ac:dyDescent="0.3">
      <c r="C10" s="186"/>
      <c r="D10" s="12" t="s">
        <v>13</v>
      </c>
      <c r="E10" s="5" t="s">
        <v>0</v>
      </c>
      <c r="F10">
        <f t="shared" si="0"/>
        <v>0</v>
      </c>
    </row>
    <row r="11" spans="3:7" ht="15.75" x14ac:dyDescent="0.25">
      <c r="C11" s="184" t="s">
        <v>9</v>
      </c>
      <c r="D11" s="13" t="s">
        <v>21</v>
      </c>
      <c r="E11" s="6" t="s">
        <v>0</v>
      </c>
      <c r="F11">
        <f>IF(E11="N",0,3.33)</f>
        <v>0</v>
      </c>
    </row>
    <row r="12" spans="3:7" ht="15.75" x14ac:dyDescent="0.25">
      <c r="C12" s="185"/>
      <c r="D12" s="11" t="s">
        <v>20</v>
      </c>
      <c r="E12" s="2" t="s">
        <v>1</v>
      </c>
      <c r="F12">
        <f t="shared" si="0"/>
        <v>3.33</v>
      </c>
    </row>
    <row r="13" spans="3:7" ht="16.5" thickBot="1" x14ac:dyDescent="0.3">
      <c r="C13" s="186"/>
      <c r="D13" s="12" t="s">
        <v>22</v>
      </c>
      <c r="E13" s="5" t="s">
        <v>0</v>
      </c>
      <c r="F13">
        <f t="shared" si="0"/>
        <v>0</v>
      </c>
    </row>
    <row r="14" spans="3:7" ht="15.75" x14ac:dyDescent="0.25">
      <c r="C14" s="196" t="s">
        <v>12</v>
      </c>
      <c r="D14" s="10" t="s">
        <v>10</v>
      </c>
      <c r="E14" s="6" t="s">
        <v>0</v>
      </c>
      <c r="F14">
        <f>IF(E14="N",0,3.33)</f>
        <v>0</v>
      </c>
    </row>
    <row r="15" spans="3:7" ht="15.75" x14ac:dyDescent="0.25">
      <c r="C15" s="197"/>
      <c r="D15" s="11" t="s">
        <v>18</v>
      </c>
      <c r="E15" s="2" t="s">
        <v>1</v>
      </c>
      <c r="F15">
        <f t="shared" si="0"/>
        <v>3.33</v>
      </c>
    </row>
    <row r="16" spans="3:7" ht="16.5" thickBot="1" x14ac:dyDescent="0.3">
      <c r="C16" s="198"/>
      <c r="D16" s="12"/>
      <c r="E16" s="5" t="s">
        <v>1</v>
      </c>
      <c r="F16">
        <f t="shared" si="0"/>
        <v>3.33</v>
      </c>
    </row>
    <row r="17" spans="3:6" ht="15.75" x14ac:dyDescent="0.25">
      <c r="C17" s="184" t="s">
        <v>27</v>
      </c>
      <c r="D17" s="13" t="s">
        <v>19</v>
      </c>
      <c r="E17" s="6" t="s">
        <v>0</v>
      </c>
      <c r="F17">
        <f>IF(E17="N",0,3.33)</f>
        <v>0</v>
      </c>
    </row>
    <row r="18" spans="3:6" ht="15.75" x14ac:dyDescent="0.25">
      <c r="C18" s="185"/>
      <c r="D18" s="11" t="s">
        <v>17</v>
      </c>
      <c r="E18" s="2" t="s">
        <v>0</v>
      </c>
      <c r="F18">
        <f t="shared" si="0"/>
        <v>0</v>
      </c>
    </row>
    <row r="19" spans="3:6" ht="16.5" thickBot="1" x14ac:dyDescent="0.3">
      <c r="C19" s="186"/>
      <c r="D19" s="12"/>
      <c r="E19" s="5" t="s">
        <v>1</v>
      </c>
      <c r="F19">
        <f t="shared" si="0"/>
        <v>3.33</v>
      </c>
    </row>
    <row r="20" spans="3:6" ht="15.75" x14ac:dyDescent="0.25">
      <c r="C20" s="184" t="s">
        <v>29</v>
      </c>
      <c r="D20" s="13" t="s">
        <v>14</v>
      </c>
      <c r="E20" s="6" t="s">
        <v>1</v>
      </c>
      <c r="F20">
        <f>IF(E20="N",0,3.33)</f>
        <v>3.33</v>
      </c>
    </row>
    <row r="21" spans="3:6" ht="15.75" x14ac:dyDescent="0.25">
      <c r="C21" s="185"/>
      <c r="D21" s="11" t="s">
        <v>15</v>
      </c>
      <c r="E21" s="2" t="s">
        <v>1</v>
      </c>
      <c r="F21">
        <f t="shared" si="0"/>
        <v>3.33</v>
      </c>
    </row>
    <row r="22" spans="3:6" ht="16.5" thickBot="1" x14ac:dyDescent="0.3">
      <c r="C22" s="186"/>
      <c r="D22" s="12" t="s">
        <v>16</v>
      </c>
      <c r="E22" s="5" t="s">
        <v>1</v>
      </c>
      <c r="F22">
        <f t="shared" si="0"/>
        <v>3.33</v>
      </c>
    </row>
    <row r="23" spans="3:6" x14ac:dyDescent="0.25">
      <c r="D23" s="16"/>
    </row>
    <row r="44" spans="3:4" ht="15.75" thickBot="1" x14ac:dyDescent="0.3"/>
    <row r="45" spans="3:4" ht="16.5" thickBot="1" x14ac:dyDescent="0.3">
      <c r="C45" s="7" t="s">
        <v>30</v>
      </c>
      <c r="D45" s="17">
        <f>SUM(F4:F7)*10</f>
        <v>50</v>
      </c>
    </row>
    <row r="46" spans="3:4" ht="16.5" thickBot="1" x14ac:dyDescent="0.3">
      <c r="C46" s="7" t="s">
        <v>7</v>
      </c>
      <c r="D46" s="17">
        <f>SUM(F8:F10)*10</f>
        <v>66.599999999999994</v>
      </c>
    </row>
    <row r="47" spans="3:4" ht="16.5" thickBot="1" x14ac:dyDescent="0.3">
      <c r="C47" s="7" t="s">
        <v>9</v>
      </c>
      <c r="D47" s="17">
        <f>SUM(F11:F13)*10</f>
        <v>33.299999999999997</v>
      </c>
    </row>
    <row r="48" spans="3:4" ht="16.5" thickBot="1" x14ac:dyDescent="0.3">
      <c r="C48" s="8" t="s">
        <v>12</v>
      </c>
      <c r="D48" s="17">
        <f>SUM(F14:F16)*10</f>
        <v>66.599999999999994</v>
      </c>
    </row>
    <row r="49" spans="3:4" ht="16.5" thickBot="1" x14ac:dyDescent="0.3">
      <c r="C49" s="7" t="s">
        <v>11</v>
      </c>
      <c r="D49" s="17">
        <f>SUM(F17:F19)*10</f>
        <v>33.299999999999997</v>
      </c>
    </row>
    <row r="50" spans="3:4" ht="16.5" thickBot="1" x14ac:dyDescent="0.3">
      <c r="C50" s="9" t="s">
        <v>29</v>
      </c>
      <c r="D50" s="17">
        <f>SUM(F18:F20)*10</f>
        <v>66.599999999999994</v>
      </c>
    </row>
  </sheetData>
  <scenarios current="0" show="0">
    <scenario name="high impact" locked="1" count="1" user="Henderson, Bonnie" comment="Created by Henderson, Bonnie on 5/01/2018">
      <inputCells r="I5" val="0, 2.5"/>
    </scenario>
  </scenarios>
  <mergeCells count="7">
    <mergeCell ref="C17:C19"/>
    <mergeCell ref="C20:C22"/>
    <mergeCell ref="D3:E3"/>
    <mergeCell ref="C11:C13"/>
    <mergeCell ref="C3:C7"/>
    <mergeCell ref="C8:C10"/>
    <mergeCell ref="C14:C16"/>
  </mergeCells>
  <conditionalFormatting sqref="E4">
    <cfRule type="colorScale" priority="6">
      <colorScale>
        <cfvo type="min"/>
        <cfvo type="percentile" val="50"/>
        <cfvo type="max"/>
        <color rgb="FF63BE7B"/>
        <color rgb="FFFFEB84"/>
        <color rgb="FFF8696B"/>
      </colorScale>
    </cfRule>
  </conditionalFormatting>
  <conditionalFormatting sqref="D45:D50">
    <cfRule type="colorScale" priority="3">
      <colorScale>
        <cfvo type="num" val="0"/>
        <cfvo type="num" val="50"/>
        <cfvo type="num" val="75"/>
        <color rgb="FFF8696B"/>
        <color rgb="FFFFEB84"/>
        <color rgb="FF63BE7B"/>
      </colorScale>
    </cfRule>
  </conditionalFormatting>
  <conditionalFormatting sqref="D45:D50 D30">
    <cfRule type="colorScale" priority="2">
      <colorScale>
        <cfvo type="min"/>
        <cfvo type="percentile" val="50"/>
        <cfvo type="max"/>
        <color rgb="FFF8696B"/>
        <color rgb="FFFFEB84"/>
        <color rgb="FF63BE7B"/>
      </colorScale>
    </cfRule>
  </conditionalFormatting>
  <dataValidations count="1">
    <dataValidation type="list" allowBlank="1" showInputMessage="1" showErrorMessage="1" sqref="E4:E22" xr:uid="{00000000-0002-0000-0100-000000000000}">
      <formula1>$G$5:$G$6</formula1>
    </dataValidation>
  </dataValidation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V34"/>
  <sheetViews>
    <sheetView zoomScale="90" zoomScaleNormal="90" workbookViewId="0">
      <selection activeCell="H29" sqref="H29:H34"/>
    </sheetView>
  </sheetViews>
  <sheetFormatPr defaultColWidth="9.140625" defaultRowHeight="15" x14ac:dyDescent="0.25"/>
  <cols>
    <col min="1" max="1" width="9.140625" style="122"/>
    <col min="2" max="2" width="31" style="122" customWidth="1"/>
    <col min="3" max="3" width="27" style="122" customWidth="1"/>
    <col min="4" max="4" width="85.42578125" style="122" customWidth="1"/>
    <col min="5" max="5" width="17.28515625" style="122" customWidth="1"/>
    <col min="6" max="6" width="82" style="122" customWidth="1"/>
    <col min="7" max="7" width="5.7109375" style="122" bestFit="1" customWidth="1"/>
    <col min="8" max="8" width="31.7109375" style="122" bestFit="1" customWidth="1"/>
    <col min="9" max="9" width="9.140625" style="122"/>
    <col min="10" max="10" width="18.85546875" style="122" bestFit="1" customWidth="1"/>
    <col min="11" max="11" width="9.140625" style="122"/>
    <col min="12" max="12" width="13.140625" style="122" bestFit="1" customWidth="1"/>
    <col min="13" max="13" width="9.140625" style="122"/>
    <col min="14" max="14" width="11" style="122" bestFit="1" customWidth="1"/>
    <col min="15" max="15" width="9.140625" style="122"/>
    <col min="16" max="16" width="12.7109375" style="122" bestFit="1" customWidth="1"/>
    <col min="17" max="16384" width="9.140625" style="122"/>
  </cols>
  <sheetData>
    <row r="1" spans="2:22" s="79" customFormat="1" ht="18.75" x14ac:dyDescent="0.3">
      <c r="B1" s="79" t="s">
        <v>242</v>
      </c>
    </row>
    <row r="2" spans="2:22" x14ac:dyDescent="0.25">
      <c r="H2" s="97" t="s">
        <v>160</v>
      </c>
      <c r="J2" s="97" t="s">
        <v>99</v>
      </c>
      <c r="L2" s="96" t="s">
        <v>211</v>
      </c>
      <c r="N2" s="96" t="s">
        <v>214</v>
      </c>
      <c r="P2" s="96" t="s">
        <v>211</v>
      </c>
      <c r="R2" s="96" t="s">
        <v>211</v>
      </c>
      <c r="T2" s="96" t="s">
        <v>211</v>
      </c>
      <c r="V2" s="96" t="s">
        <v>211</v>
      </c>
    </row>
    <row r="3" spans="2:22" ht="18.75" x14ac:dyDescent="0.3">
      <c r="B3" s="80" t="s">
        <v>203</v>
      </c>
      <c r="C3" s="43"/>
      <c r="D3" s="80" t="s">
        <v>204</v>
      </c>
      <c r="H3" s="97" t="s">
        <v>161</v>
      </c>
      <c r="J3" s="97" t="s">
        <v>101</v>
      </c>
      <c r="L3" s="96" t="s">
        <v>212</v>
      </c>
      <c r="N3" s="96" t="s">
        <v>215</v>
      </c>
      <c r="P3" s="96" t="s">
        <v>212</v>
      </c>
      <c r="R3" s="96" t="s">
        <v>212</v>
      </c>
      <c r="T3" s="96" t="s">
        <v>212</v>
      </c>
      <c r="V3" s="96" t="s">
        <v>212</v>
      </c>
    </row>
    <row r="4" spans="2:22" x14ac:dyDescent="0.25">
      <c r="B4" s="81" t="s">
        <v>161</v>
      </c>
      <c r="D4" s="81" t="s">
        <v>103</v>
      </c>
      <c r="J4" s="97" t="s">
        <v>102</v>
      </c>
      <c r="L4" s="96" t="s">
        <v>213</v>
      </c>
      <c r="N4" s="96" t="s">
        <v>216</v>
      </c>
      <c r="P4" s="96" t="s">
        <v>224</v>
      </c>
      <c r="R4" s="96" t="s">
        <v>225</v>
      </c>
      <c r="T4" s="96" t="s">
        <v>226</v>
      </c>
      <c r="V4" s="96" t="s">
        <v>250</v>
      </c>
    </row>
    <row r="5" spans="2:22" x14ac:dyDescent="0.25">
      <c r="J5" s="97" t="s">
        <v>103</v>
      </c>
      <c r="L5" s="98"/>
    </row>
    <row r="6" spans="2:22" x14ac:dyDescent="0.25">
      <c r="J6" s="97" t="s">
        <v>105</v>
      </c>
      <c r="L6" s="98"/>
    </row>
    <row r="7" spans="2:22" x14ac:dyDescent="0.25">
      <c r="J7" s="97" t="s">
        <v>124</v>
      </c>
    </row>
    <row r="8" spans="2:22" x14ac:dyDescent="0.25">
      <c r="J8" s="97" t="s">
        <v>125</v>
      </c>
    </row>
    <row r="9" spans="2:22" ht="19.5" thickBot="1" x14ac:dyDescent="0.3">
      <c r="B9" s="85" t="s">
        <v>205</v>
      </c>
      <c r="C9" s="85" t="s">
        <v>207</v>
      </c>
      <c r="D9" s="85" t="s">
        <v>206</v>
      </c>
      <c r="E9" s="85" t="s">
        <v>208</v>
      </c>
      <c r="F9" s="85" t="s">
        <v>209</v>
      </c>
      <c r="G9" s="107" t="s">
        <v>227</v>
      </c>
      <c r="H9" s="107" t="s">
        <v>249</v>
      </c>
      <c r="L9" s="82"/>
      <c r="M9" s="82"/>
      <c r="N9" s="82"/>
      <c r="O9" s="83"/>
    </row>
    <row r="10" spans="2:22" ht="31.5" customHeight="1" x14ac:dyDescent="0.25">
      <c r="B10" s="218" t="s">
        <v>76</v>
      </c>
      <c r="C10" s="224" t="s">
        <v>278</v>
      </c>
      <c r="D10" s="87" t="s">
        <v>228</v>
      </c>
      <c r="E10" s="127" t="s">
        <v>225</v>
      </c>
      <c r="F10" s="102" t="s">
        <v>279</v>
      </c>
      <c r="G10" s="107">
        <f>IF(E10="Yes",5,IF(E10="no",0,2.5))</f>
        <v>2.5</v>
      </c>
      <c r="H10" s="108"/>
      <c r="L10" s="84"/>
      <c r="M10" s="82"/>
      <c r="N10" s="82"/>
      <c r="O10" s="83"/>
    </row>
    <row r="11" spans="2:22" ht="32.25" thickBot="1" x14ac:dyDescent="0.3">
      <c r="B11" s="220"/>
      <c r="C11" s="226"/>
      <c r="D11" s="88" t="s">
        <v>217</v>
      </c>
      <c r="E11" s="128" t="s">
        <v>225</v>
      </c>
      <c r="F11" s="105" t="s">
        <v>279</v>
      </c>
      <c r="G11" s="107">
        <f>IF(E11="Yes",5,IF(E11="no",0,2.5))</f>
        <v>2.5</v>
      </c>
      <c r="H11" s="108">
        <f>((G10+G11)/10)*100</f>
        <v>50</v>
      </c>
      <c r="L11" s="84"/>
      <c r="M11" s="82"/>
      <c r="N11" s="82"/>
      <c r="O11" s="83"/>
    </row>
    <row r="12" spans="2:22" ht="18.75" x14ac:dyDescent="0.25">
      <c r="B12" s="210" t="s">
        <v>44</v>
      </c>
      <c r="C12" s="227" t="s">
        <v>278</v>
      </c>
      <c r="D12" s="89" t="s">
        <v>106</v>
      </c>
      <c r="E12" s="99" t="s">
        <v>211</v>
      </c>
      <c r="F12" s="103" t="s">
        <v>280</v>
      </c>
      <c r="G12" s="107">
        <f>IF(E12="yes",3.33,IF(E12="no",0,1.66))</f>
        <v>3.33</v>
      </c>
      <c r="H12" s="108"/>
      <c r="L12" s="84"/>
      <c r="M12" s="82"/>
      <c r="N12" s="82"/>
      <c r="O12" s="82"/>
    </row>
    <row r="13" spans="2:22" ht="30" x14ac:dyDescent="0.25">
      <c r="B13" s="211"/>
      <c r="C13" s="228"/>
      <c r="D13" s="90" t="s">
        <v>218</v>
      </c>
      <c r="E13" s="100" t="s">
        <v>225</v>
      </c>
      <c r="F13" s="103" t="s">
        <v>281</v>
      </c>
      <c r="G13" s="107">
        <f>IF(E13="yes",3.33,IF(E13="no",0,1.66))</f>
        <v>1.66</v>
      </c>
      <c r="H13" s="108"/>
      <c r="L13" s="84"/>
      <c r="M13" s="82"/>
      <c r="N13" s="82"/>
      <c r="O13" s="82"/>
    </row>
    <row r="14" spans="2:22" ht="28.5" customHeight="1" thickBot="1" x14ac:dyDescent="0.3">
      <c r="B14" s="212"/>
      <c r="C14" s="229"/>
      <c r="D14" s="91" t="s">
        <v>219</v>
      </c>
      <c r="E14" s="101" t="s">
        <v>212</v>
      </c>
      <c r="F14" s="103" t="s">
        <v>282</v>
      </c>
      <c r="G14" s="107">
        <f>IF(E14="yes",3.33,IF(E14="no",0))</f>
        <v>0</v>
      </c>
      <c r="H14" s="108">
        <f>((G12+G13+G14)/10)*100</f>
        <v>49.9</v>
      </c>
    </row>
    <row r="15" spans="2:22" ht="29.25" customHeight="1" x14ac:dyDescent="0.25">
      <c r="B15" s="210" t="s">
        <v>9</v>
      </c>
      <c r="C15" s="224" t="s">
        <v>283</v>
      </c>
      <c r="D15" s="92" t="s">
        <v>220</v>
      </c>
      <c r="E15" s="99" t="s">
        <v>214</v>
      </c>
      <c r="F15" s="106" t="s">
        <v>284</v>
      </c>
      <c r="G15" s="107">
        <f>IF(E15="low",3.33,IF(E15="high",0,1.66))</f>
        <v>0</v>
      </c>
      <c r="H15" s="108"/>
    </row>
    <row r="16" spans="2:22" ht="31.5" x14ac:dyDescent="0.25">
      <c r="B16" s="211"/>
      <c r="C16" s="225"/>
      <c r="D16" s="93" t="s">
        <v>111</v>
      </c>
      <c r="E16" s="100" t="s">
        <v>224</v>
      </c>
      <c r="F16" s="103" t="s">
        <v>285</v>
      </c>
      <c r="G16" s="107">
        <f>IF(E16="yes",3.33,IF(E16="no",0,1.66))</f>
        <v>1.66</v>
      </c>
      <c r="H16" s="108"/>
    </row>
    <row r="17" spans="2:8" ht="18.75" customHeight="1" thickBot="1" x14ac:dyDescent="0.3">
      <c r="B17" s="212"/>
      <c r="C17" s="226"/>
      <c r="D17" s="94" t="s">
        <v>221</v>
      </c>
      <c r="E17" s="101" t="s">
        <v>211</v>
      </c>
      <c r="F17" s="104" t="s">
        <v>235</v>
      </c>
      <c r="G17" s="107">
        <f>IF(E17="no",3.33,IF(E17="yes",0,1.66))</f>
        <v>0</v>
      </c>
      <c r="H17" s="108">
        <f>((G15+G16+G17)/10)*100</f>
        <v>16.599999999999998</v>
      </c>
    </row>
    <row r="18" spans="2:8" ht="30.75" customHeight="1" x14ac:dyDescent="0.25">
      <c r="B18" s="216" t="s">
        <v>32</v>
      </c>
      <c r="C18" s="224" t="s">
        <v>283</v>
      </c>
      <c r="D18" s="92" t="s">
        <v>159</v>
      </c>
      <c r="E18" s="99" t="s">
        <v>211</v>
      </c>
      <c r="F18" s="103" t="s">
        <v>286</v>
      </c>
      <c r="G18" s="107">
        <f>IF(E18="yes",3.33,IF(E18="no",0))</f>
        <v>3.33</v>
      </c>
      <c r="H18" s="108"/>
    </row>
    <row r="19" spans="2:8" ht="30" x14ac:dyDescent="0.25">
      <c r="B19" s="217"/>
      <c r="C19" s="225"/>
      <c r="D19" s="95" t="s">
        <v>222</v>
      </c>
      <c r="E19" s="100" t="s">
        <v>212</v>
      </c>
      <c r="F19" s="103" t="s">
        <v>287</v>
      </c>
      <c r="G19" s="107">
        <f>IF(E19="no",3.33,IF(E19="yes",0,1.66))</f>
        <v>3.33</v>
      </c>
      <c r="H19" s="108"/>
    </row>
    <row r="20" spans="2:8" ht="32.25" customHeight="1" thickBot="1" x14ac:dyDescent="0.3">
      <c r="B20" s="217"/>
      <c r="C20" s="226"/>
      <c r="D20" s="94" t="s">
        <v>117</v>
      </c>
      <c r="E20" s="101" t="s">
        <v>212</v>
      </c>
      <c r="F20" s="103" t="s">
        <v>288</v>
      </c>
      <c r="G20" s="107">
        <f>IF(E20="yes",3.33,IF(E20="no",0))</f>
        <v>0</v>
      </c>
      <c r="H20" s="108">
        <f>((G18+G19+G20)/10)*100</f>
        <v>66.600000000000009</v>
      </c>
    </row>
    <row r="21" spans="2:8" ht="34.5" customHeight="1" x14ac:dyDescent="0.25">
      <c r="B21" s="218" t="s">
        <v>248</v>
      </c>
      <c r="C21" s="86" t="s">
        <v>283</v>
      </c>
      <c r="D21" s="93" t="s">
        <v>210</v>
      </c>
      <c r="E21" s="100" t="s">
        <v>211</v>
      </c>
      <c r="F21" s="106" t="s">
        <v>289</v>
      </c>
      <c r="G21" s="107">
        <f>IF(E21="yes",2,IF(E21="no",0))</f>
        <v>2</v>
      </c>
      <c r="H21" s="108"/>
    </row>
    <row r="22" spans="2:8" ht="31.5" x14ac:dyDescent="0.25">
      <c r="B22" s="219"/>
      <c r="C22" s="225" t="s">
        <v>283</v>
      </c>
      <c r="D22" s="93" t="s">
        <v>223</v>
      </c>
      <c r="E22" s="100" t="s">
        <v>211</v>
      </c>
      <c r="F22" s="103"/>
      <c r="G22" s="107">
        <f>IF(E22="yes",2,IF(E22="no",0,1))</f>
        <v>2</v>
      </c>
      <c r="H22" s="108"/>
    </row>
    <row r="23" spans="2:8" ht="35.25" customHeight="1" x14ac:dyDescent="0.25">
      <c r="B23" s="219"/>
      <c r="C23" s="225"/>
      <c r="D23" s="93" t="s">
        <v>122</v>
      </c>
      <c r="E23" s="100" t="s">
        <v>211</v>
      </c>
      <c r="F23" s="103" t="s">
        <v>290</v>
      </c>
      <c r="G23" s="107">
        <f>IF(E23="yes",2,IF(E23="no",0,1))</f>
        <v>2</v>
      </c>
      <c r="H23" s="108"/>
    </row>
    <row r="24" spans="2:8" ht="31.5" x14ac:dyDescent="0.25">
      <c r="B24" s="219"/>
      <c r="C24" s="225"/>
      <c r="D24" s="93" t="s">
        <v>123</v>
      </c>
      <c r="E24" s="100" t="s">
        <v>225</v>
      </c>
      <c r="F24" s="103" t="s">
        <v>291</v>
      </c>
      <c r="G24" s="107">
        <f>IF(E24="yes",2,IF(E24="no",0,1))</f>
        <v>1</v>
      </c>
      <c r="H24" s="108"/>
    </row>
    <row r="25" spans="2:8" ht="32.25" thickBot="1" x14ac:dyDescent="0.3">
      <c r="B25" s="220"/>
      <c r="C25" s="226"/>
      <c r="D25" s="94" t="s">
        <v>130</v>
      </c>
      <c r="E25" s="100" t="s">
        <v>211</v>
      </c>
      <c r="F25" s="104" t="s">
        <v>286</v>
      </c>
      <c r="G25" s="107">
        <f>IF(E25="yes",2,IF(E25="no",0,1))</f>
        <v>2</v>
      </c>
      <c r="H25" s="108">
        <f>((G21+G22+G23+G24+G25)/10)*100</f>
        <v>90</v>
      </c>
    </row>
    <row r="26" spans="2:8" ht="33" customHeight="1" x14ac:dyDescent="0.25">
      <c r="B26" s="218" t="s">
        <v>247</v>
      </c>
      <c r="C26" s="224" t="s">
        <v>283</v>
      </c>
      <c r="D26" s="92" t="s">
        <v>118</v>
      </c>
      <c r="E26" s="99" t="s">
        <v>211</v>
      </c>
      <c r="F26" s="103" t="s">
        <v>292</v>
      </c>
      <c r="G26" s="107">
        <f>IF(E26="yes",5,IF(E26="no",0,2.5))</f>
        <v>5</v>
      </c>
      <c r="H26" s="108"/>
    </row>
    <row r="27" spans="2:8" ht="32.25" customHeight="1" thickBot="1" x14ac:dyDescent="0.3">
      <c r="B27" s="220"/>
      <c r="C27" s="226"/>
      <c r="D27" s="94" t="s">
        <v>119</v>
      </c>
      <c r="E27" s="101" t="s">
        <v>226</v>
      </c>
      <c r="F27" s="104" t="s">
        <v>293</v>
      </c>
      <c r="G27" s="107">
        <f>IF(E27="no",5,IF(E27="yes",0,2.5))</f>
        <v>2.5</v>
      </c>
      <c r="H27" s="108">
        <f>((G26+G27)/10)*100</f>
        <v>75</v>
      </c>
    </row>
    <row r="28" spans="2:8" ht="15" customHeight="1" x14ac:dyDescent="0.25"/>
    <row r="29" spans="2:8" x14ac:dyDescent="0.25">
      <c r="G29" s="122" t="str">
        <f>B10</f>
        <v xml:space="preserve">Strategic Fit </v>
      </c>
      <c r="H29" s="109">
        <f>H11</f>
        <v>50</v>
      </c>
    </row>
    <row r="30" spans="2:8" x14ac:dyDescent="0.25">
      <c r="G30" s="122" t="str">
        <f>B12</f>
        <v>Development Concept</v>
      </c>
      <c r="H30" s="109">
        <f>H14</f>
        <v>49.9</v>
      </c>
    </row>
    <row r="31" spans="2:8" x14ac:dyDescent="0.25">
      <c r="G31" s="122" t="str">
        <f>B15</f>
        <v>Technical/Subsurface</v>
      </c>
      <c r="H31" s="109">
        <f>H17</f>
        <v>16.599999999999998</v>
      </c>
    </row>
    <row r="32" spans="2:8" x14ac:dyDescent="0.25">
      <c r="G32" s="122" t="str">
        <f>B18</f>
        <v>Above Ground</v>
      </c>
      <c r="H32" s="109">
        <f>H20</f>
        <v>66.600000000000009</v>
      </c>
    </row>
    <row r="33" spans="7:8" x14ac:dyDescent="0.25">
      <c r="G33" s="122" t="str">
        <f>B21</f>
        <v xml:space="preserve">Commercial </v>
      </c>
      <c r="H33" s="109">
        <f>H25</f>
        <v>90</v>
      </c>
    </row>
    <row r="34" spans="7:8" x14ac:dyDescent="0.25">
      <c r="G34" s="122" t="str">
        <f>B26</f>
        <v xml:space="preserve">Budget &amp; Flexibility </v>
      </c>
      <c r="H34" s="109">
        <f>H27</f>
        <v>75</v>
      </c>
    </row>
  </sheetData>
  <mergeCells count="12">
    <mergeCell ref="B10:B11"/>
    <mergeCell ref="C10:C11"/>
    <mergeCell ref="B12:B14"/>
    <mergeCell ref="C12:C14"/>
    <mergeCell ref="B15:B17"/>
    <mergeCell ref="C15:C17"/>
    <mergeCell ref="B18:B20"/>
    <mergeCell ref="C18:C20"/>
    <mergeCell ref="B21:B25"/>
    <mergeCell ref="C22:C25"/>
    <mergeCell ref="B26:B27"/>
    <mergeCell ref="C26:C27"/>
  </mergeCells>
  <conditionalFormatting sqref="E11">
    <cfRule type="colorScale" priority="17">
      <colorScale>
        <cfvo type="min"/>
        <cfvo type="percentile" val="50"/>
        <cfvo type="max"/>
        <color rgb="FF63BE7B"/>
        <color rgb="FFFFEB84"/>
        <color rgb="FFF8696B"/>
      </colorScale>
    </cfRule>
  </conditionalFormatting>
  <conditionalFormatting sqref="E12">
    <cfRule type="colorScale" priority="16">
      <colorScale>
        <cfvo type="min"/>
        <cfvo type="percentile" val="50"/>
        <cfvo type="max"/>
        <color rgb="FF63BE7B"/>
        <color rgb="FFFFEB84"/>
        <color rgb="FFF8696B"/>
      </colorScale>
    </cfRule>
  </conditionalFormatting>
  <conditionalFormatting sqref="E14">
    <cfRule type="colorScale" priority="15">
      <colorScale>
        <cfvo type="min"/>
        <cfvo type="percentile" val="50"/>
        <cfvo type="max"/>
        <color rgb="FF63BE7B"/>
        <color rgb="FFFFEB84"/>
        <color rgb="FFF8696B"/>
      </colorScale>
    </cfRule>
  </conditionalFormatting>
  <conditionalFormatting sqref="E13">
    <cfRule type="colorScale" priority="14">
      <colorScale>
        <cfvo type="min"/>
        <cfvo type="percentile" val="50"/>
        <cfvo type="max"/>
        <color rgb="FF63BE7B"/>
        <color rgb="FFFFEB84"/>
        <color rgb="FFF8696B"/>
      </colorScale>
    </cfRule>
  </conditionalFormatting>
  <conditionalFormatting sqref="E15">
    <cfRule type="colorScale" priority="13">
      <colorScale>
        <cfvo type="min"/>
        <cfvo type="percentile" val="50"/>
        <cfvo type="max"/>
        <color rgb="FF63BE7B"/>
        <color rgb="FFFFEB84"/>
        <color rgb="FFF8696B"/>
      </colorScale>
    </cfRule>
  </conditionalFormatting>
  <conditionalFormatting sqref="E16">
    <cfRule type="colorScale" priority="12">
      <colorScale>
        <cfvo type="min"/>
        <cfvo type="percentile" val="50"/>
        <cfvo type="max"/>
        <color rgb="FF63BE7B"/>
        <color rgb="FFFFEB84"/>
        <color rgb="FFF8696B"/>
      </colorScale>
    </cfRule>
  </conditionalFormatting>
  <conditionalFormatting sqref="E17">
    <cfRule type="colorScale" priority="11">
      <colorScale>
        <cfvo type="min"/>
        <cfvo type="percentile" val="50"/>
        <cfvo type="max"/>
        <color rgb="FF63BE7B"/>
        <color rgb="FFFFEB84"/>
        <color rgb="FFF8696B"/>
      </colorScale>
    </cfRule>
  </conditionalFormatting>
  <conditionalFormatting sqref="E18">
    <cfRule type="colorScale" priority="10">
      <colorScale>
        <cfvo type="min"/>
        <cfvo type="percentile" val="50"/>
        <cfvo type="max"/>
        <color rgb="FF63BE7B"/>
        <color rgb="FFFFEB84"/>
        <color rgb="FFF8696B"/>
      </colorScale>
    </cfRule>
  </conditionalFormatting>
  <conditionalFormatting sqref="E19">
    <cfRule type="colorScale" priority="9">
      <colorScale>
        <cfvo type="min"/>
        <cfvo type="percentile" val="50"/>
        <cfvo type="max"/>
        <color rgb="FF63BE7B"/>
        <color rgb="FFFFEB84"/>
        <color rgb="FFF8696B"/>
      </colorScale>
    </cfRule>
  </conditionalFormatting>
  <conditionalFormatting sqref="E20">
    <cfRule type="colorScale" priority="8">
      <colorScale>
        <cfvo type="min"/>
        <cfvo type="percentile" val="50"/>
        <cfvo type="max"/>
        <color rgb="FF63BE7B"/>
        <color rgb="FFFFEB84"/>
        <color rgb="FFF8696B"/>
      </colorScale>
    </cfRule>
  </conditionalFormatting>
  <conditionalFormatting sqref="E26">
    <cfRule type="colorScale" priority="7">
      <colorScale>
        <cfvo type="min"/>
        <cfvo type="percentile" val="50"/>
        <cfvo type="max"/>
        <color rgb="FF63BE7B"/>
        <color rgb="FFFFEB84"/>
        <color rgb="FFF8696B"/>
      </colorScale>
    </cfRule>
  </conditionalFormatting>
  <conditionalFormatting sqref="E27">
    <cfRule type="colorScale" priority="6">
      <colorScale>
        <cfvo type="min"/>
        <cfvo type="percentile" val="50"/>
        <cfvo type="max"/>
        <color rgb="FF63BE7B"/>
        <color rgb="FFFFEB84"/>
        <color rgb="FFF8696B"/>
      </colorScale>
    </cfRule>
  </conditionalFormatting>
  <conditionalFormatting sqref="E21">
    <cfRule type="colorScale" priority="5">
      <colorScale>
        <cfvo type="min"/>
        <cfvo type="percentile" val="50"/>
        <cfvo type="max"/>
        <color rgb="FF63BE7B"/>
        <color rgb="FFFFEB84"/>
        <color rgb="FFF8696B"/>
      </colorScale>
    </cfRule>
  </conditionalFormatting>
  <conditionalFormatting sqref="E22">
    <cfRule type="colorScale" priority="4">
      <colorScale>
        <cfvo type="min"/>
        <cfvo type="percentile" val="50"/>
        <cfvo type="max"/>
        <color rgb="FF63BE7B"/>
        <color rgb="FFFFEB84"/>
        <color rgb="FFF8696B"/>
      </colorScale>
    </cfRule>
  </conditionalFormatting>
  <conditionalFormatting sqref="E23">
    <cfRule type="colorScale" priority="3">
      <colorScale>
        <cfvo type="min"/>
        <cfvo type="percentile" val="50"/>
        <cfvo type="max"/>
        <color rgb="FF63BE7B"/>
        <color rgb="FFFFEB84"/>
        <color rgb="FFF8696B"/>
      </colorScale>
    </cfRule>
  </conditionalFormatting>
  <conditionalFormatting sqref="E24">
    <cfRule type="colorScale" priority="2">
      <colorScale>
        <cfvo type="min"/>
        <cfvo type="percentile" val="50"/>
        <cfvo type="max"/>
        <color rgb="FF63BE7B"/>
        <color rgb="FFFFEB84"/>
        <color rgb="FFF8696B"/>
      </colorScale>
    </cfRule>
  </conditionalFormatting>
  <conditionalFormatting sqref="E25">
    <cfRule type="colorScale" priority="1">
      <colorScale>
        <cfvo type="min"/>
        <cfvo type="percentile" val="50"/>
        <cfvo type="max"/>
        <color rgb="FF63BE7B"/>
        <color rgb="FFFFEB84"/>
        <color rgb="FFF8696B"/>
      </colorScale>
    </cfRule>
  </conditionalFormatting>
  <conditionalFormatting sqref="E10">
    <cfRule type="colorScale" priority="18">
      <colorScale>
        <cfvo type="min"/>
        <cfvo type="percentile" val="50"/>
        <cfvo type="max"/>
        <color rgb="FF63BE7B"/>
        <color rgb="FFFFEB84"/>
        <color rgb="FFF8696B"/>
      </colorScale>
    </cfRule>
  </conditionalFormatting>
  <dataValidations count="9">
    <dataValidation type="list" allowBlank="1" showInputMessage="1" showErrorMessage="1" sqref="E21" xr:uid="{00000000-0002-0000-1300-000000000000}">
      <formula1>$V$2:$V$3</formula1>
    </dataValidation>
    <dataValidation type="list" allowBlank="1" showInputMessage="1" showErrorMessage="1" sqref="E22:E23" xr:uid="{00000000-0002-0000-1300-000001000000}">
      <formula1>$V$2:$V$4</formula1>
    </dataValidation>
    <dataValidation type="list" allowBlank="1" showInputMessage="1" showErrorMessage="1" sqref="E25 E16" xr:uid="{00000000-0002-0000-1300-000002000000}">
      <formula1>$P$2:$P$4</formula1>
    </dataValidation>
    <dataValidation type="list" allowBlank="1" showInputMessage="1" showErrorMessage="1" sqref="E15" xr:uid="{00000000-0002-0000-1300-000003000000}">
      <formula1>$N$2:$N$4</formula1>
    </dataValidation>
    <dataValidation type="list" allowBlank="1" showInputMessage="1" showErrorMessage="1" sqref="D4" xr:uid="{00000000-0002-0000-1300-000004000000}">
      <formula1>$J$2:$J$8</formula1>
    </dataValidation>
    <dataValidation type="list" allowBlank="1" showInputMessage="1" showErrorMessage="1" sqref="B4" xr:uid="{00000000-0002-0000-1300-000005000000}">
      <formula1>$H$2:$H$3</formula1>
    </dataValidation>
    <dataValidation type="list" allowBlank="1" showInputMessage="1" showErrorMessage="1" sqref="E19 E24 E17 E26 E10:E13" xr:uid="{00000000-0002-0000-1300-000006000000}">
      <formula1>$R$2:$R$4</formula1>
    </dataValidation>
    <dataValidation type="list" allowBlank="1" showInputMessage="1" showErrorMessage="1" sqref="E18 E14 E20" xr:uid="{00000000-0002-0000-1300-000007000000}">
      <formula1>$L$2:$L$3</formula1>
    </dataValidation>
    <dataValidation type="list" allowBlank="1" showInputMessage="1" showErrorMessage="1" sqref="E27" xr:uid="{00000000-0002-0000-1300-000008000000}">
      <formula1>$T$2:$T$4</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H51"/>
  <sheetViews>
    <sheetView workbookViewId="0">
      <selection activeCell="D58" sqref="D58"/>
    </sheetView>
  </sheetViews>
  <sheetFormatPr defaultRowHeight="15" x14ac:dyDescent="0.25"/>
  <cols>
    <col min="2" max="2" width="17.85546875" customWidth="1"/>
    <col min="3" max="3" width="37.7109375" customWidth="1"/>
    <col min="4" max="4" width="75.28515625" customWidth="1"/>
    <col min="5" max="5" width="17.42578125" customWidth="1"/>
    <col min="6" max="6" width="13.140625" customWidth="1"/>
    <col min="7" max="7" width="9.140625" customWidth="1"/>
    <col min="11" max="11" width="30.28515625" customWidth="1"/>
    <col min="12" max="12" width="71.7109375" customWidth="1"/>
    <col min="13" max="13" width="15.42578125" customWidth="1"/>
  </cols>
  <sheetData>
    <row r="2" spans="3:8" ht="15.75" thickBot="1" x14ac:dyDescent="0.3"/>
    <row r="3" spans="3:8" ht="15.75" x14ac:dyDescent="0.25">
      <c r="C3" s="184" t="s">
        <v>31</v>
      </c>
      <c r="D3" s="191" t="s">
        <v>37</v>
      </c>
      <c r="E3" s="192"/>
    </row>
    <row r="4" spans="3:8" ht="15.75" x14ac:dyDescent="0.25">
      <c r="C4" s="185"/>
      <c r="D4" s="1" t="s">
        <v>2</v>
      </c>
      <c r="E4" s="2" t="s">
        <v>0</v>
      </c>
      <c r="F4">
        <f>IF(E4="N",0,2.5)</f>
        <v>0</v>
      </c>
      <c r="H4" s="190"/>
    </row>
    <row r="5" spans="3:8" ht="15.75" x14ac:dyDescent="0.25">
      <c r="C5" s="185"/>
      <c r="D5" s="3" t="s">
        <v>3</v>
      </c>
      <c r="E5" s="2" t="s">
        <v>1</v>
      </c>
      <c r="F5">
        <f>IF(E5="N",0,2.5)</f>
        <v>2.5</v>
      </c>
      <c r="G5" t="s">
        <v>0</v>
      </c>
      <c r="H5" s="190"/>
    </row>
    <row r="6" spans="3:8" ht="15.75" x14ac:dyDescent="0.25">
      <c r="C6" s="185"/>
      <c r="D6" s="3" t="s">
        <v>4</v>
      </c>
      <c r="E6" s="2" t="s">
        <v>0</v>
      </c>
      <c r="F6">
        <f>IF(E6="N",0,2.5)</f>
        <v>0</v>
      </c>
      <c r="G6" t="s">
        <v>1</v>
      </c>
      <c r="H6" s="190"/>
    </row>
    <row r="7" spans="3:8" ht="16.5" thickBot="1" x14ac:dyDescent="0.3">
      <c r="C7" s="186"/>
      <c r="D7" s="4" t="s">
        <v>5</v>
      </c>
      <c r="E7" s="5" t="s">
        <v>1</v>
      </c>
      <c r="F7">
        <f>IF(E7="N",0,2.5)</f>
        <v>2.5</v>
      </c>
      <c r="H7" s="190"/>
    </row>
    <row r="8" spans="3:8" ht="15.75" x14ac:dyDescent="0.25">
      <c r="C8" s="184" t="s">
        <v>7</v>
      </c>
      <c r="D8" s="14" t="s">
        <v>23</v>
      </c>
      <c r="E8" s="6" t="s">
        <v>1</v>
      </c>
      <c r="F8">
        <f>IF(E8="N",0,3.33)</f>
        <v>3.33</v>
      </c>
    </row>
    <row r="9" spans="3:8" ht="15.75" x14ac:dyDescent="0.25">
      <c r="C9" s="185"/>
      <c r="D9" s="15" t="s">
        <v>24</v>
      </c>
      <c r="E9" s="2" t="s">
        <v>1</v>
      </c>
      <c r="F9">
        <f t="shared" ref="F9:F23" si="0">IF(E9="N",0,3.33)</f>
        <v>3.33</v>
      </c>
    </row>
    <row r="10" spans="3:8" ht="16.5" thickBot="1" x14ac:dyDescent="0.3">
      <c r="C10" s="186"/>
      <c r="D10" s="12" t="s">
        <v>13</v>
      </c>
      <c r="E10" s="5" t="s">
        <v>0</v>
      </c>
      <c r="F10">
        <f t="shared" si="0"/>
        <v>0</v>
      </c>
    </row>
    <row r="11" spans="3:8" ht="15.75" x14ac:dyDescent="0.25">
      <c r="C11" s="193" t="s">
        <v>9</v>
      </c>
      <c r="D11" s="18" t="s">
        <v>33</v>
      </c>
      <c r="E11" s="6" t="s">
        <v>0</v>
      </c>
      <c r="F11">
        <f>IF(E11="N",2.5,0)</f>
        <v>2.5</v>
      </c>
    </row>
    <row r="12" spans="3:8" ht="15.75" x14ac:dyDescent="0.25">
      <c r="C12" s="194"/>
      <c r="D12" s="19" t="s">
        <v>34</v>
      </c>
      <c r="E12" s="2" t="s">
        <v>0</v>
      </c>
      <c r="F12">
        <f>IF(E12="Y",0,2.5)</f>
        <v>2.5</v>
      </c>
    </row>
    <row r="13" spans="3:8" ht="15.75" x14ac:dyDescent="0.25">
      <c r="C13" s="194"/>
      <c r="D13" s="19" t="s">
        <v>35</v>
      </c>
      <c r="E13" s="2" t="s">
        <v>1</v>
      </c>
      <c r="F13">
        <f>IF(E13="N",0,2.5)</f>
        <v>2.5</v>
      </c>
    </row>
    <row r="14" spans="3:8" ht="16.5" thickBot="1" x14ac:dyDescent="0.3">
      <c r="C14" s="195"/>
      <c r="D14" s="20" t="s">
        <v>36</v>
      </c>
      <c r="E14" s="2" t="s">
        <v>0</v>
      </c>
      <c r="F14">
        <f>IF(E14="N",2.5,0)</f>
        <v>2.5</v>
      </c>
    </row>
    <row r="15" spans="3:8" ht="15.75" x14ac:dyDescent="0.25">
      <c r="C15" s="196" t="s">
        <v>32</v>
      </c>
      <c r="D15" s="10" t="s">
        <v>10</v>
      </c>
      <c r="E15" s="6" t="s">
        <v>0</v>
      </c>
      <c r="F15">
        <f>IF(E15="N",0,3.33)</f>
        <v>0</v>
      </c>
    </row>
    <row r="16" spans="3:8" ht="15.75" x14ac:dyDescent="0.25">
      <c r="C16" s="197"/>
      <c r="D16" s="11" t="s">
        <v>18</v>
      </c>
      <c r="E16" s="2" t="s">
        <v>1</v>
      </c>
      <c r="F16">
        <f t="shared" si="0"/>
        <v>3.33</v>
      </c>
    </row>
    <row r="17" spans="3:6" ht="16.5" thickBot="1" x14ac:dyDescent="0.3">
      <c r="C17" s="198"/>
      <c r="D17" s="12"/>
      <c r="E17" s="5" t="s">
        <v>1</v>
      </c>
      <c r="F17">
        <f t="shared" si="0"/>
        <v>3.33</v>
      </c>
    </row>
    <row r="18" spans="3:6" ht="15.75" x14ac:dyDescent="0.25">
      <c r="C18" s="184" t="s">
        <v>27</v>
      </c>
      <c r="D18" s="13" t="s">
        <v>19</v>
      </c>
      <c r="E18" s="6" t="s">
        <v>0</v>
      </c>
      <c r="F18">
        <f>IF(E18="N",0,3.33)</f>
        <v>0</v>
      </c>
    </row>
    <row r="19" spans="3:6" ht="15.75" x14ac:dyDescent="0.25">
      <c r="C19" s="185"/>
      <c r="D19" s="11" t="s">
        <v>17</v>
      </c>
      <c r="E19" s="2" t="s">
        <v>0</v>
      </c>
      <c r="F19">
        <f t="shared" si="0"/>
        <v>0</v>
      </c>
    </row>
    <row r="20" spans="3:6" ht="16.5" thickBot="1" x14ac:dyDescent="0.3">
      <c r="C20" s="186"/>
      <c r="D20" s="12"/>
      <c r="E20" s="5" t="s">
        <v>1</v>
      </c>
      <c r="F20">
        <f t="shared" si="0"/>
        <v>3.33</v>
      </c>
    </row>
    <row r="21" spans="3:6" ht="15.75" x14ac:dyDescent="0.25">
      <c r="C21" s="184" t="s">
        <v>29</v>
      </c>
      <c r="D21" s="13" t="s">
        <v>14</v>
      </c>
      <c r="E21" s="6" t="s">
        <v>1</v>
      </c>
      <c r="F21">
        <f>IF(E21="N",0,3.33)</f>
        <v>3.33</v>
      </c>
    </row>
    <row r="22" spans="3:6" ht="15.75" x14ac:dyDescent="0.25">
      <c r="C22" s="185"/>
      <c r="D22" s="11" t="s">
        <v>15</v>
      </c>
      <c r="E22" s="2" t="s">
        <v>1</v>
      </c>
      <c r="F22">
        <f t="shared" si="0"/>
        <v>3.33</v>
      </c>
    </row>
    <row r="23" spans="3:6" ht="16.5" thickBot="1" x14ac:dyDescent="0.3">
      <c r="C23" s="186"/>
      <c r="D23" s="12" t="s">
        <v>16</v>
      </c>
      <c r="E23" s="5" t="s">
        <v>1</v>
      </c>
      <c r="F23">
        <f t="shared" si="0"/>
        <v>3.33</v>
      </c>
    </row>
    <row r="24" spans="3:6" x14ac:dyDescent="0.25">
      <c r="D24" s="16"/>
    </row>
    <row r="45" spans="3:4" ht="15.75" thickBot="1" x14ac:dyDescent="0.3"/>
    <row r="46" spans="3:4" ht="16.5" thickBot="1" x14ac:dyDescent="0.3">
      <c r="C46" s="7" t="s">
        <v>30</v>
      </c>
      <c r="D46" s="17">
        <f>SUM(F4:F7)*10</f>
        <v>50</v>
      </c>
    </row>
    <row r="47" spans="3:4" ht="16.5" thickBot="1" x14ac:dyDescent="0.3">
      <c r="C47" s="7" t="s">
        <v>7</v>
      </c>
      <c r="D47" s="17">
        <f>SUM(F8:F10)*10</f>
        <v>66.599999999999994</v>
      </c>
    </row>
    <row r="48" spans="3:4" ht="16.5" thickBot="1" x14ac:dyDescent="0.3">
      <c r="C48" s="7" t="s">
        <v>9</v>
      </c>
      <c r="D48" s="17">
        <f>SUM(F11:F14)*10</f>
        <v>100</v>
      </c>
    </row>
    <row r="49" spans="3:4" ht="16.5" thickBot="1" x14ac:dyDescent="0.3">
      <c r="C49" s="8" t="s">
        <v>12</v>
      </c>
      <c r="D49" s="17">
        <f>SUM(F15:F17)*10</f>
        <v>66.599999999999994</v>
      </c>
    </row>
    <row r="50" spans="3:4" ht="16.5" thickBot="1" x14ac:dyDescent="0.3">
      <c r="C50" s="7" t="s">
        <v>11</v>
      </c>
      <c r="D50" s="17">
        <f>SUM(F18:F20)*10</f>
        <v>33.299999999999997</v>
      </c>
    </row>
    <row r="51" spans="3:4" ht="16.5" thickBot="1" x14ac:dyDescent="0.3">
      <c r="C51" s="9" t="s">
        <v>29</v>
      </c>
      <c r="D51" s="17">
        <f>SUM(F19:F21)*10</f>
        <v>66.599999999999994</v>
      </c>
    </row>
  </sheetData>
  <scenarios current="0" show="0">
    <scenario name="high impact" locked="1" count="1" user="Henderson, Bonnie" comment="Created by Henderson, Bonnie on 5/01/2018">
      <inputCells r="I5" val="0, 2.5"/>
    </scenario>
  </scenarios>
  <mergeCells count="8">
    <mergeCell ref="H4:H7"/>
    <mergeCell ref="C21:C23"/>
    <mergeCell ref="C11:C14"/>
    <mergeCell ref="C3:C7"/>
    <mergeCell ref="D3:E3"/>
    <mergeCell ref="C8:C10"/>
    <mergeCell ref="C15:C17"/>
    <mergeCell ref="C18:C20"/>
  </mergeCells>
  <conditionalFormatting sqref="E4">
    <cfRule type="colorScale" priority="3">
      <colorScale>
        <cfvo type="min"/>
        <cfvo type="percentile" val="50"/>
        <cfvo type="max"/>
        <color rgb="FF63BE7B"/>
        <color rgb="FFFFEB84"/>
        <color rgb="FFF8696B"/>
      </colorScale>
    </cfRule>
  </conditionalFormatting>
  <conditionalFormatting sqref="D46:D51">
    <cfRule type="colorScale" priority="2">
      <colorScale>
        <cfvo type="num" val="0"/>
        <cfvo type="num" val="50"/>
        <cfvo type="num" val="75"/>
        <color rgb="FFF8696B"/>
        <color rgb="FFFFEB84"/>
        <color rgb="FF63BE7B"/>
      </colorScale>
    </cfRule>
  </conditionalFormatting>
  <conditionalFormatting sqref="D46:D51 D31">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E4:E23" xr:uid="{00000000-0002-0000-0200-000000000000}">
      <formula1>$G$5:$G$6</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1:F18"/>
  <sheetViews>
    <sheetView workbookViewId="0">
      <selection activeCell="K3" sqref="K3"/>
    </sheetView>
  </sheetViews>
  <sheetFormatPr defaultRowHeight="15" x14ac:dyDescent="0.25"/>
  <cols>
    <col min="4" max="4" width="45.85546875" customWidth="1"/>
    <col min="5" max="5" width="71.7109375" customWidth="1"/>
    <col min="6" max="6" width="9.85546875" customWidth="1"/>
  </cols>
  <sheetData>
    <row r="1" spans="4:6" ht="15.75" thickBot="1" x14ac:dyDescent="0.3"/>
    <row r="2" spans="4:6" ht="15.75" x14ac:dyDescent="0.25">
      <c r="D2" s="184" t="s">
        <v>8</v>
      </c>
      <c r="E2" s="191" t="s">
        <v>6</v>
      </c>
      <c r="F2" s="192"/>
    </row>
    <row r="3" spans="4:6" ht="15.75" x14ac:dyDescent="0.25">
      <c r="D3" s="185"/>
      <c r="E3" s="1" t="s">
        <v>2</v>
      </c>
      <c r="F3" s="2" t="s">
        <v>0</v>
      </c>
    </row>
    <row r="4" spans="4:6" ht="15.75" x14ac:dyDescent="0.25">
      <c r="D4" s="185"/>
      <c r="E4" s="3" t="s">
        <v>3</v>
      </c>
      <c r="F4" s="2" t="s">
        <v>1</v>
      </c>
    </row>
    <row r="5" spans="4:6" ht="15.75" x14ac:dyDescent="0.25">
      <c r="D5" s="185"/>
      <c r="E5" s="3" t="s">
        <v>4</v>
      </c>
      <c r="F5" s="2" t="s">
        <v>0</v>
      </c>
    </row>
    <row r="6" spans="4:6" ht="16.5" thickBot="1" x14ac:dyDescent="0.3">
      <c r="D6" s="186"/>
      <c r="E6" s="4" t="s">
        <v>5</v>
      </c>
      <c r="F6" s="5" t="s">
        <v>1</v>
      </c>
    </row>
    <row r="7" spans="4:6" x14ac:dyDescent="0.25">
      <c r="D7" s="201" t="s">
        <v>29</v>
      </c>
    </row>
    <row r="8" spans="4:6" x14ac:dyDescent="0.25">
      <c r="D8" s="199"/>
    </row>
    <row r="9" spans="4:6" ht="15.75" thickBot="1" x14ac:dyDescent="0.3">
      <c r="D9" s="200"/>
    </row>
    <row r="10" spans="4:6" x14ac:dyDescent="0.25">
      <c r="D10" s="201" t="s">
        <v>25</v>
      </c>
    </row>
    <row r="11" spans="4:6" x14ac:dyDescent="0.25">
      <c r="D11" s="199"/>
    </row>
    <row r="12" spans="4:6" ht="15.75" thickBot="1" x14ac:dyDescent="0.3">
      <c r="D12" s="200"/>
    </row>
    <row r="13" spans="4:6" x14ac:dyDescent="0.25">
      <c r="D13" s="201" t="s">
        <v>26</v>
      </c>
    </row>
    <row r="14" spans="4:6" x14ac:dyDescent="0.25">
      <c r="D14" s="199"/>
    </row>
    <row r="15" spans="4:6" ht="15.75" thickBot="1" x14ac:dyDescent="0.3">
      <c r="D15" s="200"/>
    </row>
    <row r="16" spans="4:6" x14ac:dyDescent="0.25">
      <c r="D16" s="199" t="s">
        <v>28</v>
      </c>
    </row>
    <row r="17" spans="4:4" x14ac:dyDescent="0.25">
      <c r="D17" s="199"/>
    </row>
    <row r="18" spans="4:4" ht="15.75" thickBot="1" x14ac:dyDescent="0.3">
      <c r="D18" s="200"/>
    </row>
  </sheetData>
  <mergeCells count="6">
    <mergeCell ref="D16:D18"/>
    <mergeCell ref="D2:D6"/>
    <mergeCell ref="E2:F2"/>
    <mergeCell ref="D7:D9"/>
    <mergeCell ref="D10:D12"/>
    <mergeCell ref="D13:D15"/>
  </mergeCells>
  <conditionalFormatting sqref="F3">
    <cfRule type="colorScale" priority="1">
      <colorScale>
        <cfvo type="min"/>
        <cfvo type="percentile" val="50"/>
        <cfvo type="max"/>
        <color rgb="FF63BE7B"/>
        <color rgb="FFFFEB84"/>
        <color rgb="FFF8696B"/>
      </colorScale>
    </cfRule>
  </conditionalFormatting>
  <dataValidations count="1">
    <dataValidation type="list" allowBlank="1" showInputMessage="1" showErrorMessage="1" sqref="F3:F6" xr:uid="{00000000-0002-0000-0300-000000000000}">
      <formula1>$G$5:$G$6</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26"/>
  <sheetViews>
    <sheetView workbookViewId="0">
      <selection activeCell="E19" sqref="E19"/>
    </sheetView>
  </sheetViews>
  <sheetFormatPr defaultRowHeight="15" x14ac:dyDescent="0.25"/>
  <cols>
    <col min="2" max="4" width="76" customWidth="1"/>
  </cols>
  <sheetData>
    <row r="1" spans="2:9" x14ac:dyDescent="0.25">
      <c r="B1" t="s">
        <v>95</v>
      </c>
      <c r="I1" t="s">
        <v>84</v>
      </c>
    </row>
    <row r="2" spans="2:9" x14ac:dyDescent="0.25">
      <c r="B2" s="43" t="s">
        <v>80</v>
      </c>
      <c r="C2" s="43" t="s">
        <v>81</v>
      </c>
      <c r="I2" t="s">
        <v>85</v>
      </c>
    </row>
    <row r="3" spans="2:9" x14ac:dyDescent="0.25">
      <c r="B3" t="s">
        <v>83</v>
      </c>
      <c r="C3" t="s">
        <v>82</v>
      </c>
    </row>
    <row r="4" spans="2:9" ht="15.75" thickBot="1" x14ac:dyDescent="0.3"/>
    <row r="5" spans="2:9" ht="15.75" x14ac:dyDescent="0.25">
      <c r="B5" s="184" t="s">
        <v>76</v>
      </c>
      <c r="C5" s="191" t="s">
        <v>53</v>
      </c>
      <c r="D5" s="192"/>
    </row>
    <row r="6" spans="2:9" ht="15.75" x14ac:dyDescent="0.25">
      <c r="B6" s="185"/>
      <c r="C6" s="27" t="s">
        <v>78</v>
      </c>
      <c r="D6" s="187" t="s">
        <v>1</v>
      </c>
      <c r="E6" t="s">
        <v>58</v>
      </c>
      <c r="I6" t="s">
        <v>1</v>
      </c>
    </row>
    <row r="7" spans="2:9" ht="15.75" x14ac:dyDescent="0.25">
      <c r="B7" s="185"/>
      <c r="C7" s="27" t="s">
        <v>79</v>
      </c>
      <c r="D7" s="188"/>
      <c r="E7" t="s">
        <v>59</v>
      </c>
      <c r="I7" t="s">
        <v>0</v>
      </c>
    </row>
    <row r="8" spans="2:9" ht="31.5" x14ac:dyDescent="0.25">
      <c r="B8" s="185"/>
      <c r="C8" s="28" t="s">
        <v>74</v>
      </c>
      <c r="D8" s="188"/>
      <c r="E8" t="s">
        <v>59</v>
      </c>
    </row>
    <row r="9" spans="2:9" ht="16.5" thickBot="1" x14ac:dyDescent="0.3">
      <c r="B9" s="186"/>
      <c r="C9" s="29" t="s">
        <v>60</v>
      </c>
      <c r="D9" s="189"/>
      <c r="E9" t="s">
        <v>59</v>
      </c>
      <c r="I9" t="s">
        <v>86</v>
      </c>
    </row>
    <row r="10" spans="2:9" ht="15.75" x14ac:dyDescent="0.25">
      <c r="B10" s="193" t="s">
        <v>44</v>
      </c>
      <c r="C10" s="42" t="s">
        <v>63</v>
      </c>
      <c r="D10" s="6" t="s">
        <v>1</v>
      </c>
      <c r="E10" t="s">
        <v>59</v>
      </c>
      <c r="I10" t="s">
        <v>87</v>
      </c>
    </row>
    <row r="11" spans="2:9" ht="31.5" x14ac:dyDescent="0.25">
      <c r="B11" s="194"/>
      <c r="C11" s="32" t="s">
        <v>62</v>
      </c>
      <c r="D11" s="2"/>
      <c r="E11" t="s">
        <v>64</v>
      </c>
      <c r="I11" t="s">
        <v>88</v>
      </c>
    </row>
    <row r="12" spans="2:9" ht="16.5" thickBot="1" x14ac:dyDescent="0.3">
      <c r="B12" s="195"/>
      <c r="C12" s="33" t="s">
        <v>61</v>
      </c>
      <c r="D12" s="5" t="s">
        <v>0</v>
      </c>
      <c r="E12" t="s">
        <v>64</v>
      </c>
    </row>
    <row r="13" spans="2:9" ht="15.75" x14ac:dyDescent="0.25">
      <c r="B13" s="193" t="s">
        <v>9</v>
      </c>
      <c r="C13" s="32" t="s">
        <v>66</v>
      </c>
      <c r="D13" s="2" t="s">
        <v>0</v>
      </c>
      <c r="E13" t="s">
        <v>65</v>
      </c>
      <c r="I13" t="s">
        <v>89</v>
      </c>
    </row>
    <row r="14" spans="2:9" ht="31.5" x14ac:dyDescent="0.25">
      <c r="B14" s="194"/>
      <c r="C14" s="32" t="s">
        <v>67</v>
      </c>
      <c r="D14" s="2" t="s">
        <v>1</v>
      </c>
      <c r="E14" t="s">
        <v>59</v>
      </c>
      <c r="I14" t="s">
        <v>90</v>
      </c>
    </row>
    <row r="15" spans="2:9" ht="32.25" thickBot="1" x14ac:dyDescent="0.3">
      <c r="B15" s="195"/>
      <c r="C15" s="33" t="s">
        <v>39</v>
      </c>
      <c r="D15" s="2" t="s">
        <v>0</v>
      </c>
      <c r="E15" t="s">
        <v>59</v>
      </c>
      <c r="I15" t="s">
        <v>91</v>
      </c>
    </row>
    <row r="16" spans="2:9" ht="47.25" x14ac:dyDescent="0.25">
      <c r="B16" s="196" t="s">
        <v>32</v>
      </c>
      <c r="C16" s="10" t="s">
        <v>70</v>
      </c>
      <c r="D16" s="6" t="s">
        <v>0</v>
      </c>
      <c r="E16" t="s">
        <v>58</v>
      </c>
    </row>
    <row r="17" spans="2:9" ht="31.5" x14ac:dyDescent="0.25">
      <c r="B17" s="197"/>
      <c r="C17" s="34" t="s">
        <v>71</v>
      </c>
      <c r="D17" s="2" t="s">
        <v>0</v>
      </c>
      <c r="E17" t="s">
        <v>68</v>
      </c>
      <c r="I17" t="s">
        <v>92</v>
      </c>
    </row>
    <row r="18" spans="2:9" ht="31.5" x14ac:dyDescent="0.25">
      <c r="B18" s="197"/>
      <c r="C18" s="41" t="s">
        <v>77</v>
      </c>
      <c r="D18" s="2"/>
      <c r="E18" t="s">
        <v>59</v>
      </c>
      <c r="I18" t="s">
        <v>93</v>
      </c>
    </row>
    <row r="19" spans="2:9" ht="32.25" thickBot="1" x14ac:dyDescent="0.3">
      <c r="B19" s="197"/>
      <c r="C19" s="15" t="s">
        <v>69</v>
      </c>
      <c r="D19" s="2" t="s">
        <v>1</v>
      </c>
      <c r="I19" t="s">
        <v>94</v>
      </c>
    </row>
    <row r="20" spans="2:9" ht="15.75" x14ac:dyDescent="0.25">
      <c r="B20" s="184" t="s">
        <v>27</v>
      </c>
      <c r="C20" s="25"/>
      <c r="D20" s="6" t="s">
        <v>0</v>
      </c>
    </row>
    <row r="21" spans="2:9" ht="15.75" x14ac:dyDescent="0.25">
      <c r="B21" s="185"/>
      <c r="C21" s="21"/>
      <c r="D21" s="2" t="s">
        <v>0</v>
      </c>
    </row>
    <row r="22" spans="2:9" ht="15.75" x14ac:dyDescent="0.25">
      <c r="B22" s="185"/>
      <c r="C22" s="21"/>
      <c r="D22" s="2"/>
    </row>
    <row r="23" spans="2:9" ht="16.5" thickBot="1" x14ac:dyDescent="0.3">
      <c r="B23" s="186"/>
      <c r="C23" s="30"/>
      <c r="D23" s="5" t="s">
        <v>1</v>
      </c>
    </row>
    <row r="24" spans="2:9" ht="31.5" x14ac:dyDescent="0.25">
      <c r="B24" s="184" t="s">
        <v>75</v>
      </c>
      <c r="C24" s="10" t="s">
        <v>72</v>
      </c>
      <c r="D24" s="6" t="s">
        <v>1</v>
      </c>
      <c r="E24" t="s">
        <v>58</v>
      </c>
    </row>
    <row r="25" spans="2:9" ht="31.5" x14ac:dyDescent="0.25">
      <c r="B25" s="185"/>
      <c r="C25" s="15" t="s">
        <v>73</v>
      </c>
      <c r="D25" s="2" t="s">
        <v>1</v>
      </c>
      <c r="E25" t="s">
        <v>58</v>
      </c>
    </row>
    <row r="26" spans="2:9" ht="16.5" thickBot="1" x14ac:dyDescent="0.3">
      <c r="B26" s="186"/>
      <c r="C26" s="30"/>
      <c r="D26" s="5" t="s">
        <v>1</v>
      </c>
    </row>
  </sheetData>
  <mergeCells count="8">
    <mergeCell ref="B20:B23"/>
    <mergeCell ref="B24:B26"/>
    <mergeCell ref="B5:B9"/>
    <mergeCell ref="C5:D5"/>
    <mergeCell ref="D6:D9"/>
    <mergeCell ref="B10:B12"/>
    <mergeCell ref="B13:B15"/>
    <mergeCell ref="B16:B19"/>
  </mergeCells>
  <conditionalFormatting sqref="D6:D7">
    <cfRule type="colorScale" priority="1">
      <colorScale>
        <cfvo type="min"/>
        <cfvo type="percentile" val="50"/>
        <cfvo type="max"/>
        <color rgb="FF63BE7B"/>
        <color rgb="FFFFEB84"/>
        <color rgb="FFF8696B"/>
      </colorScale>
    </cfRule>
  </conditionalFormatting>
  <dataValidations count="1">
    <dataValidation type="list" allowBlank="1" showInputMessage="1" showErrorMessage="1" sqref="D6:D7 D10:D26" xr:uid="{00000000-0002-0000-0400-000000000000}">
      <formula1>$H$9:$H$10</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33"/>
  <sheetViews>
    <sheetView topLeftCell="A10" workbookViewId="0">
      <selection activeCell="D17" sqref="D17"/>
    </sheetView>
  </sheetViews>
  <sheetFormatPr defaultRowHeight="15" x14ac:dyDescent="0.25"/>
  <cols>
    <col min="2" max="2" width="66.7109375" customWidth="1"/>
    <col min="3" max="3" width="24.7109375" customWidth="1"/>
    <col min="4" max="4" width="80.85546875" customWidth="1"/>
    <col min="5" max="5" width="15" customWidth="1"/>
    <col min="8" max="8" width="9.85546875" customWidth="1"/>
  </cols>
  <sheetData>
    <row r="1" spans="2:17" x14ac:dyDescent="0.25">
      <c r="B1" t="s">
        <v>96</v>
      </c>
      <c r="J1" t="s">
        <v>84</v>
      </c>
    </row>
    <row r="2" spans="2:17" x14ac:dyDescent="0.25">
      <c r="B2" s="43" t="s">
        <v>80</v>
      </c>
      <c r="C2" s="43"/>
      <c r="D2" s="43" t="s">
        <v>81</v>
      </c>
      <c r="J2" t="s">
        <v>85</v>
      </c>
    </row>
    <row r="3" spans="2:17" x14ac:dyDescent="0.25">
      <c r="B3" t="s">
        <v>161</v>
      </c>
      <c r="D3" t="s">
        <v>103</v>
      </c>
    </row>
    <row r="10" spans="2:17" x14ac:dyDescent="0.25">
      <c r="N10" s="55" t="s">
        <v>108</v>
      </c>
      <c r="O10" s="55" t="s">
        <v>160</v>
      </c>
      <c r="P10" s="55"/>
      <c r="Q10" s="55" t="s">
        <v>99</v>
      </c>
    </row>
    <row r="11" spans="2:17" x14ac:dyDescent="0.25">
      <c r="N11" s="55"/>
      <c r="O11" s="55" t="s">
        <v>161</v>
      </c>
      <c r="P11" s="55"/>
      <c r="Q11" s="55" t="s">
        <v>101</v>
      </c>
    </row>
    <row r="12" spans="2:17" x14ac:dyDescent="0.25">
      <c r="N12" s="55"/>
      <c r="O12" s="55" t="s">
        <v>100</v>
      </c>
      <c r="P12" s="55"/>
      <c r="Q12" s="55" t="s">
        <v>102</v>
      </c>
    </row>
    <row r="13" spans="2:17" ht="15.75" thickBot="1" x14ac:dyDescent="0.3">
      <c r="N13" s="55"/>
      <c r="O13" s="55" t="s">
        <v>100</v>
      </c>
      <c r="P13" s="55"/>
      <c r="Q13" s="55" t="s">
        <v>103</v>
      </c>
    </row>
    <row r="14" spans="2:17" ht="16.5" thickBot="1" x14ac:dyDescent="0.3">
      <c r="B14" s="184" t="s">
        <v>76</v>
      </c>
      <c r="C14" s="40"/>
      <c r="D14" s="205" t="s">
        <v>53</v>
      </c>
      <c r="E14" s="206"/>
      <c r="N14" s="54"/>
      <c r="O14" s="55" t="s">
        <v>100</v>
      </c>
      <c r="P14" s="55"/>
      <c r="Q14" s="55" t="s">
        <v>105</v>
      </c>
    </row>
    <row r="15" spans="2:17" ht="31.5" x14ac:dyDescent="0.25">
      <c r="B15" s="185"/>
      <c r="C15" s="197" t="s">
        <v>113</v>
      </c>
      <c r="D15" s="56" t="s">
        <v>158</v>
      </c>
      <c r="E15" s="61"/>
      <c r="F15">
        <f>IF(E15="No",1,IF(E15="Maybe",2,3))</f>
        <v>3</v>
      </c>
      <c r="G15" t="s">
        <v>132</v>
      </c>
      <c r="J15" t="s">
        <v>1</v>
      </c>
      <c r="N15" s="54"/>
      <c r="O15" s="55"/>
      <c r="P15" s="55"/>
      <c r="Q15" s="55" t="s">
        <v>124</v>
      </c>
    </row>
    <row r="16" spans="2:17" ht="32.25" thickBot="1" x14ac:dyDescent="0.3">
      <c r="B16" s="185"/>
      <c r="C16" s="197"/>
      <c r="D16" s="58" t="s">
        <v>166</v>
      </c>
      <c r="E16" s="62"/>
      <c r="F16">
        <f>IF(E16="No",1,IF(E16="Maybe",2,3))</f>
        <v>3</v>
      </c>
      <c r="G16" t="s">
        <v>131</v>
      </c>
      <c r="N16" s="54"/>
      <c r="O16" s="55"/>
      <c r="P16" s="55"/>
      <c r="Q16" s="55" t="s">
        <v>125</v>
      </c>
    </row>
    <row r="17" spans="2:17" x14ac:dyDescent="0.25">
      <c r="B17" s="193" t="s">
        <v>44</v>
      </c>
      <c r="C17" s="202" t="s">
        <v>113</v>
      </c>
      <c r="D17" s="64" t="s">
        <v>106</v>
      </c>
      <c r="E17" s="65"/>
      <c r="F17">
        <f>IF(E17="No",1,IF(E17="Maybe",2,3))</f>
        <v>3</v>
      </c>
      <c r="J17" t="s">
        <v>87</v>
      </c>
      <c r="N17" s="54"/>
      <c r="O17" s="55"/>
      <c r="P17" s="55"/>
      <c r="Q17" s="55"/>
    </row>
    <row r="18" spans="2:17" x14ac:dyDescent="0.25">
      <c r="B18" s="194"/>
      <c r="C18" s="203"/>
      <c r="D18" s="66" t="s">
        <v>107</v>
      </c>
      <c r="E18" s="67"/>
      <c r="F18">
        <f>IF(E18="No",1,IF(E18="Maybe",2,3))</f>
        <v>3</v>
      </c>
      <c r="G18" t="s">
        <v>133</v>
      </c>
      <c r="J18" t="s">
        <v>88</v>
      </c>
      <c r="N18" s="54"/>
      <c r="O18" s="55"/>
      <c r="P18" s="55"/>
      <c r="Q18" s="55"/>
    </row>
    <row r="19" spans="2:17" ht="15.75" thickBot="1" x14ac:dyDescent="0.3">
      <c r="B19" s="195"/>
      <c r="C19" s="204"/>
      <c r="D19" s="68" t="s">
        <v>109</v>
      </c>
      <c r="E19" s="69"/>
      <c r="F19">
        <f>IF(E19="No",1,IF(E19="Maybe",2,3))</f>
        <v>3</v>
      </c>
      <c r="G19" t="s">
        <v>133</v>
      </c>
    </row>
    <row r="20" spans="2:17" ht="31.5" x14ac:dyDescent="0.25">
      <c r="B20" s="193" t="s">
        <v>9</v>
      </c>
      <c r="C20" s="196" t="s">
        <v>110</v>
      </c>
      <c r="D20" s="31" t="s">
        <v>128</v>
      </c>
      <c r="E20" s="65"/>
      <c r="F20">
        <f>IF(E20="High",1,IF(E20="Moderate",2,3))</f>
        <v>3</v>
      </c>
      <c r="G20" t="s">
        <v>134</v>
      </c>
      <c r="J20" t="s">
        <v>89</v>
      </c>
    </row>
    <row r="21" spans="2:17" ht="31.5" x14ac:dyDescent="0.25">
      <c r="B21" s="194"/>
      <c r="C21" s="197"/>
      <c r="D21" s="32" t="s">
        <v>111</v>
      </c>
      <c r="E21" s="62"/>
      <c r="F21">
        <f>IF(E21="No",1,IF(E21="Maybe",2,3))</f>
        <v>3</v>
      </c>
      <c r="J21" t="s">
        <v>129</v>
      </c>
    </row>
    <row r="22" spans="2:17" ht="32.25" thickBot="1" x14ac:dyDescent="0.3">
      <c r="B22" s="195"/>
      <c r="C22" s="198"/>
      <c r="D22" s="33" t="s">
        <v>112</v>
      </c>
      <c r="E22" s="63"/>
      <c r="F22">
        <f>IF(E22="No",1,IF(E22="Maybe",2,3))</f>
        <v>3</v>
      </c>
      <c r="J22" t="s">
        <v>91</v>
      </c>
    </row>
    <row r="23" spans="2:17" ht="47.25" x14ac:dyDescent="0.25">
      <c r="B23" s="196" t="s">
        <v>32</v>
      </c>
      <c r="C23" s="196" t="s">
        <v>110</v>
      </c>
      <c r="D23" s="31" t="s">
        <v>159</v>
      </c>
      <c r="E23" s="65"/>
      <c r="G23" t="s">
        <v>133</v>
      </c>
    </row>
    <row r="24" spans="2:17" ht="15.75" x14ac:dyDescent="0.25">
      <c r="B24" s="197"/>
      <c r="C24" s="197"/>
      <c r="D24" s="34" t="s">
        <v>116</v>
      </c>
      <c r="E24" s="62"/>
      <c r="G24" t="s">
        <v>136</v>
      </c>
      <c r="J24" t="s">
        <v>93</v>
      </c>
    </row>
    <row r="25" spans="2:17" ht="32.25" thickBot="1" x14ac:dyDescent="0.3">
      <c r="B25" s="197"/>
      <c r="C25" s="198"/>
      <c r="D25" s="33" t="s">
        <v>117</v>
      </c>
      <c r="E25" s="69"/>
      <c r="G25" t="s">
        <v>133</v>
      </c>
      <c r="J25" t="s">
        <v>94</v>
      </c>
    </row>
    <row r="26" spans="2:17" ht="15.75" customHeight="1" x14ac:dyDescent="0.25">
      <c r="B26" s="184" t="s">
        <v>27</v>
      </c>
      <c r="C26" s="59" t="s">
        <v>120</v>
      </c>
      <c r="D26" s="32" t="s">
        <v>137</v>
      </c>
      <c r="E26" s="62"/>
      <c r="F26">
        <f t="shared" ref="F26:F32" si="0">IF(E26="No",1,IF(E26="Maybe",2,3))</f>
        <v>3</v>
      </c>
      <c r="G26" t="s">
        <v>136</v>
      </c>
    </row>
    <row r="27" spans="2:17" ht="31.5" x14ac:dyDescent="0.25">
      <c r="B27" s="185"/>
      <c r="C27" s="60" t="s">
        <v>110</v>
      </c>
      <c r="D27" s="32" t="s">
        <v>121</v>
      </c>
      <c r="E27" s="62"/>
      <c r="F27">
        <f t="shared" si="0"/>
        <v>3</v>
      </c>
      <c r="G27" t="s">
        <v>136</v>
      </c>
    </row>
    <row r="28" spans="2:17" ht="31.5" x14ac:dyDescent="0.25">
      <c r="B28" s="185"/>
      <c r="C28" s="60" t="s">
        <v>110</v>
      </c>
      <c r="D28" s="32" t="s">
        <v>122</v>
      </c>
      <c r="E28" s="62"/>
      <c r="F28">
        <f t="shared" si="0"/>
        <v>3</v>
      </c>
      <c r="G28" t="s">
        <v>136</v>
      </c>
    </row>
    <row r="29" spans="2:17" ht="31.5" x14ac:dyDescent="0.25">
      <c r="B29" s="185"/>
      <c r="C29" s="60" t="s">
        <v>110</v>
      </c>
      <c r="D29" s="32" t="s">
        <v>123</v>
      </c>
      <c r="E29" s="62"/>
      <c r="F29">
        <f t="shared" si="0"/>
        <v>3</v>
      </c>
      <c r="G29" t="s">
        <v>136</v>
      </c>
    </row>
    <row r="30" spans="2:17" ht="32.25" thickBot="1" x14ac:dyDescent="0.3">
      <c r="B30" s="186"/>
      <c r="C30" s="60" t="s">
        <v>110</v>
      </c>
      <c r="D30" s="33" t="s">
        <v>130</v>
      </c>
      <c r="E30" s="62"/>
      <c r="F30">
        <f t="shared" si="0"/>
        <v>3</v>
      </c>
      <c r="G30" t="s">
        <v>136</v>
      </c>
    </row>
    <row r="31" spans="2:17" ht="31.5" x14ac:dyDescent="0.25">
      <c r="B31" s="184" t="s">
        <v>75</v>
      </c>
      <c r="C31" s="196" t="s">
        <v>110</v>
      </c>
      <c r="D31" s="31" t="s">
        <v>118</v>
      </c>
      <c r="E31" s="65"/>
      <c r="F31">
        <f t="shared" si="0"/>
        <v>3</v>
      </c>
      <c r="G31" t="s">
        <v>133</v>
      </c>
    </row>
    <row r="32" spans="2:17" ht="16.5" thickBot="1" x14ac:dyDescent="0.3">
      <c r="B32" s="186"/>
      <c r="C32" s="198"/>
      <c r="D32" s="33" t="s">
        <v>119</v>
      </c>
      <c r="E32" s="69"/>
      <c r="F32">
        <f t="shared" si="0"/>
        <v>3</v>
      </c>
      <c r="G32" t="s">
        <v>133</v>
      </c>
    </row>
    <row r="33" ht="15" customHeight="1" x14ac:dyDescent="0.25"/>
  </sheetData>
  <mergeCells count="12">
    <mergeCell ref="D14:E14"/>
    <mergeCell ref="B17:B19"/>
    <mergeCell ref="B20:B22"/>
    <mergeCell ref="B23:B25"/>
    <mergeCell ref="B26:B30"/>
    <mergeCell ref="B31:B32"/>
    <mergeCell ref="C20:C22"/>
    <mergeCell ref="C15:C16"/>
    <mergeCell ref="C17:C19"/>
    <mergeCell ref="C23:C25"/>
    <mergeCell ref="C31:C32"/>
    <mergeCell ref="B14:B16"/>
  </mergeCells>
  <conditionalFormatting sqref="E16">
    <cfRule type="colorScale" priority="20">
      <colorScale>
        <cfvo type="min"/>
        <cfvo type="percentile" val="50"/>
        <cfvo type="max"/>
        <color rgb="FF63BE7B"/>
        <color rgb="FFFFEB84"/>
        <color rgb="FFF8696B"/>
      </colorScale>
    </cfRule>
  </conditionalFormatting>
  <conditionalFormatting sqref="E17">
    <cfRule type="colorScale" priority="17">
      <colorScale>
        <cfvo type="min"/>
        <cfvo type="percentile" val="50"/>
        <cfvo type="max"/>
        <color rgb="FF63BE7B"/>
        <color rgb="FFFFEB84"/>
        <color rgb="FFF8696B"/>
      </colorScale>
    </cfRule>
  </conditionalFormatting>
  <conditionalFormatting sqref="E19">
    <cfRule type="colorScale" priority="16">
      <colorScale>
        <cfvo type="min"/>
        <cfvo type="percentile" val="50"/>
        <cfvo type="max"/>
        <color rgb="FF63BE7B"/>
        <color rgb="FFFFEB84"/>
        <color rgb="FFF8696B"/>
      </colorScale>
    </cfRule>
  </conditionalFormatting>
  <conditionalFormatting sqref="E18">
    <cfRule type="colorScale" priority="15">
      <colorScale>
        <cfvo type="min"/>
        <cfvo type="percentile" val="50"/>
        <cfvo type="max"/>
        <color rgb="FF63BE7B"/>
        <color rgb="FFFFEB84"/>
        <color rgb="FFF8696B"/>
      </colorScale>
    </cfRule>
  </conditionalFormatting>
  <conditionalFormatting sqref="E20">
    <cfRule type="colorScale" priority="14">
      <colorScale>
        <cfvo type="min"/>
        <cfvo type="percentile" val="50"/>
        <cfvo type="max"/>
        <color rgb="FF63BE7B"/>
        <color rgb="FFFFEB84"/>
        <color rgb="FFF8696B"/>
      </colorScale>
    </cfRule>
  </conditionalFormatting>
  <conditionalFormatting sqref="E21">
    <cfRule type="colorScale" priority="12">
      <colorScale>
        <cfvo type="min"/>
        <cfvo type="percentile" val="50"/>
        <cfvo type="max"/>
        <color rgb="FF63BE7B"/>
        <color rgb="FFFFEB84"/>
        <color rgb="FFF8696B"/>
      </colorScale>
    </cfRule>
  </conditionalFormatting>
  <conditionalFormatting sqref="E22">
    <cfRule type="colorScale" priority="11">
      <colorScale>
        <cfvo type="min"/>
        <cfvo type="percentile" val="50"/>
        <cfvo type="max"/>
        <color rgb="FF63BE7B"/>
        <color rgb="FFFFEB84"/>
        <color rgb="FFF8696B"/>
      </colorScale>
    </cfRule>
  </conditionalFormatting>
  <conditionalFormatting sqref="E23">
    <cfRule type="colorScale" priority="10">
      <colorScale>
        <cfvo type="min"/>
        <cfvo type="percentile" val="50"/>
        <cfvo type="max"/>
        <color rgb="FF63BE7B"/>
        <color rgb="FFFFEB84"/>
        <color rgb="FFF8696B"/>
      </colorScale>
    </cfRule>
  </conditionalFormatting>
  <conditionalFormatting sqref="E24">
    <cfRule type="colorScale" priority="9">
      <colorScale>
        <cfvo type="min"/>
        <cfvo type="percentile" val="50"/>
        <cfvo type="max"/>
        <color rgb="FF63BE7B"/>
        <color rgb="FFFFEB84"/>
        <color rgb="FFF8696B"/>
      </colorScale>
    </cfRule>
  </conditionalFormatting>
  <conditionalFormatting sqref="E25">
    <cfRule type="colorScale" priority="8">
      <colorScale>
        <cfvo type="min"/>
        <cfvo type="percentile" val="50"/>
        <cfvo type="max"/>
        <color rgb="FF63BE7B"/>
        <color rgb="FFFFEB84"/>
        <color rgb="FFF8696B"/>
      </colorScale>
    </cfRule>
  </conditionalFormatting>
  <conditionalFormatting sqref="E31">
    <cfRule type="colorScale" priority="7">
      <colorScale>
        <cfvo type="min"/>
        <cfvo type="percentile" val="50"/>
        <cfvo type="max"/>
        <color rgb="FF63BE7B"/>
        <color rgb="FFFFEB84"/>
        <color rgb="FFF8696B"/>
      </colorScale>
    </cfRule>
  </conditionalFormatting>
  <conditionalFormatting sqref="E32">
    <cfRule type="colorScale" priority="6">
      <colorScale>
        <cfvo type="min"/>
        <cfvo type="percentile" val="50"/>
        <cfvo type="max"/>
        <color rgb="FF63BE7B"/>
        <color rgb="FFFFEB84"/>
        <color rgb="FFF8696B"/>
      </colorScale>
    </cfRule>
  </conditionalFormatting>
  <conditionalFormatting sqref="E26">
    <cfRule type="colorScale" priority="5">
      <colorScale>
        <cfvo type="min"/>
        <cfvo type="percentile" val="50"/>
        <cfvo type="max"/>
        <color rgb="FF63BE7B"/>
        <color rgb="FFFFEB84"/>
        <color rgb="FFF8696B"/>
      </colorScale>
    </cfRule>
  </conditionalFormatting>
  <conditionalFormatting sqref="E27">
    <cfRule type="colorScale" priority="4">
      <colorScale>
        <cfvo type="min"/>
        <cfvo type="percentile" val="50"/>
        <cfvo type="max"/>
        <color rgb="FF63BE7B"/>
        <color rgb="FFFFEB84"/>
        <color rgb="FFF8696B"/>
      </colorScale>
    </cfRule>
  </conditionalFormatting>
  <conditionalFormatting sqref="E28">
    <cfRule type="colorScale" priority="3">
      <colorScale>
        <cfvo type="min"/>
        <cfvo type="percentile" val="50"/>
        <cfvo type="max"/>
        <color rgb="FF63BE7B"/>
        <color rgb="FFFFEB84"/>
        <color rgb="FFF8696B"/>
      </colorScale>
    </cfRule>
  </conditionalFormatting>
  <conditionalFormatting sqref="E29">
    <cfRule type="colorScale" priority="2">
      <colorScale>
        <cfvo type="min"/>
        <cfvo type="percentile" val="50"/>
        <cfvo type="max"/>
        <color rgb="FF63BE7B"/>
        <color rgb="FFFFEB84"/>
        <color rgb="FFF8696B"/>
      </colorScale>
    </cfRule>
  </conditionalFormatting>
  <conditionalFormatting sqref="E30">
    <cfRule type="colorScale" priority="1">
      <colorScale>
        <cfvo type="min"/>
        <cfvo type="percentile" val="50"/>
        <cfvo type="max"/>
        <color rgb="FF63BE7B"/>
        <color rgb="FFFFEB84"/>
        <color rgb="FFF8696B"/>
      </colorScale>
    </cfRule>
  </conditionalFormatting>
  <conditionalFormatting sqref="E15">
    <cfRule type="colorScale" priority="22">
      <colorScale>
        <cfvo type="min"/>
        <cfvo type="percentile" val="50"/>
        <cfvo type="max"/>
        <color rgb="FF63BE7B"/>
        <color rgb="FFFFEB84"/>
        <color rgb="FFF8696B"/>
      </colorScale>
    </cfRule>
  </conditionalFormatting>
  <dataValidations count="5">
    <dataValidation type="list" allowBlank="1" showInputMessage="1" showErrorMessage="1" sqref="B3" xr:uid="{00000000-0002-0000-0500-000000000000}">
      <formula1>$O$10:$O$11</formula1>
    </dataValidation>
    <dataValidation type="list" allowBlank="1" showInputMessage="1" showErrorMessage="1" sqref="E31:E32 E18:E19 E23 E25 E15" xr:uid="{00000000-0002-0000-0500-000001000000}">
      <formula1>$J$17:$J$17</formula1>
    </dataValidation>
    <dataValidation type="list" allowBlank="1" showInputMessage="1" showErrorMessage="1" sqref="E21:E22 E16:E17 E24 E26:E30" xr:uid="{00000000-0002-0000-0500-000002000000}">
      <formula1>$J$17:$J$18</formula1>
    </dataValidation>
    <dataValidation type="list" allowBlank="1" showInputMessage="1" showErrorMessage="1" sqref="E20" xr:uid="{00000000-0002-0000-0500-000003000000}">
      <formula1>$J$20:$J$22</formula1>
    </dataValidation>
    <dataValidation type="list" allowBlank="1" showInputMessage="1" showErrorMessage="1" sqref="D3" xr:uid="{00000000-0002-0000-0500-000004000000}">
      <formula1>$Q$10:$Q$15</formula1>
    </dataValidation>
  </dataValidations>
  <pageMargins left="0.7" right="0.7" top="0.75" bottom="0.75" header="0.3" footer="0.3"/>
  <pageSetup paperSize="9" orientation="portrait" r:id="rId1"/>
  <ignoredErrors>
    <ignoredError sqref="F20"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33"/>
  <sheetViews>
    <sheetView topLeftCell="A10" workbookViewId="0">
      <selection activeCell="D3" sqref="D3"/>
    </sheetView>
  </sheetViews>
  <sheetFormatPr defaultRowHeight="15" x14ac:dyDescent="0.25"/>
  <cols>
    <col min="2" max="2" width="66.7109375" customWidth="1"/>
    <col min="3" max="3" width="24.7109375" customWidth="1"/>
    <col min="4" max="4" width="80.85546875" customWidth="1"/>
    <col min="5" max="5" width="15" customWidth="1"/>
    <col min="8" max="8" width="9.85546875" customWidth="1"/>
  </cols>
  <sheetData>
    <row r="1" spans="2:17" x14ac:dyDescent="0.25">
      <c r="B1" t="s">
        <v>96</v>
      </c>
      <c r="J1" t="s">
        <v>84</v>
      </c>
    </row>
    <row r="2" spans="2:17" x14ac:dyDescent="0.25">
      <c r="B2" s="43" t="s">
        <v>80</v>
      </c>
      <c r="C2" s="43"/>
      <c r="D2" s="43" t="s">
        <v>81</v>
      </c>
      <c r="J2" t="s">
        <v>85</v>
      </c>
    </row>
    <row r="3" spans="2:17" x14ac:dyDescent="0.25">
      <c r="B3" t="s">
        <v>161</v>
      </c>
      <c r="D3" t="s">
        <v>103</v>
      </c>
    </row>
    <row r="10" spans="2:17" x14ac:dyDescent="0.25">
      <c r="N10" s="55" t="s">
        <v>108</v>
      </c>
      <c r="O10" s="55" t="s">
        <v>160</v>
      </c>
      <c r="P10" s="55"/>
      <c r="Q10" s="55" t="s">
        <v>99</v>
      </c>
    </row>
    <row r="11" spans="2:17" x14ac:dyDescent="0.25">
      <c r="N11" s="55"/>
      <c r="O11" s="55" t="s">
        <v>161</v>
      </c>
      <c r="P11" s="55"/>
      <c r="Q11" s="55" t="s">
        <v>101</v>
      </c>
    </row>
    <row r="12" spans="2:17" x14ac:dyDescent="0.25">
      <c r="N12" s="55"/>
      <c r="O12" s="55" t="s">
        <v>100</v>
      </c>
      <c r="P12" s="55"/>
      <c r="Q12" s="55" t="s">
        <v>102</v>
      </c>
    </row>
    <row r="13" spans="2:17" ht="15.75" thickBot="1" x14ac:dyDescent="0.3">
      <c r="N13" s="55"/>
      <c r="O13" s="55" t="s">
        <v>100</v>
      </c>
      <c r="P13" s="55"/>
      <c r="Q13" s="55" t="s">
        <v>103</v>
      </c>
    </row>
    <row r="14" spans="2:17" ht="16.5" thickBot="1" x14ac:dyDescent="0.3">
      <c r="B14" s="184" t="s">
        <v>76</v>
      </c>
      <c r="C14" s="77"/>
      <c r="D14" s="205" t="s">
        <v>53</v>
      </c>
      <c r="E14" s="206"/>
      <c r="N14" s="54"/>
      <c r="O14" s="55" t="s">
        <v>100</v>
      </c>
      <c r="P14" s="55"/>
      <c r="Q14" s="55" t="s">
        <v>105</v>
      </c>
    </row>
    <row r="15" spans="2:17" ht="31.5" x14ac:dyDescent="0.25">
      <c r="B15" s="185"/>
      <c r="C15" s="197" t="s">
        <v>183</v>
      </c>
      <c r="D15" s="56" t="s">
        <v>158</v>
      </c>
      <c r="E15" s="61"/>
      <c r="F15">
        <f>IF(E15="No",1,IF(E15="Maybe",2,3))</f>
        <v>3</v>
      </c>
      <c r="G15" t="s">
        <v>132</v>
      </c>
      <c r="H15" t="s">
        <v>88</v>
      </c>
      <c r="I15" t="s">
        <v>186</v>
      </c>
      <c r="N15" s="54"/>
      <c r="O15" s="55"/>
      <c r="P15" s="55"/>
      <c r="Q15" s="55" t="s">
        <v>124</v>
      </c>
    </row>
    <row r="16" spans="2:17" ht="32.25" thickBot="1" x14ac:dyDescent="0.3">
      <c r="B16" s="185"/>
      <c r="C16" s="197"/>
      <c r="D16" s="58" t="s">
        <v>166</v>
      </c>
      <c r="E16" s="62"/>
      <c r="F16">
        <f>IF(E16="No",1,IF(E16="Maybe",2,3))</f>
        <v>3</v>
      </c>
      <c r="G16" t="s">
        <v>131</v>
      </c>
      <c r="H16" t="s">
        <v>88</v>
      </c>
      <c r="I16" t="s">
        <v>187</v>
      </c>
      <c r="N16" s="54"/>
      <c r="O16" s="55"/>
      <c r="P16" s="55"/>
      <c r="Q16" s="55" t="s">
        <v>125</v>
      </c>
    </row>
    <row r="17" spans="2:17" x14ac:dyDescent="0.25">
      <c r="B17" s="193" t="s">
        <v>44</v>
      </c>
      <c r="C17" s="202" t="s">
        <v>183</v>
      </c>
      <c r="D17" s="64" t="s">
        <v>106</v>
      </c>
      <c r="E17" s="65"/>
      <c r="F17">
        <f>IF(E17="No",1,IF(E17="Maybe",2,3))</f>
        <v>3</v>
      </c>
      <c r="H17" t="s">
        <v>86</v>
      </c>
      <c r="I17" s="78" t="s">
        <v>193</v>
      </c>
      <c r="N17" s="54"/>
      <c r="O17" s="55"/>
      <c r="P17" s="55"/>
      <c r="Q17" s="55"/>
    </row>
    <row r="18" spans="2:17" x14ac:dyDescent="0.25">
      <c r="B18" s="194"/>
      <c r="C18" s="203"/>
      <c r="D18" s="66" t="s">
        <v>107</v>
      </c>
      <c r="E18" s="67"/>
      <c r="F18">
        <f>IF(E18="No",1,IF(E18="Maybe",2,3))</f>
        <v>3</v>
      </c>
      <c r="G18" t="s">
        <v>133</v>
      </c>
      <c r="H18" t="s">
        <v>86</v>
      </c>
      <c r="I18" s="78" t="s">
        <v>194</v>
      </c>
      <c r="N18" s="54"/>
      <c r="O18" s="55"/>
      <c r="P18" s="55"/>
      <c r="Q18" s="55"/>
    </row>
    <row r="19" spans="2:17" ht="30.75" customHeight="1" thickBot="1" x14ac:dyDescent="0.3">
      <c r="B19" s="195"/>
      <c r="C19" s="204"/>
      <c r="D19" s="68" t="s">
        <v>109</v>
      </c>
      <c r="E19" s="69"/>
      <c r="F19">
        <f>IF(E19="No",1,IF(E19="Maybe",2,3))</f>
        <v>3</v>
      </c>
      <c r="G19" t="s">
        <v>133</v>
      </c>
      <c r="H19" t="s">
        <v>86</v>
      </c>
      <c r="I19" s="78" t="s">
        <v>195</v>
      </c>
    </row>
    <row r="20" spans="2:17" ht="31.5" x14ac:dyDescent="0.25">
      <c r="B20" s="193" t="s">
        <v>9</v>
      </c>
      <c r="C20" s="196" t="s">
        <v>185</v>
      </c>
      <c r="D20" s="31" t="s">
        <v>128</v>
      </c>
      <c r="E20" s="65"/>
      <c r="F20">
        <f>IF(E20="High",1,IF(E20="Moderate",2,3))</f>
        <v>3</v>
      </c>
      <c r="G20" t="s">
        <v>134</v>
      </c>
      <c r="H20" t="s">
        <v>89</v>
      </c>
      <c r="I20" s="78" t="s">
        <v>189</v>
      </c>
    </row>
    <row r="21" spans="2:17" ht="31.5" x14ac:dyDescent="0.25">
      <c r="B21" s="194"/>
      <c r="C21" s="197"/>
      <c r="D21" s="32" t="s">
        <v>111</v>
      </c>
      <c r="E21" s="62"/>
      <c r="F21">
        <f>IF(E21="No",1,IF(E21="Maybe",2,3))</f>
        <v>3</v>
      </c>
      <c r="H21" t="s">
        <v>129</v>
      </c>
      <c r="I21" s="78" t="s">
        <v>192</v>
      </c>
    </row>
    <row r="22" spans="2:17" ht="32.25" thickBot="1" x14ac:dyDescent="0.3">
      <c r="B22" s="195"/>
      <c r="C22" s="198"/>
      <c r="D22" s="33" t="s">
        <v>112</v>
      </c>
      <c r="E22" s="63"/>
      <c r="F22">
        <f>IF(E22="No",1,IF(E22="Maybe",2,3))</f>
        <v>3</v>
      </c>
      <c r="H22" t="s">
        <v>89</v>
      </c>
      <c r="I22" s="78" t="s">
        <v>191</v>
      </c>
    </row>
    <row r="23" spans="2:17" ht="47.25" x14ac:dyDescent="0.25">
      <c r="B23" s="196" t="s">
        <v>32</v>
      </c>
      <c r="C23" s="196" t="s">
        <v>185</v>
      </c>
      <c r="D23" s="31" t="s">
        <v>159</v>
      </c>
      <c r="E23" s="65"/>
      <c r="G23" t="s">
        <v>133</v>
      </c>
      <c r="H23" t="s">
        <v>86</v>
      </c>
      <c r="I23" s="78" t="s">
        <v>188</v>
      </c>
    </row>
    <row r="24" spans="2:17" ht="15.75" x14ac:dyDescent="0.25">
      <c r="B24" s="197"/>
      <c r="C24" s="197"/>
      <c r="D24" s="34" t="s">
        <v>116</v>
      </c>
      <c r="E24" s="62"/>
      <c r="G24" t="s">
        <v>136</v>
      </c>
      <c r="H24" t="s">
        <v>87</v>
      </c>
      <c r="I24" s="78" t="s">
        <v>190</v>
      </c>
    </row>
    <row r="25" spans="2:17" ht="32.25" thickBot="1" x14ac:dyDescent="0.3">
      <c r="B25" s="197"/>
      <c r="C25" s="198"/>
      <c r="D25" s="33" t="s">
        <v>117</v>
      </c>
      <c r="E25" s="69"/>
      <c r="G25" t="s">
        <v>133</v>
      </c>
      <c r="H25" t="s">
        <v>87</v>
      </c>
      <c r="I25" s="78" t="s">
        <v>196</v>
      </c>
    </row>
    <row r="26" spans="2:17" ht="36" customHeight="1" x14ac:dyDescent="0.25">
      <c r="B26" s="184" t="s">
        <v>27</v>
      </c>
      <c r="C26" s="59" t="s">
        <v>164</v>
      </c>
      <c r="D26" s="32" t="s">
        <v>137</v>
      </c>
      <c r="E26" s="62"/>
      <c r="F26">
        <f t="shared" ref="F26:F32" si="0">IF(E26="No",1,IF(E26="Maybe",2,3))</f>
        <v>3</v>
      </c>
      <c r="G26" t="s">
        <v>136</v>
      </c>
      <c r="H26" t="s">
        <v>86</v>
      </c>
      <c r="I26" s="78" t="s">
        <v>197</v>
      </c>
    </row>
    <row r="27" spans="2:17" ht="31.5" x14ac:dyDescent="0.25">
      <c r="B27" s="185"/>
      <c r="C27" s="60" t="s">
        <v>163</v>
      </c>
      <c r="D27" s="32" t="s">
        <v>121</v>
      </c>
      <c r="E27" s="62"/>
      <c r="F27">
        <f t="shared" si="0"/>
        <v>3</v>
      </c>
      <c r="G27" t="s">
        <v>136</v>
      </c>
      <c r="H27" t="s">
        <v>86</v>
      </c>
      <c r="I27" s="78" t="s">
        <v>178</v>
      </c>
    </row>
    <row r="28" spans="2:17" ht="31.5" x14ac:dyDescent="0.25">
      <c r="B28" s="185"/>
      <c r="C28" s="60" t="s">
        <v>163</v>
      </c>
      <c r="D28" s="32" t="s">
        <v>198</v>
      </c>
      <c r="E28" s="62"/>
      <c r="F28">
        <f t="shared" si="0"/>
        <v>3</v>
      </c>
      <c r="G28" t="s">
        <v>136</v>
      </c>
      <c r="H28" t="s">
        <v>86</v>
      </c>
      <c r="I28" s="78" t="s">
        <v>199</v>
      </c>
    </row>
    <row r="29" spans="2:17" ht="31.5" x14ac:dyDescent="0.25">
      <c r="B29" s="185"/>
      <c r="C29" s="60" t="s">
        <v>163</v>
      </c>
      <c r="D29" s="32" t="s">
        <v>123</v>
      </c>
      <c r="E29" s="62"/>
      <c r="F29">
        <f t="shared" si="0"/>
        <v>3</v>
      </c>
      <c r="G29" t="s">
        <v>136</v>
      </c>
      <c r="H29" t="s">
        <v>88</v>
      </c>
      <c r="I29" s="78" t="s">
        <v>187</v>
      </c>
    </row>
    <row r="30" spans="2:17" ht="32.25" thickBot="1" x14ac:dyDescent="0.3">
      <c r="B30" s="186"/>
      <c r="C30" s="60" t="s">
        <v>163</v>
      </c>
      <c r="D30" s="33" t="s">
        <v>130</v>
      </c>
      <c r="E30" s="62"/>
      <c r="F30">
        <f t="shared" si="0"/>
        <v>3</v>
      </c>
      <c r="G30" t="s">
        <v>136</v>
      </c>
      <c r="H30" t="s">
        <v>86</v>
      </c>
      <c r="I30" s="78" t="s">
        <v>188</v>
      </c>
    </row>
    <row r="31" spans="2:17" ht="31.5" customHeight="1" x14ac:dyDescent="0.25">
      <c r="B31" s="184" t="s">
        <v>75</v>
      </c>
      <c r="C31" s="196" t="s">
        <v>184</v>
      </c>
      <c r="D31" s="31" t="s">
        <v>118</v>
      </c>
      <c r="E31" s="65"/>
      <c r="F31">
        <f t="shared" si="0"/>
        <v>3</v>
      </c>
      <c r="G31" t="s">
        <v>133</v>
      </c>
      <c r="H31" t="s">
        <v>86</v>
      </c>
      <c r="I31" s="78" t="s">
        <v>200</v>
      </c>
    </row>
    <row r="32" spans="2:17" ht="33" customHeight="1" thickBot="1" x14ac:dyDescent="0.3">
      <c r="B32" s="186"/>
      <c r="C32" s="198"/>
      <c r="D32" s="33" t="s">
        <v>119</v>
      </c>
      <c r="E32" s="69"/>
      <c r="F32">
        <f t="shared" si="0"/>
        <v>3</v>
      </c>
      <c r="G32" t="s">
        <v>136</v>
      </c>
      <c r="H32" t="s">
        <v>202</v>
      </c>
      <c r="I32" s="78" t="s">
        <v>201</v>
      </c>
    </row>
    <row r="33" ht="15" customHeight="1" x14ac:dyDescent="0.25"/>
  </sheetData>
  <mergeCells count="12">
    <mergeCell ref="B20:B22"/>
    <mergeCell ref="C20:C22"/>
    <mergeCell ref="B14:B16"/>
    <mergeCell ref="D14:E14"/>
    <mergeCell ref="C15:C16"/>
    <mergeCell ref="B17:B19"/>
    <mergeCell ref="C17:C19"/>
    <mergeCell ref="B23:B25"/>
    <mergeCell ref="C23:C25"/>
    <mergeCell ref="B26:B30"/>
    <mergeCell ref="B31:B32"/>
    <mergeCell ref="C31:C32"/>
  </mergeCells>
  <conditionalFormatting sqref="E16">
    <cfRule type="colorScale" priority="17">
      <colorScale>
        <cfvo type="min"/>
        <cfvo type="percentile" val="50"/>
        <cfvo type="max"/>
        <color rgb="FF63BE7B"/>
        <color rgb="FFFFEB84"/>
        <color rgb="FFF8696B"/>
      </colorScale>
    </cfRule>
  </conditionalFormatting>
  <conditionalFormatting sqref="E17">
    <cfRule type="colorScale" priority="16">
      <colorScale>
        <cfvo type="min"/>
        <cfvo type="percentile" val="50"/>
        <cfvo type="max"/>
        <color rgb="FF63BE7B"/>
        <color rgb="FFFFEB84"/>
        <color rgb="FFF8696B"/>
      </colorScale>
    </cfRule>
  </conditionalFormatting>
  <conditionalFormatting sqref="E19">
    <cfRule type="colorScale" priority="15">
      <colorScale>
        <cfvo type="min"/>
        <cfvo type="percentile" val="50"/>
        <cfvo type="max"/>
        <color rgb="FF63BE7B"/>
        <color rgb="FFFFEB84"/>
        <color rgb="FFF8696B"/>
      </colorScale>
    </cfRule>
  </conditionalFormatting>
  <conditionalFormatting sqref="E18">
    <cfRule type="colorScale" priority="14">
      <colorScale>
        <cfvo type="min"/>
        <cfvo type="percentile" val="50"/>
        <cfvo type="max"/>
        <color rgb="FF63BE7B"/>
        <color rgb="FFFFEB84"/>
        <color rgb="FFF8696B"/>
      </colorScale>
    </cfRule>
  </conditionalFormatting>
  <conditionalFormatting sqref="E20">
    <cfRule type="colorScale" priority="13">
      <colorScale>
        <cfvo type="min"/>
        <cfvo type="percentile" val="50"/>
        <cfvo type="max"/>
        <color rgb="FF63BE7B"/>
        <color rgb="FFFFEB84"/>
        <color rgb="FFF8696B"/>
      </colorScale>
    </cfRule>
  </conditionalFormatting>
  <conditionalFormatting sqref="E21">
    <cfRule type="colorScale" priority="12">
      <colorScale>
        <cfvo type="min"/>
        <cfvo type="percentile" val="50"/>
        <cfvo type="max"/>
        <color rgb="FF63BE7B"/>
        <color rgb="FFFFEB84"/>
        <color rgb="FFF8696B"/>
      </colorScale>
    </cfRule>
  </conditionalFormatting>
  <conditionalFormatting sqref="E22">
    <cfRule type="colorScale" priority="11">
      <colorScale>
        <cfvo type="min"/>
        <cfvo type="percentile" val="50"/>
        <cfvo type="max"/>
        <color rgb="FF63BE7B"/>
        <color rgb="FFFFEB84"/>
        <color rgb="FFF8696B"/>
      </colorScale>
    </cfRule>
  </conditionalFormatting>
  <conditionalFormatting sqref="E23">
    <cfRule type="colorScale" priority="10">
      <colorScale>
        <cfvo type="min"/>
        <cfvo type="percentile" val="50"/>
        <cfvo type="max"/>
        <color rgb="FF63BE7B"/>
        <color rgb="FFFFEB84"/>
        <color rgb="FFF8696B"/>
      </colorScale>
    </cfRule>
  </conditionalFormatting>
  <conditionalFormatting sqref="E24">
    <cfRule type="colorScale" priority="9">
      <colorScale>
        <cfvo type="min"/>
        <cfvo type="percentile" val="50"/>
        <cfvo type="max"/>
        <color rgb="FF63BE7B"/>
        <color rgb="FFFFEB84"/>
        <color rgb="FFF8696B"/>
      </colorScale>
    </cfRule>
  </conditionalFormatting>
  <conditionalFormatting sqref="E25">
    <cfRule type="colorScale" priority="8">
      <colorScale>
        <cfvo type="min"/>
        <cfvo type="percentile" val="50"/>
        <cfvo type="max"/>
        <color rgb="FF63BE7B"/>
        <color rgb="FFFFEB84"/>
        <color rgb="FFF8696B"/>
      </colorScale>
    </cfRule>
  </conditionalFormatting>
  <conditionalFormatting sqref="E31">
    <cfRule type="colorScale" priority="7">
      <colorScale>
        <cfvo type="min"/>
        <cfvo type="percentile" val="50"/>
        <cfvo type="max"/>
        <color rgb="FF63BE7B"/>
        <color rgb="FFFFEB84"/>
        <color rgb="FFF8696B"/>
      </colorScale>
    </cfRule>
  </conditionalFormatting>
  <conditionalFormatting sqref="E32">
    <cfRule type="colorScale" priority="6">
      <colorScale>
        <cfvo type="min"/>
        <cfvo type="percentile" val="50"/>
        <cfvo type="max"/>
        <color rgb="FF63BE7B"/>
        <color rgb="FFFFEB84"/>
        <color rgb="FFF8696B"/>
      </colorScale>
    </cfRule>
  </conditionalFormatting>
  <conditionalFormatting sqref="E26">
    <cfRule type="colorScale" priority="5">
      <colorScale>
        <cfvo type="min"/>
        <cfvo type="percentile" val="50"/>
        <cfvo type="max"/>
        <color rgb="FF63BE7B"/>
        <color rgb="FFFFEB84"/>
        <color rgb="FFF8696B"/>
      </colorScale>
    </cfRule>
  </conditionalFormatting>
  <conditionalFormatting sqref="E27">
    <cfRule type="colorScale" priority="4">
      <colorScale>
        <cfvo type="min"/>
        <cfvo type="percentile" val="50"/>
        <cfvo type="max"/>
        <color rgb="FF63BE7B"/>
        <color rgb="FFFFEB84"/>
        <color rgb="FFF8696B"/>
      </colorScale>
    </cfRule>
  </conditionalFormatting>
  <conditionalFormatting sqref="E28">
    <cfRule type="colorScale" priority="3">
      <colorScale>
        <cfvo type="min"/>
        <cfvo type="percentile" val="50"/>
        <cfvo type="max"/>
        <color rgb="FF63BE7B"/>
        <color rgb="FFFFEB84"/>
        <color rgb="FFF8696B"/>
      </colorScale>
    </cfRule>
  </conditionalFormatting>
  <conditionalFormatting sqref="E29">
    <cfRule type="colorScale" priority="2">
      <colorScale>
        <cfvo type="min"/>
        <cfvo type="percentile" val="50"/>
        <cfvo type="max"/>
        <color rgb="FF63BE7B"/>
        <color rgb="FFFFEB84"/>
        <color rgb="FFF8696B"/>
      </colorScale>
    </cfRule>
  </conditionalFormatting>
  <conditionalFormatting sqref="E30">
    <cfRule type="colorScale" priority="1">
      <colorScale>
        <cfvo type="min"/>
        <cfvo type="percentile" val="50"/>
        <cfvo type="max"/>
        <color rgb="FF63BE7B"/>
        <color rgb="FFFFEB84"/>
        <color rgb="FFF8696B"/>
      </colorScale>
    </cfRule>
  </conditionalFormatting>
  <conditionalFormatting sqref="E15">
    <cfRule type="colorScale" priority="18">
      <colorScale>
        <cfvo type="min"/>
        <cfvo type="percentile" val="50"/>
        <cfvo type="max"/>
        <color rgb="FF63BE7B"/>
        <color rgb="FFFFEB84"/>
        <color rgb="FFF8696B"/>
      </colorScale>
    </cfRule>
  </conditionalFormatting>
  <dataValidations count="5">
    <dataValidation type="list" allowBlank="1" showInputMessage="1" showErrorMessage="1" sqref="E31:E32 E15 E25 E23 E18:E19" xr:uid="{00000000-0002-0000-0600-000000000000}">
      <formula1>$H$17:$H$17</formula1>
    </dataValidation>
    <dataValidation type="list" allowBlank="1" showInputMessage="1" showErrorMessage="1" sqref="E21:E22 E26:E30 E24 E16:E17" xr:uid="{00000000-0002-0000-0600-000001000000}">
      <formula1>$H$17:$H$18</formula1>
    </dataValidation>
    <dataValidation type="list" allowBlank="1" showInputMessage="1" showErrorMessage="1" sqref="E20" xr:uid="{00000000-0002-0000-0600-000002000000}">
      <formula1>$H$20:$H$22</formula1>
    </dataValidation>
    <dataValidation type="list" allowBlank="1" showInputMessage="1" showErrorMessage="1" sqref="B3" xr:uid="{00000000-0002-0000-0600-000003000000}">
      <formula1>$O$10:$O$11</formula1>
    </dataValidation>
    <dataValidation type="list" allowBlank="1" showInputMessage="1" showErrorMessage="1" sqref="D3" xr:uid="{00000000-0002-0000-0600-000004000000}">
      <formula1>$Q$10:$Q$15</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Q33"/>
  <sheetViews>
    <sheetView workbookViewId="0">
      <selection activeCell="E15" sqref="E15"/>
    </sheetView>
  </sheetViews>
  <sheetFormatPr defaultRowHeight="15" x14ac:dyDescent="0.25"/>
  <cols>
    <col min="2" max="2" width="66.7109375" customWidth="1"/>
    <col min="3" max="3" width="24.7109375" customWidth="1"/>
    <col min="4" max="4" width="80.85546875" customWidth="1"/>
    <col min="5" max="5" width="15" customWidth="1"/>
    <col min="8" max="8" width="9.85546875" customWidth="1"/>
  </cols>
  <sheetData>
    <row r="1" spans="2:17" x14ac:dyDescent="0.25">
      <c r="B1" t="s">
        <v>96</v>
      </c>
      <c r="J1" t="s">
        <v>84</v>
      </c>
    </row>
    <row r="2" spans="2:17" x14ac:dyDescent="0.25">
      <c r="B2" s="43" t="s">
        <v>80</v>
      </c>
      <c r="C2" s="43"/>
      <c r="D2" s="43" t="s">
        <v>81</v>
      </c>
      <c r="J2" t="s">
        <v>85</v>
      </c>
    </row>
    <row r="3" spans="2:17" x14ac:dyDescent="0.25">
      <c r="B3" t="s">
        <v>161</v>
      </c>
      <c r="D3" t="s">
        <v>101</v>
      </c>
    </row>
    <row r="10" spans="2:17" x14ac:dyDescent="0.25">
      <c r="N10" s="55" t="s">
        <v>108</v>
      </c>
      <c r="O10" s="55" t="s">
        <v>160</v>
      </c>
      <c r="P10" s="55"/>
      <c r="Q10" s="55" t="s">
        <v>99</v>
      </c>
    </row>
    <row r="11" spans="2:17" x14ac:dyDescent="0.25">
      <c r="N11" s="55"/>
      <c r="O11" s="55" t="s">
        <v>161</v>
      </c>
      <c r="P11" s="55"/>
      <c r="Q11" s="55" t="s">
        <v>101</v>
      </c>
    </row>
    <row r="12" spans="2:17" x14ac:dyDescent="0.25">
      <c r="N12" s="55"/>
      <c r="O12" s="55" t="s">
        <v>100</v>
      </c>
      <c r="P12" s="55"/>
      <c r="Q12" s="55" t="s">
        <v>102</v>
      </c>
    </row>
    <row r="13" spans="2:17" ht="15.75" thickBot="1" x14ac:dyDescent="0.3">
      <c r="N13" s="55"/>
      <c r="O13" s="55" t="s">
        <v>100</v>
      </c>
      <c r="P13" s="55"/>
      <c r="Q13" s="55" t="s">
        <v>103</v>
      </c>
    </row>
    <row r="14" spans="2:17" ht="16.5" thickBot="1" x14ac:dyDescent="0.3">
      <c r="B14" s="184" t="s">
        <v>76</v>
      </c>
      <c r="C14" s="76"/>
      <c r="D14" s="205" t="s">
        <v>53</v>
      </c>
      <c r="E14" s="206"/>
      <c r="N14" s="54"/>
      <c r="O14" s="55" t="s">
        <v>100</v>
      </c>
      <c r="P14" s="55"/>
      <c r="Q14" s="55" t="s">
        <v>105</v>
      </c>
    </row>
    <row r="15" spans="2:17" ht="31.5" x14ac:dyDescent="0.25">
      <c r="B15" s="185"/>
      <c r="C15" s="197" t="s">
        <v>162</v>
      </c>
      <c r="D15" s="56" t="s">
        <v>158</v>
      </c>
      <c r="E15" s="61"/>
      <c r="F15">
        <f>IF(E15="No",1,IF(E15="Maybe",2,3))</f>
        <v>3</v>
      </c>
      <c r="G15" t="s">
        <v>132</v>
      </c>
      <c r="H15" t="s">
        <v>1</v>
      </c>
      <c r="I15" t="s">
        <v>165</v>
      </c>
      <c r="N15" s="54"/>
      <c r="O15" s="55"/>
      <c r="P15" s="55"/>
      <c r="Q15" s="55" t="s">
        <v>124</v>
      </c>
    </row>
    <row r="16" spans="2:17" ht="32.25" thickBot="1" x14ac:dyDescent="0.3">
      <c r="B16" s="185"/>
      <c r="C16" s="197"/>
      <c r="D16" s="58" t="s">
        <v>166</v>
      </c>
      <c r="E16" s="62"/>
      <c r="F16">
        <f>IF(E16="No",1,IF(E16="Maybe",2,3))</f>
        <v>3</v>
      </c>
      <c r="G16" t="s">
        <v>131</v>
      </c>
      <c r="I16" t="s">
        <v>167</v>
      </c>
      <c r="N16" s="54"/>
      <c r="O16" s="55"/>
      <c r="P16" s="55"/>
      <c r="Q16" s="55" t="s">
        <v>125</v>
      </c>
    </row>
    <row r="17" spans="2:17" x14ac:dyDescent="0.25">
      <c r="B17" s="193" t="s">
        <v>44</v>
      </c>
      <c r="C17" s="202" t="s">
        <v>162</v>
      </c>
      <c r="D17" s="64" t="s">
        <v>106</v>
      </c>
      <c r="E17" s="65"/>
      <c r="F17">
        <f>IF(E17="No",1,IF(E17="Maybe",2,3))</f>
        <v>3</v>
      </c>
      <c r="H17" t="s">
        <v>87</v>
      </c>
      <c r="I17" s="78" t="s">
        <v>168</v>
      </c>
      <c r="N17" s="54"/>
      <c r="O17" s="55"/>
      <c r="P17" s="55"/>
      <c r="Q17" s="55"/>
    </row>
    <row r="18" spans="2:17" x14ac:dyDescent="0.25">
      <c r="B18" s="194"/>
      <c r="C18" s="203"/>
      <c r="D18" s="66" t="s">
        <v>107</v>
      </c>
      <c r="E18" s="67"/>
      <c r="F18">
        <f>IF(E18="No",1,IF(E18="Maybe",2,3))</f>
        <v>3</v>
      </c>
      <c r="G18" t="s">
        <v>133</v>
      </c>
      <c r="H18" t="s">
        <v>88</v>
      </c>
      <c r="I18" s="78" t="s">
        <v>169</v>
      </c>
      <c r="N18" s="54"/>
      <c r="O18" s="55"/>
      <c r="P18" s="55"/>
      <c r="Q18" s="55"/>
    </row>
    <row r="19" spans="2:17" ht="15.75" thickBot="1" x14ac:dyDescent="0.3">
      <c r="B19" s="195"/>
      <c r="C19" s="204"/>
      <c r="D19" s="68" t="s">
        <v>109</v>
      </c>
      <c r="E19" s="69"/>
      <c r="F19">
        <f>IF(E19="No",1,IF(E19="Maybe",2,3))</f>
        <v>3</v>
      </c>
      <c r="G19" t="s">
        <v>133</v>
      </c>
      <c r="I19" s="78" t="s">
        <v>170</v>
      </c>
    </row>
    <row r="20" spans="2:17" ht="31.5" x14ac:dyDescent="0.25">
      <c r="B20" s="193" t="s">
        <v>9</v>
      </c>
      <c r="C20" s="196" t="s">
        <v>163</v>
      </c>
      <c r="D20" s="31" t="s">
        <v>128</v>
      </c>
      <c r="E20" s="65"/>
      <c r="F20">
        <f>IF(E20="High",1,IF(E20="Moderate",2,3))</f>
        <v>3</v>
      </c>
      <c r="G20" t="s">
        <v>134</v>
      </c>
      <c r="H20" t="s">
        <v>89</v>
      </c>
      <c r="I20" s="78" t="s">
        <v>171</v>
      </c>
    </row>
    <row r="21" spans="2:17" ht="31.5" x14ac:dyDescent="0.25">
      <c r="B21" s="194"/>
      <c r="C21" s="197"/>
      <c r="D21" s="32" t="s">
        <v>111</v>
      </c>
      <c r="E21" s="62"/>
      <c r="F21">
        <f>IF(E21="No",1,IF(E21="Maybe",2,3))</f>
        <v>3</v>
      </c>
      <c r="H21" t="s">
        <v>129</v>
      </c>
      <c r="I21" s="78" t="s">
        <v>172</v>
      </c>
    </row>
    <row r="22" spans="2:17" ht="32.25" thickBot="1" x14ac:dyDescent="0.3">
      <c r="B22" s="195"/>
      <c r="C22" s="198"/>
      <c r="D22" s="33" t="s">
        <v>112</v>
      </c>
      <c r="E22" s="63"/>
      <c r="F22">
        <f>IF(E22="No",1,IF(E22="Maybe",2,3))</f>
        <v>3</v>
      </c>
      <c r="H22" t="s">
        <v>91</v>
      </c>
      <c r="I22" s="78" t="s">
        <v>173</v>
      </c>
    </row>
    <row r="23" spans="2:17" ht="47.25" x14ac:dyDescent="0.25">
      <c r="B23" s="196" t="s">
        <v>32</v>
      </c>
      <c r="C23" s="196" t="s">
        <v>163</v>
      </c>
      <c r="D23" s="31" t="s">
        <v>159</v>
      </c>
      <c r="E23" s="65"/>
      <c r="G23" t="s">
        <v>133</v>
      </c>
      <c r="I23" s="78" t="s">
        <v>174</v>
      </c>
    </row>
    <row r="24" spans="2:17" ht="15.75" x14ac:dyDescent="0.25">
      <c r="B24" s="197"/>
      <c r="C24" s="197"/>
      <c r="D24" s="34" t="s">
        <v>116</v>
      </c>
      <c r="E24" s="62"/>
      <c r="G24" t="s">
        <v>136</v>
      </c>
      <c r="H24" t="s">
        <v>93</v>
      </c>
      <c r="I24" s="78" t="s">
        <v>176</v>
      </c>
    </row>
    <row r="25" spans="2:17" ht="32.25" thickBot="1" x14ac:dyDescent="0.3">
      <c r="B25" s="197"/>
      <c r="C25" s="198"/>
      <c r="D25" s="33" t="s">
        <v>117</v>
      </c>
      <c r="E25" s="69"/>
      <c r="G25" t="s">
        <v>133</v>
      </c>
      <c r="H25" t="s">
        <v>94</v>
      </c>
      <c r="I25" s="78" t="s">
        <v>175</v>
      </c>
    </row>
    <row r="26" spans="2:17" ht="24.75" customHeight="1" x14ac:dyDescent="0.25">
      <c r="B26" s="184" t="s">
        <v>27</v>
      </c>
      <c r="C26" s="59" t="s">
        <v>164</v>
      </c>
      <c r="D26" s="32" t="s">
        <v>137</v>
      </c>
      <c r="E26" s="62"/>
      <c r="F26">
        <f t="shared" ref="F26:F32" si="0">IF(E26="No",1,IF(E26="Maybe",2,3))</f>
        <v>3</v>
      </c>
      <c r="G26" t="s">
        <v>136</v>
      </c>
      <c r="I26" s="78" t="s">
        <v>177</v>
      </c>
    </row>
    <row r="27" spans="2:17" ht="31.5" x14ac:dyDescent="0.25">
      <c r="B27" s="185"/>
      <c r="C27" s="60" t="s">
        <v>163</v>
      </c>
      <c r="D27" s="32" t="s">
        <v>121</v>
      </c>
      <c r="E27" s="62"/>
      <c r="F27">
        <f t="shared" si="0"/>
        <v>3</v>
      </c>
      <c r="G27" t="s">
        <v>136</v>
      </c>
      <c r="I27" s="78" t="s">
        <v>178</v>
      </c>
    </row>
    <row r="28" spans="2:17" ht="31.5" x14ac:dyDescent="0.25">
      <c r="B28" s="185"/>
      <c r="C28" s="60" t="s">
        <v>163</v>
      </c>
      <c r="D28" s="32" t="s">
        <v>122</v>
      </c>
      <c r="E28" s="62"/>
      <c r="F28">
        <f t="shared" si="0"/>
        <v>3</v>
      </c>
      <c r="G28" t="s">
        <v>136</v>
      </c>
      <c r="I28" s="78" t="s">
        <v>179</v>
      </c>
    </row>
    <row r="29" spans="2:17" ht="31.5" x14ac:dyDescent="0.25">
      <c r="B29" s="185"/>
      <c r="C29" s="60" t="s">
        <v>163</v>
      </c>
      <c r="D29" s="32" t="s">
        <v>123</v>
      </c>
      <c r="E29" s="62"/>
      <c r="F29">
        <f t="shared" si="0"/>
        <v>3</v>
      </c>
      <c r="G29" t="s">
        <v>136</v>
      </c>
      <c r="I29" s="78" t="s">
        <v>180</v>
      </c>
    </row>
    <row r="30" spans="2:17" ht="32.25" thickBot="1" x14ac:dyDescent="0.3">
      <c r="B30" s="186"/>
      <c r="C30" s="60" t="s">
        <v>163</v>
      </c>
      <c r="D30" s="33" t="s">
        <v>130</v>
      </c>
      <c r="E30" s="62"/>
      <c r="F30">
        <f t="shared" si="0"/>
        <v>3</v>
      </c>
      <c r="G30" t="s">
        <v>136</v>
      </c>
      <c r="I30" s="78" t="s">
        <v>174</v>
      </c>
    </row>
    <row r="31" spans="2:17" ht="31.5" x14ac:dyDescent="0.25">
      <c r="B31" s="184" t="s">
        <v>75</v>
      </c>
      <c r="C31" s="196" t="s">
        <v>163</v>
      </c>
      <c r="D31" s="31" t="s">
        <v>118</v>
      </c>
      <c r="E31" s="65"/>
      <c r="F31">
        <f t="shared" si="0"/>
        <v>3</v>
      </c>
      <c r="G31" t="s">
        <v>133</v>
      </c>
      <c r="I31" s="78" t="s">
        <v>182</v>
      </c>
    </row>
    <row r="32" spans="2:17" ht="16.5" thickBot="1" x14ac:dyDescent="0.3">
      <c r="B32" s="186"/>
      <c r="C32" s="198"/>
      <c r="D32" s="33" t="s">
        <v>119</v>
      </c>
      <c r="E32" s="69"/>
      <c r="F32">
        <f t="shared" si="0"/>
        <v>3</v>
      </c>
      <c r="G32" t="s">
        <v>133</v>
      </c>
      <c r="I32" s="78" t="s">
        <v>181</v>
      </c>
    </row>
    <row r="33" ht="15" customHeight="1" x14ac:dyDescent="0.25"/>
  </sheetData>
  <mergeCells count="12">
    <mergeCell ref="B23:B25"/>
    <mergeCell ref="C23:C25"/>
    <mergeCell ref="B26:B30"/>
    <mergeCell ref="B31:B32"/>
    <mergeCell ref="C31:C32"/>
    <mergeCell ref="B20:B22"/>
    <mergeCell ref="C20:C22"/>
    <mergeCell ref="B14:B16"/>
    <mergeCell ref="D14:E14"/>
    <mergeCell ref="C15:C16"/>
    <mergeCell ref="B17:B19"/>
    <mergeCell ref="C17:C19"/>
  </mergeCells>
  <conditionalFormatting sqref="E16">
    <cfRule type="colorScale" priority="17">
      <colorScale>
        <cfvo type="min"/>
        <cfvo type="percentile" val="50"/>
        <cfvo type="max"/>
        <color rgb="FF63BE7B"/>
        <color rgb="FFFFEB84"/>
        <color rgb="FFF8696B"/>
      </colorScale>
    </cfRule>
  </conditionalFormatting>
  <conditionalFormatting sqref="E17">
    <cfRule type="colorScale" priority="16">
      <colorScale>
        <cfvo type="min"/>
        <cfvo type="percentile" val="50"/>
        <cfvo type="max"/>
        <color rgb="FF63BE7B"/>
        <color rgb="FFFFEB84"/>
        <color rgb="FFF8696B"/>
      </colorScale>
    </cfRule>
  </conditionalFormatting>
  <conditionalFormatting sqref="E19">
    <cfRule type="colorScale" priority="15">
      <colorScale>
        <cfvo type="min"/>
        <cfvo type="percentile" val="50"/>
        <cfvo type="max"/>
        <color rgb="FF63BE7B"/>
        <color rgb="FFFFEB84"/>
        <color rgb="FFF8696B"/>
      </colorScale>
    </cfRule>
  </conditionalFormatting>
  <conditionalFormatting sqref="E18">
    <cfRule type="colorScale" priority="14">
      <colorScale>
        <cfvo type="min"/>
        <cfvo type="percentile" val="50"/>
        <cfvo type="max"/>
        <color rgb="FF63BE7B"/>
        <color rgb="FFFFEB84"/>
        <color rgb="FFF8696B"/>
      </colorScale>
    </cfRule>
  </conditionalFormatting>
  <conditionalFormatting sqref="E20">
    <cfRule type="colorScale" priority="13">
      <colorScale>
        <cfvo type="min"/>
        <cfvo type="percentile" val="50"/>
        <cfvo type="max"/>
        <color rgb="FF63BE7B"/>
        <color rgb="FFFFEB84"/>
        <color rgb="FFF8696B"/>
      </colorScale>
    </cfRule>
  </conditionalFormatting>
  <conditionalFormatting sqref="E21">
    <cfRule type="colorScale" priority="12">
      <colorScale>
        <cfvo type="min"/>
        <cfvo type="percentile" val="50"/>
        <cfvo type="max"/>
        <color rgb="FF63BE7B"/>
        <color rgb="FFFFEB84"/>
        <color rgb="FFF8696B"/>
      </colorScale>
    </cfRule>
  </conditionalFormatting>
  <conditionalFormatting sqref="E22">
    <cfRule type="colorScale" priority="11">
      <colorScale>
        <cfvo type="min"/>
        <cfvo type="percentile" val="50"/>
        <cfvo type="max"/>
        <color rgb="FF63BE7B"/>
        <color rgb="FFFFEB84"/>
        <color rgb="FFF8696B"/>
      </colorScale>
    </cfRule>
  </conditionalFormatting>
  <conditionalFormatting sqref="E23">
    <cfRule type="colorScale" priority="10">
      <colorScale>
        <cfvo type="min"/>
        <cfvo type="percentile" val="50"/>
        <cfvo type="max"/>
        <color rgb="FF63BE7B"/>
        <color rgb="FFFFEB84"/>
        <color rgb="FFF8696B"/>
      </colorScale>
    </cfRule>
  </conditionalFormatting>
  <conditionalFormatting sqref="E24">
    <cfRule type="colorScale" priority="9">
      <colorScale>
        <cfvo type="min"/>
        <cfvo type="percentile" val="50"/>
        <cfvo type="max"/>
        <color rgb="FF63BE7B"/>
        <color rgb="FFFFEB84"/>
        <color rgb="FFF8696B"/>
      </colorScale>
    </cfRule>
  </conditionalFormatting>
  <conditionalFormatting sqref="E25">
    <cfRule type="colorScale" priority="8">
      <colorScale>
        <cfvo type="min"/>
        <cfvo type="percentile" val="50"/>
        <cfvo type="max"/>
        <color rgb="FF63BE7B"/>
        <color rgb="FFFFEB84"/>
        <color rgb="FFF8696B"/>
      </colorScale>
    </cfRule>
  </conditionalFormatting>
  <conditionalFormatting sqref="E31">
    <cfRule type="colorScale" priority="7">
      <colorScale>
        <cfvo type="min"/>
        <cfvo type="percentile" val="50"/>
        <cfvo type="max"/>
        <color rgb="FF63BE7B"/>
        <color rgb="FFFFEB84"/>
        <color rgb="FFF8696B"/>
      </colorScale>
    </cfRule>
  </conditionalFormatting>
  <conditionalFormatting sqref="E32">
    <cfRule type="colorScale" priority="6">
      <colorScale>
        <cfvo type="min"/>
        <cfvo type="percentile" val="50"/>
        <cfvo type="max"/>
        <color rgb="FF63BE7B"/>
        <color rgb="FFFFEB84"/>
        <color rgb="FFF8696B"/>
      </colorScale>
    </cfRule>
  </conditionalFormatting>
  <conditionalFormatting sqref="E26">
    <cfRule type="colorScale" priority="5">
      <colorScale>
        <cfvo type="min"/>
        <cfvo type="percentile" val="50"/>
        <cfvo type="max"/>
        <color rgb="FF63BE7B"/>
        <color rgb="FFFFEB84"/>
        <color rgb="FFF8696B"/>
      </colorScale>
    </cfRule>
  </conditionalFormatting>
  <conditionalFormatting sqref="E27">
    <cfRule type="colorScale" priority="4">
      <colorScale>
        <cfvo type="min"/>
        <cfvo type="percentile" val="50"/>
        <cfvo type="max"/>
        <color rgb="FF63BE7B"/>
        <color rgb="FFFFEB84"/>
        <color rgb="FFF8696B"/>
      </colorScale>
    </cfRule>
  </conditionalFormatting>
  <conditionalFormatting sqref="E28">
    <cfRule type="colorScale" priority="3">
      <colorScale>
        <cfvo type="min"/>
        <cfvo type="percentile" val="50"/>
        <cfvo type="max"/>
        <color rgb="FF63BE7B"/>
        <color rgb="FFFFEB84"/>
        <color rgb="FFF8696B"/>
      </colorScale>
    </cfRule>
  </conditionalFormatting>
  <conditionalFormatting sqref="E29">
    <cfRule type="colorScale" priority="2">
      <colorScale>
        <cfvo type="min"/>
        <cfvo type="percentile" val="50"/>
        <cfvo type="max"/>
        <color rgb="FF63BE7B"/>
        <color rgb="FFFFEB84"/>
        <color rgb="FFF8696B"/>
      </colorScale>
    </cfRule>
  </conditionalFormatting>
  <conditionalFormatting sqref="E30">
    <cfRule type="colorScale" priority="1">
      <colorScale>
        <cfvo type="min"/>
        <cfvo type="percentile" val="50"/>
        <cfvo type="max"/>
        <color rgb="FF63BE7B"/>
        <color rgb="FFFFEB84"/>
        <color rgb="FFF8696B"/>
      </colorScale>
    </cfRule>
  </conditionalFormatting>
  <conditionalFormatting sqref="E15">
    <cfRule type="colorScale" priority="18">
      <colorScale>
        <cfvo type="min"/>
        <cfvo type="percentile" val="50"/>
        <cfvo type="max"/>
        <color rgb="FF63BE7B"/>
        <color rgb="FFFFEB84"/>
        <color rgb="FFF8696B"/>
      </colorScale>
    </cfRule>
  </conditionalFormatting>
  <dataValidations count="5">
    <dataValidation type="list" allowBlank="1" showInputMessage="1" showErrorMessage="1" sqref="D3" xr:uid="{00000000-0002-0000-0700-000000000000}">
      <formula1>$Q$10:$Q$15</formula1>
    </dataValidation>
    <dataValidation type="list" allowBlank="1" showInputMessage="1" showErrorMessage="1" sqref="B3" xr:uid="{00000000-0002-0000-0700-000001000000}">
      <formula1>$O$10:$O$11</formula1>
    </dataValidation>
    <dataValidation type="list" allowBlank="1" showInputMessage="1" showErrorMessage="1" sqref="E20" xr:uid="{00000000-0002-0000-0700-000002000000}">
      <formula1>$H$20:$H$22</formula1>
    </dataValidation>
    <dataValidation type="list" allowBlank="1" showInputMessage="1" showErrorMessage="1" sqref="E21:E22 E26:E30 E24 E16:E17" xr:uid="{00000000-0002-0000-0700-000003000000}">
      <formula1>$H$17:$H$18</formula1>
    </dataValidation>
    <dataValidation type="list" allowBlank="1" showInputMessage="1" showErrorMessage="1" sqref="E31:E32 E15 E25 E23 E18:E19" xr:uid="{00000000-0002-0000-0700-000004000000}">
      <formula1>$H$17:$H$17</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Q36"/>
  <sheetViews>
    <sheetView zoomScale="80" zoomScaleNormal="80" workbookViewId="0">
      <selection activeCell="D44" sqref="D44"/>
    </sheetView>
  </sheetViews>
  <sheetFormatPr defaultRowHeight="15" x14ac:dyDescent="0.25"/>
  <cols>
    <col min="2" max="2" width="66.7109375" customWidth="1"/>
    <col min="3" max="3" width="24.7109375" customWidth="1"/>
    <col min="4" max="4" width="80.85546875" customWidth="1"/>
    <col min="5" max="5" width="15" customWidth="1"/>
    <col min="8" max="8" width="101.5703125" customWidth="1"/>
    <col min="10" max="10" width="36.85546875" customWidth="1"/>
  </cols>
  <sheetData>
    <row r="1" spans="2:17" x14ac:dyDescent="0.25">
      <c r="B1" t="s">
        <v>96</v>
      </c>
      <c r="J1" t="s">
        <v>84</v>
      </c>
    </row>
    <row r="2" spans="2:17" x14ac:dyDescent="0.25">
      <c r="B2" s="43" t="s">
        <v>80</v>
      </c>
      <c r="C2" s="43"/>
      <c r="D2" s="43" t="s">
        <v>81</v>
      </c>
      <c r="J2" t="s">
        <v>85</v>
      </c>
    </row>
    <row r="3" spans="2:17" x14ac:dyDescent="0.25">
      <c r="B3" t="s">
        <v>100</v>
      </c>
      <c r="D3" t="s">
        <v>103</v>
      </c>
    </row>
    <row r="10" spans="2:17" x14ac:dyDescent="0.25">
      <c r="N10" s="55" t="s">
        <v>108</v>
      </c>
      <c r="O10" s="55" t="s">
        <v>98</v>
      </c>
      <c r="P10" s="55"/>
      <c r="Q10" s="55" t="s">
        <v>99</v>
      </c>
    </row>
    <row r="11" spans="2:17" x14ac:dyDescent="0.25">
      <c r="N11" s="55"/>
      <c r="O11" s="55" t="s">
        <v>100</v>
      </c>
      <c r="P11" s="55"/>
      <c r="Q11" s="55" t="s">
        <v>101</v>
      </c>
    </row>
    <row r="12" spans="2:17" x14ac:dyDescent="0.25">
      <c r="N12" s="55"/>
      <c r="O12" s="55" t="s">
        <v>100</v>
      </c>
      <c r="P12" s="55"/>
      <c r="Q12" s="55" t="s">
        <v>102</v>
      </c>
    </row>
    <row r="13" spans="2:17" ht="15.75" thickBot="1" x14ac:dyDescent="0.3">
      <c r="N13" s="55"/>
      <c r="O13" s="55" t="s">
        <v>100</v>
      </c>
      <c r="P13" s="55"/>
      <c r="Q13" s="55" t="s">
        <v>103</v>
      </c>
    </row>
    <row r="14" spans="2:17" ht="16.5" thickBot="1" x14ac:dyDescent="0.3">
      <c r="B14" s="184" t="s">
        <v>76</v>
      </c>
      <c r="C14" s="70"/>
      <c r="D14" s="205" t="s">
        <v>53</v>
      </c>
      <c r="E14" s="206"/>
      <c r="H14" s="71" t="s">
        <v>138</v>
      </c>
      <c r="N14" s="54"/>
      <c r="O14" s="55" t="s">
        <v>100</v>
      </c>
      <c r="P14" s="55"/>
      <c r="Q14" s="55" t="s">
        <v>105</v>
      </c>
    </row>
    <row r="15" spans="2:17" ht="15.75" x14ac:dyDescent="0.25">
      <c r="B15" s="185"/>
      <c r="C15" s="197" t="s">
        <v>113</v>
      </c>
      <c r="D15" s="56" t="s">
        <v>127</v>
      </c>
      <c r="E15" s="61"/>
      <c r="F15">
        <f t="shared" ref="F15:F21" si="0">IF(E15="No",1,IF(E15="Maybe",2,3))</f>
        <v>3</v>
      </c>
      <c r="G15" t="s">
        <v>132</v>
      </c>
      <c r="H15" s="73" t="s">
        <v>139</v>
      </c>
      <c r="J15" s="207" t="s">
        <v>143</v>
      </c>
      <c r="N15" s="54"/>
      <c r="O15" s="55"/>
      <c r="P15" s="55"/>
      <c r="Q15" s="55" t="s">
        <v>124</v>
      </c>
    </row>
    <row r="16" spans="2:17" ht="15.75" x14ac:dyDescent="0.25">
      <c r="B16" s="185"/>
      <c r="C16" s="197"/>
      <c r="D16" s="57" t="s">
        <v>126</v>
      </c>
      <c r="E16" s="62"/>
      <c r="F16">
        <f t="shared" si="0"/>
        <v>3</v>
      </c>
      <c r="G16" t="s">
        <v>131</v>
      </c>
      <c r="H16" s="74" t="s">
        <v>140</v>
      </c>
      <c r="J16" s="207"/>
      <c r="N16" s="54"/>
      <c r="O16" s="55"/>
      <c r="P16" s="55"/>
      <c r="Q16" s="55" t="s">
        <v>125</v>
      </c>
    </row>
    <row r="17" spans="2:17" ht="15.75" x14ac:dyDescent="0.25">
      <c r="B17" s="185"/>
      <c r="C17" s="197"/>
      <c r="D17" s="58" t="s">
        <v>97</v>
      </c>
      <c r="E17" s="62"/>
      <c r="F17">
        <f t="shared" si="0"/>
        <v>3</v>
      </c>
      <c r="G17" t="s">
        <v>131</v>
      </c>
      <c r="H17" s="74" t="s">
        <v>142</v>
      </c>
      <c r="J17" s="207" t="s">
        <v>143</v>
      </c>
      <c r="N17" s="54"/>
      <c r="O17" s="55"/>
      <c r="P17" s="55"/>
      <c r="Q17" s="55"/>
    </row>
    <row r="18" spans="2:17" ht="16.5" thickBot="1" x14ac:dyDescent="0.3">
      <c r="B18" s="186"/>
      <c r="C18" s="198"/>
      <c r="D18" s="57" t="s">
        <v>104</v>
      </c>
      <c r="E18" s="62"/>
      <c r="F18">
        <f t="shared" si="0"/>
        <v>3</v>
      </c>
      <c r="H18" s="75" t="s">
        <v>141</v>
      </c>
      <c r="J18" s="207"/>
      <c r="N18" s="54"/>
      <c r="O18" s="55"/>
      <c r="P18" s="55"/>
      <c r="Q18" s="55"/>
    </row>
    <row r="19" spans="2:17" x14ac:dyDescent="0.25">
      <c r="B19" s="193" t="s">
        <v>44</v>
      </c>
      <c r="C19" s="202" t="s">
        <v>113</v>
      </c>
      <c r="D19" s="64" t="s">
        <v>106</v>
      </c>
      <c r="E19" s="65"/>
      <c r="F19">
        <f t="shared" si="0"/>
        <v>3</v>
      </c>
      <c r="H19" s="74" t="s">
        <v>149</v>
      </c>
    </row>
    <row r="20" spans="2:17" x14ac:dyDescent="0.25">
      <c r="B20" s="194"/>
      <c r="C20" s="203"/>
      <c r="D20" s="66" t="s">
        <v>107</v>
      </c>
      <c r="E20" s="67"/>
      <c r="F20">
        <f t="shared" si="0"/>
        <v>3</v>
      </c>
      <c r="G20" t="s">
        <v>133</v>
      </c>
      <c r="H20" s="74" t="s">
        <v>144</v>
      </c>
    </row>
    <row r="21" spans="2:17" ht="15.75" thickBot="1" x14ac:dyDescent="0.3">
      <c r="B21" s="195"/>
      <c r="C21" s="204"/>
      <c r="D21" s="68" t="s">
        <v>109</v>
      </c>
      <c r="E21" s="69"/>
      <c r="F21">
        <f t="shared" si="0"/>
        <v>3</v>
      </c>
      <c r="G21" t="s">
        <v>150</v>
      </c>
      <c r="H21" s="74" t="s">
        <v>151</v>
      </c>
    </row>
    <row r="22" spans="2:17" ht="31.5" x14ac:dyDescent="0.25">
      <c r="B22" s="193" t="s">
        <v>9</v>
      </c>
      <c r="C22" s="196" t="s">
        <v>110</v>
      </c>
      <c r="D22" s="31" t="s">
        <v>128</v>
      </c>
      <c r="E22" s="65"/>
      <c r="F22">
        <f>IF(E22="High",1,IF(E22="Moderate",2,3))</f>
        <v>3</v>
      </c>
      <c r="G22" t="s">
        <v>134</v>
      </c>
      <c r="H22" s="73" t="s">
        <v>152</v>
      </c>
    </row>
    <row r="23" spans="2:17" ht="31.5" x14ac:dyDescent="0.25">
      <c r="B23" s="194"/>
      <c r="C23" s="197"/>
      <c r="D23" s="32" t="s">
        <v>111</v>
      </c>
      <c r="E23" s="62"/>
      <c r="F23">
        <f>IF(E23="No",1,IF(E23="Maybe",2,3))</f>
        <v>3</v>
      </c>
      <c r="H23" s="74" t="s">
        <v>153</v>
      </c>
    </row>
    <row r="24" spans="2:17" ht="32.25" thickBot="1" x14ac:dyDescent="0.3">
      <c r="B24" s="195"/>
      <c r="C24" s="198"/>
      <c r="D24" s="33" t="s">
        <v>112</v>
      </c>
      <c r="E24" s="63"/>
      <c r="F24">
        <f>IF(E24="No",1,IF(E24="Maybe",2,3))</f>
        <v>3</v>
      </c>
      <c r="H24" s="75" t="s">
        <v>154</v>
      </c>
    </row>
    <row r="25" spans="2:17" ht="31.5" x14ac:dyDescent="0.25">
      <c r="B25" s="196" t="s">
        <v>32</v>
      </c>
      <c r="C25" s="196" t="s">
        <v>110</v>
      </c>
      <c r="D25" s="31" t="s">
        <v>115</v>
      </c>
      <c r="E25" s="65"/>
      <c r="G25" t="s">
        <v>133</v>
      </c>
      <c r="H25" s="208" t="s">
        <v>146</v>
      </c>
      <c r="J25" s="72" t="s">
        <v>145</v>
      </c>
      <c r="K25" t="s">
        <v>155</v>
      </c>
    </row>
    <row r="26" spans="2:17" ht="31.5" x14ac:dyDescent="0.25">
      <c r="B26" s="197"/>
      <c r="C26" s="197"/>
      <c r="D26" s="34" t="s">
        <v>114</v>
      </c>
      <c r="E26" s="2"/>
      <c r="G26" t="s">
        <v>135</v>
      </c>
      <c r="H26" s="209"/>
      <c r="J26" s="72" t="s">
        <v>145</v>
      </c>
    </row>
    <row r="27" spans="2:17" ht="15.75" x14ac:dyDescent="0.25">
      <c r="B27" s="197"/>
      <c r="C27" s="197"/>
      <c r="D27" s="34" t="s">
        <v>116</v>
      </c>
      <c r="E27" s="62"/>
      <c r="G27" t="s">
        <v>136</v>
      </c>
      <c r="H27" s="74" t="s">
        <v>156</v>
      </c>
    </row>
    <row r="28" spans="2:17" ht="32.25" thickBot="1" x14ac:dyDescent="0.3">
      <c r="B28" s="197"/>
      <c r="C28" s="198"/>
      <c r="D28" s="33" t="s">
        <v>117</v>
      </c>
      <c r="E28" s="69"/>
      <c r="G28" t="s">
        <v>133</v>
      </c>
      <c r="H28" s="75" t="s">
        <v>86</v>
      </c>
    </row>
    <row r="29" spans="2:17" ht="15.75" customHeight="1" x14ac:dyDescent="0.25">
      <c r="B29" s="184" t="s">
        <v>27</v>
      </c>
      <c r="C29" s="59" t="s">
        <v>120</v>
      </c>
      <c r="D29" s="32" t="s">
        <v>137</v>
      </c>
      <c r="E29" s="62"/>
      <c r="F29">
        <f t="shared" ref="F29:F35" si="1">IF(E29="No",1,IF(E29="Maybe",2,3))</f>
        <v>3</v>
      </c>
      <c r="G29" t="s">
        <v>136</v>
      </c>
      <c r="H29" s="73" t="s">
        <v>87</v>
      </c>
    </row>
    <row r="30" spans="2:17" ht="31.5" x14ac:dyDescent="0.25">
      <c r="B30" s="185"/>
      <c r="C30" s="60" t="s">
        <v>110</v>
      </c>
      <c r="D30" s="32" t="s">
        <v>121</v>
      </c>
      <c r="E30" s="62"/>
      <c r="F30">
        <f t="shared" si="1"/>
        <v>3</v>
      </c>
      <c r="G30" t="s">
        <v>136</v>
      </c>
      <c r="H30" s="74" t="s">
        <v>87</v>
      </c>
    </row>
    <row r="31" spans="2:17" ht="31.5" x14ac:dyDescent="0.25">
      <c r="B31" s="185"/>
      <c r="C31" s="60" t="s">
        <v>110</v>
      </c>
      <c r="D31" s="32" t="s">
        <v>122</v>
      </c>
      <c r="E31" s="62"/>
      <c r="F31">
        <f t="shared" si="1"/>
        <v>3</v>
      </c>
      <c r="G31" t="s">
        <v>136</v>
      </c>
      <c r="H31" s="74" t="s">
        <v>87</v>
      </c>
    </row>
    <row r="32" spans="2:17" ht="31.5" x14ac:dyDescent="0.25">
      <c r="B32" s="185"/>
      <c r="C32" s="60" t="s">
        <v>110</v>
      </c>
      <c r="D32" s="32" t="s">
        <v>123</v>
      </c>
      <c r="E32" s="62"/>
      <c r="F32">
        <f t="shared" si="1"/>
        <v>3</v>
      </c>
      <c r="G32" t="s">
        <v>136</v>
      </c>
      <c r="H32" s="74" t="s">
        <v>87</v>
      </c>
    </row>
    <row r="33" spans="2:8" ht="32.25" thickBot="1" x14ac:dyDescent="0.3">
      <c r="B33" s="186"/>
      <c r="C33" s="60" t="s">
        <v>110</v>
      </c>
      <c r="D33" s="33" t="s">
        <v>130</v>
      </c>
      <c r="E33" s="62"/>
      <c r="F33">
        <f t="shared" si="1"/>
        <v>3</v>
      </c>
      <c r="G33" t="s">
        <v>136</v>
      </c>
      <c r="H33" s="75" t="s">
        <v>147</v>
      </c>
    </row>
    <row r="34" spans="2:8" ht="31.5" x14ac:dyDescent="0.25">
      <c r="B34" s="184" t="s">
        <v>75</v>
      </c>
      <c r="C34" s="196" t="s">
        <v>110</v>
      </c>
      <c r="D34" s="31" t="s">
        <v>118</v>
      </c>
      <c r="E34" s="65"/>
      <c r="F34">
        <f t="shared" si="1"/>
        <v>3</v>
      </c>
      <c r="G34" t="s">
        <v>133</v>
      </c>
      <c r="H34" s="74" t="s">
        <v>148</v>
      </c>
    </row>
    <row r="35" spans="2:8" ht="16.5" thickBot="1" x14ac:dyDescent="0.3">
      <c r="B35" s="186"/>
      <c r="C35" s="198"/>
      <c r="D35" s="33" t="s">
        <v>119</v>
      </c>
      <c r="E35" s="69"/>
      <c r="F35">
        <f t="shared" si="1"/>
        <v>3</v>
      </c>
      <c r="G35" t="s">
        <v>133</v>
      </c>
      <c r="H35" s="75" t="s">
        <v>157</v>
      </c>
    </row>
    <row r="36" spans="2:8" ht="15" customHeight="1" x14ac:dyDescent="0.25"/>
  </sheetData>
  <mergeCells count="15">
    <mergeCell ref="J15:J16"/>
    <mergeCell ref="H25:H26"/>
    <mergeCell ref="J17:J18"/>
    <mergeCell ref="B14:B18"/>
    <mergeCell ref="D14:E14"/>
    <mergeCell ref="C15:C18"/>
    <mergeCell ref="B19:B21"/>
    <mergeCell ref="C19:C21"/>
    <mergeCell ref="B25:B28"/>
    <mergeCell ref="C25:C28"/>
    <mergeCell ref="B29:B33"/>
    <mergeCell ref="B34:B35"/>
    <mergeCell ref="C34:C35"/>
    <mergeCell ref="B22:B24"/>
    <mergeCell ref="C22:C24"/>
  </mergeCells>
  <conditionalFormatting sqref="E15:E16">
    <cfRule type="colorScale" priority="19">
      <colorScale>
        <cfvo type="min"/>
        <cfvo type="percentile" val="50"/>
        <cfvo type="max"/>
        <color rgb="FF63BE7B"/>
        <color rgb="FFFFEB84"/>
        <color rgb="FFF8696B"/>
      </colorScale>
    </cfRule>
  </conditionalFormatting>
  <conditionalFormatting sqref="E17">
    <cfRule type="colorScale" priority="18">
      <colorScale>
        <cfvo type="min"/>
        <cfvo type="percentile" val="50"/>
        <cfvo type="max"/>
        <color rgb="FF63BE7B"/>
        <color rgb="FFFFEB84"/>
        <color rgb="FFF8696B"/>
      </colorScale>
    </cfRule>
  </conditionalFormatting>
  <conditionalFormatting sqref="E18">
    <cfRule type="colorScale" priority="17">
      <colorScale>
        <cfvo type="min"/>
        <cfvo type="percentile" val="50"/>
        <cfvo type="max"/>
        <color rgb="FF63BE7B"/>
        <color rgb="FFFFEB84"/>
        <color rgb="FFF8696B"/>
      </colorScale>
    </cfRule>
  </conditionalFormatting>
  <conditionalFormatting sqref="E19">
    <cfRule type="colorScale" priority="16">
      <colorScale>
        <cfvo type="min"/>
        <cfvo type="percentile" val="50"/>
        <cfvo type="max"/>
        <color rgb="FF63BE7B"/>
        <color rgb="FFFFEB84"/>
        <color rgb="FFF8696B"/>
      </colorScale>
    </cfRule>
  </conditionalFormatting>
  <conditionalFormatting sqref="E21">
    <cfRule type="colorScale" priority="15">
      <colorScale>
        <cfvo type="min"/>
        <cfvo type="percentile" val="50"/>
        <cfvo type="max"/>
        <color rgb="FF63BE7B"/>
        <color rgb="FFFFEB84"/>
        <color rgb="FFF8696B"/>
      </colorScale>
    </cfRule>
  </conditionalFormatting>
  <conditionalFormatting sqref="E20">
    <cfRule type="colorScale" priority="14">
      <colorScale>
        <cfvo type="min"/>
        <cfvo type="percentile" val="50"/>
        <cfvo type="max"/>
        <color rgb="FF63BE7B"/>
        <color rgb="FFFFEB84"/>
        <color rgb="FFF8696B"/>
      </colorScale>
    </cfRule>
  </conditionalFormatting>
  <conditionalFormatting sqref="E22">
    <cfRule type="colorScale" priority="13">
      <colorScale>
        <cfvo type="min"/>
        <cfvo type="percentile" val="50"/>
        <cfvo type="max"/>
        <color rgb="FF63BE7B"/>
        <color rgb="FFFFEB84"/>
        <color rgb="FFF8696B"/>
      </colorScale>
    </cfRule>
  </conditionalFormatting>
  <conditionalFormatting sqref="E23">
    <cfRule type="colorScale" priority="12">
      <colorScale>
        <cfvo type="min"/>
        <cfvo type="percentile" val="50"/>
        <cfvo type="max"/>
        <color rgb="FF63BE7B"/>
        <color rgb="FFFFEB84"/>
        <color rgb="FFF8696B"/>
      </colorScale>
    </cfRule>
  </conditionalFormatting>
  <conditionalFormatting sqref="E24">
    <cfRule type="colorScale" priority="11">
      <colorScale>
        <cfvo type="min"/>
        <cfvo type="percentile" val="50"/>
        <cfvo type="max"/>
        <color rgb="FF63BE7B"/>
        <color rgb="FFFFEB84"/>
        <color rgb="FFF8696B"/>
      </colorScale>
    </cfRule>
  </conditionalFormatting>
  <conditionalFormatting sqref="E25">
    <cfRule type="colorScale" priority="10">
      <colorScale>
        <cfvo type="min"/>
        <cfvo type="percentile" val="50"/>
        <cfvo type="max"/>
        <color rgb="FF63BE7B"/>
        <color rgb="FFFFEB84"/>
        <color rgb="FFF8696B"/>
      </colorScale>
    </cfRule>
  </conditionalFormatting>
  <conditionalFormatting sqref="E27">
    <cfRule type="colorScale" priority="9">
      <colorScale>
        <cfvo type="min"/>
        <cfvo type="percentile" val="50"/>
        <cfvo type="max"/>
        <color rgb="FF63BE7B"/>
        <color rgb="FFFFEB84"/>
        <color rgb="FFF8696B"/>
      </colorScale>
    </cfRule>
  </conditionalFormatting>
  <conditionalFormatting sqref="E28">
    <cfRule type="colorScale" priority="8">
      <colorScale>
        <cfvo type="min"/>
        <cfvo type="percentile" val="50"/>
        <cfvo type="max"/>
        <color rgb="FF63BE7B"/>
        <color rgb="FFFFEB84"/>
        <color rgb="FFF8696B"/>
      </colorScale>
    </cfRule>
  </conditionalFormatting>
  <conditionalFormatting sqref="E34">
    <cfRule type="colorScale" priority="7">
      <colorScale>
        <cfvo type="min"/>
        <cfvo type="percentile" val="50"/>
        <cfvo type="max"/>
        <color rgb="FF63BE7B"/>
        <color rgb="FFFFEB84"/>
        <color rgb="FFF8696B"/>
      </colorScale>
    </cfRule>
  </conditionalFormatting>
  <conditionalFormatting sqref="E35">
    <cfRule type="colorScale" priority="6">
      <colorScale>
        <cfvo type="min"/>
        <cfvo type="percentile" val="50"/>
        <cfvo type="max"/>
        <color rgb="FF63BE7B"/>
        <color rgb="FFFFEB84"/>
        <color rgb="FFF8696B"/>
      </colorScale>
    </cfRule>
  </conditionalFormatting>
  <conditionalFormatting sqref="E29">
    <cfRule type="colorScale" priority="5">
      <colorScale>
        <cfvo type="min"/>
        <cfvo type="percentile" val="50"/>
        <cfvo type="max"/>
        <color rgb="FF63BE7B"/>
        <color rgb="FFFFEB84"/>
        <color rgb="FFF8696B"/>
      </colorScale>
    </cfRule>
  </conditionalFormatting>
  <conditionalFormatting sqref="E30">
    <cfRule type="colorScale" priority="4">
      <colorScale>
        <cfvo type="min"/>
        <cfvo type="percentile" val="50"/>
        <cfvo type="max"/>
        <color rgb="FF63BE7B"/>
        <color rgb="FFFFEB84"/>
        <color rgb="FFF8696B"/>
      </colorScale>
    </cfRule>
  </conditionalFormatting>
  <conditionalFormatting sqref="E31">
    <cfRule type="colorScale" priority="3">
      <colorScale>
        <cfvo type="min"/>
        <cfvo type="percentile" val="50"/>
        <cfvo type="max"/>
        <color rgb="FF63BE7B"/>
        <color rgb="FFFFEB84"/>
        <color rgb="FFF8696B"/>
      </colorScale>
    </cfRule>
  </conditionalFormatting>
  <conditionalFormatting sqref="E32">
    <cfRule type="colorScale" priority="2">
      <colorScale>
        <cfvo type="min"/>
        <cfvo type="percentile" val="50"/>
        <cfvo type="max"/>
        <color rgb="FF63BE7B"/>
        <color rgb="FFFFEB84"/>
        <color rgb="FFF8696B"/>
      </colorScale>
    </cfRule>
  </conditionalFormatting>
  <conditionalFormatting sqref="E33">
    <cfRule type="colorScale" priority="1">
      <colorScale>
        <cfvo type="min"/>
        <cfvo type="percentile" val="50"/>
        <cfvo type="max"/>
        <color rgb="FF63BE7B"/>
        <color rgb="FFFFEB84"/>
        <color rgb="FFF8696B"/>
      </colorScale>
    </cfRule>
  </conditionalFormatting>
  <dataValidations count="6">
    <dataValidation type="list" allowBlank="1" showInputMessage="1" showErrorMessage="1" sqref="E26" xr:uid="{00000000-0002-0000-0800-000000000000}">
      <formula1>$J$26:$J$28</formula1>
    </dataValidation>
    <dataValidation type="list" allowBlank="1" showInputMessage="1" showErrorMessage="1" sqref="E22" xr:uid="{00000000-0002-0000-0800-000001000000}">
      <formula1>$J$22:$J$24</formula1>
    </dataValidation>
    <dataValidation type="list" allowBlank="1" showInputMessage="1" showErrorMessage="1" sqref="D3" xr:uid="{00000000-0002-0000-0800-000002000000}">
      <formula1>$Q$10:$Q$16</formula1>
    </dataValidation>
    <dataValidation type="list" allowBlank="1" showInputMessage="1" showErrorMessage="1" sqref="B3" xr:uid="{00000000-0002-0000-0800-000003000000}">
      <formula1>$O$10:$O$11</formula1>
    </dataValidation>
    <dataValidation type="list" allowBlank="1" showInputMessage="1" showErrorMessage="1" sqref="E16:E19 E23:E24 E27 E29:E33" xr:uid="{00000000-0002-0000-0800-000004000000}">
      <formula1>$J$17:$J$18</formula1>
    </dataValidation>
    <dataValidation type="list" allowBlank="1" showInputMessage="1" showErrorMessage="1" sqref="E15 E20:E21 E25 E28 E34:E35" xr:uid="{00000000-0002-0000-0800-000005000000}">
      <formula1>#REF!</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Template Jan 18</vt:lpstr>
      <vt:lpstr>Logical Decision template</vt:lpstr>
      <vt:lpstr>Logical Decision template (2)</vt:lpstr>
      <vt:lpstr>Sheet1</vt:lpstr>
      <vt:lpstr>Sheet2</vt:lpstr>
      <vt:lpstr>Template JAN 31</vt:lpstr>
      <vt:lpstr>EXAC 713</vt:lpstr>
      <vt:lpstr>EXAC 760</vt:lpstr>
      <vt:lpstr>Template EXAC 765</vt:lpstr>
      <vt:lpstr>Sheet4</vt:lpstr>
      <vt:lpstr>Sheet3</vt:lpstr>
      <vt:lpstr>DMAT Current State</vt:lpstr>
      <vt:lpstr>Do Not Touch Working Sheet</vt:lpstr>
      <vt:lpstr>DMAT Potential Future State</vt:lpstr>
      <vt:lpstr>Do Not Touch PFS Working Sheet</vt:lpstr>
      <vt:lpstr>Basin Maturity Definitions</vt:lpstr>
      <vt:lpstr>EXAC 765 BH </vt:lpstr>
      <vt:lpstr>EXAC 766 BH</vt:lpstr>
      <vt:lpstr>EXAC 760 Stu</vt:lpstr>
      <vt:lpstr>EXAC 713 stu</vt:lpstr>
    </vt:vector>
  </TitlesOfParts>
  <Company>Woodside Energy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Henderson, Bonnie</dc:creator>
  <cp:lastModifiedBy>Mallet, Ada A.</cp:lastModifiedBy>
  <dcterms:created xsi:type="dcterms:W3CDTF">2018-01-05T01:18:35Z</dcterms:created>
  <dcterms:modified xsi:type="dcterms:W3CDTF">2018-10-25T05:59:22Z</dcterms:modified>
</cp:coreProperties>
</file>