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yluong_vuong_kuleuven_be/Documents/PhD in KU Leuven/Projects/Side projects/Cancer Invitro/Report_Oncology_MLV/"/>
    </mc:Choice>
  </mc:AlternateContent>
  <xr:revisionPtr revIDLastSave="70" documentId="8_{0E937EC2-ACF4-4187-9785-138DE551187A}" xr6:coauthVersionLast="47" xr6:coauthVersionMax="47" xr10:uidLastSave="{6AA1AE95-9B97-40DA-8C3E-281667BB74D6}"/>
  <bookViews>
    <workbookView xWindow="40425" yWindow="0" windowWidth="17280" windowHeight="15585" xr2:uid="{00000000-000D-0000-FFFF-FFFF00000000}"/>
  </bookViews>
  <sheets>
    <sheet name="Sheet1" sheetId="1" r:id="rId1"/>
  </sheets>
  <definedNames>
    <definedName name="OLE_LINK24" localSheetId="0">Sheet1!$C$1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0" i="1"/>
  <c r="F16" i="1"/>
  <c r="F10" i="1"/>
  <c r="E16" i="1"/>
  <c r="E10" i="1"/>
  <c r="D10" i="1"/>
  <c r="D22" i="1" s="1"/>
  <c r="D16" i="1"/>
  <c r="C49" i="1"/>
  <c r="D49" i="1"/>
  <c r="E49" i="1"/>
  <c r="F49" i="1"/>
  <c r="G49" i="1"/>
  <c r="B49" i="1"/>
  <c r="D31" i="1"/>
  <c r="E31" i="1"/>
  <c r="F31" i="1"/>
  <c r="G31" i="1"/>
  <c r="C31" i="1"/>
  <c r="B31" i="1"/>
  <c r="D15" i="1"/>
  <c r="E15" i="1"/>
  <c r="F15" i="1"/>
  <c r="G15" i="1"/>
  <c r="D17" i="1"/>
  <c r="E17" i="1"/>
  <c r="F17" i="1"/>
  <c r="G17" i="1"/>
  <c r="D14" i="1"/>
  <c r="D20" i="1" s="1"/>
  <c r="E14" i="1"/>
  <c r="E20" i="1" s="1"/>
  <c r="E26" i="1" s="1"/>
  <c r="F14" i="1"/>
  <c r="F20" i="1" s="1"/>
  <c r="G14" i="1"/>
  <c r="D11" i="1"/>
  <c r="E11" i="1"/>
  <c r="F11" i="1"/>
  <c r="G11" i="1"/>
  <c r="D9" i="1"/>
  <c r="D21" i="1" s="1"/>
  <c r="D27" i="1" s="1"/>
  <c r="E9" i="1"/>
  <c r="F9" i="1"/>
  <c r="G9" i="1"/>
  <c r="D8" i="1"/>
  <c r="E8" i="1"/>
  <c r="F8" i="1"/>
  <c r="G8" i="1"/>
  <c r="G20" i="1" s="1"/>
  <c r="C25" i="1"/>
  <c r="B25" i="1"/>
  <c r="C19" i="1"/>
  <c r="B19" i="1"/>
  <c r="C13" i="1"/>
  <c r="B13" i="1"/>
  <c r="B15" i="1"/>
  <c r="C15" i="1"/>
  <c r="B16" i="1"/>
  <c r="B22" i="1" s="1"/>
  <c r="C16" i="1"/>
  <c r="B17" i="1"/>
  <c r="C17" i="1"/>
  <c r="C14" i="1"/>
  <c r="B14" i="1"/>
  <c r="B9" i="1"/>
  <c r="C9" i="1"/>
  <c r="B10" i="1"/>
  <c r="C10" i="1"/>
  <c r="B11" i="1"/>
  <c r="C11" i="1"/>
  <c r="C8" i="1"/>
  <c r="B8" i="1"/>
  <c r="G22" i="1" l="1"/>
  <c r="G34" i="1" s="1"/>
  <c r="F22" i="1"/>
  <c r="F28" i="1" s="1"/>
  <c r="D23" i="1"/>
  <c r="D29" i="1" s="1"/>
  <c r="F26" i="1"/>
  <c r="B23" i="1"/>
  <c r="B35" i="1" s="1"/>
  <c r="B28" i="1"/>
  <c r="B52" i="1"/>
  <c r="D50" i="1"/>
  <c r="D32" i="1"/>
  <c r="D26" i="1"/>
  <c r="C23" i="1"/>
  <c r="C29" i="1" s="1"/>
  <c r="G21" i="1"/>
  <c r="G33" i="1" s="1"/>
  <c r="G23" i="1"/>
  <c r="G29" i="1" s="1"/>
  <c r="D51" i="1"/>
  <c r="B21" i="1"/>
  <c r="B51" i="1" s="1"/>
  <c r="D33" i="1"/>
  <c r="B34" i="1"/>
  <c r="C22" i="1"/>
  <c r="C34" i="1" s="1"/>
  <c r="C21" i="1"/>
  <c r="C51" i="1" s="1"/>
  <c r="D34" i="1"/>
  <c r="D52" i="1"/>
  <c r="D28" i="1"/>
  <c r="F50" i="1"/>
  <c r="F32" i="1"/>
  <c r="C20" i="1"/>
  <c r="C32" i="1" s="1"/>
  <c r="C50" i="1"/>
  <c r="C26" i="1"/>
  <c r="E22" i="1"/>
  <c r="E23" i="1"/>
  <c r="E29" i="1" s="1"/>
  <c r="F21" i="1"/>
  <c r="F33" i="1" s="1"/>
  <c r="E21" i="1"/>
  <c r="E33" i="1" s="1"/>
  <c r="E50" i="1"/>
  <c r="G35" i="1"/>
  <c r="G53" i="1"/>
  <c r="F23" i="1"/>
  <c r="F29" i="1" s="1"/>
  <c r="E32" i="1"/>
  <c r="G26" i="1"/>
  <c r="G32" i="1"/>
  <c r="B20" i="1"/>
  <c r="B32" i="1" s="1"/>
  <c r="G50" i="1"/>
  <c r="G52" i="1" l="1"/>
  <c r="G28" i="1"/>
  <c r="F52" i="1"/>
  <c r="F34" i="1"/>
  <c r="G27" i="1"/>
  <c r="D53" i="1"/>
  <c r="D35" i="1"/>
  <c r="D38" i="1" s="1"/>
  <c r="E51" i="1"/>
  <c r="C35" i="1"/>
  <c r="C37" i="1" s="1"/>
  <c r="B29" i="1"/>
  <c r="B53" i="1"/>
  <c r="B33" i="1"/>
  <c r="B27" i="1"/>
  <c r="C28" i="1"/>
  <c r="C52" i="1"/>
  <c r="C27" i="1"/>
  <c r="C33" i="1"/>
  <c r="G51" i="1"/>
  <c r="C53" i="1"/>
  <c r="C56" i="1" s="1"/>
  <c r="F27" i="1"/>
  <c r="F51" i="1"/>
  <c r="F35" i="1"/>
  <c r="E28" i="1"/>
  <c r="E34" i="1"/>
  <c r="E52" i="1"/>
  <c r="F53" i="1"/>
  <c r="E35" i="1"/>
  <c r="E27" i="1"/>
  <c r="E53" i="1"/>
  <c r="B26" i="1"/>
  <c r="B50" i="1"/>
  <c r="G39" i="1"/>
  <c r="G37" i="1"/>
  <c r="G36" i="1"/>
  <c r="G38" i="1"/>
  <c r="D39" i="1" l="1"/>
  <c r="D37" i="1"/>
  <c r="D36" i="1"/>
  <c r="C57" i="1"/>
  <c r="C54" i="1"/>
  <c r="C55" i="1"/>
  <c r="C39" i="1"/>
  <c r="C47" i="1" s="1"/>
  <c r="C38" i="1"/>
  <c r="C36" i="1"/>
  <c r="E36" i="1"/>
  <c r="E37" i="1"/>
  <c r="E38" i="1"/>
  <c r="E39" i="1"/>
  <c r="C58" i="1"/>
  <c r="C62" i="1"/>
  <c r="C59" i="1"/>
  <c r="C63" i="1"/>
  <c r="C45" i="1"/>
  <c r="C41" i="1"/>
  <c r="F36" i="1"/>
  <c r="F38" i="1"/>
  <c r="F39" i="1"/>
  <c r="F37" i="1"/>
  <c r="C61" i="1"/>
  <c r="C65" i="1"/>
  <c r="C43" i="1"/>
  <c r="C60" i="1"/>
  <c r="C64" i="1"/>
  <c r="C46" i="1"/>
  <c r="C42" i="1"/>
  <c r="C44" i="1"/>
  <c r="C40" i="1"/>
</calcChain>
</file>

<file path=xl/sharedStrings.xml><?xml version="1.0" encoding="utf-8"?>
<sst xmlns="http://schemas.openxmlformats.org/spreadsheetml/2006/main" count="114" uniqueCount="67">
  <si>
    <t>Effect of Erlotinib</t>
  </si>
  <si>
    <t>Parameters</t>
  </si>
  <si>
    <t>TOP</t>
  </si>
  <si>
    <t>BOTTOM</t>
  </si>
  <si>
    <t>IC50</t>
  </si>
  <si>
    <t>GAMMA</t>
  </si>
  <si>
    <t>REF: ATUX=0</t>
  </si>
  <si>
    <t>MAX GAMMA in PAR,ATUX=0, compound</t>
  </si>
  <si>
    <t>MAX GAMMA in WT,ATUX=0, compound</t>
  </si>
  <si>
    <t>MAX GAMMA in mutant, ATUX=0, compound</t>
  </si>
  <si>
    <t>MIN GAMMA in PAR, ATUX=0, compound</t>
  </si>
  <si>
    <t>MIN GAMMA in WT, ATUX=0, compound</t>
  </si>
  <si>
    <t>MIN GAMMA in mutant, ATUX=0, compound</t>
  </si>
  <si>
    <t>lower 95%CI boundary of  GAMMAs</t>
  </si>
  <si>
    <t>upper 95%CI boundary of GAMMAs</t>
  </si>
  <si>
    <t>SE</t>
  </si>
  <si>
    <t>RSE</t>
  </si>
  <si>
    <t>95% CI</t>
  </si>
  <si>
    <t>MAX</t>
  </si>
  <si>
    <t>MIN</t>
  </si>
  <si>
    <t>Effect of R183W</t>
  </si>
  <si>
    <t>REF: ATUX=3</t>
  </si>
  <si>
    <t>REF: AUX=4.5</t>
  </si>
  <si>
    <t>MAX GAMMA in PAR,AUX=4.5, compound</t>
  </si>
  <si>
    <t>MAX GAMMA in WT,AUX=4.5, compound</t>
  </si>
  <si>
    <t>MAX GAMMA in mutant, AUX=4.5, compound</t>
  </si>
  <si>
    <t>MIN GAMMA in PAR, AUX=4.5, compound</t>
  </si>
  <si>
    <t>MIN GAMMA in WT, AUX=4.5, compound</t>
  </si>
  <si>
    <t>MIN GAMMA in mutant, AUX=4.5, compound</t>
  </si>
  <si>
    <t>REF: AUX=6</t>
  </si>
  <si>
    <t>REF: AUX=3</t>
  </si>
  <si>
    <t>MAX GAMMA in PAR,AUX=3, compound</t>
  </si>
  <si>
    <t>MAX GAMMA in WT,AUX=3, compound</t>
  </si>
  <si>
    <t>MAX GAMMA in mutant, AUX=3, compound</t>
  </si>
  <si>
    <t>MIN GAMMA in PAR,  AUX=3, compound</t>
  </si>
  <si>
    <t>MIN GAMMA in WT, AUX=3, compound</t>
  </si>
  <si>
    <t>MIN GAMMA in mutant, AUX=3, compound</t>
  </si>
  <si>
    <t>MAX GAMMA in PAR,AUX=6, compound</t>
  </si>
  <si>
    <t>MAX GAMMA in WT,AUX=6, compound</t>
  </si>
  <si>
    <t>MAX GAMMA in mutant, AUX=6, compound</t>
  </si>
  <si>
    <t>MIN GAMMA in PAR, AUX=6, compound</t>
  </si>
  <si>
    <t>MIN GAMMA in WT, AUX=6, compound</t>
  </si>
  <si>
    <t>MIN GAMMA in mutant, AUX=6, compound</t>
  </si>
  <si>
    <t>×1.01 0(3.9)</t>
  </si>
  <si>
    <t>×1.190 (7.2)</t>
  </si>
  <si>
    <t>×1.870 (8.2)</t>
  </si>
  <si>
    <t>×1.060 (3.6)</t>
  </si>
  <si>
    <t>×1.230 (4.0)</t>
  </si>
  <si>
    <t>×2.370 (7.0)</t>
  </si>
  <si>
    <t>×330   (8.2)</t>
  </si>
  <si>
    <t>×1.420 (5.5)</t>
  </si>
  <si>
    <t>x0.997 (3.6)</t>
  </si>
  <si>
    <t>x0.098 (8.3)</t>
  </si>
  <si>
    <t>x0.0108 (8.2)</t>
  </si>
  <si>
    <t>x1.050 (3.0)</t>
  </si>
  <si>
    <t>x0.901 (4.8)</t>
  </si>
  <si>
    <t>x0.961 (3.9)</t>
  </si>
  <si>
    <t>x0.809 (6.7)</t>
  </si>
  <si>
    <t>x0.089 (8.3)</t>
  </si>
  <si>
    <t>x0.106 (8.4)</t>
  </si>
  <si>
    <t>x0.108 (9.4)</t>
  </si>
  <si>
    <t>x0.0082 (7.8)</t>
  </si>
  <si>
    <t>x0.0073 (7.6)</t>
  </si>
  <si>
    <t>x0.0071 (10.4)</t>
  </si>
  <si>
    <t>x0.931 (3.0)</t>
  </si>
  <si>
    <t>x1.010 (2.7)</t>
  </si>
  <si>
    <t>x0.949 (4.6)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</si>
</sst>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2"/>
      <name val="Calibri"/>
      <family val="2"/>
      <scheme val="minor"/>
    </font>
    <font>
      <b/>
      <sz val="8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0" xfId="0" applyBorder="1"/>
    <xf numFmtId="0" fontId="0" fillId="0" borderId="8" xfId="0" applyBorder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3" borderId="3" xfId="0" applyFont="1" applyFill="1" applyBorder="1"/>
    <xf numFmtId="0" fontId="4" fillId="3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5" fillId="4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/>
    <xf numFmtId="0" fontId="1" fillId="3" borderId="17" xfId="0" applyFont="1" applyFill="1" applyBorder="1"/>
    <xf numFmtId="0" fontId="5" fillId="4" borderId="2" xfId="0" applyFont="1" applyFill="1" applyBorder="1"/>
    <xf numFmtId="0" fontId="5" fillId="0" borderId="2" xfId="0" applyFont="1" applyFill="1" applyBorder="1"/>
    <xf numFmtId="0" fontId="0" fillId="5" borderId="0" xfId="0" applyFill="1"/>
    <xf numFmtId="0" fontId="0" fillId="0" borderId="0" xfId="0" applyFill="1"/>
    <xf numFmtId="0" fontId="0" fillId="0" borderId="4" xfId="0" applyFill="1" applyBorder="1"/>
    <xf numFmtId="0" fontId="1" fillId="6" borderId="18" xfId="0" applyFont="1" applyFill="1" applyBorder="1"/>
    <xf numFmtId="0" fontId="4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1" fillId="7" borderId="15" xfId="0" applyFont="1" applyFill="1" applyBorder="1"/>
    <xf numFmtId="0" fontId="3" fillId="0" borderId="10" xfId="0" applyFont="1" applyFill="1" applyBorder="1" applyAlignment="1">
      <alignment horizontal="center" vertical="center" wrapText="1"/>
    </xf>
    <xf numFmtId="0" fontId="0" fillId="9" borderId="19" xfId="0" applyFill="1" applyBorder="1"/>
    <xf numFmtId="0" fontId="0" fillId="9" borderId="20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9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10" borderId="0" xfId="0" applyFill="1"/>
    <xf numFmtId="0" fontId="1" fillId="11" borderId="18" xfId="0" applyFont="1" applyFill="1" applyBorder="1"/>
    <xf numFmtId="0" fontId="1" fillId="12" borderId="18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4" xfId="0" applyFill="1" applyBorder="1"/>
    <xf numFmtId="0" fontId="0" fillId="9" borderId="12" xfId="0" applyFill="1" applyBorder="1"/>
    <xf numFmtId="0" fontId="0" fillId="9" borderId="7" xfId="0" applyFill="1" applyBorder="1"/>
    <xf numFmtId="0" fontId="0" fillId="9" borderId="3" xfId="0" applyFill="1" applyBorder="1"/>
    <xf numFmtId="0" fontId="0" fillId="7" borderId="0" xfId="0" applyFill="1"/>
    <xf numFmtId="0" fontId="0" fillId="0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53" zoomScale="90" zoomScaleNormal="90" workbookViewId="0">
      <selection activeCell="E20" sqref="E20"/>
    </sheetView>
  </sheetViews>
  <sheetFormatPr defaultColWidth="10.69921875" defaultRowHeight="15.6" x14ac:dyDescent="0.3"/>
  <cols>
    <col min="1" max="1" width="39.19921875" customWidth="1"/>
    <col min="2" max="2" width="19.796875" customWidth="1"/>
    <col min="3" max="3" width="25.19921875" customWidth="1"/>
    <col min="4" max="4" width="24.19921875" style="10" customWidth="1"/>
    <col min="5" max="5" width="22" style="10" customWidth="1"/>
    <col min="6" max="6" width="23.796875" style="10" customWidth="1"/>
    <col min="7" max="7" width="23" style="10" customWidth="1"/>
    <col min="8" max="23" width="10.796875" style="10" customWidth="1"/>
  </cols>
  <sheetData>
    <row r="1" spans="1:24" s="2" customFormat="1" ht="16.2" thickBot="1" x14ac:dyDescent="0.35">
      <c r="A1" s="16" t="s">
        <v>1</v>
      </c>
      <c r="B1" s="17" t="s">
        <v>20</v>
      </c>
      <c r="C1" s="17" t="s">
        <v>0</v>
      </c>
      <c r="D1" s="34" t="s">
        <v>6</v>
      </c>
      <c r="E1" s="34" t="s">
        <v>21</v>
      </c>
      <c r="F1" s="34" t="s">
        <v>22</v>
      </c>
      <c r="G1" s="34" t="s">
        <v>29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4" x14ac:dyDescent="0.3">
      <c r="A2" s="16" t="s">
        <v>2</v>
      </c>
      <c r="B2" s="18" t="s">
        <v>43</v>
      </c>
      <c r="C2" s="6" t="s">
        <v>47</v>
      </c>
      <c r="D2" s="14" t="s">
        <v>51</v>
      </c>
      <c r="E2" s="14" t="s">
        <v>55</v>
      </c>
      <c r="F2" s="14" t="s">
        <v>56</v>
      </c>
      <c r="G2" s="14" t="s">
        <v>57</v>
      </c>
    </row>
    <row r="3" spans="1:24" x14ac:dyDescent="0.3">
      <c r="A3" s="16" t="s">
        <v>3</v>
      </c>
      <c r="B3" s="19" t="s">
        <v>44</v>
      </c>
      <c r="C3" s="5" t="s">
        <v>48</v>
      </c>
      <c r="D3" s="14" t="s">
        <v>52</v>
      </c>
      <c r="E3" s="14" t="s">
        <v>58</v>
      </c>
      <c r="F3" s="14" t="s">
        <v>59</v>
      </c>
      <c r="G3" s="14" t="s">
        <v>60</v>
      </c>
    </row>
    <row r="4" spans="1:24" x14ac:dyDescent="0.3">
      <c r="A4" s="16" t="s">
        <v>4</v>
      </c>
      <c r="B4" s="19" t="s">
        <v>45</v>
      </c>
      <c r="C4" s="5" t="s">
        <v>49</v>
      </c>
      <c r="D4" s="14" t="s">
        <v>53</v>
      </c>
      <c r="E4" s="14" t="s">
        <v>61</v>
      </c>
      <c r="F4" s="14" t="s">
        <v>62</v>
      </c>
      <c r="G4" s="14" t="s">
        <v>63</v>
      </c>
    </row>
    <row r="5" spans="1:24" ht="16.2" thickBot="1" x14ac:dyDescent="0.35">
      <c r="A5" s="16" t="s">
        <v>5</v>
      </c>
      <c r="B5" s="20" t="s">
        <v>46</v>
      </c>
      <c r="C5" s="15" t="s">
        <v>50</v>
      </c>
      <c r="D5" s="14" t="s">
        <v>54</v>
      </c>
      <c r="E5" s="14" t="s">
        <v>64</v>
      </c>
      <c r="F5" s="14" t="s">
        <v>65</v>
      </c>
      <c r="G5" s="38" t="s">
        <v>66</v>
      </c>
    </row>
    <row r="6" spans="1:24" ht="16.2" thickBot="1" x14ac:dyDescent="0.35">
      <c r="B6" s="1"/>
      <c r="C6" s="1"/>
    </row>
    <row r="7" spans="1:24" s="7" customFormat="1" ht="16.2" thickBot="1" x14ac:dyDescent="0.35">
      <c r="A7" s="16" t="s">
        <v>1</v>
      </c>
      <c r="B7" s="17" t="s">
        <v>20</v>
      </c>
      <c r="C7" s="17" t="s">
        <v>0</v>
      </c>
      <c r="D7" s="35" t="s">
        <v>6</v>
      </c>
      <c r="E7" s="36" t="s">
        <v>21</v>
      </c>
      <c r="F7" s="36" t="s">
        <v>22</v>
      </c>
      <c r="G7" s="36" t="s">
        <v>29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</row>
    <row r="8" spans="1:24" x14ac:dyDescent="0.3">
      <c r="A8" s="16" t="s">
        <v>2</v>
      </c>
      <c r="B8" s="12" t="str">
        <f>MID(B2,2,5)</f>
        <v xml:space="preserve">1.01 </v>
      </c>
      <c r="C8" s="12" t="str">
        <f t="shared" ref="C8:G8" si="0">MID(C2,2,5)</f>
        <v>1.230</v>
      </c>
      <c r="D8" s="13" t="str">
        <f t="shared" si="0"/>
        <v>0.997</v>
      </c>
      <c r="E8" s="13" t="str">
        <f t="shared" si="0"/>
        <v>0.901</v>
      </c>
      <c r="F8" s="13" t="str">
        <f t="shared" si="0"/>
        <v>0.961</v>
      </c>
      <c r="G8" s="13" t="str">
        <f t="shared" si="0"/>
        <v>0.809</v>
      </c>
    </row>
    <row r="9" spans="1:24" x14ac:dyDescent="0.3">
      <c r="A9" s="16" t="s">
        <v>3</v>
      </c>
      <c r="B9" s="12" t="str">
        <f t="shared" ref="B9:G9" si="1">MID(B3,2,5)</f>
        <v>1.190</v>
      </c>
      <c r="C9" s="12" t="str">
        <f t="shared" si="1"/>
        <v>2.370</v>
      </c>
      <c r="D9" s="13" t="str">
        <f t="shared" si="1"/>
        <v>0.098</v>
      </c>
      <c r="E9" s="13" t="str">
        <f t="shared" si="1"/>
        <v>0.089</v>
      </c>
      <c r="F9" s="13" t="str">
        <f t="shared" si="1"/>
        <v>0.106</v>
      </c>
      <c r="G9" s="13" t="str">
        <f t="shared" si="1"/>
        <v>0.108</v>
      </c>
    </row>
    <row r="10" spans="1:24" x14ac:dyDescent="0.3">
      <c r="A10" s="16" t="s">
        <v>4</v>
      </c>
      <c r="B10" s="12" t="str">
        <f t="shared" ref="B10:G10" si="2">MID(B4,2,5)</f>
        <v>1.870</v>
      </c>
      <c r="C10" s="12" t="str">
        <f t="shared" si="2"/>
        <v xml:space="preserve">330  </v>
      </c>
      <c r="D10" s="13" t="str">
        <f>MID(D4,2,6)</f>
        <v>0.0108</v>
      </c>
      <c r="E10" s="13" t="str">
        <f>MID(E4,2,6)</f>
        <v>0.0082</v>
      </c>
      <c r="F10" s="13" t="str">
        <f>MID(F4,2,6)</f>
        <v>0.0073</v>
      </c>
      <c r="G10" s="13" t="str">
        <f>MID(G4,2,6)</f>
        <v>0.0071</v>
      </c>
    </row>
    <row r="11" spans="1:24" s="4" customFormat="1" ht="16.2" thickBot="1" x14ac:dyDescent="0.35">
      <c r="A11" s="16" t="s">
        <v>5</v>
      </c>
      <c r="B11" s="4" t="str">
        <f t="shared" ref="B11:G11" si="3">MID(B5,2,5)</f>
        <v>1.060</v>
      </c>
      <c r="C11" s="4" t="str">
        <f t="shared" si="3"/>
        <v>1.420</v>
      </c>
      <c r="D11" s="13" t="str">
        <f t="shared" si="3"/>
        <v>1.050</v>
      </c>
      <c r="E11" s="13" t="str">
        <f t="shared" si="3"/>
        <v>0.931</v>
      </c>
      <c r="F11" s="13" t="str">
        <f t="shared" si="3"/>
        <v>1.010</v>
      </c>
      <c r="G11" s="13" t="str">
        <f t="shared" si="3"/>
        <v>0.949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4" ht="16.2" thickBot="1" x14ac:dyDescent="0.35"/>
    <row r="13" spans="1:24" s="2" customFormat="1" ht="16.2" thickBot="1" x14ac:dyDescent="0.35">
      <c r="A13" s="16" t="s">
        <v>1</v>
      </c>
      <c r="B13" s="16" t="str">
        <f>_xlfn.CONCAT("RSE: ", B7)</f>
        <v>RSE: Effect of R183W</v>
      </c>
      <c r="C13" s="16" t="str">
        <f t="shared" ref="C13" si="4">_xlfn.CONCAT("RSE: ", C7)</f>
        <v>RSE: Effect of Erlotinib</v>
      </c>
      <c r="D13" s="35" t="s">
        <v>6</v>
      </c>
      <c r="E13" s="36" t="s">
        <v>30</v>
      </c>
      <c r="F13" s="36" t="s">
        <v>22</v>
      </c>
      <c r="G13" s="36" t="s">
        <v>29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4" x14ac:dyDescent="0.3">
      <c r="A14" s="16" t="s">
        <v>2</v>
      </c>
      <c r="B14" s="12" t="str">
        <f>MID(B2,9,3)</f>
        <v>3.9</v>
      </c>
      <c r="C14" s="12" t="str">
        <f t="shared" ref="C14:G14" si="5">MID(C2,9,3)</f>
        <v>4.0</v>
      </c>
      <c r="D14" s="13" t="str">
        <f t="shared" si="5"/>
        <v>3.6</v>
      </c>
      <c r="E14" s="13" t="str">
        <f t="shared" si="5"/>
        <v>4.8</v>
      </c>
      <c r="F14" s="13" t="str">
        <f t="shared" si="5"/>
        <v>3.9</v>
      </c>
      <c r="G14" s="13" t="str">
        <f t="shared" si="5"/>
        <v>6.7</v>
      </c>
    </row>
    <row r="15" spans="1:24" x14ac:dyDescent="0.3">
      <c r="A15" s="16" t="s">
        <v>3</v>
      </c>
      <c r="B15" s="12" t="str">
        <f t="shared" ref="B15:G15" si="6">MID(B3,9,3)</f>
        <v>7.2</v>
      </c>
      <c r="C15" s="12" t="str">
        <f t="shared" si="6"/>
        <v>7.0</v>
      </c>
      <c r="D15" s="13" t="str">
        <f t="shared" si="6"/>
        <v>8.3</v>
      </c>
      <c r="E15" s="13" t="str">
        <f t="shared" si="6"/>
        <v>8.3</v>
      </c>
      <c r="F15" s="13" t="str">
        <f t="shared" si="6"/>
        <v>8.4</v>
      </c>
      <c r="G15" s="13" t="str">
        <f t="shared" si="6"/>
        <v>9.4</v>
      </c>
    </row>
    <row r="16" spans="1:24" x14ac:dyDescent="0.3">
      <c r="A16" s="16" t="s">
        <v>4</v>
      </c>
      <c r="B16" s="12" t="str">
        <f t="shared" ref="B16:G16" si="7">MID(B4,9,3)</f>
        <v>8.2</v>
      </c>
      <c r="C16" s="12" t="str">
        <f t="shared" si="7"/>
        <v>8.2</v>
      </c>
      <c r="D16" s="13" t="str">
        <f>MID(D4,10,3)</f>
        <v>8.2</v>
      </c>
      <c r="E16" s="13" t="str">
        <f>MID(E4,10,3)</f>
        <v>7.8</v>
      </c>
      <c r="F16" s="13" t="str">
        <f>MID(F4,10,3)</f>
        <v>7.6</v>
      </c>
      <c r="G16" s="13" t="str">
        <f>MID(G4,10,4)</f>
        <v>10.4</v>
      </c>
    </row>
    <row r="17" spans="1:23" s="4" customFormat="1" ht="16.2" thickBot="1" x14ac:dyDescent="0.35">
      <c r="A17" s="16" t="s">
        <v>5</v>
      </c>
      <c r="B17" s="4" t="str">
        <f t="shared" ref="B17:G17" si="8">MID(B5,9,3)</f>
        <v>3.6</v>
      </c>
      <c r="C17" s="4" t="str">
        <f t="shared" si="8"/>
        <v>5.5</v>
      </c>
      <c r="D17" s="13" t="str">
        <f t="shared" si="8"/>
        <v>3.0</v>
      </c>
      <c r="E17" s="13" t="str">
        <f t="shared" si="8"/>
        <v>3.0</v>
      </c>
      <c r="F17" s="13" t="str">
        <f t="shared" si="8"/>
        <v>2.7</v>
      </c>
      <c r="G17" s="13" t="str">
        <f t="shared" si="8"/>
        <v>4.6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6.2" thickBot="1" x14ac:dyDescent="0.35"/>
    <row r="19" spans="1:23" s="3" customFormat="1" ht="16.2" thickBot="1" x14ac:dyDescent="0.35">
      <c r="A19" s="16" t="s">
        <v>1</v>
      </c>
      <c r="B19" s="16" t="str">
        <f>_xlfn.CONCAT("SE: ", B7)</f>
        <v>SE: Effect of R183W</v>
      </c>
      <c r="C19" s="16" t="str">
        <f t="shared" ref="C19" si="9">_xlfn.CONCAT("SE: ", C7)</f>
        <v>SE: Effect of Erlotinib</v>
      </c>
      <c r="D19" s="35" t="s">
        <v>6</v>
      </c>
      <c r="E19" s="36" t="s">
        <v>30</v>
      </c>
      <c r="F19" s="36" t="s">
        <v>22</v>
      </c>
      <c r="G19" s="36" t="s">
        <v>29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3">
      <c r="A20" s="16" t="s">
        <v>2</v>
      </c>
      <c r="B20" s="12">
        <f>B8*B14*0.01</f>
        <v>3.9390000000000001E-2</v>
      </c>
      <c r="C20" s="12">
        <f t="shared" ref="C20:G20" si="10">C8*C14*0.01</f>
        <v>4.9200000000000001E-2</v>
      </c>
      <c r="D20" s="13">
        <f t="shared" si="10"/>
        <v>3.5892E-2</v>
      </c>
      <c r="E20" s="13">
        <f t="shared" si="10"/>
        <v>4.3248000000000002E-2</v>
      </c>
      <c r="F20" s="13">
        <f t="shared" si="10"/>
        <v>3.7478999999999998E-2</v>
      </c>
      <c r="G20" s="13">
        <f t="shared" si="10"/>
        <v>5.4203000000000001E-2</v>
      </c>
    </row>
    <row r="21" spans="1:23" x14ac:dyDescent="0.3">
      <c r="A21" s="16" t="s">
        <v>3</v>
      </c>
      <c r="B21" s="12">
        <f t="shared" ref="B21:G21" si="11">B9*B15*0.01</f>
        <v>8.5679999999999992E-2</v>
      </c>
      <c r="C21" s="12">
        <f t="shared" si="11"/>
        <v>0.16589999999999999</v>
      </c>
      <c r="D21" s="13">
        <f t="shared" si="11"/>
        <v>8.1340000000000006E-3</v>
      </c>
      <c r="E21" s="13">
        <f t="shared" si="11"/>
        <v>7.3870000000000003E-3</v>
      </c>
      <c r="F21" s="13">
        <f t="shared" si="11"/>
        <v>8.9040000000000005E-3</v>
      </c>
      <c r="G21" s="13">
        <f t="shared" si="11"/>
        <v>1.0152000000000001E-2</v>
      </c>
    </row>
    <row r="22" spans="1:23" ht="16.95" customHeight="1" x14ac:dyDescent="0.3">
      <c r="A22" s="16" t="s">
        <v>4</v>
      </c>
      <c r="B22" s="12">
        <f t="shared" ref="B22:G22" si="12">B10*B16*0.01</f>
        <v>0.15334</v>
      </c>
      <c r="C22" s="12">
        <f t="shared" si="12"/>
        <v>27.059999999999995</v>
      </c>
      <c r="D22" s="13">
        <f t="shared" si="12"/>
        <v>8.8560000000000006E-4</v>
      </c>
      <c r="E22" s="13">
        <f t="shared" si="12"/>
        <v>6.3960000000000004E-4</v>
      </c>
      <c r="F22" s="13">
        <f t="shared" si="12"/>
        <v>5.5479999999999993E-4</v>
      </c>
      <c r="G22" s="13">
        <f t="shared" si="12"/>
        <v>7.3840000000000006E-4</v>
      </c>
    </row>
    <row r="23" spans="1:23" s="4" customFormat="1" ht="16.2" thickBot="1" x14ac:dyDescent="0.35">
      <c r="A23" s="16" t="s">
        <v>5</v>
      </c>
      <c r="B23" s="4">
        <f t="shared" ref="B23:G23" si="13">B11*B17*0.01</f>
        <v>3.8160000000000006E-2</v>
      </c>
      <c r="C23" s="4">
        <f t="shared" si="13"/>
        <v>7.8100000000000003E-2</v>
      </c>
      <c r="D23" s="13">
        <f t="shared" si="13"/>
        <v>3.1500000000000007E-2</v>
      </c>
      <c r="E23" s="13">
        <f t="shared" si="13"/>
        <v>2.7930000000000003E-2</v>
      </c>
      <c r="F23" s="13">
        <f t="shared" si="13"/>
        <v>2.7270000000000003E-2</v>
      </c>
      <c r="G23" s="13">
        <f t="shared" si="13"/>
        <v>4.3653999999999991E-2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6.2" thickBot="1" x14ac:dyDescent="0.35"/>
    <row r="25" spans="1:23" x14ac:dyDescent="0.3">
      <c r="A25" s="21" t="s">
        <v>1</v>
      </c>
      <c r="B25" s="22" t="str">
        <f>_xlfn.CONCAT("95%CI: ",B7)</f>
        <v>95%CI: Effect of R183W</v>
      </c>
      <c r="C25" s="22" t="str">
        <f t="shared" ref="C25" si="14">_xlfn.CONCAT("95%CI: ",C7)</f>
        <v>95%CI: Effect of Erlotinib</v>
      </c>
      <c r="D25" s="35" t="s">
        <v>6</v>
      </c>
      <c r="E25" s="36" t="s">
        <v>30</v>
      </c>
      <c r="F25" s="36" t="s">
        <v>22</v>
      </c>
      <c r="G25" s="36" t="s">
        <v>29</v>
      </c>
    </row>
    <row r="26" spans="1:23" x14ac:dyDescent="0.3">
      <c r="A26" s="23" t="s">
        <v>2</v>
      </c>
      <c r="B26" s="24" t="str">
        <f>"("&amp;(B8-1.96*B20)&amp;" , "&amp;(B8+1.96*B20)&amp;")"</f>
        <v>(0.9327956 , 1.0872044)</v>
      </c>
      <c r="C26" s="24" t="str">
        <f t="shared" ref="C26:G26" si="15">"("&amp;(C8-1.96*C20)&amp;" , "&amp;(C8+1.96*C20)&amp;")"</f>
        <v>(1.133568 , 1.326432)</v>
      </c>
      <c r="D26" s="26" t="str">
        <f t="shared" si="15"/>
        <v>(0.92665168 , 1.06734832)</v>
      </c>
      <c r="E26" s="26" t="str">
        <f t="shared" si="15"/>
        <v>(0.81623392 , 0.98576608)</v>
      </c>
      <c r="F26" s="26" t="str">
        <f t="shared" si="15"/>
        <v>(0.88754116 , 1.03445884)</v>
      </c>
      <c r="G26" s="26" t="str">
        <f t="shared" si="15"/>
        <v>(0.70276212 , 0.91523788)</v>
      </c>
    </row>
    <row r="27" spans="1:23" x14ac:dyDescent="0.3">
      <c r="A27" s="23" t="s">
        <v>3</v>
      </c>
      <c r="B27" s="25" t="str">
        <f t="shared" ref="B27:G27" si="16">"("&amp;(B9-1.96*B21)&amp;" , "&amp;(B9+1.96*B21)&amp;")"</f>
        <v>(1.0220672 , 1.3579328)</v>
      </c>
      <c r="C27" s="25" t="str">
        <f t="shared" si="16"/>
        <v>(2.044836 , 2.695164)</v>
      </c>
      <c r="D27" s="26" t="str">
        <f t="shared" si="16"/>
        <v>(0.08205736 , 0.11394264)</v>
      </c>
      <c r="E27" s="26" t="str">
        <f t="shared" si="16"/>
        <v>(0.07452148 , 0.10347852)</v>
      </c>
      <c r="F27" s="26" t="str">
        <f t="shared" si="16"/>
        <v>(0.08854816 , 0.12345184)</v>
      </c>
      <c r="G27" s="26" t="str">
        <f t="shared" si="16"/>
        <v>(0.08810208 , 0.12789792)</v>
      </c>
    </row>
    <row r="28" spans="1:23" x14ac:dyDescent="0.3">
      <c r="A28" s="23" t="s">
        <v>4</v>
      </c>
      <c r="B28" s="24" t="str">
        <f t="shared" ref="B28:G28" si="17">"("&amp;(B10-1.96*B22)&amp;" , "&amp;(B10+1.96*B22)&amp;")"</f>
        <v>(1.5694536 , 2.1705464)</v>
      </c>
      <c r="C28" s="25" t="str">
        <f t="shared" si="17"/>
        <v>(276.9624 , 383.0376)</v>
      </c>
      <c r="D28" s="26" t="str">
        <f t="shared" si="17"/>
        <v>(0.009064224 , 0.012535776)</v>
      </c>
      <c r="E28" s="26" t="str">
        <f t="shared" si="17"/>
        <v>(0.006946384 , 0.009453616)</v>
      </c>
      <c r="F28" s="26" t="str">
        <f t="shared" si="17"/>
        <v>(0.006212592 , 0.008387408)</v>
      </c>
      <c r="G28" s="26" t="str">
        <f t="shared" si="17"/>
        <v>(0.005652736 , 0.008547264)</v>
      </c>
    </row>
    <row r="29" spans="1:23" ht="16.2" thickBot="1" x14ac:dyDescent="0.35">
      <c r="A29" s="27" t="s">
        <v>5</v>
      </c>
      <c r="B29" s="28" t="str">
        <f t="shared" ref="B29:G29" si="18">"("&amp;(B11-1.96*B23)&amp;" , "&amp;(B11+1.96*B23)&amp;")"</f>
        <v>(0.9852064 , 1.1347936)</v>
      </c>
      <c r="C29" s="29" t="str">
        <f t="shared" si="18"/>
        <v>(1.266924 , 1.573076)</v>
      </c>
      <c r="D29" s="26" t="str">
        <f t="shared" si="18"/>
        <v>(0.98826 , 1.11174)</v>
      </c>
      <c r="E29" s="26" t="str">
        <f t="shared" si="18"/>
        <v>(0.8762572 , 0.9857428)</v>
      </c>
      <c r="F29" s="26" t="str">
        <f t="shared" si="18"/>
        <v>(0.9565508 , 1.0634492)</v>
      </c>
      <c r="G29" s="26" t="str">
        <f t="shared" si="18"/>
        <v>(0.86343816 , 1.03456184)</v>
      </c>
    </row>
    <row r="30" spans="1:23" ht="16.2" thickBot="1" x14ac:dyDescent="0.35"/>
    <row r="31" spans="1:23" x14ac:dyDescent="0.3">
      <c r="A31" s="21" t="s">
        <v>1</v>
      </c>
      <c r="B31" s="22" t="str">
        <f>_xlfn.CONCAT("MAX: ",B1)</f>
        <v>MAX: Effect of R183W</v>
      </c>
      <c r="C31" s="22" t="str">
        <f t="shared" ref="C31:G31" si="19">_xlfn.CONCAT("MAX: ",C1)</f>
        <v>MAX: Effect of Erlotinib</v>
      </c>
      <c r="D31" s="37" t="str">
        <f t="shared" si="19"/>
        <v>MAX: REF: ATUX=0</v>
      </c>
      <c r="E31" s="37" t="str">
        <f t="shared" si="19"/>
        <v>MAX: REF: ATUX=3</v>
      </c>
      <c r="F31" s="37" t="str">
        <f t="shared" si="19"/>
        <v>MAX: REF: AUX=4.5</v>
      </c>
      <c r="G31" s="37" t="str">
        <f t="shared" si="19"/>
        <v>MAX: REF: AUX=6</v>
      </c>
    </row>
    <row r="32" spans="1:23" x14ac:dyDescent="0.3">
      <c r="A32" s="23" t="s">
        <v>2</v>
      </c>
      <c r="B32">
        <f>B8+1.96*B20</f>
        <v>1.0872044000000001</v>
      </c>
      <c r="C32">
        <f t="shared" ref="C32:G32" si="20">C8+1.96*C20</f>
        <v>1.3264320000000001</v>
      </c>
      <c r="D32">
        <f t="shared" si="20"/>
        <v>1.06734832</v>
      </c>
      <c r="E32">
        <f t="shared" si="20"/>
        <v>0.98576607999999999</v>
      </c>
      <c r="F32">
        <f t="shared" si="20"/>
        <v>1.0344588399999999</v>
      </c>
      <c r="G32">
        <f t="shared" si="20"/>
        <v>0.91523788000000006</v>
      </c>
    </row>
    <row r="33" spans="1:8" x14ac:dyDescent="0.3">
      <c r="A33" s="23" t="s">
        <v>3</v>
      </c>
      <c r="B33">
        <f t="shared" ref="B33:G35" si="21">B9+1.96*B21</f>
        <v>1.3579327999999999</v>
      </c>
      <c r="C33">
        <f t="shared" si="21"/>
        <v>2.6951640000000001</v>
      </c>
      <c r="D33">
        <f t="shared" si="21"/>
        <v>0.11394264000000001</v>
      </c>
      <c r="E33">
        <f t="shared" si="21"/>
        <v>0.10347851999999999</v>
      </c>
      <c r="F33">
        <f t="shared" si="21"/>
        <v>0.12345183999999999</v>
      </c>
      <c r="G33">
        <f t="shared" si="21"/>
        <v>0.12789792</v>
      </c>
    </row>
    <row r="34" spans="1:8" x14ac:dyDescent="0.3">
      <c r="A34" s="23" t="s">
        <v>4</v>
      </c>
      <c r="B34">
        <f t="shared" si="21"/>
        <v>2.1705464000000001</v>
      </c>
      <c r="C34">
        <f t="shared" si="21"/>
        <v>383.0376</v>
      </c>
      <c r="D34">
        <f t="shared" si="21"/>
        <v>1.2535776E-2</v>
      </c>
      <c r="E34">
        <f t="shared" si="21"/>
        <v>9.4536160000000015E-3</v>
      </c>
      <c r="F34">
        <f t="shared" si="21"/>
        <v>8.387407999999999E-3</v>
      </c>
      <c r="G34">
        <f t="shared" si="21"/>
        <v>8.5472640000000006E-3</v>
      </c>
    </row>
    <row r="35" spans="1:8" ht="16.2" thickBot="1" x14ac:dyDescent="0.35">
      <c r="A35" s="27" t="s">
        <v>5</v>
      </c>
      <c r="B35">
        <f t="shared" si="21"/>
        <v>1.1347936000000001</v>
      </c>
      <c r="C35">
        <f t="shared" si="21"/>
        <v>1.5730759999999999</v>
      </c>
      <c r="D35">
        <f t="shared" si="21"/>
        <v>1.11174</v>
      </c>
      <c r="E35">
        <f t="shared" si="21"/>
        <v>0.98574280000000003</v>
      </c>
      <c r="F35">
        <f t="shared" si="21"/>
        <v>1.0634492</v>
      </c>
      <c r="G35" s="31">
        <f t="shared" si="21"/>
        <v>1.0345618399999998</v>
      </c>
    </row>
    <row r="36" spans="1:8" x14ac:dyDescent="0.3">
      <c r="A36" s="33" t="s">
        <v>37</v>
      </c>
      <c r="B36" s="59" t="s">
        <v>14</v>
      </c>
      <c r="C36" s="45">
        <f>C35*4.389216</f>
        <v>6.9045703484159997</v>
      </c>
      <c r="D36" s="39">
        <f t="shared" ref="D36:G36" si="22">D35*4.389216</f>
        <v>4.8796669958400001</v>
      </c>
      <c r="E36" s="39">
        <f t="shared" si="22"/>
        <v>4.3266380696448001</v>
      </c>
      <c r="F36" s="39">
        <f t="shared" si="22"/>
        <v>4.6677082438272004</v>
      </c>
      <c r="G36" s="40">
        <f t="shared" si="22"/>
        <v>4.5409153811174399</v>
      </c>
      <c r="H36" s="11"/>
    </row>
    <row r="37" spans="1:8" x14ac:dyDescent="0.3">
      <c r="A37" s="33" t="s">
        <v>23</v>
      </c>
      <c r="B37" s="59"/>
      <c r="C37" s="46">
        <f>C35*5.1272944</f>
        <v>8.0656237655744007</v>
      </c>
      <c r="D37" s="41">
        <f t="shared" ref="D37:G37" si="23">D35*5.1272944</f>
        <v>5.7002182762559999</v>
      </c>
      <c r="E37" s="41">
        <f t="shared" si="23"/>
        <v>5.0541935382803205</v>
      </c>
      <c r="F37" s="41">
        <f t="shared" si="23"/>
        <v>5.4526171278444799</v>
      </c>
      <c r="G37" s="42">
        <f t="shared" si="23"/>
        <v>5.3045031286856954</v>
      </c>
      <c r="H37" s="11"/>
    </row>
    <row r="38" spans="1:8" x14ac:dyDescent="0.3">
      <c r="A38" s="33" t="s">
        <v>31</v>
      </c>
      <c r="B38" s="59"/>
      <c r="C38" s="46">
        <f>C35*5.4376432</f>
        <v>8.5538260144831995</v>
      </c>
      <c r="D38" s="41">
        <f t="shared" ref="D38:G38" si="24">D35*5.4376432</f>
        <v>6.0452454511680003</v>
      </c>
      <c r="E38" s="41">
        <f t="shared" si="24"/>
        <v>5.3601176333689606</v>
      </c>
      <c r="F38" s="41">
        <f t="shared" si="24"/>
        <v>5.7826573109254404</v>
      </c>
      <c r="G38" s="42">
        <f t="shared" si="24"/>
        <v>5.6255781542554875</v>
      </c>
      <c r="H38" s="11"/>
    </row>
    <row r="39" spans="1:8" ht="16.2" thickBot="1" x14ac:dyDescent="0.35">
      <c r="A39" s="33" t="s">
        <v>7</v>
      </c>
      <c r="B39" s="59"/>
      <c r="C39" s="47">
        <f>6.1392256*C35</f>
        <v>9.6574684499455987</v>
      </c>
      <c r="D39" s="43">
        <f t="shared" ref="D39:G39" si="25">6.1392256*D35</f>
        <v>6.8252226685439989</v>
      </c>
      <c r="E39" s="43">
        <f t="shared" si="25"/>
        <v>6.0516974327756801</v>
      </c>
      <c r="F39" s="43">
        <f t="shared" si="25"/>
        <v>6.5287545529395192</v>
      </c>
      <c r="G39" s="44">
        <f t="shared" si="25"/>
        <v>6.351408532911103</v>
      </c>
      <c r="H39" s="11"/>
    </row>
    <row r="40" spans="1:8" x14ac:dyDescent="0.3">
      <c r="A40" s="49" t="s">
        <v>38</v>
      </c>
      <c r="B40" s="59"/>
      <c r="C40">
        <f>1.0852248*C36</f>
        <v>7.4930109754456833</v>
      </c>
      <c r="D40" s="54"/>
      <c r="E40" s="54"/>
      <c r="F40" s="54"/>
      <c r="G40" s="54"/>
    </row>
    <row r="41" spans="1:8" x14ac:dyDescent="0.3">
      <c r="A41" s="49" t="s">
        <v>24</v>
      </c>
      <c r="B41" s="59"/>
      <c r="C41">
        <f t="shared" ref="C41:C43" si="26">1.0852248*C37</f>
        <v>8.7530149378707254</v>
      </c>
      <c r="D41" s="54"/>
      <c r="E41" s="54"/>
      <c r="F41" s="54"/>
      <c r="G41" s="54"/>
    </row>
    <row r="42" spans="1:8" x14ac:dyDescent="0.3">
      <c r="A42" s="49" t="s">
        <v>32</v>
      </c>
      <c r="B42" s="59"/>
      <c r="C42">
        <f t="shared" si="26"/>
        <v>9.2828241258023265</v>
      </c>
      <c r="D42" s="54"/>
      <c r="E42" s="54"/>
      <c r="F42" s="54"/>
      <c r="G42" s="54"/>
    </row>
    <row r="43" spans="1:8" ht="16.2" thickBot="1" x14ac:dyDescent="0.35">
      <c r="A43" s="49" t="s">
        <v>8</v>
      </c>
      <c r="B43" s="59"/>
      <c r="C43">
        <f t="shared" si="26"/>
        <v>10.480524267098522</v>
      </c>
      <c r="D43" s="54"/>
      <c r="E43" s="54"/>
      <c r="F43" s="54"/>
      <c r="G43" s="54"/>
    </row>
    <row r="44" spans="1:8" x14ac:dyDescent="0.3">
      <c r="A44" s="50" t="s">
        <v>39</v>
      </c>
      <c r="B44" s="59"/>
      <c r="C44" s="51">
        <f>1.1775924*C36</f>
        <v>8.1307695675600336</v>
      </c>
      <c r="D44" s="55"/>
      <c r="E44" s="54"/>
      <c r="F44" s="54"/>
      <c r="G44" s="54"/>
    </row>
    <row r="45" spans="1:8" x14ac:dyDescent="0.3">
      <c r="A45" s="50" t="s">
        <v>25</v>
      </c>
      <c r="B45" s="59"/>
      <c r="C45" s="52">
        <f t="shared" ref="C45" si="27">1.1775924*C37</f>
        <v>9.4980172475997957</v>
      </c>
      <c r="D45" s="55"/>
      <c r="E45" s="54"/>
      <c r="F45" s="54"/>
      <c r="G45" s="54"/>
    </row>
    <row r="46" spans="1:8" x14ac:dyDescent="0.3">
      <c r="A46" s="50" t="s">
        <v>33</v>
      </c>
      <c r="B46" s="59"/>
      <c r="C46" s="52">
        <f t="shared" ref="C46" si="28">1.1775924*C38</f>
        <v>10.072920505577706</v>
      </c>
      <c r="D46" s="55"/>
      <c r="E46" s="54"/>
      <c r="F46" s="54"/>
      <c r="G46" s="54"/>
    </row>
    <row r="47" spans="1:8" ht="16.2" thickBot="1" x14ac:dyDescent="0.35">
      <c r="A47" s="50" t="s">
        <v>9</v>
      </c>
      <c r="B47" s="59"/>
      <c r="C47" s="53">
        <f t="shared" ref="C47" si="29">1.1775924*C39</f>
        <v>11.372561449895718</v>
      </c>
      <c r="D47" s="55"/>
      <c r="E47" s="54"/>
      <c r="F47" s="54"/>
      <c r="G47" s="54"/>
    </row>
    <row r="48" spans="1:8" ht="16.2" thickBot="1" x14ac:dyDescent="0.35">
      <c r="D48" s="32"/>
      <c r="E48" s="32"/>
      <c r="F48" s="32"/>
      <c r="G48" s="32"/>
    </row>
    <row r="49" spans="1:7" x14ac:dyDescent="0.3">
      <c r="A49" s="21" t="s">
        <v>1</v>
      </c>
      <c r="B49" s="22" t="str">
        <f>_xlfn.CONCAT("MIN: ",B7)</f>
        <v>MIN: Effect of R183W</v>
      </c>
      <c r="C49" s="22" t="str">
        <f t="shared" ref="C49:G49" si="30">_xlfn.CONCAT("MIN: ",C7)</f>
        <v>MIN: Effect of Erlotinib</v>
      </c>
      <c r="D49" s="37" t="str">
        <f t="shared" si="30"/>
        <v>MIN: REF: ATUX=0</v>
      </c>
      <c r="E49" s="37" t="str">
        <f t="shared" si="30"/>
        <v>MIN: REF: ATUX=3</v>
      </c>
      <c r="F49" s="37" t="str">
        <f t="shared" si="30"/>
        <v>MIN: REF: AUX=4.5</v>
      </c>
      <c r="G49" s="37" t="str">
        <f t="shared" si="30"/>
        <v>MIN: REF: AUX=6</v>
      </c>
    </row>
    <row r="50" spans="1:7" x14ac:dyDescent="0.3">
      <c r="A50" s="23" t="s">
        <v>2</v>
      </c>
      <c r="B50">
        <f>B8-1.96*B20</f>
        <v>0.93279559999999995</v>
      </c>
      <c r="C50">
        <f t="shared" ref="C50:G50" si="31">C8-1.96*C20</f>
        <v>1.1335679999999999</v>
      </c>
      <c r="D50">
        <f t="shared" si="31"/>
        <v>0.92665167999999998</v>
      </c>
      <c r="E50">
        <f t="shared" si="31"/>
        <v>0.81623392000000006</v>
      </c>
      <c r="F50">
        <f t="shared" si="31"/>
        <v>0.88754115999999994</v>
      </c>
      <c r="G50">
        <f t="shared" si="31"/>
        <v>0.70276212000000005</v>
      </c>
    </row>
    <row r="51" spans="1:7" x14ac:dyDescent="0.3">
      <c r="A51" s="23" t="s">
        <v>3</v>
      </c>
      <c r="B51">
        <f>B9-1.96*B21</f>
        <v>1.0220672</v>
      </c>
      <c r="C51">
        <f t="shared" ref="C51:G51" si="32">C9-1.96*C21</f>
        <v>2.0448360000000001</v>
      </c>
      <c r="D51">
        <f t="shared" si="32"/>
        <v>8.2057359999999996E-2</v>
      </c>
      <c r="E51">
        <f t="shared" si="32"/>
        <v>7.4521480000000001E-2</v>
      </c>
      <c r="F51">
        <f t="shared" si="32"/>
        <v>8.8548160000000001E-2</v>
      </c>
      <c r="G51">
        <f t="shared" si="32"/>
        <v>8.8102079999999999E-2</v>
      </c>
    </row>
    <row r="52" spans="1:7" x14ac:dyDescent="0.3">
      <c r="A52" s="23" t="s">
        <v>4</v>
      </c>
      <c r="B52">
        <f>B10-1.96*B22</f>
        <v>1.5694536000000001</v>
      </c>
      <c r="C52">
        <f t="shared" ref="C52:G52" si="33">C10-1.96*C22</f>
        <v>276.9624</v>
      </c>
      <c r="D52">
        <f t="shared" si="33"/>
        <v>9.0642240000000009E-3</v>
      </c>
      <c r="E52">
        <f t="shared" si="33"/>
        <v>6.9463840000000008E-3</v>
      </c>
      <c r="F52">
        <f t="shared" si="33"/>
        <v>6.2125920000000003E-3</v>
      </c>
      <c r="G52">
        <f t="shared" si="33"/>
        <v>5.6527360000000002E-3</v>
      </c>
    </row>
    <row r="53" spans="1:7" ht="16.2" thickBot="1" x14ac:dyDescent="0.35">
      <c r="A53" s="27" t="s">
        <v>5</v>
      </c>
      <c r="B53">
        <f>B11-1.96*B23</f>
        <v>0.98520640000000004</v>
      </c>
      <c r="C53">
        <f t="shared" ref="C53:G53" si="34">C11-1.96*C23</f>
        <v>1.2669239999999999</v>
      </c>
      <c r="D53">
        <f t="shared" si="34"/>
        <v>0.98826000000000003</v>
      </c>
      <c r="E53">
        <f t="shared" si="34"/>
        <v>0.87625720000000007</v>
      </c>
      <c r="F53">
        <f t="shared" si="34"/>
        <v>0.95655080000000003</v>
      </c>
      <c r="G53" s="31">
        <f t="shared" si="34"/>
        <v>0.86343815999999995</v>
      </c>
    </row>
    <row r="54" spans="1:7" x14ac:dyDescent="0.3">
      <c r="A54" s="33" t="s">
        <v>40</v>
      </c>
      <c r="B54" s="59" t="s">
        <v>13</v>
      </c>
      <c r="C54" s="45">
        <f>3.410784*C53</f>
        <v>4.3212041084159996</v>
      </c>
      <c r="D54" s="56"/>
      <c r="E54" s="57"/>
      <c r="F54" s="57"/>
      <c r="G54" s="57"/>
    </row>
    <row r="55" spans="1:7" x14ac:dyDescent="0.3">
      <c r="A55" s="33" t="s">
        <v>26</v>
      </c>
      <c r="B55" s="59"/>
      <c r="C55" s="46">
        <f>3.9527056*C53</f>
        <v>5.0077775895743999</v>
      </c>
      <c r="D55" s="56"/>
      <c r="E55" s="57"/>
      <c r="F55" s="57"/>
      <c r="G55" s="57"/>
    </row>
    <row r="56" spans="1:7" x14ac:dyDescent="0.3">
      <c r="A56" s="33" t="s">
        <v>34</v>
      </c>
      <c r="B56" s="59"/>
      <c r="C56" s="46">
        <f>4.2423568*C53</f>
        <v>5.374743646483199</v>
      </c>
      <c r="D56" s="56"/>
      <c r="E56" s="57"/>
      <c r="F56" s="57"/>
      <c r="G56" s="57"/>
    </row>
    <row r="57" spans="1:7" ht="16.2" thickBot="1" x14ac:dyDescent="0.35">
      <c r="A57" s="33" t="s">
        <v>10</v>
      </c>
      <c r="B57" s="59"/>
      <c r="C57" s="47">
        <f>4.6207744*C53</f>
        <v>5.8541699859455996</v>
      </c>
      <c r="D57" s="56"/>
      <c r="E57" s="57"/>
      <c r="F57" s="57"/>
      <c r="G57" s="57"/>
    </row>
    <row r="58" spans="1:7" x14ac:dyDescent="0.3">
      <c r="A58" s="49" t="s">
        <v>41</v>
      </c>
      <c r="B58" s="59"/>
      <c r="C58">
        <f>0.9347752*C54</f>
        <v>4.0393544346853876</v>
      </c>
      <c r="D58" s="57"/>
      <c r="E58" s="57"/>
      <c r="F58" s="57"/>
      <c r="G58" s="57"/>
    </row>
    <row r="59" spans="1:7" x14ac:dyDescent="0.3">
      <c r="A59" s="49" t="s">
        <v>27</v>
      </c>
      <c r="B59" s="59"/>
      <c r="C59">
        <f t="shared" ref="C59" si="35">0.9347752*C55</f>
        <v>4.6811462978499279</v>
      </c>
      <c r="D59" s="57"/>
      <c r="E59" s="57"/>
      <c r="F59" s="57"/>
      <c r="G59" s="57"/>
    </row>
    <row r="60" spans="1:7" x14ac:dyDescent="0.3">
      <c r="A60" s="49" t="s">
        <v>35</v>
      </c>
      <c r="B60" s="59"/>
      <c r="C60">
        <f t="shared" ref="C60" si="36">0.9347752*C56</f>
        <v>5.0241770670900614</v>
      </c>
      <c r="D60" s="57"/>
      <c r="E60" s="57"/>
      <c r="F60" s="57"/>
      <c r="G60" s="57"/>
    </row>
    <row r="61" spans="1:7" ht="16.2" thickBot="1" x14ac:dyDescent="0.35">
      <c r="A61" s="49" t="s">
        <v>11</v>
      </c>
      <c r="B61" s="59"/>
      <c r="C61">
        <f t="shared" ref="C61" si="37">0.9347752*C57</f>
        <v>5.4723329194462949</v>
      </c>
      <c r="D61" s="57"/>
      <c r="E61" s="57"/>
      <c r="F61" s="57"/>
      <c r="G61" s="57"/>
    </row>
    <row r="62" spans="1:7" x14ac:dyDescent="0.3">
      <c r="A62" s="50" t="s">
        <v>42</v>
      </c>
      <c r="B62" s="59"/>
      <c r="C62" s="51">
        <f>1.0024076*C54</f>
        <v>4.3316078394274218</v>
      </c>
      <c r="D62" s="56"/>
      <c r="E62" s="57"/>
      <c r="F62" s="57"/>
      <c r="G62" s="57"/>
    </row>
    <row r="63" spans="1:7" x14ac:dyDescent="0.3">
      <c r="A63" s="50" t="s">
        <v>28</v>
      </c>
      <c r="B63" s="59"/>
      <c r="C63" s="52">
        <f t="shared" ref="C63" si="38">1.0024076*C55</f>
        <v>5.0198343148990592</v>
      </c>
      <c r="D63" s="56"/>
      <c r="E63" s="57"/>
      <c r="F63" s="57"/>
      <c r="G63" s="57"/>
    </row>
    <row r="64" spans="1:7" x14ac:dyDescent="0.3">
      <c r="A64" s="50" t="s">
        <v>36</v>
      </c>
      <c r="B64" s="59"/>
      <c r="C64" s="52">
        <f t="shared" ref="C64" si="39">1.0024076*C56</f>
        <v>5.3876838792864721</v>
      </c>
      <c r="D64" s="56"/>
      <c r="E64" s="57"/>
      <c r="F64" s="57"/>
      <c r="G64" s="57"/>
    </row>
    <row r="65" spans="1:7" ht="16.2" thickBot="1" x14ac:dyDescent="0.35">
      <c r="A65" s="50" t="s">
        <v>12</v>
      </c>
      <c r="B65" s="59"/>
      <c r="C65" s="53">
        <f t="shared" ref="C65" si="40">1.0024076*C57</f>
        <v>5.8682644856037616</v>
      </c>
      <c r="D65" s="56"/>
      <c r="E65" s="57"/>
      <c r="F65" s="57"/>
      <c r="G65" s="57"/>
    </row>
    <row r="68" spans="1:7" x14ac:dyDescent="0.3">
      <c r="B68" s="48"/>
    </row>
    <row r="69" spans="1:7" x14ac:dyDescent="0.3">
      <c r="B69" s="30"/>
    </row>
    <row r="70" spans="1:7" x14ac:dyDescent="0.3">
      <c r="B70" t="s">
        <v>16</v>
      </c>
    </row>
    <row r="71" spans="1:7" x14ac:dyDescent="0.3">
      <c r="B71" t="s">
        <v>15</v>
      </c>
    </row>
    <row r="72" spans="1:7" x14ac:dyDescent="0.3">
      <c r="B72" t="s">
        <v>17</v>
      </c>
    </row>
    <row r="73" spans="1:7" x14ac:dyDescent="0.3">
      <c r="B73" t="s">
        <v>18</v>
      </c>
    </row>
    <row r="74" spans="1:7" x14ac:dyDescent="0.3">
      <c r="B74" t="s">
        <v>19</v>
      </c>
    </row>
    <row r="75" spans="1:7" x14ac:dyDescent="0.3">
      <c r="B75" s="58"/>
    </row>
  </sheetData>
  <mergeCells count="2">
    <mergeCell ref="B36:B47"/>
    <mergeCell ref="B54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Zhigang Wang</dc:creator>
  <cp:lastModifiedBy>My Luong Vuong</cp:lastModifiedBy>
  <dcterms:created xsi:type="dcterms:W3CDTF">2022-05-02T17:36:46Z</dcterms:created>
  <dcterms:modified xsi:type="dcterms:W3CDTF">2024-06-19T13:20:42Z</dcterms:modified>
</cp:coreProperties>
</file>