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328"/>
  </bookViews>
  <sheets>
    <sheet name="Feuil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53" i="1" l="1"/>
  <c r="K59" i="1"/>
  <c r="M59" i="1"/>
  <c r="K60" i="1"/>
  <c r="M60" i="1" s="1"/>
  <c r="K18" i="1"/>
  <c r="M18" i="1"/>
  <c r="K57" i="1"/>
  <c r="K45" i="1"/>
  <c r="K25" i="1"/>
  <c r="M45" i="1"/>
  <c r="M25" i="1"/>
  <c r="M27" i="1"/>
  <c r="M31" i="1"/>
  <c r="M55" i="1"/>
  <c r="M56" i="1"/>
  <c r="M21" i="1"/>
  <c r="M34" i="1"/>
  <c r="M37" i="1"/>
  <c r="K47" i="1" l="1"/>
  <c r="K46" i="1"/>
  <c r="M58" i="1"/>
  <c r="M8" i="1"/>
  <c r="M44" i="1"/>
  <c r="M43" i="1"/>
  <c r="M50" i="1"/>
  <c r="M61" i="1"/>
  <c r="M62" i="1"/>
  <c r="M42" i="1"/>
  <c r="M54" i="1"/>
  <c r="M15" i="1"/>
  <c r="M49" i="1"/>
  <c r="M12" i="1" l="1"/>
  <c r="M29" i="1"/>
  <c r="M35" i="1"/>
  <c r="M5" i="1"/>
  <c r="M26" i="1"/>
  <c r="K41" i="1" l="1"/>
  <c r="M41" i="1" s="1"/>
  <c r="K33" i="1"/>
  <c r="M33" i="1" s="1"/>
  <c r="K36" i="1"/>
  <c r="M36" i="1" s="1"/>
  <c r="K19" i="1"/>
  <c r="M19" i="1" s="1"/>
  <c r="K30" i="1" l="1"/>
  <c r="M30" i="1" s="1"/>
  <c r="K7" i="1"/>
  <c r="M7" i="1" s="1"/>
  <c r="K6" i="1"/>
  <c r="M6" i="1" s="1"/>
  <c r="K52" i="1"/>
  <c r="M52" i="1" s="1"/>
  <c r="K40" i="1"/>
  <c r="M40" i="1" s="1"/>
  <c r="K39" i="1"/>
  <c r="M39" i="1" s="1"/>
  <c r="M20" i="1"/>
  <c r="M23" i="1"/>
  <c r="K24" i="1"/>
  <c r="M24" i="1" s="1"/>
  <c r="K17" i="1"/>
  <c r="M17" i="1" s="1"/>
  <c r="K9" i="1"/>
  <c r="M9" i="1" s="1"/>
  <c r="K11" i="1"/>
  <c r="M11" i="1" s="1"/>
  <c r="K13" i="1"/>
  <c r="K32" i="1"/>
  <c r="M32" i="1" s="1"/>
  <c r="M13" i="1"/>
  <c r="M51" i="1"/>
  <c r="M48" i="1"/>
  <c r="M3" i="1"/>
  <c r="M2" i="1"/>
  <c r="M22" i="1" l="1"/>
  <c r="M10" i="1"/>
  <c r="M16" i="1"/>
  <c r="M14" i="1"/>
  <c r="M47" i="1" l="1"/>
  <c r="M46" i="1" l="1"/>
  <c r="M57" i="1"/>
  <c r="M4" i="1"/>
  <c r="M53" i="1"/>
  <c r="M38" i="1"/>
  <c r="M28" i="1"/>
</calcChain>
</file>

<file path=xl/sharedStrings.xml><?xml version="1.0" encoding="utf-8"?>
<sst xmlns="http://schemas.openxmlformats.org/spreadsheetml/2006/main" count="602" uniqueCount="260">
  <si>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</si>
  <si>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</si>
  <si>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</si>
  <si>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</si>
  <si>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</si>
  <si>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</si>
  <si>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</si>
  <si>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</si>
  <si>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</si>
  <si>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</si>
  <si>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</si>
  <si>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</si>
  <si>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</si>
  <si>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</si>
  <si>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</si>
  <si>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</si>
  <si>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</si>
  <si>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</si>
  <si>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</si>
  <si>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</si>
  <si>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</si>
  <si>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</si>
  <si>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</si>
  <si>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</si>
  <si>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</si>
  <si>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</si>
  <si>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</si>
  <si>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</si>
  <si>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</si>
  <si>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</si>
  <si>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United Kingdom</t>
  </si>
  <si>
    <t>Poland</t>
  </si>
  <si>
    <t>South Korea</t>
  </si>
  <si>
    <t>100% Clean and Renewable Wind, Water, and Sunlight All-Sector Energy Roadmaps for 139 Countries of the World</t>
  </si>
  <si>
    <t>author_date</t>
  </si>
  <si>
    <t>Milner, 2023</t>
  </si>
  <si>
    <t>Hamilton, 2021</t>
  </si>
  <si>
    <t>Zhang, 2021</t>
  </si>
  <si>
    <t>Zhang, 2023</t>
  </si>
  <si>
    <t>Zhao, 2019</t>
  </si>
  <si>
    <t>Wang, 2020</t>
  </si>
  <si>
    <t>Barban, 2022</t>
  </si>
  <si>
    <t>Liu, 2022</t>
  </si>
  <si>
    <t>Markandya, 2018</t>
  </si>
  <si>
    <t>Vandyck, 2018</t>
  </si>
  <si>
    <t>Lin, 2023</t>
  </si>
  <si>
    <t>Rafaj, 2021</t>
  </si>
  <si>
    <t>Phillips, 2021</t>
  </si>
  <si>
    <t>Wang, 2023</t>
  </si>
  <si>
    <t>Dimitrova, 2023</t>
  </si>
  <si>
    <t>Zysk, 2020</t>
  </si>
  <si>
    <t>Sampedro, 2021</t>
  </si>
  <si>
    <t>Dimitrova, 2022</t>
  </si>
  <si>
    <t>Reis, 2022</t>
  </si>
  <si>
    <t>Sampedro, 2020</t>
  </si>
  <si>
    <t>Tang, 2022</t>
  </si>
  <si>
    <t>Qu, 2020</t>
  </si>
  <si>
    <t>Ma, 2023</t>
  </si>
  <si>
    <t>Xie, 2021</t>
  </si>
  <si>
    <t>Jacobson, 2017</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</si>
  <si>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</si>
  <si>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</si>
  <si>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</si>
  <si>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</si>
  <si>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</si>
  <si>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</si>
  <si>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</si>
  <si>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</si>
  <si>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</si>
  <si>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</si>
  <si>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</si>
  <si>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</si>
  <si>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</si>
  <si>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</si>
  <si>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</si>
  <si>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</si>
  <si>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</si>
  <si>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</si>
  <si>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</si>
  <si>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Temporal and spatial distribution of health, labor,and crop benefits of climate change mitigation inthe United States</t>
  </si>
  <si>
    <t>Shindell, 2020</t>
  </si>
  <si>
    <t>USA</t>
  </si>
  <si>
    <t>The Health Impact and External Cost of Electricity Production</t>
  </si>
  <si>
    <t>Zysk, 2021</t>
  </si>
  <si>
    <t>Xing, 2020</t>
  </si>
  <si>
    <t>Nawaz, 2022</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</si>
  <si>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</si>
  <si>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</si>
  <si>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</si>
  <si>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</si>
  <si>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</si>
  <si>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</si>
  <si>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</si>
  <si>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</si>
  <si>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</si>
  <si>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</si>
  <si>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</si>
  <si>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Climate policies can help resolve energy security and air pollution challenges</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</si>
  <si>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</si>
  <si>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</si>
  <si>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</si>
  <si>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</si>
  <si>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</si>
  <si>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</si>
  <si>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</si>
  <si>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Population included at baseline (million), banque mondiale</t>
  </si>
  <si>
    <t>rank_pop</t>
  </si>
  <si>
    <t>The contribution of emission sources to the future air pollution disease burden in China</t>
  </si>
  <si>
    <t>Conibear, 2022</t>
  </si>
  <si>
    <t>A tale of two cities: Comparison of impacts on CO2 emissions, the indoor environment and health of home energy efficiency strategies in London and Milton Keynes</t>
  </si>
  <si>
    <t>Shrubsole, 2015</t>
  </si>
  <si>
    <t>London &amp; Milton keynes, UK</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</si>
  <si>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</si>
  <si>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</si>
  <si>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</si>
  <si>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</si>
  <si>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</si>
  <si>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</si>
  <si>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1 432 (2040)</t>
  </si>
  <si>
    <t>Cumulatif 2010-2050</t>
  </si>
  <si>
    <t>Cumulatif 2020-2050</t>
  </si>
  <si>
    <t>12 100 / 2 800</t>
  </si>
  <si>
    <t>no data</t>
  </si>
  <si>
    <t>n_death</t>
  </si>
  <si>
    <t>mortality_proj</t>
  </si>
  <si>
    <t>Li, 2019</t>
  </si>
  <si>
    <t>Air Quality Improvement Co-benefits of Low-Carbon Pathways toward Well Below the 2 °C Climate Target in China</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</si>
  <si>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</si>
  <si>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</si>
  <si>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</si>
  <si>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</si>
  <si>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</si>
  <si>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scenario</t>
  </si>
  <si>
    <t>scenario_cat</t>
  </si>
  <si>
    <t>all available</t>
  </si>
  <si>
    <t>energy decarbonation</t>
  </si>
  <si>
    <t>bioenergy limitation</t>
  </si>
  <si>
    <t>sufficiency</t>
  </si>
  <si>
    <t>low CCS</t>
  </si>
  <si>
    <t>nuclear phase-out</t>
  </si>
  <si>
    <t>scenario_yr</t>
  </si>
  <si>
    <t>2°C</t>
  </si>
  <si>
    <t>1.5°C</t>
  </si>
  <si>
    <t>2°C_coal_plant</t>
  </si>
  <si>
    <t>1.5°C_coal_plant</t>
  </si>
  <si>
    <t>health in climate policies</t>
  </si>
  <si>
    <t>Impact du charbon seul (à soustraire dans les 2 lignes au dessus?)
Impact bcp plus important en 2030</t>
  </si>
  <si>
    <t>Impact du charbon seul (à soustraire dans les 2 lignes au dessus?)
Impact bcp plus important en 2031</t>
  </si>
  <si>
    <t>FLE_NDC</t>
  </si>
  <si>
    <t>FLE_2C</t>
  </si>
  <si>
    <t>SLE_NDC</t>
  </si>
  <si>
    <t>SLE_2C</t>
  </si>
  <si>
    <t>BAT_NDC</t>
  </si>
  <si>
    <t>BAT_2C</t>
  </si>
  <si>
    <t>PM2,5+O3</t>
  </si>
  <si>
    <t>Comment</t>
  </si>
  <si>
    <t>2C-domestic</t>
  </si>
  <si>
    <t>2C-trading</t>
  </si>
  <si>
    <t>SSP3_Equal-by-sector</t>
  </si>
  <si>
    <t>SSP3_Climate priority</t>
  </si>
  <si>
    <t>SSP3_AQ priority</t>
  </si>
  <si>
    <t>SSP5_Equal-by-sector</t>
  </si>
  <si>
    <t>SSP5_Climate priority</t>
  </si>
  <si>
    <t>SSP5_AQ priority</t>
  </si>
  <si>
    <t>Comment2</t>
  </si>
  <si>
    <t>CAS_outdoor</t>
  </si>
  <si>
    <t>SDS_outdoor</t>
  </si>
  <si>
    <t>CAS_indoor</t>
  </si>
  <si>
    <t>SDS_indoor</t>
  </si>
  <si>
    <t>EU -&gt; Brazil</t>
  </si>
  <si>
    <t>EUROPE China Indonesia India South Africa</t>
  </si>
  <si>
    <t>Brazil China Indonesia India South Africa</t>
  </si>
  <si>
    <t>NDC</t>
  </si>
  <si>
    <t>financial instrument</t>
  </si>
  <si>
    <t>TT</t>
  </si>
  <si>
    <t>CBAP</t>
  </si>
  <si>
    <t>TT + CBAP</t>
  </si>
  <si>
    <t>TT = Temperature target</t>
  </si>
  <si>
    <t>Impact on mortality (not a benefit)
no HIA for baseline year</t>
  </si>
  <si>
    <t>Ca</t>
  </si>
  <si>
    <t>WWS</t>
  </si>
  <si>
    <t>pm2,5+O3 / indoor+outdoor</t>
  </si>
  <si>
    <t>Net-zero</t>
  </si>
  <si>
    <t>SPS_Air_pollution</t>
  </si>
  <si>
    <t>HPS-Air_pollution</t>
  </si>
  <si>
    <t>SPS_Diet</t>
  </si>
  <si>
    <t>HPS_Diet</t>
  </si>
  <si>
    <t>SPS_Active_travel</t>
  </si>
  <si>
    <t>HPS_Active_travel</t>
  </si>
  <si>
    <t>1.5_MFR</t>
  </si>
  <si>
    <t>Only china and india</t>
  </si>
  <si>
    <t>mitigation</t>
  </si>
  <si>
    <t xml:space="preserve">Only O3 </t>
  </si>
  <si>
    <t>CEICN</t>
  </si>
  <si>
    <t>SDS-MFR</t>
  </si>
  <si>
    <t>WBD2-MFR</t>
  </si>
  <si>
    <t>NPI_CLE - WBD2-MFR</t>
  </si>
  <si>
    <t>CCS</t>
  </si>
  <si>
    <t>REN</t>
  </si>
  <si>
    <t>HIG</t>
  </si>
  <si>
    <t>Current-pollution_baseline</t>
  </si>
  <si>
    <t>Ambitious-pollution_1.5°C</t>
  </si>
  <si>
    <t>Current-pollution_ndc</t>
  </si>
  <si>
    <t>PES</t>
  </si>
  <si>
    <t>CBE-MFR</t>
  </si>
  <si>
    <t>NDC-MFR</t>
  </si>
  <si>
    <t>GEMM - NCD &amp; LRI</t>
  </si>
  <si>
    <t>Air quality and health co-benefits of China’s carbon dioxide emissions peaking before 2028</t>
  </si>
  <si>
    <t>Air quality and health co-benefits of China’s carbon dioxide emissions peaking before 2029</t>
  </si>
  <si>
    <t>SSP1_RCP2.6</t>
  </si>
  <si>
    <t>SSP1_RCP1.9</t>
  </si>
  <si>
    <t>SSP5_RCP2.6</t>
  </si>
  <si>
    <t>DDP</t>
  </si>
  <si>
    <t>COC</t>
  </si>
  <si>
    <t>PM2.5+O3</t>
  </si>
  <si>
    <t>PM2.5+O2</t>
  </si>
  <si>
    <t>SSP1_19</t>
  </si>
  <si>
    <t>SSP5_85</t>
  </si>
  <si>
    <t>Current path</t>
  </si>
  <si>
    <t>negaWatt</t>
  </si>
  <si>
    <t>not detailed</t>
  </si>
  <si>
    <t>n_prev</t>
  </si>
  <si>
    <t>emission_sector</t>
  </si>
  <si>
    <t>Transport</t>
  </si>
  <si>
    <t>Energy</t>
  </si>
  <si>
    <t>all</t>
  </si>
  <si>
    <t>Residential, industry, transport, agriculture, energy</t>
  </si>
  <si>
    <t>Energy, industry, transport, household</t>
  </si>
  <si>
    <t>Service, transport, construction, industry, energy</t>
  </si>
  <si>
    <t>Agriculture, energy, industry, residential, shipping, transport, waste</t>
  </si>
  <si>
    <t>Energy, industry, transport, agriculture, waste, building</t>
  </si>
  <si>
    <t>Agriculture, energy, industry, transportation, residential/commercial, solvents, waste, and shipping</t>
  </si>
  <si>
    <t>Agriculture, energy, industry, transport, services</t>
  </si>
  <si>
    <t>Energy, industry, transport, household, agriculture, waste</t>
  </si>
  <si>
    <t>Energy, industry, transport</t>
  </si>
  <si>
    <t>Housing</t>
  </si>
  <si>
    <t>Agriculture</t>
  </si>
  <si>
    <t>Energy, transport, residential, commercial, industry, agriculture</t>
  </si>
  <si>
    <t>Energy, transport, household</t>
  </si>
  <si>
    <t>pathway_co_benefits</t>
  </si>
  <si>
    <t>Physical activity</t>
  </si>
  <si>
    <t>Air pollution</t>
  </si>
  <si>
    <t>Air &amp; Indoor pollution</t>
  </si>
  <si>
    <t>Air pollution &amp; Diet &amp; Physical activity &amp; Indoor pollution</t>
  </si>
  <si>
    <t>Indoor pollution</t>
  </si>
  <si>
    <t>Diet</t>
  </si>
  <si>
    <r>
      <t xml:space="preserve">In the REN scenario in 2030, the </t>
    </r>
    <r>
      <rPr>
        <b/>
        <sz val="11"/>
        <color theme="1"/>
        <rFont val="Calibri"/>
        <family val="2"/>
        <scheme val="minor"/>
      </rPr>
      <t>transformation sector and the manufacturing sector</t>
    </r>
    <r>
      <rPr>
        <sz val="11"/>
        <color theme="1"/>
        <rFont val="Calibri"/>
        <family val="2"/>
        <scheme val="minor"/>
      </rPr>
      <t xml:space="preserve"> had the greatest potential for health co-benefits. 
</t>
    </r>
  </si>
  <si>
    <r>
      <t>In the HIG scenario transformation sector, health co-benefits are negative, mainly because in the HIG scenario,</t>
    </r>
    <r>
      <rPr>
        <b/>
        <sz val="11"/>
        <color theme="1"/>
        <rFont val="Calibri"/>
        <family val="2"/>
        <scheme val="minor"/>
      </rPr>
      <t xml:space="preserve"> industrial restructuring contributed to larger health gains,</t>
    </r>
    <r>
      <rPr>
        <sz val="11"/>
        <color theme="1"/>
        <rFont val="Calibri"/>
        <family val="2"/>
        <scheme val="minor"/>
      </rPr>
      <t xml:space="preserve"> but the energy restructuring of the industrial sector shifted health losses to the electricity generation sector, so the health gains of transformation sector are negative</t>
    </r>
  </si>
  <si>
    <r>
      <t xml:space="preserve">The health co-benefits of </t>
    </r>
    <r>
      <rPr>
        <b/>
        <sz val="11"/>
        <color theme="1"/>
        <rFont val="Calibri"/>
        <family val="2"/>
        <scheme val="minor"/>
      </rPr>
      <t>NOx emission reductions are the highest of all pollutants.</t>
    </r>
    <r>
      <rPr>
        <sz val="11"/>
        <color theme="1"/>
        <rFont val="Calibri"/>
        <family val="2"/>
        <scheme val="minor"/>
      </rPr>
      <t xml:space="preserve">
- greatest emission reduction potential among all pollutant emissions, especially in the REN scenario
-NOx has a high intake fractions value, almost eight times that of SO2
- concentration-response coefficient of NOx, which mortality concentration-response coefficient is 3.5 times than that of PM2.5</t>
    </r>
  </si>
  <si>
    <r>
      <t>additional air quality co-benefits from climate mitigation efforts are spread across :</t>
    </r>
    <r>
      <rPr>
        <b/>
        <sz val="11"/>
        <color theme="1"/>
        <rFont val="Calibri"/>
        <family val="2"/>
        <scheme val="minor"/>
      </rPr>
      <t xml:space="preserve"> industrial &gt; residential &gt; power generation &gt; land transport emissions</t>
    </r>
  </si>
  <si>
    <t>Energie, housing transport, diet</t>
  </si>
  <si>
    <t>health benefits: Housing &gt; Air pollution &gt;&gt; Diet &gt;&gt; Active transport</t>
  </si>
  <si>
    <t>Health benefits: Diet &gt;&gt;&gt;&gt;&gt; Active transport &lt;=&gt; Air pollution (depend on countries)</t>
  </si>
  <si>
    <t>Premature deaths at baseline: AGR &gt; RES &gt; IND &gt; ENE &gt; TRN &gt;&gt; SHP</t>
  </si>
  <si>
    <t>Projected premature deaths : Industrie &gt; Transport &gt;&gt; Energy</t>
  </si>
  <si>
    <t>SSP5 &gt;&gt;&gt;&gt;&gt; SSP3</t>
  </si>
  <si>
    <t>AQ &gt;&gt;&gt; climate = equal</t>
  </si>
  <si>
    <t>Health benefits: sufficiency &gt; energy decarbonation (CCS / nuclear)</t>
  </si>
  <si>
    <t xml:space="preserve">Energy &amp; Agriculture &amp; Transport </t>
  </si>
  <si>
    <t xml:space="preserve">Air pollution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</si>
</sst>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color rgb="FF2A2A2A"/>
      <name val="Arial"/>
      <family val="2"/>
    </font>
    <font>
      <sz val="10"/>
      <name val="Segoe UI"/>
      <family val="2"/>
    </font>
    <font>
      <sz val="11"/>
      <color theme="1"/>
      <name val="Calibri"/>
      <family val="2"/>
      <scheme val="minor"/>
    </font>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s>
  <fills count="11">
    <fill>
      <patternFill patternType="none"/>
    </fill>
    <fill>
      <patternFill patternType="gray125"/>
    </fill>
    <fill>
      <patternFill patternType="solid">
        <fgColor theme="4" tint="0.79998168889431442"/>
        <bgColor theme="4" tint="0.79998168889431442"/>
      </patternFill>
    </fill>
    <fill>
      <patternFill patternType="solid">
        <fgColor theme="2"/>
        <bgColor indexed="64"/>
      </patternFill>
    </fill>
    <fill>
      <patternFill patternType="solid">
        <fgColor theme="2"/>
        <bgColor theme="4" tint="0.79998168889431442"/>
      </patternFill>
    </fill>
    <fill>
      <patternFill patternType="solid">
        <fgColor theme="4" tint="0.59999389629810485"/>
        <bgColor indexed="64"/>
      </patternFill>
    </fill>
    <fill>
      <patternFill patternType="solid">
        <fgColor theme="4" tint="0.59999389629810485"/>
        <bgColor theme="4" tint="0.79998168889431442"/>
      </patternFill>
    </fill>
    <fill>
      <patternFill patternType="solid">
        <fgColor theme="4" tint="0.79998168889431442"/>
        <bgColor indexed="64"/>
      </patternFill>
    </fill>
    <fill>
      <patternFill patternType="solid">
        <fgColor theme="4" tint="0.39997558519241921"/>
        <bgColor theme="4" tint="0.79998168889431442"/>
      </patternFill>
    </fill>
    <fill>
      <patternFill patternType="solid">
        <fgColor theme="4" tint="0.39997558519241921"/>
        <bgColor indexed="64"/>
      </patternFill>
    </fill>
    <fill>
      <patternFill patternType="solid">
        <fgColor theme="0"/>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98">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Font="1" applyBorder="1" applyAlignment="1">
      <alignment horizontal="center" vertical="center" wrapText="1"/>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0" fillId="2" borderId="0" xfId="0" applyFont="1" applyFill="1" applyAlignment="1">
      <alignment horizontal="center" vertical="center" wrapText="1"/>
    </xf>
    <xf numFmtId="0" fontId="5" fillId="2" borderId="0"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0"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0" fillId="3" borderId="0" xfId="0" applyFill="1" applyAlignment="1">
      <alignment horizontal="center" vertical="center" wrapText="1"/>
    </xf>
    <xf numFmtId="0" fontId="0" fillId="4" borderId="1" xfId="0" applyFont="1" applyFill="1" applyBorder="1" applyAlignment="1">
      <alignment horizontal="center" vertical="center" wrapText="1"/>
    </xf>
    <xf numFmtId="0" fontId="0" fillId="4" borderId="2"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0" fillId="4" borderId="0"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6" fillId="4" borderId="0" xfId="0" applyFont="1" applyFill="1" applyAlignment="1">
      <alignment horizontal="center" vertical="center" wrapText="1"/>
    </xf>
    <xf numFmtId="0" fontId="0" fillId="3" borderId="0" xfId="0" applyFill="1"/>
    <xf numFmtId="3" fontId="6" fillId="2" borderId="0" xfId="0" applyNumberFormat="1" applyFont="1" applyFill="1" applyBorder="1" applyAlignment="1">
      <alignment horizontal="center" vertical="center" wrapText="1"/>
    </xf>
    <xf numFmtId="3" fontId="6" fillId="2" borderId="0" xfId="0" applyNumberFormat="1" applyFont="1" applyFill="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0" fontId="5" fillId="6" borderId="0" xfId="0" applyFont="1" applyFill="1" applyBorder="1" applyAlignment="1">
      <alignment horizontal="center" vertical="center" wrapText="1"/>
    </xf>
    <xf numFmtId="0" fontId="5" fillId="6" borderId="2" xfId="0" applyFont="1" applyFill="1" applyBorder="1" applyAlignment="1">
      <alignment horizontal="center" vertical="center" wrapText="1"/>
    </xf>
    <xf numFmtId="0" fontId="6" fillId="6" borderId="0" xfId="0" applyFont="1" applyFill="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7" borderId="0" xfId="0" applyFill="1" applyAlignment="1">
      <alignment horizontal="center" vertical="center" wrapText="1"/>
    </xf>
    <xf numFmtId="0" fontId="0" fillId="7" borderId="0" xfId="0" applyFill="1"/>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6" fillId="6" borderId="0" xfId="0" applyFont="1" applyFill="1" applyBorder="1" applyAlignment="1">
      <alignment horizontal="center" vertical="center" wrapText="1"/>
    </xf>
    <xf numFmtId="0" fontId="6" fillId="6" borderId="2" xfId="0" applyFont="1" applyFill="1" applyBorder="1" applyAlignment="1">
      <alignment horizontal="center" vertical="center" wrapText="1"/>
    </xf>
    <xf numFmtId="0" fontId="0" fillId="6" borderId="0" xfId="0" applyFont="1"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6" fillId="6" borderId="0" xfId="0" applyNumberFormat="1" applyFont="1" applyFill="1" applyAlignment="1">
      <alignment horizontal="center" vertical="center" wrapText="1"/>
    </xf>
    <xf numFmtId="0" fontId="0" fillId="5" borderId="0" xfId="0" applyFill="1" applyAlignment="1">
      <alignment vertical="center"/>
    </xf>
    <xf numFmtId="3" fontId="0" fillId="7" borderId="0" xfId="0" applyNumberFormat="1" applyFill="1" applyAlignment="1">
      <alignment horizontal="center" vertical="center" wrapText="1"/>
    </xf>
    <xf numFmtId="0" fontId="0" fillId="5" borderId="1" xfId="0" applyFill="1" applyBorder="1" applyAlignment="1">
      <alignment horizontal="center" vertical="center" wrapText="1"/>
    </xf>
    <xf numFmtId="0" fontId="0" fillId="6" borderId="0" xfId="0" applyFont="1" applyFill="1" applyAlignment="1">
      <alignment horizontal="center" vertical="center" wrapText="1"/>
    </xf>
    <xf numFmtId="0" fontId="0" fillId="7" borderId="1" xfId="0" applyFill="1" applyBorder="1" applyAlignment="1">
      <alignment horizontal="center" vertical="center" wrapText="1"/>
    </xf>
    <xf numFmtId="0" fontId="0" fillId="7" borderId="1" xfId="0" applyFont="1" applyFill="1" applyBorder="1" applyAlignment="1">
      <alignment horizontal="center" vertical="center" wrapText="1"/>
    </xf>
    <xf numFmtId="0" fontId="0" fillId="7" borderId="2" xfId="0" applyFont="1" applyFill="1" applyBorder="1" applyAlignment="1">
      <alignment horizontal="center" vertical="center" wrapText="1"/>
    </xf>
    <xf numFmtId="3" fontId="0" fillId="7" borderId="0" xfId="0" applyNumberFormat="1" applyFont="1" applyFill="1" applyBorder="1" applyAlignment="1">
      <alignment horizontal="center" vertical="center" wrapText="1"/>
    </xf>
    <xf numFmtId="0" fontId="0" fillId="7" borderId="0" xfId="0"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0" fontId="0" fillId="5" borderId="0" xfId="0" applyFont="1" applyFill="1" applyBorder="1" applyAlignment="1">
      <alignment horizontal="center" vertical="center" wrapText="1"/>
    </xf>
    <xf numFmtId="3" fontId="3" fillId="6" borderId="2" xfId="0" applyNumberFormat="1" applyFont="1" applyFill="1" applyBorder="1" applyAlignment="1">
      <alignment horizontal="center" vertical="center" wrapText="1"/>
    </xf>
    <xf numFmtId="3" fontId="0" fillId="6" borderId="0" xfId="0" applyNumberFormat="1" applyFont="1" applyFill="1" applyAlignment="1">
      <alignment horizontal="center" vertical="center" wrapText="1"/>
    </xf>
    <xf numFmtId="0" fontId="0" fillId="5" borderId="0" xfId="0" applyFill="1" applyBorder="1" applyAlignment="1">
      <alignment horizontal="center" vertical="center" wrapText="1"/>
    </xf>
    <xf numFmtId="3" fontId="0" fillId="5" borderId="0" xfId="0" applyNumberFormat="1" applyFill="1" applyAlignment="1">
      <alignment horizontal="center" vertical="center" wrapText="1"/>
    </xf>
    <xf numFmtId="0" fontId="0" fillId="7" borderId="2" xfId="0" applyFill="1" applyBorder="1" applyAlignment="1">
      <alignment horizontal="center" vertical="center" wrapText="1"/>
    </xf>
    <xf numFmtId="3" fontId="0" fillId="7" borderId="2" xfId="0" applyNumberFormat="1" applyFill="1" applyBorder="1" applyAlignment="1">
      <alignment horizontal="center" vertical="center" wrapText="1"/>
    </xf>
    <xf numFmtId="3" fontId="0" fillId="7" borderId="0" xfId="0" applyNumberFormat="1" applyFill="1" applyAlignment="1">
      <alignment horizontal="center" vertical="center"/>
    </xf>
    <xf numFmtId="0" fontId="3" fillId="6" borderId="2" xfId="0" applyFont="1" applyFill="1" applyBorder="1" applyAlignment="1">
      <alignment horizontal="center" vertical="center" wrapText="1"/>
    </xf>
    <xf numFmtId="3" fontId="3" fillId="6" borderId="0" xfId="0" applyNumberFormat="1" applyFont="1" applyFill="1" applyBorder="1" applyAlignment="1">
      <alignment horizontal="center" vertical="center" wrapText="1"/>
    </xf>
    <xf numFmtId="0" fontId="3" fillId="6" borderId="0" xfId="0" applyFont="1" applyFill="1" applyBorder="1" applyAlignment="1">
      <alignment horizontal="center" vertical="center" wrapText="1"/>
    </xf>
    <xf numFmtId="3" fontId="0" fillId="7" borderId="2" xfId="0" applyNumberFormat="1" applyFont="1" applyFill="1" applyBorder="1" applyAlignment="1">
      <alignment horizontal="center" vertical="center" wrapText="1"/>
    </xf>
    <xf numFmtId="0" fontId="0" fillId="7" borderId="0" xfId="0" applyFill="1" applyBorder="1" applyAlignment="1">
      <alignment horizontal="center" vertical="center" wrapText="1"/>
    </xf>
    <xf numFmtId="0" fontId="2" fillId="5" borderId="2" xfId="0" applyFont="1" applyFill="1" applyBorder="1" applyAlignment="1">
      <alignment horizontal="center" vertical="center" wrapText="1"/>
    </xf>
    <xf numFmtId="3" fontId="0" fillId="5" borderId="0" xfId="0" applyNumberFormat="1" applyFill="1" applyAlignment="1">
      <alignment horizontal="center" vertical="center"/>
    </xf>
    <xf numFmtId="0" fontId="3" fillId="2"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3" fontId="4" fillId="6" borderId="0" xfId="0" applyNumberFormat="1"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0" xfId="0" applyFill="1" applyAlignment="1">
      <alignment vertical="top"/>
    </xf>
    <xf numFmtId="0" fontId="2" fillId="5" borderId="3"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4" fillId="7" borderId="0" xfId="0" applyFont="1" applyFill="1"/>
    <xf numFmtId="0" fontId="0" fillId="8" borderId="0" xfId="0" applyFont="1" applyFill="1" applyBorder="1" applyAlignment="1">
      <alignment horizontal="center" vertical="center" wrapText="1"/>
    </xf>
    <xf numFmtId="0" fontId="0" fillId="8" borderId="2" xfId="0" applyFont="1" applyFill="1" applyBorder="1" applyAlignment="1">
      <alignment horizontal="center" vertical="center" wrapText="1"/>
    </xf>
    <xf numFmtId="3" fontId="0" fillId="8" borderId="2" xfId="0" applyNumberFormat="1" applyFont="1" applyFill="1" applyBorder="1" applyAlignment="1">
      <alignment horizontal="center" vertical="center" wrapText="1"/>
    </xf>
    <xf numFmtId="0" fontId="0" fillId="9" borderId="1" xfId="0" applyFill="1" applyBorder="1" applyAlignment="1">
      <alignment horizontal="center" vertical="center" wrapText="1"/>
    </xf>
    <xf numFmtId="0" fontId="0" fillId="9" borderId="0" xfId="0" applyFill="1"/>
    <xf numFmtId="0" fontId="0" fillId="8" borderId="0" xfId="0" applyFont="1" applyFill="1" applyAlignment="1">
      <alignment horizontal="center" vertical="center" wrapText="1"/>
    </xf>
    <xf numFmtId="0" fontId="1" fillId="7" borderId="4" xfId="0" applyFont="1" applyFill="1" applyBorder="1" applyAlignment="1">
      <alignment horizontal="center" vertical="center" wrapText="1"/>
    </xf>
    <xf numFmtId="0" fontId="0" fillId="7" borderId="3" xfId="0" applyFill="1" applyBorder="1" applyAlignment="1">
      <alignment horizontal="center" vertical="center" wrapText="1"/>
    </xf>
    <xf numFmtId="0" fontId="6" fillId="4" borderId="0"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0" fillId="5" borderId="2" xfId="0" applyFill="1" applyBorder="1" applyAlignment="1">
      <alignment horizontal="center" vertical="center" wrapText="1"/>
    </xf>
    <xf numFmtId="0" fontId="1" fillId="6" borderId="0"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0" fillId="0" borderId="3" xfId="0" applyBorder="1" applyAlignment="1">
      <alignment horizontal="center" vertical="center" wrapText="1"/>
    </xf>
    <xf numFmtId="0" fontId="0" fillId="7" borderId="3" xfId="0" applyFont="1" applyFill="1" applyBorder="1" applyAlignment="1">
      <alignment horizontal="center" vertical="center" wrapText="1"/>
    </xf>
    <xf numFmtId="0" fontId="4" fillId="6" borderId="2" xfId="0" applyFont="1" applyFill="1" applyBorder="1" applyAlignment="1">
      <alignment horizontal="center" vertical="center" wrapText="1"/>
    </xf>
    <xf numFmtId="3" fontId="0" fillId="0" borderId="0" xfId="0" applyNumberFormat="1" applyBorder="1" applyAlignment="1">
      <alignment horizontal="center" vertical="center" wrapText="1"/>
    </xf>
    <xf numFmtId="3" fontId="0" fillId="7" borderId="0" xfId="0" applyNumberFormat="1" applyFill="1" applyBorder="1" applyAlignment="1">
      <alignment horizontal="center" vertical="center" wrapText="1"/>
    </xf>
    <xf numFmtId="3" fontId="4" fillId="6" borderId="2" xfId="0" applyNumberFormat="1" applyFont="1" applyFill="1" applyBorder="1" applyAlignment="1">
      <alignment horizontal="center" vertical="center" wrapText="1"/>
    </xf>
    <xf numFmtId="3" fontId="0" fillId="8" borderId="0" xfId="0" applyNumberFormat="1" applyFont="1" applyFill="1" applyBorder="1" applyAlignment="1">
      <alignment horizontal="center" vertical="center" wrapText="1"/>
    </xf>
    <xf numFmtId="0" fontId="0" fillId="10" borderId="2" xfId="0" applyFont="1" applyFill="1" applyBorder="1" applyAlignment="1">
      <alignment horizontal="center" vertical="center" wrapText="1"/>
    </xf>
  </cellXfs>
  <cellStyles count="1">
    <cellStyle name="Normal" xfId="0" builtinId="0"/>
  </cellStyles>
  <dxfs count="16">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A1:O84" totalsRowShown="0" dataDxfId="15">
  <autoFilter ref="A1:O84"/>
  <sortState ref="A2:O84">
    <sortCondition ref="M1:M84"/>
  </sortState>
  <tableColumns count="15">
    <tableColumn id="18" name="author_date" dataDxfId="14"/>
    <tableColumn id="1" name="title" dataDxfId="13"/>
    <tableColumn id="3" name="Geographical scale" dataDxfId="12"/>
    <tableColumn id="29" name="Population included at baseline (million), banque mondiale" dataDxfId="11"/>
    <tableColumn id="22" name="rank_pop" dataDxfId="10"/>
    <tableColumn id="4" name="scenario" dataDxfId="9"/>
    <tableColumn id="5" name="scenario_cat" dataDxfId="8"/>
    <tableColumn id="8" name="emission_sector" dataDxfId="7"/>
    <tableColumn id="9" name="pathway_co_benefits" dataDxfId="6"/>
    <tableColumn id="6" name="scenario_yr" dataDxfId="5"/>
    <tableColumn id="2" name="n_prev" dataDxfId="4"/>
    <tableColumn id="17" name="n_death" dataDxfId="3"/>
    <tableColumn id="16" name="mortality_proj" dataDxfId="2"/>
    <tableColumn id="23" name="Comment" dataDxfId="1"/>
    <tableColumn id="7" name="Comment2"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4"/>
  <sheetViews>
    <sheetView tabSelected="1" topLeftCell="A56" zoomScale="70" zoomScaleNormal="70" workbookViewId="0">
      <pane xSplit="1" topLeftCell="E1" activePane="topRight" state="frozen"/>
      <selection pane="topRight" activeCell="K63" sqref="K63"/>
    </sheetView>
  </sheetViews>
  <sheetFormatPr baseColWidth="10" defaultColWidth="8.88671875" defaultRowHeight="14.4" x14ac:dyDescent="0.3"/>
  <cols>
    <col min="1" max="1" width="19.21875" customWidth="1"/>
    <col min="2" max="2" width="32.77734375" customWidth="1"/>
    <col min="3" max="3" width="30" customWidth="1"/>
    <col min="4" max="4" width="20" style="3" customWidth="1"/>
    <col min="5" max="10" width="22.6640625" customWidth="1"/>
    <col min="11" max="13" width="26.21875" style="1" customWidth="1"/>
    <col min="14" max="14" width="32.33203125" customWidth="1"/>
    <col min="15" max="15" width="43.77734375" customWidth="1"/>
  </cols>
  <sheetData>
    <row r="1" spans="1:15" ht="43.2" x14ac:dyDescent="0.3">
      <c r="A1" t="s">
        <v>34</v>
      </c>
      <c r="B1" t="s">
        <v>25</v>
      </c>
      <c r="C1" t="s">
        <v>74</v>
      </c>
      <c r="D1" s="2" t="s">
        <v>105</v>
      </c>
      <c r="E1" t="s">
        <v>106</v>
      </c>
      <c r="F1" t="s">
        <v>132</v>
      </c>
      <c r="G1" t="s">
        <v>133</v>
      </c>
      <c r="H1" t="s">
        <v>222</v>
      </c>
      <c r="I1" t="s">
        <v>239</v>
      </c>
      <c r="J1" t="s">
        <v>140</v>
      </c>
      <c r="K1" s="1" t="s">
        <v>221</v>
      </c>
      <c r="L1" s="1" t="s">
        <v>123</v>
      </c>
      <c r="M1" s="1" t="s">
        <v>124</v>
      </c>
      <c r="N1" t="s">
        <v>155</v>
      </c>
      <c r="O1" t="s">
        <v>164</v>
      </c>
    </row>
    <row r="2" spans="1:15" s="36" customFormat="1" ht="43.2" x14ac:dyDescent="0.3">
      <c r="A2" s="16" t="s">
        <v>51</v>
      </c>
      <c r="B2" s="17" t="s">
        <v>18</v>
      </c>
      <c r="C2" s="18" t="s">
        <v>27</v>
      </c>
      <c r="D2" s="19">
        <v>7821</v>
      </c>
      <c r="E2" s="18">
        <v>3</v>
      </c>
      <c r="F2" s="20" t="s">
        <v>144</v>
      </c>
      <c r="G2" s="20" t="s">
        <v>145</v>
      </c>
      <c r="H2" s="6" t="s">
        <v>224</v>
      </c>
      <c r="I2" s="5" t="s">
        <v>241</v>
      </c>
      <c r="J2" s="21">
        <v>2050</v>
      </c>
      <c r="K2" s="16">
        <v>1854</v>
      </c>
      <c r="L2" s="21">
        <v>91583402</v>
      </c>
      <c r="M2" s="21">
        <f>Tableau1[[#This Row],[n_prev]]/Tableau1[[#This Row],[n_death]]</f>
        <v>2.0243842874498156E-5</v>
      </c>
      <c r="N2" s="18" t="s">
        <v>178</v>
      </c>
      <c r="O2" s="22" t="s">
        <v>147</v>
      </c>
    </row>
    <row r="3" spans="1:15" s="36" customFormat="1" ht="43.2" x14ac:dyDescent="0.3">
      <c r="A3" s="16" t="s">
        <v>51</v>
      </c>
      <c r="B3" s="17" t="s">
        <v>18</v>
      </c>
      <c r="C3" s="18" t="s">
        <v>27</v>
      </c>
      <c r="D3" s="19">
        <v>7821</v>
      </c>
      <c r="E3" s="18">
        <v>3</v>
      </c>
      <c r="F3" s="20" t="s">
        <v>143</v>
      </c>
      <c r="G3" s="20" t="s">
        <v>145</v>
      </c>
      <c r="H3" s="6" t="s">
        <v>224</v>
      </c>
      <c r="I3" s="6" t="s">
        <v>241</v>
      </c>
      <c r="J3" s="21">
        <v>2050</v>
      </c>
      <c r="K3" s="20">
        <v>6261</v>
      </c>
      <c r="L3" s="21">
        <v>91583402</v>
      </c>
      <c r="M3" s="21">
        <f>Tableau1[[#This Row],[n_prev]]/Tableau1[[#This Row],[n_death]]</f>
        <v>6.8363915985562542E-5</v>
      </c>
      <c r="N3" s="18" t="s">
        <v>178</v>
      </c>
      <c r="O3" s="85" t="s">
        <v>146</v>
      </c>
    </row>
    <row r="4" spans="1:15" s="33" customFormat="1" ht="144.6" customHeight="1" x14ac:dyDescent="0.3">
      <c r="A4" s="6" t="s">
        <v>100</v>
      </c>
      <c r="B4" s="48" t="s">
        <v>99</v>
      </c>
      <c r="C4" s="5" t="s">
        <v>27</v>
      </c>
      <c r="D4" s="8">
        <v>7405</v>
      </c>
      <c r="E4" s="5">
        <v>10</v>
      </c>
      <c r="F4" s="6" t="s">
        <v>179</v>
      </c>
      <c r="G4" s="6" t="s">
        <v>220</v>
      </c>
      <c r="H4" s="5" t="s">
        <v>225</v>
      </c>
      <c r="I4" s="6" t="s">
        <v>241</v>
      </c>
      <c r="J4" s="6">
        <v>2050</v>
      </c>
      <c r="K4" s="10">
        <v>35550</v>
      </c>
      <c r="L4" s="12">
        <v>91583402</v>
      </c>
      <c r="M4" s="35">
        <f>Tableau1[[#This Row],[n_prev]]/Tableau1[[#This Row],[n_death]]</f>
        <v>3.8817077356440634E-4</v>
      </c>
      <c r="N4" s="5"/>
      <c r="O4" s="15"/>
    </row>
    <row r="5" spans="1:15" s="33" customFormat="1" ht="28.8" x14ac:dyDescent="0.3">
      <c r="A5" s="6" t="s">
        <v>102</v>
      </c>
      <c r="B5" s="48" t="s">
        <v>101</v>
      </c>
      <c r="C5" s="5" t="s">
        <v>27</v>
      </c>
      <c r="D5" s="8">
        <v>7405</v>
      </c>
      <c r="E5" s="5">
        <v>8</v>
      </c>
      <c r="F5" s="6" t="s">
        <v>172</v>
      </c>
      <c r="G5" s="6" t="s">
        <v>220</v>
      </c>
      <c r="H5" s="6" t="s">
        <v>225</v>
      </c>
      <c r="I5" s="6" t="s">
        <v>241</v>
      </c>
      <c r="J5" s="11">
        <v>2050</v>
      </c>
      <c r="K5" s="6">
        <v>130000</v>
      </c>
      <c r="L5" s="12">
        <v>91583402</v>
      </c>
      <c r="M5" s="6">
        <f>Tableau1[[#This Row],[n_prev]]/Tableau1[[#This Row],[n_death]]</f>
        <v>1.4194711832172385E-3</v>
      </c>
      <c r="N5" s="5"/>
      <c r="O5" s="6"/>
    </row>
    <row r="6" spans="1:15" s="33" customFormat="1" ht="72" x14ac:dyDescent="0.3">
      <c r="A6" s="41" t="s">
        <v>92</v>
      </c>
      <c r="B6" s="27" t="s">
        <v>91</v>
      </c>
      <c r="C6" s="28" t="s">
        <v>27</v>
      </c>
      <c r="D6" s="29">
        <v>7662</v>
      </c>
      <c r="E6" s="28">
        <v>6</v>
      </c>
      <c r="F6" s="39" t="s">
        <v>161</v>
      </c>
      <c r="G6" s="39" t="s">
        <v>220</v>
      </c>
      <c r="H6" s="41" t="s">
        <v>231</v>
      </c>
      <c r="I6" s="6" t="s">
        <v>241</v>
      </c>
      <c r="J6" s="39">
        <v>2030</v>
      </c>
      <c r="K6" s="32">
        <f>6500000-6400000</f>
        <v>100000</v>
      </c>
      <c r="L6" s="43">
        <v>67172551</v>
      </c>
      <c r="M6" s="26">
        <f>Tableau1[[#This Row],[n_prev]]/Tableau1[[#This Row],[n_death]]</f>
        <v>1.488703324666053E-3</v>
      </c>
      <c r="N6" s="28" t="s">
        <v>255</v>
      </c>
      <c r="O6" s="39"/>
    </row>
    <row r="7" spans="1:15" s="23" customFormat="1" ht="72" x14ac:dyDescent="0.3">
      <c r="A7" s="41" t="s">
        <v>92</v>
      </c>
      <c r="B7" s="27" t="s">
        <v>91</v>
      </c>
      <c r="C7" s="28" t="s">
        <v>27</v>
      </c>
      <c r="D7" s="29">
        <v>7662</v>
      </c>
      <c r="E7" s="28">
        <v>6</v>
      </c>
      <c r="F7" s="39" t="s">
        <v>162</v>
      </c>
      <c r="G7" s="41" t="s">
        <v>220</v>
      </c>
      <c r="H7" s="41" t="s">
        <v>231</v>
      </c>
      <c r="I7" s="5" t="s">
        <v>241</v>
      </c>
      <c r="J7" s="39">
        <v>2030</v>
      </c>
      <c r="K7" s="32">
        <f>6500000-6400000</f>
        <v>100000</v>
      </c>
      <c r="L7" s="43">
        <v>67172551</v>
      </c>
      <c r="M7" s="26">
        <f>Tableau1[[#This Row],[n_prev]]/Tableau1[[#This Row],[n_death]]</f>
        <v>1.488703324666053E-3</v>
      </c>
      <c r="N7" s="28" t="s">
        <v>256</v>
      </c>
      <c r="O7" s="32"/>
    </row>
    <row r="8" spans="1:15" s="23" customFormat="1" ht="129.6" x14ac:dyDescent="0.3">
      <c r="A8" s="6" t="s">
        <v>129</v>
      </c>
      <c r="B8" s="48" t="s">
        <v>127</v>
      </c>
      <c r="C8" s="5" t="s">
        <v>128</v>
      </c>
      <c r="D8" s="5">
        <v>503</v>
      </c>
      <c r="E8" s="5">
        <v>18</v>
      </c>
      <c r="F8" s="6" t="s">
        <v>191</v>
      </c>
      <c r="G8" s="6" t="s">
        <v>220</v>
      </c>
      <c r="H8" s="5" t="s">
        <v>227</v>
      </c>
      <c r="I8" s="5" t="s">
        <v>241</v>
      </c>
      <c r="J8" s="6">
        <v>2050</v>
      </c>
      <c r="K8" s="6">
        <v>80000</v>
      </c>
      <c r="L8" s="6">
        <v>38337222</v>
      </c>
      <c r="M8" s="6">
        <f>Tableau1[[#This Row],[n_prev]]/Tableau1[[#This Row],[n_death]]</f>
        <v>2.0867448350848166E-3</v>
      </c>
      <c r="N8" s="5" t="s">
        <v>192</v>
      </c>
      <c r="O8" s="13"/>
    </row>
    <row r="9" spans="1:15" s="23" customFormat="1" ht="102.6" customHeight="1" x14ac:dyDescent="0.3">
      <c r="A9" s="26" t="s">
        <v>44</v>
      </c>
      <c r="B9" s="34" t="s">
        <v>8</v>
      </c>
      <c r="C9" s="37" t="s">
        <v>27</v>
      </c>
      <c r="D9" s="38">
        <v>7821</v>
      </c>
      <c r="E9" s="28">
        <v>4</v>
      </c>
      <c r="F9" s="39" t="s">
        <v>152</v>
      </c>
      <c r="G9" s="39" t="s">
        <v>220</v>
      </c>
      <c r="H9" s="28" t="s">
        <v>225</v>
      </c>
      <c r="I9" s="5" t="s">
        <v>241</v>
      </c>
      <c r="J9" s="39">
        <v>2050</v>
      </c>
      <c r="K9" s="32">
        <f>(5582000-5333000)+(232000-176000)</f>
        <v>305000</v>
      </c>
      <c r="L9" s="30">
        <v>91583402</v>
      </c>
      <c r="M9" s="30">
        <f>Tableau1[[#This Row],[n_prev]]/Tableau1[[#This Row],[n_death]]</f>
        <v>3.3302977760096748E-3</v>
      </c>
      <c r="N9" s="40" t="s">
        <v>154</v>
      </c>
      <c r="O9" s="32"/>
    </row>
    <row r="10" spans="1:15" s="33" customFormat="1" ht="57.6" x14ac:dyDescent="0.3">
      <c r="A10" s="26" t="s">
        <v>54</v>
      </c>
      <c r="B10" s="27" t="s">
        <v>21</v>
      </c>
      <c r="C10" s="28" t="s">
        <v>27</v>
      </c>
      <c r="D10" s="29">
        <v>7821</v>
      </c>
      <c r="E10" s="28">
        <v>2</v>
      </c>
      <c r="F10" s="30" t="s">
        <v>138</v>
      </c>
      <c r="G10" s="30" t="s">
        <v>135</v>
      </c>
      <c r="H10" s="28" t="s">
        <v>224</v>
      </c>
      <c r="I10" s="97" t="s">
        <v>241</v>
      </c>
      <c r="J10" s="30">
        <v>2050</v>
      </c>
      <c r="K10" s="30">
        <v>361629</v>
      </c>
      <c r="L10" s="30">
        <v>91583402</v>
      </c>
      <c r="M10" s="30">
        <f>Tableau1[[#This Row],[n_prev]]/Tableau1[[#This Row],[n_death]]</f>
        <v>3.9486303424282054E-3</v>
      </c>
      <c r="N10" s="28" t="s">
        <v>257</v>
      </c>
      <c r="O10" s="32"/>
    </row>
    <row r="11" spans="1:15" s="33" customFormat="1" ht="43.2" x14ac:dyDescent="0.3">
      <c r="A11" s="26" t="s">
        <v>44</v>
      </c>
      <c r="B11" s="34" t="s">
        <v>8</v>
      </c>
      <c r="C11" s="37" t="s">
        <v>27</v>
      </c>
      <c r="D11" s="38">
        <v>7821</v>
      </c>
      <c r="E11" s="28">
        <v>4</v>
      </c>
      <c r="F11" s="39" t="s">
        <v>150</v>
      </c>
      <c r="G11" s="39" t="s">
        <v>220</v>
      </c>
      <c r="H11" s="41" t="s">
        <v>225</v>
      </c>
      <c r="I11" s="5" t="s">
        <v>241</v>
      </c>
      <c r="J11" s="39">
        <v>2050</v>
      </c>
      <c r="K11" s="32">
        <f>(6552000-6224000)+(400000-334000)</f>
        <v>394000</v>
      </c>
      <c r="L11" s="30">
        <v>91583402</v>
      </c>
      <c r="M11" s="30">
        <f>Tableau1[[#This Row],[n_prev]]/Tableau1[[#This Row],[n_death]]</f>
        <v>4.3020895860583991E-3</v>
      </c>
      <c r="N11" s="40" t="s">
        <v>154</v>
      </c>
      <c r="O11" s="39"/>
    </row>
    <row r="12" spans="1:15" s="33" customFormat="1" ht="43.2" x14ac:dyDescent="0.3">
      <c r="A12" s="26" t="s">
        <v>53</v>
      </c>
      <c r="B12" s="27" t="s">
        <v>20</v>
      </c>
      <c r="C12" s="28" t="s">
        <v>27</v>
      </c>
      <c r="D12" s="29">
        <v>7405</v>
      </c>
      <c r="E12" s="28">
        <v>9</v>
      </c>
      <c r="F12" s="41" t="s">
        <v>174</v>
      </c>
      <c r="G12" s="41" t="s">
        <v>220</v>
      </c>
      <c r="H12" s="41" t="s">
        <v>225</v>
      </c>
      <c r="I12" s="5" t="s">
        <v>241</v>
      </c>
      <c r="J12" s="41">
        <v>2050</v>
      </c>
      <c r="K12" s="42">
        <v>470000</v>
      </c>
      <c r="L12" s="30">
        <v>91583402</v>
      </c>
      <c r="M12" s="41">
        <f>Tableau1[[#This Row],[n_prev]]/Tableau1[[#This Row],[n_death]]</f>
        <v>5.1319342777854E-3</v>
      </c>
      <c r="N12" s="28" t="s">
        <v>177</v>
      </c>
      <c r="O12" s="47"/>
    </row>
    <row r="13" spans="1:15" s="33" customFormat="1" ht="43.2" x14ac:dyDescent="0.3">
      <c r="A13" s="26" t="s">
        <v>44</v>
      </c>
      <c r="B13" s="34" t="s">
        <v>8</v>
      </c>
      <c r="C13" s="37" t="s">
        <v>27</v>
      </c>
      <c r="D13" s="38">
        <v>7821</v>
      </c>
      <c r="E13" s="28">
        <v>4</v>
      </c>
      <c r="F13" s="39" t="s">
        <v>148</v>
      </c>
      <c r="G13" s="39" t="s">
        <v>220</v>
      </c>
      <c r="H13" s="41" t="s">
        <v>225</v>
      </c>
      <c r="I13" s="5" t="s">
        <v>241</v>
      </c>
      <c r="J13" s="39">
        <v>2050</v>
      </c>
      <c r="K13" s="32">
        <f>(7846000-7372000)+(631000-539000)</f>
        <v>566000</v>
      </c>
      <c r="L13" s="30">
        <v>91583402</v>
      </c>
      <c r="M13" s="30">
        <f>Tableau1[[#This Row],[n_prev]]/Tableau1[[#This Row],[n_death]]</f>
        <v>6.1801591515458229E-3</v>
      </c>
      <c r="N13" s="40" t="s">
        <v>154</v>
      </c>
      <c r="O13" s="32"/>
    </row>
    <row r="14" spans="1:15" s="33" customFormat="1" ht="57.6" x14ac:dyDescent="0.3">
      <c r="A14" s="26" t="s">
        <v>54</v>
      </c>
      <c r="B14" s="27" t="s">
        <v>21</v>
      </c>
      <c r="C14" s="28" t="s">
        <v>27</v>
      </c>
      <c r="D14" s="29">
        <v>7821</v>
      </c>
      <c r="E14" s="28">
        <v>2</v>
      </c>
      <c r="F14" s="30" t="s">
        <v>134</v>
      </c>
      <c r="G14" s="30" t="s">
        <v>135</v>
      </c>
      <c r="H14" s="41" t="s">
        <v>224</v>
      </c>
      <c r="I14" s="5" t="s">
        <v>241</v>
      </c>
      <c r="J14" s="30">
        <v>2050</v>
      </c>
      <c r="K14" s="30">
        <v>573515</v>
      </c>
      <c r="L14" s="30">
        <v>91583402</v>
      </c>
      <c r="M14" s="30">
        <f>Tableau1[[#This Row],[n_prev]]/Tableau1[[#This Row],[n_death]]</f>
        <v>6.2622155049448808E-3</v>
      </c>
      <c r="N14" s="31"/>
      <c r="O14" s="32"/>
    </row>
    <row r="15" spans="1:15" s="33" customFormat="1" ht="187.2" x14ac:dyDescent="0.3">
      <c r="A15" s="6" t="s">
        <v>85</v>
      </c>
      <c r="B15" s="7" t="s">
        <v>86</v>
      </c>
      <c r="C15" s="59" t="s">
        <v>88</v>
      </c>
      <c r="D15" s="60">
        <v>4680</v>
      </c>
      <c r="E15" s="5">
        <v>14</v>
      </c>
      <c r="F15" s="6" t="s">
        <v>182</v>
      </c>
      <c r="G15" s="6" t="s">
        <v>220</v>
      </c>
      <c r="H15" s="6" t="s">
        <v>229</v>
      </c>
      <c r="I15" s="5" t="s">
        <v>241</v>
      </c>
      <c r="J15" s="6">
        <v>2040</v>
      </c>
      <c r="K15" s="45">
        <v>290000</v>
      </c>
      <c r="L15" s="35">
        <v>45405745</v>
      </c>
      <c r="M15" s="35">
        <f>Tableau1[[#This Row],[n_prev]]/Tableau1[[#This Row],[n_death]]</f>
        <v>6.3868569935368307E-3</v>
      </c>
      <c r="N15" s="5" t="s">
        <v>253</v>
      </c>
      <c r="O15" s="14"/>
    </row>
    <row r="16" spans="1:15" s="33" customFormat="1" ht="57.6" x14ac:dyDescent="0.3">
      <c r="A16" s="26" t="s">
        <v>54</v>
      </c>
      <c r="B16" s="27" t="s">
        <v>21</v>
      </c>
      <c r="C16" s="28" t="s">
        <v>27</v>
      </c>
      <c r="D16" s="29">
        <v>7821</v>
      </c>
      <c r="E16" s="28">
        <v>2</v>
      </c>
      <c r="F16" s="30" t="s">
        <v>139</v>
      </c>
      <c r="G16" s="30" t="s">
        <v>135</v>
      </c>
      <c r="H16" s="41" t="s">
        <v>224</v>
      </c>
      <c r="I16" s="5" t="s">
        <v>241</v>
      </c>
      <c r="J16" s="30">
        <v>2050</v>
      </c>
      <c r="K16" s="30">
        <v>663845</v>
      </c>
      <c r="L16" s="30">
        <v>91583402</v>
      </c>
      <c r="M16" s="30">
        <f>Tableau1[[#This Row],[n_prev]]/Tableau1[[#This Row],[n_death]]</f>
        <v>7.2485295970988279E-3</v>
      </c>
      <c r="N16" s="31"/>
      <c r="O16" s="32"/>
    </row>
    <row r="17" spans="1:15" s="33" customFormat="1" ht="43.2" x14ac:dyDescent="0.3">
      <c r="A17" s="26" t="s">
        <v>44</v>
      </c>
      <c r="B17" s="34" t="s">
        <v>8</v>
      </c>
      <c r="C17" s="37" t="s">
        <v>27</v>
      </c>
      <c r="D17" s="38">
        <v>7821</v>
      </c>
      <c r="E17" s="28">
        <v>4</v>
      </c>
      <c r="F17" s="41" t="s">
        <v>153</v>
      </c>
      <c r="G17" s="41" t="s">
        <v>220</v>
      </c>
      <c r="H17" s="28" t="s">
        <v>225</v>
      </c>
      <c r="I17" s="5" t="s">
        <v>241</v>
      </c>
      <c r="J17" s="39">
        <v>2050</v>
      </c>
      <c r="K17" s="42">
        <f>(5582000-5019000)+(232000-126000)</f>
        <v>669000</v>
      </c>
      <c r="L17" s="30">
        <v>91583402</v>
      </c>
      <c r="M17" s="26">
        <f>Tableau1[[#This Row],[n_prev]]/Tableau1[[#This Row],[n_death]]</f>
        <v>7.3048170890179422E-3</v>
      </c>
      <c r="N17" s="40" t="s">
        <v>154</v>
      </c>
      <c r="O17" s="32"/>
    </row>
    <row r="18" spans="1:15" s="44" customFormat="1" ht="76.2" customHeight="1" x14ac:dyDescent="0.3">
      <c r="A18" s="6" t="s">
        <v>96</v>
      </c>
      <c r="B18" s="48" t="s">
        <v>95</v>
      </c>
      <c r="C18" s="5" t="s">
        <v>29</v>
      </c>
      <c r="D18" s="8">
        <v>1338</v>
      </c>
      <c r="E18" s="5">
        <v>30</v>
      </c>
      <c r="F18" s="6" t="s">
        <v>212</v>
      </c>
      <c r="G18" s="6" t="s">
        <v>137</v>
      </c>
      <c r="H18" s="6" t="s">
        <v>225</v>
      </c>
      <c r="I18" s="6" t="s">
        <v>241</v>
      </c>
      <c r="J18" s="6">
        <v>2030</v>
      </c>
      <c r="K18" s="10">
        <f>1429940-(140510+17223+1174779)</f>
        <v>97428</v>
      </c>
      <c r="L18" s="61">
        <v>12224379</v>
      </c>
      <c r="M18" s="6">
        <f>Tableau1[[#This Row],[n_prev]]/Tableau1[[#This Row],[n_death]]</f>
        <v>7.9699754073397095E-3</v>
      </c>
      <c r="N18" s="5"/>
      <c r="O18" s="11"/>
    </row>
    <row r="19" spans="1:15" s="44" customFormat="1" ht="76.2" customHeight="1" x14ac:dyDescent="0.3">
      <c r="A19" s="77" t="s">
        <v>130</v>
      </c>
      <c r="B19" s="80" t="s">
        <v>131</v>
      </c>
      <c r="C19" s="78" t="s">
        <v>27</v>
      </c>
      <c r="D19" s="79">
        <v>7662</v>
      </c>
      <c r="E19" s="78">
        <v>7</v>
      </c>
      <c r="F19" s="77" t="s">
        <v>165</v>
      </c>
      <c r="G19" s="77" t="s">
        <v>220</v>
      </c>
      <c r="H19" s="77" t="s">
        <v>233</v>
      </c>
      <c r="I19" s="6" t="s">
        <v>242</v>
      </c>
      <c r="J19" s="77">
        <v>2040</v>
      </c>
      <c r="K19" s="82">
        <f>2550000-2200000</f>
        <v>350000</v>
      </c>
      <c r="L19" s="77">
        <v>40109096</v>
      </c>
      <c r="M19" s="77">
        <f>Tableau1[[#This Row],[n_prev]]/Tableau1[[#This Row],[n_death]]</f>
        <v>8.7262001616790364E-3</v>
      </c>
      <c r="N19" s="78" t="s">
        <v>170</v>
      </c>
      <c r="O19" s="77"/>
    </row>
    <row r="20" spans="1:15" s="44" customFormat="1" ht="76.2" customHeight="1" x14ac:dyDescent="0.3">
      <c r="A20" s="35" t="s">
        <v>48</v>
      </c>
      <c r="B20" s="7" t="s">
        <v>15</v>
      </c>
      <c r="C20" s="5" t="s">
        <v>27</v>
      </c>
      <c r="D20" s="8">
        <v>7821</v>
      </c>
      <c r="E20" s="5">
        <v>5</v>
      </c>
      <c r="F20" s="14" t="s">
        <v>156</v>
      </c>
      <c r="G20" s="14" t="s">
        <v>220</v>
      </c>
      <c r="H20" s="6" t="s">
        <v>225</v>
      </c>
      <c r="I20" s="5" t="s">
        <v>241</v>
      </c>
      <c r="J20" s="14">
        <v>2030</v>
      </c>
      <c r="K20" s="24">
        <v>619000</v>
      </c>
      <c r="L20" s="25">
        <v>67172551</v>
      </c>
      <c r="M20" s="35">
        <f>Tableau1[[#This Row],[n_prev]]/Tableau1[[#This Row],[n_death]]</f>
        <v>9.2150735796828684E-3</v>
      </c>
      <c r="N20" s="15"/>
      <c r="O20" s="13"/>
    </row>
    <row r="21" spans="1:15" s="33" customFormat="1" ht="57.6" x14ac:dyDescent="0.3">
      <c r="A21" s="66" t="s">
        <v>63</v>
      </c>
      <c r="B21" s="48" t="s">
        <v>62</v>
      </c>
      <c r="C21" s="5" t="s">
        <v>29</v>
      </c>
      <c r="D21" s="65">
        <v>1380</v>
      </c>
      <c r="E21" s="5">
        <v>24</v>
      </c>
      <c r="F21" s="6" t="s">
        <v>197</v>
      </c>
      <c r="G21" s="6" t="s">
        <v>135</v>
      </c>
      <c r="H21" s="6" t="s">
        <v>225</v>
      </c>
      <c r="I21" s="5" t="s">
        <v>241</v>
      </c>
      <c r="J21" s="6">
        <v>2050</v>
      </c>
      <c r="K21" s="35">
        <v>160000</v>
      </c>
      <c r="L21" s="61">
        <v>17360482</v>
      </c>
      <c r="M21" s="69">
        <f>Tableau1[[#This Row],[n_prev]]/Tableau1[[#This Row],[n_death]]</f>
        <v>9.2163339704508206E-3</v>
      </c>
      <c r="N21" s="5"/>
      <c r="O21" s="6"/>
    </row>
    <row r="22" spans="1:15" s="33" customFormat="1" ht="57.6" x14ac:dyDescent="0.3">
      <c r="A22" s="26" t="s">
        <v>54</v>
      </c>
      <c r="B22" s="27" t="s">
        <v>21</v>
      </c>
      <c r="C22" s="28" t="s">
        <v>27</v>
      </c>
      <c r="D22" s="29">
        <v>7821</v>
      </c>
      <c r="E22" s="28">
        <v>2</v>
      </c>
      <c r="F22" s="30" t="s">
        <v>136</v>
      </c>
      <c r="G22" s="30" t="s">
        <v>137</v>
      </c>
      <c r="H22" s="28" t="s">
        <v>224</v>
      </c>
      <c r="I22" s="6" t="s">
        <v>241</v>
      </c>
      <c r="J22" s="30">
        <v>2050</v>
      </c>
      <c r="K22" s="30">
        <v>918399</v>
      </c>
      <c r="L22" s="30">
        <v>91583402</v>
      </c>
      <c r="M22" s="30">
        <f>Tableau1[[#This Row],[n_prev]]/Tableau1[[#This Row],[n_death]]</f>
        <v>1.0028007039965604E-2</v>
      </c>
      <c r="N22" s="31"/>
      <c r="O22" s="32"/>
    </row>
    <row r="23" spans="1:15" s="33" customFormat="1" ht="57.6" x14ac:dyDescent="0.3">
      <c r="A23" s="35" t="s">
        <v>48</v>
      </c>
      <c r="B23" s="7" t="s">
        <v>15</v>
      </c>
      <c r="C23" s="5" t="s">
        <v>27</v>
      </c>
      <c r="D23" s="8">
        <v>7821</v>
      </c>
      <c r="E23" s="5">
        <v>5</v>
      </c>
      <c r="F23" s="6" t="s">
        <v>157</v>
      </c>
      <c r="G23" s="6" t="s">
        <v>220</v>
      </c>
      <c r="H23" s="5" t="s">
        <v>225</v>
      </c>
      <c r="I23" s="5" t="s">
        <v>241</v>
      </c>
      <c r="J23" s="14">
        <v>2030</v>
      </c>
      <c r="K23" s="45">
        <v>731000</v>
      </c>
      <c r="L23" s="25">
        <v>67172551</v>
      </c>
      <c r="M23" s="35">
        <f>Tableau1[[#This Row],[n_prev]]/Tableau1[[#This Row],[n_death]]</f>
        <v>1.0882421303308847E-2</v>
      </c>
      <c r="N23" s="5"/>
      <c r="O23" s="13"/>
    </row>
    <row r="24" spans="1:15" s="33" customFormat="1" ht="43.2" x14ac:dyDescent="0.3">
      <c r="A24" s="26" t="s">
        <v>44</v>
      </c>
      <c r="B24" s="34" t="s">
        <v>8</v>
      </c>
      <c r="C24" s="37" t="s">
        <v>27</v>
      </c>
      <c r="D24" s="38">
        <v>7821</v>
      </c>
      <c r="E24" s="28">
        <v>4</v>
      </c>
      <c r="F24" s="39" t="s">
        <v>151</v>
      </c>
      <c r="G24" s="39" t="s">
        <v>220</v>
      </c>
      <c r="H24" s="41" t="s">
        <v>225</v>
      </c>
      <c r="I24" s="5" t="s">
        <v>241</v>
      </c>
      <c r="J24" s="39">
        <v>2050</v>
      </c>
      <c r="K24" s="32">
        <f>(6552000-5701000)+(400000-237000)</f>
        <v>1014000</v>
      </c>
      <c r="L24" s="30">
        <v>91583402</v>
      </c>
      <c r="M24" s="30">
        <f>Tableau1[[#This Row],[n_prev]]/Tableau1[[#This Row],[n_death]]</f>
        <v>1.1071875229094461E-2</v>
      </c>
      <c r="N24" s="40" t="s">
        <v>154</v>
      </c>
      <c r="O24" s="32"/>
    </row>
    <row r="25" spans="1:15" s="81" customFormat="1" ht="43.2" x14ac:dyDescent="0.3">
      <c r="A25" s="26" t="s">
        <v>55</v>
      </c>
      <c r="B25" s="27" t="s">
        <v>207</v>
      </c>
      <c r="C25" s="28" t="s">
        <v>29</v>
      </c>
      <c r="D25" s="29">
        <v>1338</v>
      </c>
      <c r="E25" s="28">
        <v>29</v>
      </c>
      <c r="F25" s="41" t="s">
        <v>209</v>
      </c>
      <c r="G25" s="41" t="s">
        <v>220</v>
      </c>
      <c r="H25" s="28" t="s">
        <v>225</v>
      </c>
      <c r="I25" s="6" t="s">
        <v>241</v>
      </c>
      <c r="J25" s="41">
        <v>2050</v>
      </c>
      <c r="K25" s="42">
        <f>7039600-6841400</f>
        <v>198200</v>
      </c>
      <c r="L25" s="68">
        <v>17360484</v>
      </c>
      <c r="M25" s="26">
        <f>Tableau1[[#This Row],[n_prev]]/Tableau1[[#This Row],[n_death]]</f>
        <v>1.1416732390640722E-2</v>
      </c>
      <c r="N25" s="28" t="s">
        <v>206</v>
      </c>
      <c r="O25" s="32"/>
    </row>
    <row r="26" spans="1:15" s="81" customFormat="1" ht="28.8" x14ac:dyDescent="0.3">
      <c r="A26" s="6" t="s">
        <v>102</v>
      </c>
      <c r="B26" s="48" t="s">
        <v>101</v>
      </c>
      <c r="C26" s="5" t="s">
        <v>27</v>
      </c>
      <c r="D26" s="8">
        <v>7405</v>
      </c>
      <c r="E26" s="5">
        <v>8</v>
      </c>
      <c r="F26" s="6" t="s">
        <v>141</v>
      </c>
      <c r="G26" s="6" t="s">
        <v>220</v>
      </c>
      <c r="H26" s="6" t="s">
        <v>225</v>
      </c>
      <c r="I26" s="5" t="s">
        <v>241</v>
      </c>
      <c r="J26" s="11">
        <v>2050</v>
      </c>
      <c r="K26" s="6">
        <v>1100000</v>
      </c>
      <c r="L26" s="12">
        <v>91583402</v>
      </c>
      <c r="M26" s="6">
        <f>Tableau1[[#This Row],[n_prev]]/Tableau1[[#This Row],[n_death]]</f>
        <v>1.2010910011838171E-2</v>
      </c>
      <c r="N26" s="5"/>
      <c r="O26" s="13"/>
    </row>
    <row r="27" spans="1:15" s="36" customFormat="1" ht="57.6" x14ac:dyDescent="0.3">
      <c r="A27" s="70" t="s">
        <v>84</v>
      </c>
      <c r="B27" s="89" t="s">
        <v>87</v>
      </c>
      <c r="C27" s="92" t="s">
        <v>29</v>
      </c>
      <c r="D27" s="95">
        <v>1380</v>
      </c>
      <c r="E27" s="28">
        <v>27</v>
      </c>
      <c r="F27" s="41" t="s">
        <v>204</v>
      </c>
      <c r="G27" s="41" t="s">
        <v>145</v>
      </c>
      <c r="H27" s="41" t="s">
        <v>225</v>
      </c>
      <c r="I27" s="5" t="s">
        <v>241</v>
      </c>
      <c r="J27" s="41">
        <v>2035</v>
      </c>
      <c r="K27" s="71">
        <v>170000</v>
      </c>
      <c r="L27" s="41">
        <v>13571259</v>
      </c>
      <c r="M27" s="54">
        <f>Tableau1[[#This Row],[n_prev]]/Tableau1[[#This Row],[n_death]]</f>
        <v>1.2526472304448689E-2</v>
      </c>
      <c r="N27" s="92" t="s">
        <v>205</v>
      </c>
      <c r="O27" s="40"/>
    </row>
    <row r="28" spans="1:15" s="81" customFormat="1" ht="57.6" x14ac:dyDescent="0.3">
      <c r="A28" s="35" t="s">
        <v>41</v>
      </c>
      <c r="B28" s="49" t="s">
        <v>5</v>
      </c>
      <c r="C28" s="50" t="s">
        <v>26</v>
      </c>
      <c r="D28" s="50">
        <v>67.5</v>
      </c>
      <c r="E28" s="5">
        <v>36</v>
      </c>
      <c r="F28" s="6" t="s">
        <v>219</v>
      </c>
      <c r="G28" s="6" t="s">
        <v>137</v>
      </c>
      <c r="H28" s="66" t="s">
        <v>223</v>
      </c>
      <c r="I28" s="50" t="s">
        <v>240</v>
      </c>
      <c r="J28" s="6">
        <v>2045</v>
      </c>
      <c r="K28" s="51">
        <v>9825</v>
      </c>
      <c r="L28" s="51">
        <v>758805</v>
      </c>
      <c r="M28" s="52">
        <f>9825/757000</f>
        <v>1.297886393659181E-2</v>
      </c>
      <c r="N28" s="50"/>
      <c r="O28" s="15"/>
    </row>
    <row r="29" spans="1:15" s="36" customFormat="1" ht="43.2" x14ac:dyDescent="0.3">
      <c r="A29" s="26" t="s">
        <v>53</v>
      </c>
      <c r="B29" s="27" t="s">
        <v>20</v>
      </c>
      <c r="C29" s="28" t="s">
        <v>27</v>
      </c>
      <c r="D29" s="29">
        <v>7405</v>
      </c>
      <c r="E29" s="28">
        <v>9</v>
      </c>
      <c r="F29" s="41" t="s">
        <v>175</v>
      </c>
      <c r="G29" s="41" t="s">
        <v>173</v>
      </c>
      <c r="H29" s="28" t="s">
        <v>225</v>
      </c>
      <c r="I29" s="6" t="s">
        <v>241</v>
      </c>
      <c r="J29" s="41">
        <v>2050</v>
      </c>
      <c r="K29" s="42">
        <v>1340000</v>
      </c>
      <c r="L29" s="30">
        <v>91583402</v>
      </c>
      <c r="M29" s="41">
        <f>Tableau1[[#This Row],[n_prev]]/Tableau1[[#This Row],[n_death]]</f>
        <v>1.4631472196239228E-2</v>
      </c>
      <c r="N29" s="28"/>
      <c r="O29" s="47"/>
    </row>
    <row r="30" spans="1:15" s="36" customFormat="1" ht="60.6" customHeight="1" x14ac:dyDescent="0.3">
      <c r="A30" s="41" t="s">
        <v>92</v>
      </c>
      <c r="B30" s="27" t="s">
        <v>91</v>
      </c>
      <c r="C30" s="28" t="s">
        <v>27</v>
      </c>
      <c r="D30" s="29">
        <v>7662</v>
      </c>
      <c r="E30" s="28">
        <v>6</v>
      </c>
      <c r="F30" s="41" t="s">
        <v>163</v>
      </c>
      <c r="G30" s="41" t="s">
        <v>145</v>
      </c>
      <c r="H30" s="28" t="s">
        <v>231</v>
      </c>
      <c r="I30" s="6" t="s">
        <v>241</v>
      </c>
      <c r="J30" s="39">
        <v>2030</v>
      </c>
      <c r="K30" s="32">
        <f>6500000-5500000</f>
        <v>1000000</v>
      </c>
      <c r="L30" s="43">
        <v>67172551</v>
      </c>
      <c r="M30" s="26">
        <f>Tableau1[[#This Row],[n_prev]]/Tableau1[[#This Row],[n_death]]</f>
        <v>1.488703324666053E-2</v>
      </c>
      <c r="N30" s="40"/>
      <c r="O30" s="32"/>
    </row>
    <row r="31" spans="1:15" s="33" customFormat="1" ht="60.6" customHeight="1" x14ac:dyDescent="0.3">
      <c r="A31" s="35" t="s">
        <v>56</v>
      </c>
      <c r="B31" s="7" t="s">
        <v>22</v>
      </c>
      <c r="C31" s="5" t="s">
        <v>29</v>
      </c>
      <c r="D31" s="8">
        <v>1380</v>
      </c>
      <c r="E31" s="5">
        <v>26</v>
      </c>
      <c r="F31" s="6" t="s">
        <v>203</v>
      </c>
      <c r="G31" s="6" t="s">
        <v>220</v>
      </c>
      <c r="H31" s="5" t="s">
        <v>232</v>
      </c>
      <c r="I31" s="5" t="s">
        <v>241</v>
      </c>
      <c r="J31" s="6">
        <v>2030</v>
      </c>
      <c r="K31" s="10">
        <v>190000</v>
      </c>
      <c r="L31" s="10">
        <v>12224379</v>
      </c>
      <c r="M31" s="52">
        <f>Tableau1[[#This Row],[n_prev]]/Tableau1[[#This Row],[n_death]]</f>
        <v>1.5542711822007482E-2</v>
      </c>
      <c r="N31" s="5"/>
      <c r="O31" s="14"/>
    </row>
    <row r="32" spans="1:15" s="33" customFormat="1" ht="60.6" customHeight="1" x14ac:dyDescent="0.3">
      <c r="A32" s="26" t="s">
        <v>44</v>
      </c>
      <c r="B32" s="34" t="s">
        <v>8</v>
      </c>
      <c r="C32" s="37" t="s">
        <v>27</v>
      </c>
      <c r="D32" s="38">
        <v>7821</v>
      </c>
      <c r="E32" s="28">
        <v>4</v>
      </c>
      <c r="F32" s="39" t="s">
        <v>149</v>
      </c>
      <c r="G32" s="39" t="s">
        <v>220</v>
      </c>
      <c r="H32" s="28" t="s">
        <v>225</v>
      </c>
      <c r="I32" s="5" t="s">
        <v>241</v>
      </c>
      <c r="J32" s="39">
        <v>2050</v>
      </c>
      <c r="K32" s="32">
        <f>(7846000-6598000)+(631000-382000)</f>
        <v>1497000</v>
      </c>
      <c r="L32" s="30">
        <v>91583402</v>
      </c>
      <c r="M32" s="30">
        <f>Tableau1[[#This Row],[n_prev]]/Tableau1[[#This Row],[n_death]]</f>
        <v>1.6345756625201584E-2</v>
      </c>
      <c r="N32" s="40" t="s">
        <v>154</v>
      </c>
      <c r="O32" s="32"/>
    </row>
    <row r="33" spans="1:15" s="33" customFormat="1" ht="90" customHeight="1" x14ac:dyDescent="0.3">
      <c r="A33" s="77" t="s">
        <v>130</v>
      </c>
      <c r="B33" s="80" t="s">
        <v>131</v>
      </c>
      <c r="C33" s="78" t="s">
        <v>27</v>
      </c>
      <c r="D33" s="79">
        <v>7662</v>
      </c>
      <c r="E33" s="78">
        <v>7</v>
      </c>
      <c r="F33" s="77" t="s">
        <v>167</v>
      </c>
      <c r="G33" s="77" t="s">
        <v>220</v>
      </c>
      <c r="H33" s="78" t="s">
        <v>233</v>
      </c>
      <c r="I33" s="6" t="s">
        <v>242</v>
      </c>
      <c r="J33" s="77">
        <v>2040</v>
      </c>
      <c r="K33" s="77">
        <f>1200000-650000</f>
        <v>550000</v>
      </c>
      <c r="L33" s="77">
        <v>33179734</v>
      </c>
      <c r="M33" s="77">
        <f>Tableau1[[#This Row],[n_prev]]/Tableau1[[#This Row],[n_death]]</f>
        <v>1.6576383644305286E-2</v>
      </c>
      <c r="N33" s="78" t="s">
        <v>171</v>
      </c>
      <c r="O33" s="77" t="s">
        <v>169</v>
      </c>
    </row>
    <row r="34" spans="1:15" s="36" customFormat="1" ht="144" x14ac:dyDescent="0.3">
      <c r="A34" s="66" t="s">
        <v>63</v>
      </c>
      <c r="B34" s="48" t="s">
        <v>62</v>
      </c>
      <c r="C34" s="5" t="s">
        <v>29</v>
      </c>
      <c r="D34" s="65">
        <v>1380</v>
      </c>
      <c r="E34" s="5">
        <v>24</v>
      </c>
      <c r="F34" s="6" t="s">
        <v>199</v>
      </c>
      <c r="G34" s="6" t="s">
        <v>135</v>
      </c>
      <c r="H34" s="5" t="s">
        <v>225</v>
      </c>
      <c r="I34" s="9" t="s">
        <v>241</v>
      </c>
      <c r="J34" s="6">
        <v>2050</v>
      </c>
      <c r="K34" s="35">
        <v>292000</v>
      </c>
      <c r="L34" s="61">
        <v>17360483</v>
      </c>
      <c r="M34" s="69">
        <f>Tableau1[[#This Row],[n_prev]]/Tableau1[[#This Row],[n_death]]</f>
        <v>1.6819808527216668E-2</v>
      </c>
      <c r="N34" s="5" t="s">
        <v>247</v>
      </c>
      <c r="O34" s="11"/>
    </row>
    <row r="35" spans="1:15" s="33" customFormat="1" ht="43.2" x14ac:dyDescent="0.3">
      <c r="A35" s="26" t="s">
        <v>53</v>
      </c>
      <c r="B35" s="27" t="s">
        <v>20</v>
      </c>
      <c r="C35" s="28" t="s">
        <v>27</v>
      </c>
      <c r="D35" s="29">
        <v>7405</v>
      </c>
      <c r="E35" s="28">
        <v>9</v>
      </c>
      <c r="F35" s="41" t="s">
        <v>176</v>
      </c>
      <c r="G35" s="41" t="s">
        <v>173</v>
      </c>
      <c r="H35" s="28" t="s">
        <v>225</v>
      </c>
      <c r="I35" s="9" t="s">
        <v>241</v>
      </c>
      <c r="J35" s="41">
        <v>2050</v>
      </c>
      <c r="K35" s="42">
        <v>1620000</v>
      </c>
      <c r="L35" s="30">
        <v>91583402</v>
      </c>
      <c r="M35" s="41">
        <f>Tableau1[[#This Row],[n_prev]]/Tableau1[[#This Row],[n_death]]</f>
        <v>1.7688794744707127E-2</v>
      </c>
      <c r="N35" s="28"/>
      <c r="O35" s="32"/>
    </row>
    <row r="36" spans="1:15" s="36" customFormat="1" ht="43.2" x14ac:dyDescent="0.3">
      <c r="A36" s="77" t="s">
        <v>130</v>
      </c>
      <c r="B36" s="80" t="s">
        <v>131</v>
      </c>
      <c r="C36" s="77" t="s">
        <v>27</v>
      </c>
      <c r="D36" s="96">
        <v>7662</v>
      </c>
      <c r="E36" s="78">
        <v>7</v>
      </c>
      <c r="F36" s="77" t="s">
        <v>166</v>
      </c>
      <c r="G36" s="77" t="s">
        <v>220</v>
      </c>
      <c r="H36" s="77" t="s">
        <v>233</v>
      </c>
      <c r="I36" s="9" t="s">
        <v>242</v>
      </c>
      <c r="J36" s="77">
        <v>2040</v>
      </c>
      <c r="K36" s="82">
        <f>2550000-1800000</f>
        <v>750000</v>
      </c>
      <c r="L36" s="77">
        <v>40109096</v>
      </c>
      <c r="M36" s="77">
        <f>Tableau1[[#This Row],[n_prev]]/Tableau1[[#This Row],[n_death]]</f>
        <v>1.8699000346455077E-2</v>
      </c>
      <c r="N36" s="78" t="s">
        <v>170</v>
      </c>
      <c r="O36" s="77"/>
    </row>
    <row r="37" spans="1:15" s="33" customFormat="1" ht="129.6" x14ac:dyDescent="0.3">
      <c r="A37" s="66" t="s">
        <v>63</v>
      </c>
      <c r="B37" s="48" t="s">
        <v>62</v>
      </c>
      <c r="C37" s="5" t="s">
        <v>29</v>
      </c>
      <c r="D37" s="65">
        <v>1380</v>
      </c>
      <c r="E37" s="5">
        <v>24</v>
      </c>
      <c r="F37" s="6" t="s">
        <v>198</v>
      </c>
      <c r="G37" s="6" t="s">
        <v>135</v>
      </c>
      <c r="H37" s="5" t="s">
        <v>225</v>
      </c>
      <c r="I37" s="5" t="s">
        <v>241</v>
      </c>
      <c r="J37" s="6">
        <v>2050</v>
      </c>
      <c r="K37" s="45">
        <v>345000</v>
      </c>
      <c r="L37" s="61">
        <v>17360484</v>
      </c>
      <c r="M37" s="69">
        <f>Tableau1[[#This Row],[n_prev]]/Tableau1[[#This Row],[n_death]]</f>
        <v>1.9872717834364527E-2</v>
      </c>
      <c r="N37" s="50" t="s">
        <v>246</v>
      </c>
      <c r="O37" s="6" t="s">
        <v>248</v>
      </c>
    </row>
    <row r="38" spans="1:15" ht="86.4" x14ac:dyDescent="0.3">
      <c r="A38" s="6" t="s">
        <v>61</v>
      </c>
      <c r="B38" s="48" t="s">
        <v>60</v>
      </c>
      <c r="C38" s="50" t="s">
        <v>29</v>
      </c>
      <c r="D38" s="65">
        <v>1338</v>
      </c>
      <c r="E38" s="5">
        <v>28</v>
      </c>
      <c r="F38" s="6" t="s">
        <v>172</v>
      </c>
      <c r="G38" s="6" t="s">
        <v>220</v>
      </c>
      <c r="H38" s="59" t="s">
        <v>224</v>
      </c>
      <c r="I38" s="59" t="s">
        <v>241</v>
      </c>
      <c r="J38" s="6">
        <v>2050</v>
      </c>
      <c r="K38" s="61">
        <v>368568</v>
      </c>
      <c r="L38" s="61">
        <v>17360484</v>
      </c>
      <c r="M38" s="35">
        <f>Tableau1[[#This Row],[n_prev]]/Tableau1[[#This Row],[n_death]]</f>
        <v>2.1230283671814679E-2</v>
      </c>
      <c r="N38" s="5"/>
      <c r="O38" s="14"/>
    </row>
    <row r="39" spans="1:15" s="33" customFormat="1" ht="72" x14ac:dyDescent="0.3">
      <c r="A39" s="41" t="s">
        <v>92</v>
      </c>
      <c r="B39" s="27" t="s">
        <v>91</v>
      </c>
      <c r="C39" s="28" t="s">
        <v>27</v>
      </c>
      <c r="D39" s="29">
        <v>7662</v>
      </c>
      <c r="E39" s="28">
        <v>6</v>
      </c>
      <c r="F39" s="39" t="s">
        <v>158</v>
      </c>
      <c r="G39" s="39" t="s">
        <v>220</v>
      </c>
      <c r="H39" s="28" t="s">
        <v>231</v>
      </c>
      <c r="I39" s="5" t="s">
        <v>241</v>
      </c>
      <c r="J39" s="39">
        <v>2030</v>
      </c>
      <c r="K39" s="43">
        <f>8500000-7000000</f>
        <v>1500000</v>
      </c>
      <c r="L39" s="43">
        <v>67172551</v>
      </c>
      <c r="M39" s="26">
        <f>Tableau1[[#This Row],[n_prev]]/Tableau1[[#This Row],[n_death]]</f>
        <v>2.2330549869990793E-2</v>
      </c>
      <c r="N39" s="40"/>
      <c r="O39" s="32"/>
    </row>
    <row r="40" spans="1:15" s="33" customFormat="1" ht="72" x14ac:dyDescent="0.3">
      <c r="A40" s="41" t="s">
        <v>92</v>
      </c>
      <c r="B40" s="27" t="s">
        <v>91</v>
      </c>
      <c r="C40" s="28" t="s">
        <v>27</v>
      </c>
      <c r="D40" s="29">
        <v>7662</v>
      </c>
      <c r="E40" s="28">
        <v>6</v>
      </c>
      <c r="F40" s="39" t="s">
        <v>159</v>
      </c>
      <c r="G40" s="39" t="s">
        <v>220</v>
      </c>
      <c r="H40" s="28" t="s">
        <v>231</v>
      </c>
      <c r="I40" s="5" t="s">
        <v>241</v>
      </c>
      <c r="J40" s="39">
        <v>2030</v>
      </c>
      <c r="K40" s="43">
        <f>8500000-7000000</f>
        <v>1500000</v>
      </c>
      <c r="L40" s="43">
        <v>67172551</v>
      </c>
      <c r="M40" s="26">
        <f>Tableau1[[#This Row],[n_prev]]/Tableau1[[#This Row],[n_death]]</f>
        <v>2.2330549869990793E-2</v>
      </c>
      <c r="N40" s="40"/>
      <c r="O40" s="32"/>
    </row>
    <row r="41" spans="1:15" s="33" customFormat="1" ht="43.2" x14ac:dyDescent="0.3">
      <c r="A41" s="77" t="s">
        <v>130</v>
      </c>
      <c r="B41" s="80" t="s">
        <v>131</v>
      </c>
      <c r="C41" s="78" t="s">
        <v>27</v>
      </c>
      <c r="D41" s="79">
        <v>7662</v>
      </c>
      <c r="E41" s="78">
        <v>7</v>
      </c>
      <c r="F41" s="77" t="s">
        <v>168</v>
      </c>
      <c r="G41" s="77" t="s">
        <v>220</v>
      </c>
      <c r="H41" s="78" t="s">
        <v>233</v>
      </c>
      <c r="I41" s="9" t="s">
        <v>242</v>
      </c>
      <c r="J41" s="77">
        <v>2040</v>
      </c>
      <c r="K41" s="77">
        <f>1200000-400000</f>
        <v>800000</v>
      </c>
      <c r="L41" s="77">
        <v>33179734</v>
      </c>
      <c r="M41" s="77">
        <f>Tableau1[[#This Row],[n_prev]]/Tableau1[[#This Row],[n_death]]</f>
        <v>2.4111103482625872E-2</v>
      </c>
      <c r="N41" s="78" t="s">
        <v>171</v>
      </c>
      <c r="O41" s="77" t="s">
        <v>169</v>
      </c>
    </row>
    <row r="42" spans="1:15" s="33" customFormat="1" ht="43.2" x14ac:dyDescent="0.3">
      <c r="A42" s="41" t="s">
        <v>36</v>
      </c>
      <c r="B42" s="27" t="s">
        <v>0</v>
      </c>
      <c r="C42" s="28" t="s">
        <v>66</v>
      </c>
      <c r="D42" s="55">
        <v>3870</v>
      </c>
      <c r="E42" s="28">
        <v>15</v>
      </c>
      <c r="F42" s="41" t="s">
        <v>187</v>
      </c>
      <c r="G42" s="41" t="s">
        <v>220</v>
      </c>
      <c r="H42" s="28" t="s">
        <v>223</v>
      </c>
      <c r="I42" s="72" t="s">
        <v>240</v>
      </c>
      <c r="J42" s="41">
        <v>2040</v>
      </c>
      <c r="K42" s="56">
        <v>1145365</v>
      </c>
      <c r="L42" s="54">
        <v>41991720</v>
      </c>
      <c r="M42" s="26">
        <f>Tableau1[[#This Row],[n_prev]]/Tableau1[[#This Row],[n_death]]</f>
        <v>2.7275972501245485E-2</v>
      </c>
      <c r="N42" s="28"/>
      <c r="O42" s="47"/>
    </row>
    <row r="43" spans="1:15" s="33" customFormat="1" ht="43.2" x14ac:dyDescent="0.3">
      <c r="A43" s="41" t="s">
        <v>36</v>
      </c>
      <c r="B43" s="27" t="s">
        <v>0</v>
      </c>
      <c r="C43" s="28" t="s">
        <v>66</v>
      </c>
      <c r="D43" s="55">
        <v>3870</v>
      </c>
      <c r="E43" s="28">
        <v>15</v>
      </c>
      <c r="F43" s="41" t="s">
        <v>183</v>
      </c>
      <c r="G43" s="41" t="s">
        <v>220</v>
      </c>
      <c r="H43" s="28" t="s">
        <v>258</v>
      </c>
      <c r="I43" s="72" t="s">
        <v>259</v>
      </c>
      <c r="J43" s="41">
        <v>2040</v>
      </c>
      <c r="K43" s="56">
        <v>1183662</v>
      </c>
      <c r="L43" s="54">
        <v>41991720</v>
      </c>
      <c r="M43" s="26">
        <f>Tableau1[[#This Row],[n_prev]]/Tableau1[[#This Row],[n_death]]</f>
        <v>2.8187985631453059E-2</v>
      </c>
      <c r="N43" s="28"/>
      <c r="O43" s="47"/>
    </row>
    <row r="44" spans="1:15" s="33" customFormat="1" ht="79.2" customHeight="1" x14ac:dyDescent="0.3">
      <c r="A44" s="35" t="s">
        <v>46</v>
      </c>
      <c r="B44" s="49" t="s">
        <v>10</v>
      </c>
      <c r="C44" s="50" t="s">
        <v>72</v>
      </c>
      <c r="D44" s="65">
        <v>3820</v>
      </c>
      <c r="E44" s="5">
        <v>16</v>
      </c>
      <c r="F44" s="6" t="s">
        <v>189</v>
      </c>
      <c r="G44" s="6" t="s">
        <v>220</v>
      </c>
      <c r="H44" s="5" t="s">
        <v>234</v>
      </c>
      <c r="I44" s="9" t="s">
        <v>241</v>
      </c>
      <c r="J44" s="6">
        <v>2050</v>
      </c>
      <c r="K44" s="10">
        <v>1000000</v>
      </c>
      <c r="L44" s="10">
        <v>31985106</v>
      </c>
      <c r="M44" s="35">
        <f>Tableau1[[#This Row],[n_prev]]/Tableau1[[#This Row],[n_death]]</f>
        <v>3.1264551694779437E-2</v>
      </c>
      <c r="N44" s="5" t="s">
        <v>190</v>
      </c>
      <c r="O44" s="13"/>
    </row>
    <row r="45" spans="1:15" s="36" customFormat="1" ht="225.6" customHeight="1" x14ac:dyDescent="0.3">
      <c r="A45" s="26" t="s">
        <v>55</v>
      </c>
      <c r="B45" s="41" t="s">
        <v>208</v>
      </c>
      <c r="C45" s="41" t="s">
        <v>29</v>
      </c>
      <c r="D45" s="42">
        <v>1338</v>
      </c>
      <c r="E45" s="28">
        <v>29</v>
      </c>
      <c r="F45" s="41" t="s">
        <v>210</v>
      </c>
      <c r="G45" s="41" t="s">
        <v>220</v>
      </c>
      <c r="H45" s="28" t="s">
        <v>225</v>
      </c>
      <c r="I45" s="6" t="s">
        <v>241</v>
      </c>
      <c r="J45" s="41">
        <v>2050</v>
      </c>
      <c r="K45" s="42">
        <f>7039600-6426000</f>
        <v>613600</v>
      </c>
      <c r="L45" s="68">
        <v>17360484</v>
      </c>
      <c r="M45" s="26">
        <f>Tableau1[[#This Row],[n_prev]]/Tableau1[[#This Row],[n_death]]</f>
        <v>3.5344636704829194E-2</v>
      </c>
      <c r="N45" s="41" t="s">
        <v>206</v>
      </c>
      <c r="O45" s="32"/>
    </row>
    <row r="46" spans="1:15" s="33" customFormat="1" ht="72" x14ac:dyDescent="0.3">
      <c r="A46" s="35" t="s">
        <v>108</v>
      </c>
      <c r="B46" s="66" t="s">
        <v>107</v>
      </c>
      <c r="C46" s="59" t="s">
        <v>29</v>
      </c>
      <c r="D46" s="94">
        <v>1410</v>
      </c>
      <c r="E46" s="5">
        <v>22</v>
      </c>
      <c r="F46" s="6" t="s">
        <v>194</v>
      </c>
      <c r="G46" s="6" t="s">
        <v>220</v>
      </c>
      <c r="H46" s="5" t="s">
        <v>226</v>
      </c>
      <c r="I46" s="6" t="s">
        <v>241</v>
      </c>
      <c r="J46" s="6">
        <v>2050</v>
      </c>
      <c r="K46" s="45">
        <f>3500000-2880000</f>
        <v>620000</v>
      </c>
      <c r="L46" s="61">
        <v>17360484</v>
      </c>
      <c r="M46" s="35">
        <f>Tableau1[[#This Row],[n_prev]]/Tableau1[[#This Row],[n_death]]</f>
        <v>3.5713290021176826E-2</v>
      </c>
      <c r="N46" s="59" t="s">
        <v>249</v>
      </c>
      <c r="O46" s="13"/>
    </row>
    <row r="47" spans="1:15" s="36" customFormat="1" ht="157.80000000000001" customHeight="1" x14ac:dyDescent="0.3">
      <c r="A47" s="41" t="s">
        <v>125</v>
      </c>
      <c r="B47" s="27" t="s">
        <v>126</v>
      </c>
      <c r="C47" s="62" t="s">
        <v>29</v>
      </c>
      <c r="D47" s="62">
        <v>1408</v>
      </c>
      <c r="E47" s="28">
        <v>23</v>
      </c>
      <c r="F47" s="41" t="s">
        <v>195</v>
      </c>
      <c r="G47" s="41" t="s">
        <v>220</v>
      </c>
      <c r="H47" s="28" t="s">
        <v>227</v>
      </c>
      <c r="I47" s="41" t="s">
        <v>241</v>
      </c>
      <c r="J47" s="41">
        <v>2050</v>
      </c>
      <c r="K47" s="63">
        <f>1610000-980000</f>
        <v>630000</v>
      </c>
      <c r="L47" s="68">
        <v>17360484</v>
      </c>
      <c r="M47" s="64">
        <f>Tableau1[[#This Row],[n_prev]]/Tableau1[[#This Row],[n_death]]</f>
        <v>3.6289310827970003E-2</v>
      </c>
      <c r="N47" s="28" t="s">
        <v>196</v>
      </c>
      <c r="O47" s="32"/>
    </row>
    <row r="48" spans="1:15" s="33" customFormat="1" ht="43.2" x14ac:dyDescent="0.3">
      <c r="A48" s="16" t="s">
        <v>51</v>
      </c>
      <c r="B48" s="17" t="s">
        <v>18</v>
      </c>
      <c r="C48" s="18" t="s">
        <v>27</v>
      </c>
      <c r="D48" s="19">
        <v>7821</v>
      </c>
      <c r="E48" s="18">
        <v>3</v>
      </c>
      <c r="F48" s="20" t="s">
        <v>142</v>
      </c>
      <c r="G48" s="20" t="s">
        <v>220</v>
      </c>
      <c r="H48" s="5" t="s">
        <v>224</v>
      </c>
      <c r="I48" s="6" t="s">
        <v>241</v>
      </c>
      <c r="J48" s="21">
        <v>2050</v>
      </c>
      <c r="K48" s="20">
        <v>3337286</v>
      </c>
      <c r="L48" s="21">
        <v>91583402</v>
      </c>
      <c r="M48" s="21">
        <f>Tableau1[[#This Row],[n_prev]]/Tableau1[[#This Row],[n_death]]</f>
        <v>3.643985620887942E-2</v>
      </c>
      <c r="N48" s="18" t="s">
        <v>178</v>
      </c>
      <c r="O48" s="22"/>
    </row>
    <row r="49" spans="1:15" s="36" customFormat="1" ht="57.6" x14ac:dyDescent="0.3">
      <c r="A49" s="26" t="s">
        <v>59</v>
      </c>
      <c r="B49" s="46" t="s">
        <v>33</v>
      </c>
      <c r="C49" s="28" t="s">
        <v>67</v>
      </c>
      <c r="D49" s="29">
        <v>6000</v>
      </c>
      <c r="E49" s="28">
        <v>13</v>
      </c>
      <c r="F49" s="41" t="s">
        <v>180</v>
      </c>
      <c r="G49" s="30" t="s">
        <v>135</v>
      </c>
      <c r="H49" s="28" t="s">
        <v>224</v>
      </c>
      <c r="I49" s="28" t="s">
        <v>242</v>
      </c>
      <c r="J49" s="41">
        <v>2050</v>
      </c>
      <c r="K49" s="53">
        <v>3487163</v>
      </c>
      <c r="L49" s="30">
        <v>91583402</v>
      </c>
      <c r="M49" s="54">
        <f>Tableau1[[#This Row],[n_prev]]/L49</f>
        <v>3.8076364536010578E-2</v>
      </c>
      <c r="N49" s="28" t="s">
        <v>181</v>
      </c>
      <c r="O49" s="41"/>
    </row>
    <row r="50" spans="1:15" s="33" customFormat="1" ht="43.2" x14ac:dyDescent="0.3">
      <c r="A50" s="41" t="s">
        <v>36</v>
      </c>
      <c r="B50" s="27" t="s">
        <v>0</v>
      </c>
      <c r="C50" s="28" t="s">
        <v>66</v>
      </c>
      <c r="D50" s="55">
        <v>3870</v>
      </c>
      <c r="E50" s="28">
        <v>15</v>
      </c>
      <c r="F50" s="41" t="s">
        <v>184</v>
      </c>
      <c r="G50" s="41" t="s">
        <v>145</v>
      </c>
      <c r="H50" s="28" t="s">
        <v>258</v>
      </c>
      <c r="I50" s="72" t="s">
        <v>259</v>
      </c>
      <c r="J50" s="41">
        <v>2040</v>
      </c>
      <c r="K50" s="54">
        <v>1645276</v>
      </c>
      <c r="L50" s="54">
        <v>41991720</v>
      </c>
      <c r="M50" s="26">
        <f>Tableau1[[#This Row],[n_prev]]/Tableau1[[#This Row],[n_death]]</f>
        <v>3.918096234209982E-2</v>
      </c>
      <c r="N50" s="28"/>
      <c r="O50" s="47"/>
    </row>
    <row r="51" spans="1:15" s="36" customFormat="1" ht="43.2" x14ac:dyDescent="0.3">
      <c r="A51" s="16" t="s">
        <v>51</v>
      </c>
      <c r="B51" s="17" t="s">
        <v>18</v>
      </c>
      <c r="C51" s="18" t="s">
        <v>27</v>
      </c>
      <c r="D51" s="19">
        <v>7821</v>
      </c>
      <c r="E51" s="18">
        <v>3</v>
      </c>
      <c r="F51" s="20" t="s">
        <v>141</v>
      </c>
      <c r="G51" s="20" t="s">
        <v>220</v>
      </c>
      <c r="H51" s="5" t="s">
        <v>224</v>
      </c>
      <c r="I51" s="9" t="s">
        <v>241</v>
      </c>
      <c r="J51" s="21">
        <v>2050</v>
      </c>
      <c r="K51" s="20">
        <v>3671573</v>
      </c>
      <c r="L51" s="21">
        <v>91583402</v>
      </c>
      <c r="M51" s="21">
        <f>Tableau1[[#This Row],[n_prev]]/Tableau1[[#This Row],[n_death]]</f>
        <v>4.0089939004449737E-2</v>
      </c>
      <c r="N51" s="18" t="s">
        <v>178</v>
      </c>
      <c r="O51" s="22"/>
    </row>
    <row r="52" spans="1:15" s="33" customFormat="1" ht="72" x14ac:dyDescent="0.3">
      <c r="A52" s="41" t="s">
        <v>92</v>
      </c>
      <c r="B52" s="27" t="s">
        <v>91</v>
      </c>
      <c r="C52" s="28" t="s">
        <v>27</v>
      </c>
      <c r="D52" s="29">
        <v>7662</v>
      </c>
      <c r="E52" s="28">
        <v>6</v>
      </c>
      <c r="F52" s="41" t="s">
        <v>160</v>
      </c>
      <c r="G52" s="41" t="s">
        <v>145</v>
      </c>
      <c r="H52" s="41" t="s">
        <v>231</v>
      </c>
      <c r="I52" s="9" t="s">
        <v>241</v>
      </c>
      <c r="J52" s="39">
        <v>2030</v>
      </c>
      <c r="K52" s="26">
        <f>8500000-5600000</f>
        <v>2900000</v>
      </c>
      <c r="L52" s="43">
        <v>67172551</v>
      </c>
      <c r="M52" s="26">
        <f>Tableau1[[#This Row],[n_prev]]/Tableau1[[#This Row],[n_death]]</f>
        <v>4.3172396415315534E-2</v>
      </c>
      <c r="N52" s="28"/>
      <c r="O52" s="39"/>
    </row>
    <row r="53" spans="1:15" s="36" customFormat="1" ht="57.6" x14ac:dyDescent="0.3">
      <c r="A53" s="41" t="s">
        <v>80</v>
      </c>
      <c r="B53" s="27" t="s">
        <v>79</v>
      </c>
      <c r="C53" s="67" t="s">
        <v>81</v>
      </c>
      <c r="D53" s="67">
        <v>330</v>
      </c>
      <c r="E53" s="28">
        <v>33</v>
      </c>
      <c r="F53" s="41" t="s">
        <v>216</v>
      </c>
      <c r="G53" s="41" t="s">
        <v>220</v>
      </c>
      <c r="H53" s="41" t="s">
        <v>225</v>
      </c>
      <c r="I53" s="9" t="s">
        <v>241</v>
      </c>
      <c r="J53" s="41">
        <v>2050</v>
      </c>
      <c r="K53" s="58">
        <f>(160000+40000)-(15000+0)</f>
        <v>185000</v>
      </c>
      <c r="L53" s="58">
        <v>4113152</v>
      </c>
      <c r="M53" s="26">
        <f>Tableau1[[#This Row],[n_prev]]/Tableau1[[#This Row],[n_death]]</f>
        <v>4.497767162507002E-2</v>
      </c>
      <c r="N53" s="28" t="s">
        <v>218</v>
      </c>
      <c r="O53" s="47" t="s">
        <v>214</v>
      </c>
    </row>
    <row r="54" spans="1:15" s="36" customFormat="1" ht="43.2" x14ac:dyDescent="0.3">
      <c r="A54" s="41" t="s">
        <v>36</v>
      </c>
      <c r="B54" s="27" t="s">
        <v>0</v>
      </c>
      <c r="C54" s="28" t="s">
        <v>66</v>
      </c>
      <c r="D54" s="55">
        <v>3870</v>
      </c>
      <c r="E54" s="28">
        <v>15</v>
      </c>
      <c r="F54" s="41" t="s">
        <v>188</v>
      </c>
      <c r="G54" s="41" t="s">
        <v>145</v>
      </c>
      <c r="H54" s="41" t="s">
        <v>223</v>
      </c>
      <c r="I54" s="72" t="s">
        <v>240</v>
      </c>
      <c r="J54" s="41">
        <v>2040</v>
      </c>
      <c r="K54" s="54">
        <v>2088298</v>
      </c>
      <c r="L54" s="54">
        <v>41991720</v>
      </c>
      <c r="M54" s="26">
        <f>Tableau1[[#This Row],[n_prev]]/Tableau1[[#This Row],[n_death]]</f>
        <v>4.9731185100300723E-2</v>
      </c>
      <c r="N54" s="28"/>
      <c r="O54" s="32"/>
    </row>
    <row r="55" spans="1:15" s="36" customFormat="1" ht="57.6" x14ac:dyDescent="0.3">
      <c r="A55" s="26" t="s">
        <v>42</v>
      </c>
      <c r="B55" s="34" t="s">
        <v>6</v>
      </c>
      <c r="C55" s="67" t="s">
        <v>29</v>
      </c>
      <c r="D55" s="38">
        <v>1380</v>
      </c>
      <c r="E55" s="28">
        <v>25</v>
      </c>
      <c r="F55" s="41" t="s">
        <v>201</v>
      </c>
      <c r="G55" s="41" t="s">
        <v>135</v>
      </c>
      <c r="H55" s="28" t="s">
        <v>225</v>
      </c>
      <c r="I55" s="72" t="s">
        <v>241</v>
      </c>
      <c r="J55" s="41">
        <v>2050</v>
      </c>
      <c r="K55" s="53">
        <v>960000</v>
      </c>
      <c r="L55" s="68">
        <v>17360484</v>
      </c>
      <c r="M55" s="54">
        <f>Tableau1[[#This Row],[n_prev]]/Tableau1[[#This Row],[n_death]]</f>
        <v>5.5297997452144768E-2</v>
      </c>
      <c r="N55" s="28" t="s">
        <v>202</v>
      </c>
      <c r="O55" s="32"/>
    </row>
    <row r="56" spans="1:15" s="33" customFormat="1" ht="57.6" x14ac:dyDescent="0.3">
      <c r="A56" s="26" t="s">
        <v>42</v>
      </c>
      <c r="B56" s="34" t="s">
        <v>6</v>
      </c>
      <c r="C56" s="67" t="s">
        <v>29</v>
      </c>
      <c r="D56" s="38">
        <v>1380</v>
      </c>
      <c r="E56" s="28">
        <v>25</v>
      </c>
      <c r="F56" s="41" t="s">
        <v>201</v>
      </c>
      <c r="G56" s="41" t="s">
        <v>135</v>
      </c>
      <c r="H56" s="41" t="s">
        <v>225</v>
      </c>
      <c r="I56" s="72" t="s">
        <v>241</v>
      </c>
      <c r="J56" s="41">
        <v>2050</v>
      </c>
      <c r="K56" s="53">
        <v>1060000</v>
      </c>
      <c r="L56" s="68">
        <v>17360484</v>
      </c>
      <c r="M56" s="54">
        <f>Tableau1[[#This Row],[n_prev]]/Tableau1[[#This Row],[n_death]]</f>
        <v>6.1058205520076514E-2</v>
      </c>
      <c r="N56" s="41" t="s">
        <v>200</v>
      </c>
      <c r="O56" s="32"/>
    </row>
    <row r="57" spans="1:15" s="33" customFormat="1" ht="43.2" x14ac:dyDescent="0.3">
      <c r="A57" s="26" t="s">
        <v>55</v>
      </c>
      <c r="B57" s="27" t="s">
        <v>13</v>
      </c>
      <c r="C57" s="28" t="s">
        <v>29</v>
      </c>
      <c r="D57" s="29">
        <v>1338</v>
      </c>
      <c r="E57" s="28">
        <v>29</v>
      </c>
      <c r="F57" s="41" t="s">
        <v>211</v>
      </c>
      <c r="G57" s="41" t="s">
        <v>220</v>
      </c>
      <c r="H57" s="41" t="s">
        <v>225</v>
      </c>
      <c r="I57" s="9" t="s">
        <v>241</v>
      </c>
      <c r="J57" s="41">
        <v>2050</v>
      </c>
      <c r="K57" s="42">
        <f>7525500-6380500</f>
        <v>1145000</v>
      </c>
      <c r="L57" s="68">
        <v>17360484</v>
      </c>
      <c r="M57" s="26">
        <f>Tableau1[[#This Row],[n_prev]]/Tableau1[[#This Row],[n_death]]</f>
        <v>6.5954382377818505E-2</v>
      </c>
      <c r="N57" s="41" t="s">
        <v>206</v>
      </c>
      <c r="O57" s="32"/>
    </row>
    <row r="58" spans="1:15" s="36" customFormat="1" ht="57.6" x14ac:dyDescent="0.3">
      <c r="A58" s="41" t="s">
        <v>90</v>
      </c>
      <c r="B58" s="46" t="s">
        <v>89</v>
      </c>
      <c r="C58" s="28" t="s">
        <v>29</v>
      </c>
      <c r="D58" s="29">
        <v>1411</v>
      </c>
      <c r="E58" s="28">
        <v>19</v>
      </c>
      <c r="F58" s="41" t="s">
        <v>193</v>
      </c>
      <c r="G58" s="41" t="s">
        <v>220</v>
      </c>
      <c r="H58" s="41" t="s">
        <v>225</v>
      </c>
      <c r="I58" s="9" t="s">
        <v>241</v>
      </c>
      <c r="J58" s="41">
        <v>2060</v>
      </c>
      <c r="K58" s="58">
        <v>1300000</v>
      </c>
      <c r="L58" s="58">
        <v>18786882</v>
      </c>
      <c r="M58" s="41">
        <f>Tableau1[[#This Row],[n_prev]]/Tableau1[[#This Row],[n_death]]</f>
        <v>6.9197219634423643E-2</v>
      </c>
      <c r="N58" s="28"/>
      <c r="O58" s="32"/>
    </row>
    <row r="59" spans="1:15" s="33" customFormat="1" ht="57.6" x14ac:dyDescent="0.3">
      <c r="A59" s="41" t="s">
        <v>80</v>
      </c>
      <c r="B59" s="27" t="s">
        <v>79</v>
      </c>
      <c r="C59" s="67" t="s">
        <v>81</v>
      </c>
      <c r="D59" s="67">
        <v>330</v>
      </c>
      <c r="E59" s="28">
        <v>33</v>
      </c>
      <c r="F59" s="41" t="s">
        <v>216</v>
      </c>
      <c r="G59" s="41" t="s">
        <v>220</v>
      </c>
      <c r="H59" s="41" t="s">
        <v>225</v>
      </c>
      <c r="I59" s="9" t="s">
        <v>241</v>
      </c>
      <c r="J59" s="41">
        <v>2050</v>
      </c>
      <c r="K59" s="58">
        <f>(240000+115000)-(15000+0)</f>
        <v>340000</v>
      </c>
      <c r="L59" s="58">
        <v>4113152</v>
      </c>
      <c r="M59" s="26">
        <f>Tableau1[[#This Row],[n_prev]]/Tableau1[[#This Row],[n_death]]</f>
        <v>8.2661666770398948E-2</v>
      </c>
      <c r="N59" s="28" t="s">
        <v>217</v>
      </c>
      <c r="O59" s="47" t="s">
        <v>215</v>
      </c>
    </row>
    <row r="60" spans="1:15" ht="28.8" x14ac:dyDescent="0.3">
      <c r="A60" s="6" t="s">
        <v>96</v>
      </c>
      <c r="B60" s="48" t="s">
        <v>95</v>
      </c>
      <c r="C60" s="5" t="s">
        <v>29</v>
      </c>
      <c r="D60" s="8">
        <v>1338</v>
      </c>
      <c r="E60" s="5">
        <v>30</v>
      </c>
      <c r="F60" s="6" t="s">
        <v>213</v>
      </c>
      <c r="G60" s="6" t="s">
        <v>135</v>
      </c>
      <c r="H60" s="6" t="s">
        <v>225</v>
      </c>
      <c r="I60" s="9" t="s">
        <v>241</v>
      </c>
      <c r="J60" s="6">
        <v>2030</v>
      </c>
      <c r="K60" s="10">
        <f>1429940-(17580+2717+177872)</f>
        <v>1231771</v>
      </c>
      <c r="L60" s="61">
        <v>12224379</v>
      </c>
      <c r="M60" s="6">
        <f>Tableau1[[#This Row],[n_prev]]/Tableau1[[#This Row],[n_death]]</f>
        <v>0.10076348254582093</v>
      </c>
      <c r="N60" s="5"/>
      <c r="O60" s="14"/>
    </row>
    <row r="61" spans="1:15" s="33" customFormat="1" ht="43.2" x14ac:dyDescent="0.3">
      <c r="A61" s="41" t="s">
        <v>36</v>
      </c>
      <c r="B61" s="27" t="s">
        <v>0</v>
      </c>
      <c r="C61" s="28" t="s">
        <v>66</v>
      </c>
      <c r="D61" s="55">
        <v>3870</v>
      </c>
      <c r="E61" s="28">
        <v>15</v>
      </c>
      <c r="F61" s="41" t="s">
        <v>185</v>
      </c>
      <c r="G61" s="41" t="s">
        <v>220</v>
      </c>
      <c r="H61" s="41" t="s">
        <v>245</v>
      </c>
      <c r="I61" s="72" t="s">
        <v>245</v>
      </c>
      <c r="J61" s="41">
        <v>2040</v>
      </c>
      <c r="K61" s="56">
        <v>5863930</v>
      </c>
      <c r="L61" s="54">
        <v>41991720</v>
      </c>
      <c r="M61" s="26">
        <f>Tableau1[[#This Row],[n_prev]]/Tableau1[[#This Row],[n_death]]</f>
        <v>0.13964491094911091</v>
      </c>
      <c r="N61" s="28"/>
      <c r="O61" s="47"/>
    </row>
    <row r="62" spans="1:15" s="33" customFormat="1" ht="43.2" x14ac:dyDescent="0.3">
      <c r="A62" s="41" t="s">
        <v>36</v>
      </c>
      <c r="B62" s="27" t="s">
        <v>0</v>
      </c>
      <c r="C62" s="28" t="s">
        <v>66</v>
      </c>
      <c r="D62" s="55">
        <v>3870</v>
      </c>
      <c r="E62" s="28">
        <v>15</v>
      </c>
      <c r="F62" s="41" t="s">
        <v>186</v>
      </c>
      <c r="G62" s="41" t="s">
        <v>145</v>
      </c>
      <c r="H62" s="41" t="s">
        <v>245</v>
      </c>
      <c r="I62" s="72" t="s">
        <v>245</v>
      </c>
      <c r="J62" s="41">
        <v>2040</v>
      </c>
      <c r="K62" s="54">
        <v>6435910</v>
      </c>
      <c r="L62" s="54">
        <v>41991720</v>
      </c>
      <c r="M62" s="26">
        <f>Tableau1[[#This Row],[n_prev]]/Tableau1[[#This Row],[n_death]]</f>
        <v>0.15326616771115831</v>
      </c>
      <c r="N62" s="28" t="s">
        <v>252</v>
      </c>
      <c r="O62" s="47"/>
    </row>
    <row r="63" spans="1:15" s="33" customFormat="1" ht="43.2" x14ac:dyDescent="0.3">
      <c r="A63" s="6" t="s">
        <v>113</v>
      </c>
      <c r="B63" s="48" t="s">
        <v>112</v>
      </c>
      <c r="C63" s="5" t="s">
        <v>114</v>
      </c>
      <c r="D63" s="5">
        <v>3</v>
      </c>
      <c r="E63" s="5">
        <v>48</v>
      </c>
      <c r="F63" s="6"/>
      <c r="G63" s="6"/>
      <c r="H63" s="6" t="s">
        <v>223</v>
      </c>
      <c r="I63" s="9" t="s">
        <v>240</v>
      </c>
      <c r="J63" s="6"/>
      <c r="K63" s="6" t="s">
        <v>118</v>
      </c>
      <c r="L63" s="6"/>
      <c r="M63" s="6"/>
      <c r="N63" s="5"/>
      <c r="O63" s="13"/>
    </row>
    <row r="64" spans="1:15" s="33" customFormat="1" ht="72" x14ac:dyDescent="0.3">
      <c r="A64" s="6" t="s">
        <v>52</v>
      </c>
      <c r="B64" s="52" t="s">
        <v>19</v>
      </c>
      <c r="C64" s="91" t="s">
        <v>28</v>
      </c>
      <c r="D64" s="65">
        <v>1241</v>
      </c>
      <c r="E64" s="5">
        <v>32</v>
      </c>
      <c r="F64" s="6"/>
      <c r="G64" s="6"/>
      <c r="H64" s="6" t="s">
        <v>225</v>
      </c>
      <c r="I64" s="9" t="s">
        <v>242</v>
      </c>
      <c r="J64" s="6"/>
      <c r="K64" s="6"/>
      <c r="L64" s="6"/>
      <c r="M64" s="6"/>
      <c r="N64" s="5"/>
      <c r="O64" s="13"/>
    </row>
    <row r="65" spans="1:15" s="36" customFormat="1" ht="57.6" x14ac:dyDescent="0.3">
      <c r="A65" s="26" t="s">
        <v>49</v>
      </c>
      <c r="B65" s="41" t="s">
        <v>16</v>
      </c>
      <c r="C65" s="72" t="s">
        <v>28</v>
      </c>
      <c r="D65" s="29">
        <v>1241</v>
      </c>
      <c r="E65" s="28">
        <v>31</v>
      </c>
      <c r="F65" s="41"/>
      <c r="G65" s="41"/>
      <c r="H65" s="41" t="s">
        <v>225</v>
      </c>
      <c r="I65" s="72" t="s">
        <v>241</v>
      </c>
      <c r="J65" s="41"/>
      <c r="K65" s="54" t="s">
        <v>119</v>
      </c>
      <c r="L65" s="54"/>
      <c r="M65" s="54"/>
      <c r="N65" s="72"/>
      <c r="O65" s="32"/>
    </row>
    <row r="66" spans="1:15" s="73" customFormat="1" ht="52.8" x14ac:dyDescent="0.3">
      <c r="A66" s="41" t="s">
        <v>45</v>
      </c>
      <c r="B66" s="88" t="s">
        <v>9</v>
      </c>
      <c r="C66" s="41" t="s">
        <v>68</v>
      </c>
      <c r="D66" s="54">
        <v>38.6</v>
      </c>
      <c r="E66" s="28">
        <v>43</v>
      </c>
      <c r="F66" s="41"/>
      <c r="G66" s="41"/>
      <c r="H66" s="41" t="s">
        <v>228</v>
      </c>
      <c r="I66" s="72" t="s">
        <v>241</v>
      </c>
      <c r="J66" s="41"/>
      <c r="K66" s="54"/>
      <c r="L66" s="54"/>
      <c r="M66" s="54"/>
      <c r="N66" s="72"/>
      <c r="O66" s="32"/>
    </row>
    <row r="67" spans="1:15" s="36" customFormat="1" ht="57.6" x14ac:dyDescent="0.3">
      <c r="A67" s="66" t="s">
        <v>65</v>
      </c>
      <c r="B67" s="66" t="s">
        <v>64</v>
      </c>
      <c r="C67" s="9" t="s">
        <v>69</v>
      </c>
      <c r="D67" s="52">
        <v>21</v>
      </c>
      <c r="E67" s="5">
        <v>46</v>
      </c>
      <c r="F67" s="6"/>
      <c r="G67" s="6"/>
      <c r="H67" s="6" t="s">
        <v>223</v>
      </c>
      <c r="I67" s="9" t="s">
        <v>241</v>
      </c>
      <c r="J67" s="6"/>
      <c r="K67" s="35">
        <v>300</v>
      </c>
      <c r="L67" s="35"/>
      <c r="M67" s="35"/>
      <c r="N67" s="9"/>
      <c r="O67" s="13"/>
    </row>
    <row r="68" spans="1:15" s="33" customFormat="1" ht="72" x14ac:dyDescent="0.3">
      <c r="A68" s="6" t="s">
        <v>57</v>
      </c>
      <c r="B68" s="52" t="s">
        <v>23</v>
      </c>
      <c r="C68" s="91" t="s">
        <v>70</v>
      </c>
      <c r="D68" s="52">
        <v>100</v>
      </c>
      <c r="E68" s="5">
        <v>34</v>
      </c>
      <c r="F68" s="6"/>
      <c r="G68" s="6"/>
      <c r="H68" s="6" t="s">
        <v>225</v>
      </c>
      <c r="I68" s="9" t="s">
        <v>241</v>
      </c>
      <c r="J68" s="6"/>
      <c r="K68" s="6"/>
      <c r="L68" s="6"/>
      <c r="M68" s="6"/>
      <c r="N68" s="9"/>
      <c r="O68" s="13"/>
    </row>
    <row r="69" spans="1:15" s="33" customFormat="1" ht="126" customHeight="1" x14ac:dyDescent="0.3">
      <c r="A69" s="6" t="s">
        <v>43</v>
      </c>
      <c r="B69" s="6" t="s">
        <v>7</v>
      </c>
      <c r="C69" s="90" t="s">
        <v>73</v>
      </c>
      <c r="D69" s="93">
        <v>7821</v>
      </c>
      <c r="E69" s="5">
        <v>1</v>
      </c>
      <c r="F69" s="6"/>
      <c r="G69" s="6" t="s">
        <v>220</v>
      </c>
      <c r="H69" s="6" t="s">
        <v>225</v>
      </c>
      <c r="I69" s="9" t="s">
        <v>241</v>
      </c>
      <c r="J69" s="6"/>
      <c r="K69" s="4" t="s">
        <v>120</v>
      </c>
      <c r="L69" s="4"/>
      <c r="M69" s="4"/>
      <c r="N69" s="9"/>
      <c r="O69" s="13"/>
    </row>
    <row r="70" spans="1:15" s="36" customFormat="1" ht="144" customHeight="1" x14ac:dyDescent="0.3">
      <c r="A70" s="6" t="s">
        <v>98</v>
      </c>
      <c r="B70" s="66" t="s">
        <v>97</v>
      </c>
      <c r="C70" s="9" t="s">
        <v>27</v>
      </c>
      <c r="D70" s="10">
        <v>6970</v>
      </c>
      <c r="E70" s="5">
        <v>12</v>
      </c>
      <c r="F70" s="6"/>
      <c r="G70" s="6"/>
      <c r="H70" s="6" t="s">
        <v>224</v>
      </c>
      <c r="I70" s="9" t="s">
        <v>241</v>
      </c>
      <c r="J70" s="6"/>
      <c r="K70" s="35"/>
      <c r="L70" s="35"/>
      <c r="M70" s="35"/>
      <c r="N70" s="9"/>
      <c r="O70" s="13"/>
    </row>
    <row r="71" spans="1:15" s="33" customFormat="1" ht="57.6" x14ac:dyDescent="0.3">
      <c r="A71" s="35" t="s">
        <v>35</v>
      </c>
      <c r="B71" s="52" t="s">
        <v>1</v>
      </c>
      <c r="C71" s="9" t="s">
        <v>71</v>
      </c>
      <c r="D71" s="6">
        <v>70</v>
      </c>
      <c r="E71" s="5">
        <v>20</v>
      </c>
      <c r="F71" s="6"/>
      <c r="G71" s="6"/>
      <c r="H71" s="6" t="s">
        <v>250</v>
      </c>
      <c r="I71" s="9" t="s">
        <v>243</v>
      </c>
      <c r="J71" s="6"/>
      <c r="K71" s="52"/>
      <c r="L71" s="52"/>
      <c r="M71" s="52"/>
      <c r="N71" s="91" t="s">
        <v>251</v>
      </c>
      <c r="O71" s="13"/>
    </row>
    <row r="72" spans="1:15" s="36" customFormat="1" ht="43.2" x14ac:dyDescent="0.3">
      <c r="A72" s="35" t="s">
        <v>47</v>
      </c>
      <c r="B72" s="52" t="s">
        <v>12</v>
      </c>
      <c r="C72" s="91" t="s">
        <v>32</v>
      </c>
      <c r="D72" s="52">
        <v>51</v>
      </c>
      <c r="E72" s="5">
        <v>38</v>
      </c>
      <c r="F72" s="6"/>
      <c r="G72" s="6"/>
      <c r="H72" s="6" t="s">
        <v>230</v>
      </c>
      <c r="I72" s="9" t="s">
        <v>241</v>
      </c>
      <c r="J72" s="6"/>
      <c r="K72" s="6"/>
      <c r="L72" s="6"/>
      <c r="M72" s="6"/>
      <c r="N72" s="9" t="s">
        <v>254</v>
      </c>
      <c r="O72" s="14"/>
    </row>
    <row r="73" spans="1:15" s="33" customFormat="1" ht="115.2" x14ac:dyDescent="0.3">
      <c r="A73" s="41" t="s">
        <v>116</v>
      </c>
      <c r="B73" s="57" t="s">
        <v>115</v>
      </c>
      <c r="C73" s="87" t="s">
        <v>117</v>
      </c>
      <c r="D73" s="28">
        <v>528</v>
      </c>
      <c r="E73" s="28">
        <v>17</v>
      </c>
      <c r="F73" s="41"/>
      <c r="G73" s="57"/>
      <c r="H73" s="41" t="s">
        <v>224</v>
      </c>
      <c r="I73" s="9" t="s">
        <v>241</v>
      </c>
      <c r="J73" s="41"/>
      <c r="K73" s="41"/>
      <c r="L73" s="41"/>
      <c r="M73" s="41"/>
      <c r="N73" s="28"/>
      <c r="O73" s="32"/>
    </row>
    <row r="74" spans="1:15" s="76" customFormat="1" ht="72" x14ac:dyDescent="0.3">
      <c r="A74" s="41" t="s">
        <v>110</v>
      </c>
      <c r="B74" s="57" t="s">
        <v>109</v>
      </c>
      <c r="C74" s="72" t="s">
        <v>111</v>
      </c>
      <c r="D74" s="41">
        <v>9</v>
      </c>
      <c r="E74" s="28">
        <v>47</v>
      </c>
      <c r="F74" s="41"/>
      <c r="G74" s="41"/>
      <c r="H74" s="41" t="s">
        <v>235</v>
      </c>
      <c r="I74" s="9" t="s">
        <v>244</v>
      </c>
      <c r="J74" s="41"/>
      <c r="K74" s="41"/>
      <c r="L74" s="41"/>
      <c r="M74" s="26"/>
      <c r="N74" s="72"/>
      <c r="O74" s="32"/>
    </row>
    <row r="75" spans="1:15" s="33" customFormat="1" ht="43.2" x14ac:dyDescent="0.3">
      <c r="A75" s="6" t="s">
        <v>40</v>
      </c>
      <c r="B75" s="6" t="s">
        <v>4</v>
      </c>
      <c r="C75" s="9" t="s">
        <v>75</v>
      </c>
      <c r="D75" s="6">
        <v>37.299999999999997</v>
      </c>
      <c r="E75" s="5">
        <v>44</v>
      </c>
      <c r="F75" s="6"/>
      <c r="G75" s="6"/>
      <c r="H75" s="6" t="s">
        <v>224</v>
      </c>
      <c r="I75" s="9" t="s">
        <v>241</v>
      </c>
      <c r="J75" s="6"/>
      <c r="K75" s="10">
        <v>14400</v>
      </c>
      <c r="L75" s="10"/>
      <c r="M75" s="35"/>
      <c r="N75" s="9"/>
      <c r="O75" s="13"/>
    </row>
    <row r="76" spans="1:15" s="36" customFormat="1" ht="43.2" x14ac:dyDescent="0.3">
      <c r="A76" s="41" t="s">
        <v>104</v>
      </c>
      <c r="B76" s="57" t="s">
        <v>103</v>
      </c>
      <c r="C76" s="72" t="s">
        <v>27</v>
      </c>
      <c r="D76" s="42">
        <v>7405</v>
      </c>
      <c r="E76" s="28">
        <v>11</v>
      </c>
      <c r="F76" s="41"/>
      <c r="G76" s="41"/>
      <c r="H76" s="41" t="s">
        <v>236</v>
      </c>
      <c r="I76" s="9" t="s">
        <v>245</v>
      </c>
      <c r="J76" s="41"/>
      <c r="K76" s="26"/>
      <c r="L76" s="26"/>
      <c r="M76" s="26"/>
      <c r="N76" s="72"/>
      <c r="O76" s="32"/>
    </row>
    <row r="77" spans="1:15" s="33" customFormat="1" ht="57.6" x14ac:dyDescent="0.3">
      <c r="A77" s="41" t="s">
        <v>76</v>
      </c>
      <c r="B77" s="41" t="s">
        <v>11</v>
      </c>
      <c r="C77" s="74" t="s">
        <v>30</v>
      </c>
      <c r="D77" s="75">
        <v>63.26</v>
      </c>
      <c r="E77" s="28">
        <v>37</v>
      </c>
      <c r="F77" s="41"/>
      <c r="G77" s="41"/>
      <c r="H77" s="41" t="s">
        <v>225</v>
      </c>
      <c r="I77" s="9" t="s">
        <v>241</v>
      </c>
      <c r="J77" s="41"/>
      <c r="K77" s="41"/>
      <c r="L77" s="41"/>
      <c r="M77" s="41"/>
      <c r="N77" s="72"/>
      <c r="O77" s="32"/>
    </row>
    <row r="78" spans="1:15" s="36" customFormat="1" ht="57.6" x14ac:dyDescent="0.3">
      <c r="A78" s="26" t="s">
        <v>58</v>
      </c>
      <c r="B78" s="41" t="s">
        <v>24</v>
      </c>
      <c r="C78" s="41" t="s">
        <v>77</v>
      </c>
      <c r="D78" s="41">
        <v>61</v>
      </c>
      <c r="E78" s="28">
        <v>41</v>
      </c>
      <c r="F78" s="41"/>
      <c r="G78" s="41"/>
      <c r="H78" s="41" t="s">
        <v>224</v>
      </c>
      <c r="I78" s="9" t="s">
        <v>241</v>
      </c>
      <c r="J78" s="41"/>
      <c r="K78" s="42">
        <v>75000</v>
      </c>
      <c r="L78" s="42"/>
      <c r="M78" s="41"/>
      <c r="N78" s="41"/>
      <c r="O78" s="32"/>
    </row>
    <row r="79" spans="1:15" s="33" customFormat="1" ht="57.6" x14ac:dyDescent="0.3">
      <c r="A79" s="41" t="s">
        <v>37</v>
      </c>
      <c r="B79" s="41" t="s">
        <v>2</v>
      </c>
      <c r="C79" s="86" t="s">
        <v>29</v>
      </c>
      <c r="D79" s="42">
        <v>1411</v>
      </c>
      <c r="E79" s="28">
        <v>21</v>
      </c>
      <c r="F79" s="41"/>
      <c r="G79" s="41"/>
      <c r="H79" s="41" t="s">
        <v>224</v>
      </c>
      <c r="I79" s="9" t="s">
        <v>241</v>
      </c>
      <c r="J79" s="41"/>
      <c r="K79" s="41"/>
      <c r="L79" s="47"/>
      <c r="M79" s="41"/>
      <c r="N79" s="72"/>
      <c r="O79" s="32"/>
    </row>
    <row r="80" spans="1:15" s="36" customFormat="1" ht="43.2" x14ac:dyDescent="0.3">
      <c r="A80" s="41" t="s">
        <v>38</v>
      </c>
      <c r="B80" s="54" t="s">
        <v>14</v>
      </c>
      <c r="C80" s="54" t="s">
        <v>78</v>
      </c>
      <c r="D80" s="41">
        <v>80</v>
      </c>
      <c r="E80" s="28">
        <v>35</v>
      </c>
      <c r="F80" s="41"/>
      <c r="G80" s="41"/>
      <c r="H80" s="41" t="s">
        <v>224</v>
      </c>
      <c r="I80" s="9" t="s">
        <v>241</v>
      </c>
      <c r="J80" s="41"/>
      <c r="K80" s="42">
        <v>14000</v>
      </c>
      <c r="L80" s="42"/>
      <c r="M80" s="41"/>
      <c r="N80" s="72"/>
      <c r="O80" s="32"/>
    </row>
    <row r="81" spans="1:15" s="33" customFormat="1" ht="176.4" customHeight="1" x14ac:dyDescent="0.3">
      <c r="A81" s="26" t="s">
        <v>39</v>
      </c>
      <c r="B81" s="54" t="s">
        <v>3</v>
      </c>
      <c r="C81" s="72" t="s">
        <v>75</v>
      </c>
      <c r="D81" s="41">
        <v>37.299999999999997</v>
      </c>
      <c r="E81" s="28">
        <v>45</v>
      </c>
      <c r="F81" s="41"/>
      <c r="G81" s="41"/>
      <c r="H81" s="57" t="s">
        <v>237</v>
      </c>
      <c r="I81" s="9" t="s">
        <v>241</v>
      </c>
      <c r="J81" s="41"/>
      <c r="K81" s="41" t="s">
        <v>121</v>
      </c>
      <c r="L81" s="41"/>
      <c r="M81" s="41"/>
      <c r="N81" s="72"/>
      <c r="O81" s="32"/>
    </row>
    <row r="82" spans="1:15" s="36" customFormat="1" ht="73.2" customHeight="1" x14ac:dyDescent="0.3">
      <c r="A82" s="6" t="s">
        <v>94</v>
      </c>
      <c r="B82" s="7" t="s">
        <v>93</v>
      </c>
      <c r="C82" s="5" t="s">
        <v>75</v>
      </c>
      <c r="D82" s="5">
        <v>39.4</v>
      </c>
      <c r="E82" s="5">
        <v>42</v>
      </c>
      <c r="F82" s="6"/>
      <c r="G82" s="6"/>
      <c r="H82" s="6" t="s">
        <v>225</v>
      </c>
      <c r="I82" s="9" t="s">
        <v>241</v>
      </c>
      <c r="J82" s="6"/>
      <c r="K82" s="6" t="s">
        <v>122</v>
      </c>
      <c r="L82" s="6"/>
      <c r="M82" s="6"/>
      <c r="N82" s="9"/>
      <c r="O82" s="13"/>
    </row>
    <row r="83" spans="1:15" s="33" customFormat="1" ht="57.6" x14ac:dyDescent="0.3">
      <c r="A83" s="41" t="s">
        <v>50</v>
      </c>
      <c r="B83" s="54" t="s">
        <v>17</v>
      </c>
      <c r="C83" s="72" t="s">
        <v>31</v>
      </c>
      <c r="D83" s="41">
        <v>37.99</v>
      </c>
      <c r="E83" s="28">
        <v>39</v>
      </c>
      <c r="F83" s="41"/>
      <c r="G83" s="41"/>
      <c r="H83" s="41" t="s">
        <v>238</v>
      </c>
      <c r="I83" s="9" t="s">
        <v>241</v>
      </c>
      <c r="J83" s="41"/>
      <c r="K83" s="41"/>
      <c r="L83" s="41"/>
      <c r="M83" s="41"/>
      <c r="N83" s="72"/>
      <c r="O83" s="32"/>
    </row>
    <row r="84" spans="1:15" s="36" customFormat="1" ht="26.4" x14ac:dyDescent="0.3">
      <c r="A84" s="6" t="s">
        <v>83</v>
      </c>
      <c r="B84" s="83" t="s">
        <v>82</v>
      </c>
      <c r="C84" s="9" t="s">
        <v>31</v>
      </c>
      <c r="D84" s="9">
        <v>37.97</v>
      </c>
      <c r="E84" s="5">
        <v>40</v>
      </c>
      <c r="F84" s="6"/>
      <c r="G84" s="6"/>
      <c r="H84" s="84" t="s">
        <v>224</v>
      </c>
      <c r="I84" s="9" t="s">
        <v>241</v>
      </c>
      <c r="J84" s="6"/>
      <c r="K84" s="6"/>
      <c r="L84" s="6"/>
      <c r="M84" s="6"/>
      <c r="N84" s="9"/>
      <c r="O84" s="1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2024-01-30T15:03:02Z</dcterms:modified>
</cp:coreProperties>
</file>