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5" i="1" l="1"/>
  <c r="O124" i="1"/>
  <c r="T121" i="1" l="1"/>
  <c r="O121" i="1" s="1"/>
  <c r="Q121" i="1" s="1"/>
  <c r="T122" i="1"/>
  <c r="O122" i="1" s="1"/>
  <c r="Q122" i="1" s="1"/>
  <c r="Q111" i="1" l="1"/>
  <c r="O53" i="1" l="1"/>
  <c r="O7" i="1"/>
  <c r="Q7" i="1" s="1"/>
  <c r="O71" i="1"/>
  <c r="Q71" i="1" s="1"/>
  <c r="O70" i="1"/>
  <c r="Q70" i="1" s="1"/>
  <c r="Q92" i="1"/>
  <c r="O52" i="1" l="1"/>
  <c r="T105" i="1" l="1"/>
  <c r="T104" i="1"/>
  <c r="R90" i="1"/>
  <c r="T43" i="1" l="1"/>
  <c r="P109" i="1" l="1"/>
  <c r="O109" i="1"/>
  <c r="Q109" i="1"/>
  <c r="P116" i="1"/>
  <c r="Q116" i="1" l="1"/>
  <c r="P117" i="1"/>
  <c r="Q117" i="1" s="1"/>
  <c r="P114" i="1"/>
  <c r="Q114" i="1"/>
  <c r="P102" i="1"/>
  <c r="Q102" i="1" s="1"/>
  <c r="P115" i="1"/>
  <c r="Q115" i="1" s="1"/>
  <c r="T90" i="1"/>
  <c r="Q90" i="1" l="1"/>
  <c r="Q30" i="1"/>
  <c r="O40" i="1"/>
  <c r="Q40" i="1" s="1"/>
  <c r="O14" i="1"/>
  <c r="Q14" i="1" s="1"/>
  <c r="O13" i="1"/>
  <c r="Q13" i="1" s="1"/>
  <c r="O16" i="1"/>
  <c r="Q16" i="1" s="1"/>
  <c r="O15" i="1"/>
  <c r="Q15" i="1" s="1"/>
  <c r="T45" i="1"/>
  <c r="T42" i="1"/>
  <c r="T44" i="1"/>
  <c r="T47" i="1"/>
  <c r="T48" i="1"/>
  <c r="T46" i="1"/>
  <c r="O46" i="1" s="1"/>
  <c r="Q46" i="1" s="1"/>
  <c r="T49" i="1"/>
  <c r="O49" i="1" s="1"/>
  <c r="Q49" i="1" s="1"/>
  <c r="O47" i="1" l="1"/>
  <c r="Q47" i="1" s="1"/>
  <c r="O43" i="1"/>
  <c r="Q43" i="1" s="1"/>
  <c r="O48" i="1"/>
  <c r="Q48" i="1" s="1"/>
  <c r="O45" i="1"/>
  <c r="Q45" i="1" s="1"/>
  <c r="O44" i="1"/>
  <c r="Q44" i="1" s="1"/>
  <c r="O42" i="1"/>
  <c r="Q42" i="1" s="1"/>
  <c r="O104" i="1"/>
  <c r="Q104" i="1" s="1"/>
  <c r="O105" i="1"/>
  <c r="Q105" i="1" s="1"/>
  <c r="O54" i="1"/>
  <c r="Q54" i="1" s="1"/>
  <c r="Q28" i="1"/>
  <c r="T118" i="1" l="1"/>
  <c r="Q88" i="1"/>
  <c r="Q87" i="1"/>
  <c r="Q86" i="1"/>
  <c r="O118" i="1" l="1"/>
  <c r="Q118" i="1" s="1"/>
  <c r="O80" i="1"/>
  <c r="O82" i="1"/>
  <c r="O113" i="1" l="1"/>
  <c r="Q113" i="1" s="1"/>
  <c r="O112" i="1"/>
  <c r="Q112" i="1" s="1"/>
  <c r="O95" i="1"/>
  <c r="O94" i="1"/>
  <c r="Q94" i="1" s="1"/>
  <c r="O93" i="1"/>
  <c r="Q93" i="1" s="1"/>
  <c r="Q110" i="1"/>
  <c r="Q61" i="1"/>
  <c r="Q36" i="1"/>
  <c r="Q37" i="1"/>
  <c r="Q4" i="1"/>
  <c r="Q5" i="1"/>
  <c r="Q6" i="1"/>
  <c r="O31" i="1" l="1"/>
  <c r="O8" i="1"/>
  <c r="Q85" i="1"/>
  <c r="Q62" i="1"/>
  <c r="Q67" i="1"/>
  <c r="Q24" i="1"/>
  <c r="Q25" i="1"/>
  <c r="Q27" i="1"/>
  <c r="Q23" i="1"/>
  <c r="Q26" i="1"/>
  <c r="Q50" i="1"/>
  <c r="Q72" i="1" l="1"/>
  <c r="Q73" i="1"/>
  <c r="Q74" i="1"/>
  <c r="Q68" i="1"/>
  <c r="Q69" i="1"/>
  <c r="O66" i="1" l="1"/>
  <c r="Q66" i="1" s="1"/>
  <c r="O64" i="1"/>
  <c r="Q64" i="1" s="1"/>
  <c r="O65" i="1"/>
  <c r="Q65" i="1" s="1"/>
  <c r="O63" i="1"/>
  <c r="Q63" i="1" s="1"/>
  <c r="O57" i="1" l="1"/>
  <c r="Q57" i="1" s="1"/>
  <c r="O56" i="1"/>
  <c r="Q56" i="1" s="1"/>
  <c r="O55" i="1"/>
  <c r="Q55" i="1" s="1"/>
  <c r="O60" i="1"/>
  <c r="Q60" i="1" s="1"/>
  <c r="O59" i="1"/>
  <c r="Q59" i="1" s="1"/>
  <c r="O58" i="1"/>
  <c r="Q58" i="1" s="1"/>
  <c r="Q21" i="1"/>
  <c r="Q22" i="1"/>
  <c r="O100" i="1"/>
  <c r="Q100" i="1" s="1"/>
  <c r="O99" i="1"/>
  <c r="Q99" i="1" s="1"/>
  <c r="O96" i="1"/>
  <c r="Q96" i="1" s="1"/>
  <c r="O97" i="1"/>
  <c r="Q97" i="1" s="1"/>
  <c r="O98" i="1"/>
  <c r="Q98" i="1" s="1"/>
  <c r="O101" i="1"/>
  <c r="Q101" i="1" s="1"/>
  <c r="Q81" i="1"/>
  <c r="Q79" i="1"/>
  <c r="Q82" i="1"/>
  <c r="Q80" i="1"/>
  <c r="Q78" i="1" l="1"/>
  <c r="Q75" i="1"/>
  <c r="Q77" i="1"/>
  <c r="Q76" i="1"/>
  <c r="Q31" i="1" l="1"/>
  <c r="Q8" i="1" l="1"/>
  <c r="Q95" i="1"/>
  <c r="Q103" i="1"/>
  <c r="Q89" i="1"/>
  <c r="Q3" i="1"/>
  <c r="Q2" i="1"/>
</calcChain>
</file>

<file path=xl/sharedStrings.xml><?xml version="1.0" encoding="utf-8"?>
<sst xmlns="http://schemas.openxmlformats.org/spreadsheetml/2006/main" count="1730" uniqueCount="374">
  <si>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</si>
  <si>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</si>
  <si>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</si>
  <si>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</si>
  <si>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</si>
  <si>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</si>
  <si>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</si>
  <si>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</si>
  <si>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</si>
  <si>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</si>
  <si>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</si>
  <si>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</si>
  <si>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</si>
  <si>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</si>
  <si>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</si>
  <si>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</si>
  <si>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</si>
  <si>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</si>
  <si>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</si>
  <si>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</si>
  <si>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</si>
  <si>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</si>
  <si>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</si>
  <si>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</si>
  <si>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</si>
  <si>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</si>
  <si>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</si>
  <si>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</si>
  <si>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</si>
  <si>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</si>
  <si>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</si>
  <si>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</si>
  <si>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</si>
  <si>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</si>
  <si>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</si>
  <si>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</si>
  <si>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</si>
  <si>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</si>
  <si>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</si>
  <si>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</si>
  <si>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</si>
  <si>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</si>
  <si>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</si>
  <si>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</si>
  <si>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</si>
  <si>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</si>
  <si>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</si>
  <si>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</si>
  <si>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</si>
  <si>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</si>
  <si>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</si>
  <si>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</si>
  <si>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</si>
  <si>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</si>
  <si>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</si>
  <si>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</si>
  <si>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</si>
  <si>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</si>
  <si>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</si>
  <si>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</si>
  <si>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</si>
  <si>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</si>
  <si>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</si>
  <si>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</si>
  <si>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</si>
  <si>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</si>
  <si>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</si>
  <si>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</si>
  <si>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</si>
  <si>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</si>
  <si>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</si>
  <si>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</si>
  <si>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</si>
  <si>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</si>
  <si>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</si>
  <si>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</si>
  <si>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</si>
  <si>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</si>
  <si>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</si>
  <si>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</si>
  <si>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</si>
  <si>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</si>
  <si>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</si>
  <si>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</si>
  <si>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</si>
  <si>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</si>
  <si>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</si>
  <si>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</si>
  <si>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</si>
  <si>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</si>
  <si>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</si>
  <si>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</si>
  <si>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</si>
  <si>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</si>
  <si>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</si>
  <si>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</si>
  <si>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</si>
  <si>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</si>
  <si>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</si>
  <si>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</si>
  <si>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</si>
  <si>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</si>
  <si>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</si>
  <si>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</si>
  <si>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</si>
  <si>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</si>
  <si>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</si>
  <si>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</si>
  <si>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</si>
  <si>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</si>
  <si>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</si>
  <si>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</si>
  <si>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</si>
  <si>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</si>
  <si>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</si>
  <si>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</si>
  <si>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</si>
  <si>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</si>
  <si>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</si>
  <si>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</si>
  <si>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</si>
  <si>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</si>
  <si>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</si>
  <si>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</si>
  <si>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</si>
  <si>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</si>
  <si>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</si>
  <si>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</si>
  <si>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</si>
  <si>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</si>
  <si>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</si>
  <si>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</si>
  <si>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</si>
  <si>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</si>
  <si>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</si>
  <si>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</si>
  <si>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</si>
  <si>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</si>
  <si>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</si>
  <si>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</si>
  <si>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</si>
  <si>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</si>
  <si>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</si>
  <si>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</si>
  <si>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</si>
  <si>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</si>
  <si>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</si>
  <si>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</si>
  <si>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</si>
  <si>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</si>
  <si>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</si>
  <si>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</si>
  <si>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</si>
  <si>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</si>
  <si>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</si>
  <si>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</si>
  <si>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</si>
  <si>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</si>
  <si>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</si>
  <si>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</si>
  <si>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</si>
  <si>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</si>
  <si>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</si>
  <si>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</si>
  <si>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</si>
  <si>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</si>
  <si>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</si>
  <si>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</si>
  <si>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</si>
  <si>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</si>
  <si>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</si>
  <si>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</si>
  <si>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</si>
  <si>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</si>
  <si>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</si>
  <si>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</si>
  <si>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</si>
  <si>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</si>
  <si>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</si>
  <si>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</si>
  <si>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</si>
  <si>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</si>
  <si>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</si>
  <si>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</si>
  <si>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</si>
  <si>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</si>
  <si>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</si>
  <si>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</si>
  <si>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</si>
  <si>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</si>
  <si>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</si>
  <si>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</si>
  <si>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</si>
  <si>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</si>
  <si>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</si>
  <si>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</si>
  <si>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</si>
  <si>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</si>
  <si>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</si>
  <si>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</si>
  <si>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</si>
  <si>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</si>
  <si>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</si>
  <si>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</si>
  <si>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</si>
  <si>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</si>
  <si>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</si>
  <si>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</si>
  <si>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</si>
  <si>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</si>
  <si>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</si>
  <si>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</si>
  <si>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</si>
  <si>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</si>
  <si>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</si>
  <si>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</si>
  <si>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</si>
  <si>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</si>
  <si>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</si>
  <si>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</si>
  <si>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</si>
  <si>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</si>
  <si>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</si>
  <si>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</si>
  <si>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</si>
  <si>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</si>
  <si>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</si>
  <si>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</si>
  <si>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</si>
  <si>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</si>
  <si>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</si>
  <si>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</si>
  <si>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</si>
  <si>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</si>
  <si>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</si>
  <si>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</si>
  <si>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</si>
  <si>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</si>
  <si>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</si>
  <si>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</si>
  <si>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</si>
  <si>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</si>
  <si>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</si>
  <si>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</si>
  <si>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</si>
  <si>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</si>
  <si>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</si>
  <si>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</si>
  <si>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</si>
  <si>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</si>
  <si>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</si>
  <si>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</si>
  <si>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</si>
  <si>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</si>
  <si>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</si>
  <si>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</si>
  <si>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</si>
  <si>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</si>
  <si>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</si>
  <si>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</si>
  <si>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</si>
  <si>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</si>
  <si>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</si>
  <si>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</si>
  <si>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</si>
  <si>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</si>
  <si>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</si>
  <si>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</si>
  <si>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</si>
  <si>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</si>
  <si>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</si>
  <si>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</si>
  <si>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</si>
  <si>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</si>
  <si>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</si>
  <si>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</si>
  <si>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</si>
  <si>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</si>
  <si>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</si>
  <si>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</si>
  <si>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</si>
  <si>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</si>
  <si>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</si>
  <si>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Nawaz, 2023</t>
  </si>
  <si>
    <t>Sources of Air Pollution Health Impacts and Co-Benefits of Carbon Neutrality in Santiago, Chile</t>
  </si>
  <si>
    <t>Santiago, Chile</t>
  </si>
  <si>
    <t>CN</t>
  </si>
  <si>
    <t>CN+</t>
  </si>
  <si>
    <t>Energy, industry, transport, agriculture, housing</t>
  </si>
  <si>
    <t>Costs and health benefits of the rural energy transition to carbon neutrality in China</t>
  </si>
  <si>
    <t>CNS</t>
  </si>
  <si>
    <t>Inequalities in Air Pollution Exposure and Attributable Mortality in a Low Carbon Future</t>
  </si>
  <si>
    <t>Reddington, 2023</t>
  </si>
  <si>
    <t>SSP1_2.6</t>
  </si>
  <si>
    <t>Asynergistic approach to air pollution control and carbon neutrality in China can avoid millions of premature deaths annually by 2060</t>
  </si>
  <si>
    <t>Cheng, 2023</t>
  </si>
  <si>
    <t>On-timepeaknet zeroclean air</t>
  </si>
  <si>
    <t>Energy, industry, transport, housing</t>
  </si>
  <si>
    <t>Ortiz, 2023</t>
  </si>
  <si>
    <t>Public health benefits of zero-emission electric power generation in Virginia</t>
  </si>
  <si>
    <t>Virginia, USA</t>
  </si>
  <si>
    <t>VCEA</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</si>
  <si>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</si>
  <si>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</si>
  <si>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</si>
  <si>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</si>
  <si>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</si>
  <si>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</si>
  <si>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</si>
  <si>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</si>
  <si>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</si>
  <si>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</si>
  <si>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</si>
  <si>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</si>
  <si>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</si>
  <si>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</si>
  <si>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</si>
  <si>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</si>
  <si>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</si>
  <si>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</si>
  <si>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</si>
  <si>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</si>
  <si>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</si>
  <si>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</si>
  <si>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</si>
  <si>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</si>
  <si>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</si>
  <si>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</si>
  <si>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</si>
  <si>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</si>
  <si>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</si>
  <si>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</si>
  <si>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</si>
  <si>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</si>
  <si>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</si>
  <si>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</si>
  <si>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</si>
  <si>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</si>
  <si>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</si>
  <si>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</si>
  <si>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</si>
  <si>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</si>
  <si>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</si>
  <si>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</si>
  <si>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</si>
  <si>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</si>
  <si>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</si>
  <si>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</si>
  <si>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</si>
  <si>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</si>
  <si>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</si>
  <si>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</si>
  <si>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</si>
  <si>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</si>
  <si>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</si>
  <si>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</si>
  <si>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</si>
  <si>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</si>
  <si>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</si>
  <si>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</si>
  <si>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</si>
  <si>
    <t>Shindell, 2018</t>
  </si>
  <si>
    <t>Quantified, localized health benefits of accelerated carbon dioxide emissions reductions</t>
  </si>
  <si>
    <t>Mo, 2022</t>
  </si>
  <si>
    <t>Co-Benefits of Energy Structure Transformation and Pollution
Control for Air Quality and Public Health until 2050 in
Guangdong, China</t>
  </si>
  <si>
    <t>Guangdong</t>
  </si>
  <si>
    <t>2Deg</t>
  </si>
  <si>
    <t>2Deg_MTFR</t>
  </si>
  <si>
    <t>Leao, 2022</t>
  </si>
  <si>
    <t>Effect of particulate matter PM2.5 and PM10 on health indicators: climate change scenarios in a Brazilian metropolis</t>
  </si>
  <si>
    <t>Recife</t>
  </si>
  <si>
    <t>Chen, 2018</t>
  </si>
  <si>
    <t>Future ozone-related acute excess mortality under climate and population change scenarios in China: A modeling study</t>
  </si>
  <si>
    <t>RCP4,5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</si>
</sst>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3" xfId="0" applyFont="1" applyFill="1" applyBorder="1" applyAlignment="1">
      <alignment horizontal="center" vertical="center" wrapText="1"/>
    </xf>
    <xf numFmtId="3" fontId="0" fillId="5" borderId="3" xfId="0" applyNumberFormat="1"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3" fontId="0" fillId="2" borderId="3" xfId="0" applyNumberFormat="1" applyFon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7" totalsRowShown="0" dataDxfId="21">
  <autoFilter ref="A1:W127"/>
  <sortState ref="A2:V122">
    <sortCondition ref="A1:A122"/>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7"/>
  <sheetViews>
    <sheetView tabSelected="1" topLeftCell="A120" zoomScale="55" zoomScaleNormal="55" workbookViewId="0">
      <pane xSplit="1" topLeftCell="L1" activePane="topRight" state="frozen"/>
      <selection pane="topRight" activeCell="W126" sqref="W126"/>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308</v>
      </c>
      <c r="E1" s="2" t="s">
        <v>95</v>
      </c>
      <c r="F1" t="s">
        <v>96</v>
      </c>
      <c r="G1" t="s">
        <v>117</v>
      </c>
      <c r="H1" t="s">
        <v>118</v>
      </c>
      <c r="I1" t="s">
        <v>358</v>
      </c>
      <c r="J1" t="s">
        <v>183</v>
      </c>
      <c r="K1" t="s">
        <v>244</v>
      </c>
      <c r="L1" t="s">
        <v>197</v>
      </c>
      <c r="M1" t="s">
        <v>261</v>
      </c>
      <c r="N1" t="s">
        <v>124</v>
      </c>
      <c r="O1" s="1" t="s">
        <v>182</v>
      </c>
      <c r="P1" s="1" t="s">
        <v>109</v>
      </c>
      <c r="Q1" s="1" t="s">
        <v>110</v>
      </c>
      <c r="R1" s="1" t="s">
        <v>245</v>
      </c>
      <c r="S1" s="1" t="s">
        <v>207</v>
      </c>
      <c r="T1" s="1" t="s">
        <v>206</v>
      </c>
      <c r="U1" s="1" t="s">
        <v>217</v>
      </c>
      <c r="V1" t="s">
        <v>260</v>
      </c>
      <c r="W1" t="s">
        <v>269</v>
      </c>
    </row>
    <row r="2" spans="1:23" s="29" customFormat="1" ht="144.6" customHeight="1" x14ac:dyDescent="0.3">
      <c r="A2" s="28" t="s">
        <v>37</v>
      </c>
      <c r="B2" s="41" t="s">
        <v>4</v>
      </c>
      <c r="C2" s="42" t="s">
        <v>24</v>
      </c>
      <c r="D2" s="42" t="s">
        <v>24</v>
      </c>
      <c r="E2" s="42">
        <v>67.5</v>
      </c>
      <c r="F2" s="4">
        <v>36</v>
      </c>
      <c r="G2" s="5" t="s">
        <v>180</v>
      </c>
      <c r="H2" s="5" t="s">
        <v>121</v>
      </c>
      <c r="I2" s="5" t="s">
        <v>271</v>
      </c>
      <c r="J2" s="51" t="s">
        <v>184</v>
      </c>
      <c r="K2" s="51" t="s">
        <v>184</v>
      </c>
      <c r="L2" s="44" t="s">
        <v>198</v>
      </c>
      <c r="M2" s="44" t="s">
        <v>198</v>
      </c>
      <c r="N2" s="5">
        <v>2045</v>
      </c>
      <c r="O2" s="43">
        <v>9825</v>
      </c>
      <c r="P2" s="43">
        <v>758805</v>
      </c>
      <c r="Q2" s="44">
        <f>9825/757000</f>
        <v>1.297886393659181E-2</v>
      </c>
      <c r="R2" s="44"/>
      <c r="S2" s="44">
        <v>3.39</v>
      </c>
      <c r="T2" s="44">
        <v>204000</v>
      </c>
      <c r="U2" s="44" t="s">
        <v>218</v>
      </c>
      <c r="V2" s="4" t="s">
        <v>258</v>
      </c>
      <c r="W2" s="82" t="s">
        <v>270</v>
      </c>
    </row>
    <row r="3" spans="1:23" s="29" customFormat="1" ht="86.4" x14ac:dyDescent="0.3">
      <c r="A3" s="5" t="s">
        <v>54</v>
      </c>
      <c r="B3" s="40" t="s">
        <v>53</v>
      </c>
      <c r="C3" s="42" t="s">
        <v>27</v>
      </c>
      <c r="D3" s="42" t="s">
        <v>27</v>
      </c>
      <c r="E3" s="56">
        <v>1338</v>
      </c>
      <c r="F3" s="4">
        <v>28</v>
      </c>
      <c r="G3" s="5" t="s">
        <v>148</v>
      </c>
      <c r="H3" s="5" t="s">
        <v>181</v>
      </c>
      <c r="I3" s="5" t="s">
        <v>271</v>
      </c>
      <c r="J3" s="57" t="s">
        <v>185</v>
      </c>
      <c r="K3" s="57" t="s">
        <v>185</v>
      </c>
      <c r="L3" s="57" t="s">
        <v>199</v>
      </c>
      <c r="M3" s="57" t="s">
        <v>199</v>
      </c>
      <c r="N3" s="5">
        <v>2050</v>
      </c>
      <c r="O3" s="53">
        <v>368568</v>
      </c>
      <c r="P3" s="53">
        <v>17360484</v>
      </c>
      <c r="Q3" s="28">
        <f>Tableau1[[#This Row],[n_prev]]/Tableau1[[#This Row],[n_death]]</f>
        <v>2.1230283671814679E-2</v>
      </c>
      <c r="R3" s="28"/>
      <c r="S3" s="28"/>
      <c r="T3" s="28"/>
      <c r="U3" s="28" t="s">
        <v>208</v>
      </c>
      <c r="V3" s="42" t="s">
        <v>258</v>
      </c>
      <c r="W3" s="82" t="s">
        <v>270</v>
      </c>
    </row>
    <row r="4" spans="1:23" s="29" customFormat="1" ht="57.6" x14ac:dyDescent="0.3">
      <c r="A4" s="57" t="s">
        <v>56</v>
      </c>
      <c r="B4" s="40" t="s">
        <v>55</v>
      </c>
      <c r="C4" s="4" t="s">
        <v>27</v>
      </c>
      <c r="D4" s="4" t="s">
        <v>27</v>
      </c>
      <c r="E4" s="56">
        <v>1380</v>
      </c>
      <c r="F4" s="4">
        <v>24</v>
      </c>
      <c r="G4" s="5" t="s">
        <v>167</v>
      </c>
      <c r="H4" s="5" t="s">
        <v>119</v>
      </c>
      <c r="I4" s="5" t="s">
        <v>270</v>
      </c>
      <c r="J4" s="5" t="s">
        <v>272</v>
      </c>
      <c r="K4" s="5" t="s">
        <v>272</v>
      </c>
      <c r="L4" s="5" t="s">
        <v>199</v>
      </c>
      <c r="M4" s="5" t="s">
        <v>199</v>
      </c>
      <c r="N4" s="5">
        <v>2050</v>
      </c>
      <c r="O4" s="28">
        <v>160000</v>
      </c>
      <c r="P4" s="53">
        <v>17360482</v>
      </c>
      <c r="Q4" s="60">
        <f>Tableau1[[#This Row],[n_prev]]/Tableau1[[#This Row],[n_death]]</f>
        <v>9.2163339704508206E-3</v>
      </c>
      <c r="R4" s="60"/>
      <c r="S4" s="60"/>
      <c r="T4" s="60"/>
      <c r="U4" s="5" t="s">
        <v>209</v>
      </c>
      <c r="V4" s="4" t="s">
        <v>257</v>
      </c>
      <c r="W4" s="82" t="s">
        <v>270</v>
      </c>
    </row>
    <row r="5" spans="1:23" s="29" customFormat="1" ht="250.2" customHeight="1" x14ac:dyDescent="0.3">
      <c r="A5" s="57" t="s">
        <v>56</v>
      </c>
      <c r="B5" s="40" t="s">
        <v>55</v>
      </c>
      <c r="C5" s="4" t="s">
        <v>27</v>
      </c>
      <c r="D5" s="4" t="s">
        <v>27</v>
      </c>
      <c r="E5" s="56">
        <v>1380</v>
      </c>
      <c r="F5" s="4">
        <v>24</v>
      </c>
      <c r="G5" s="5" t="s">
        <v>169</v>
      </c>
      <c r="H5" s="5" t="s">
        <v>119</v>
      </c>
      <c r="I5" s="5" t="s">
        <v>271</v>
      </c>
      <c r="J5" s="4" t="s">
        <v>272</v>
      </c>
      <c r="K5" s="4" t="s">
        <v>272</v>
      </c>
      <c r="L5" s="4" t="s">
        <v>199</v>
      </c>
      <c r="M5" s="4" t="s">
        <v>199</v>
      </c>
      <c r="N5" s="5">
        <v>2050</v>
      </c>
      <c r="O5" s="28">
        <v>292000</v>
      </c>
      <c r="P5" s="53">
        <v>17360483</v>
      </c>
      <c r="Q5" s="60">
        <f>Tableau1[[#This Row],[n_prev]]/Tableau1[[#This Row],[n_death]]</f>
        <v>1.6819808527216668E-2</v>
      </c>
      <c r="R5" s="60"/>
      <c r="S5" s="60"/>
      <c r="T5" s="60"/>
      <c r="U5" s="5" t="s">
        <v>210</v>
      </c>
      <c r="V5" s="4" t="s">
        <v>257</v>
      </c>
      <c r="W5" s="82" t="s">
        <v>270</v>
      </c>
    </row>
    <row r="6" spans="1:23" s="29" customFormat="1" ht="218.4" customHeight="1" x14ac:dyDescent="0.3">
      <c r="A6" s="57" t="s">
        <v>56</v>
      </c>
      <c r="B6" s="40" t="s">
        <v>55</v>
      </c>
      <c r="C6" s="4" t="s">
        <v>27</v>
      </c>
      <c r="D6" s="4" t="s">
        <v>27</v>
      </c>
      <c r="E6" s="56">
        <v>1380</v>
      </c>
      <c r="F6" s="4">
        <v>24</v>
      </c>
      <c r="G6" s="5" t="s">
        <v>168</v>
      </c>
      <c r="H6" s="5" t="s">
        <v>119</v>
      </c>
      <c r="I6" s="5" t="s">
        <v>271</v>
      </c>
      <c r="J6" s="4" t="s">
        <v>272</v>
      </c>
      <c r="K6" s="4" t="s">
        <v>272</v>
      </c>
      <c r="L6" s="4" t="s">
        <v>199</v>
      </c>
      <c r="M6" s="4" t="s">
        <v>199</v>
      </c>
      <c r="N6" s="5">
        <v>2050</v>
      </c>
      <c r="O6" s="37">
        <v>345000</v>
      </c>
      <c r="P6" s="53">
        <v>17360484</v>
      </c>
      <c r="Q6" s="60">
        <f>Tableau1[[#This Row],[n_prev]]/Tableau1[[#This Row],[n_death]]</f>
        <v>1.9872717834364527E-2</v>
      </c>
      <c r="R6" s="60"/>
      <c r="S6" s="60"/>
      <c r="T6" s="60"/>
      <c r="U6" s="5" t="s">
        <v>211</v>
      </c>
      <c r="V6" s="4" t="s">
        <v>257</v>
      </c>
      <c r="W6" s="82" t="s">
        <v>270</v>
      </c>
    </row>
    <row r="7" spans="1:23" s="29" customFormat="1" ht="102.6" customHeight="1" x14ac:dyDescent="0.3">
      <c r="A7" s="83" t="s">
        <v>295</v>
      </c>
      <c r="B7" s="85" t="s">
        <v>294</v>
      </c>
      <c r="C7" s="4" t="s">
        <v>27</v>
      </c>
      <c r="D7" s="4" t="s">
        <v>27</v>
      </c>
      <c r="E7" s="4"/>
      <c r="F7" s="4"/>
      <c r="G7" s="10" t="s">
        <v>296</v>
      </c>
      <c r="H7" s="10" t="s">
        <v>119</v>
      </c>
      <c r="I7" s="5" t="s">
        <v>270</v>
      </c>
      <c r="J7" s="4" t="s">
        <v>297</v>
      </c>
      <c r="K7" s="4" t="s">
        <v>355</v>
      </c>
      <c r="L7" s="4" t="s">
        <v>199</v>
      </c>
      <c r="M7" s="4" t="s">
        <v>199</v>
      </c>
      <c r="N7" s="10">
        <v>2060</v>
      </c>
      <c r="O7" s="5">
        <f>3220000-600000</f>
        <v>2620000</v>
      </c>
      <c r="P7" s="5">
        <v>18786882</v>
      </c>
      <c r="Q7" s="10">
        <f>Tableau1[[#This Row],[n_prev]]/Tableau1[[#This Row],[n_death]]</f>
        <v>0.13945901187860762</v>
      </c>
      <c r="R7" s="33"/>
      <c r="S7" s="33"/>
      <c r="T7" s="33"/>
      <c r="U7" s="33"/>
      <c r="V7" s="4" t="s">
        <v>257</v>
      </c>
      <c r="W7" s="82" t="s">
        <v>270</v>
      </c>
    </row>
    <row r="8" spans="1:23" s="26" customFormat="1" ht="220.2" customHeight="1" x14ac:dyDescent="0.3">
      <c r="A8" s="28" t="s">
        <v>98</v>
      </c>
      <c r="B8" s="40" t="s">
        <v>97</v>
      </c>
      <c r="C8" s="51" t="s">
        <v>27</v>
      </c>
      <c r="D8" s="51" t="s">
        <v>27</v>
      </c>
      <c r="E8" s="52">
        <v>1410</v>
      </c>
      <c r="F8" s="4">
        <v>22</v>
      </c>
      <c r="G8" s="5" t="s">
        <v>165</v>
      </c>
      <c r="H8" s="5" t="s">
        <v>181</v>
      </c>
      <c r="I8" s="5" t="s">
        <v>271</v>
      </c>
      <c r="J8" s="4" t="s">
        <v>186</v>
      </c>
      <c r="K8" s="4" t="s">
        <v>355</v>
      </c>
      <c r="L8" s="4" t="s">
        <v>199</v>
      </c>
      <c r="M8" s="4" t="s">
        <v>199</v>
      </c>
      <c r="N8" s="5">
        <v>2050</v>
      </c>
      <c r="O8" s="37">
        <f>3500000-2880000</f>
        <v>620000</v>
      </c>
      <c r="P8" s="53">
        <v>17360484</v>
      </c>
      <c r="Q8" s="28">
        <f>Tableau1[[#This Row],[n_prev]]/Tableau1[[#This Row],[n_death]]</f>
        <v>3.5713290021176826E-2</v>
      </c>
      <c r="R8" s="28"/>
      <c r="S8" s="28"/>
      <c r="T8" s="28"/>
      <c r="U8" s="28"/>
      <c r="V8" s="4" t="s">
        <v>257</v>
      </c>
      <c r="W8" s="82" t="s">
        <v>270</v>
      </c>
    </row>
    <row r="9" spans="1:23" s="75" customFormat="1" ht="289.2" customHeight="1" x14ac:dyDescent="0.3">
      <c r="A9" s="5" t="s">
        <v>103</v>
      </c>
      <c r="B9" s="40" t="s">
        <v>102</v>
      </c>
      <c r="C9" s="4" t="s">
        <v>104</v>
      </c>
      <c r="D9" s="4" t="s">
        <v>104</v>
      </c>
      <c r="E9" s="4">
        <v>3</v>
      </c>
      <c r="F9" s="4">
        <v>48</v>
      </c>
      <c r="G9" s="5" t="s">
        <v>335</v>
      </c>
      <c r="H9" s="5" t="s">
        <v>181</v>
      </c>
      <c r="I9" s="5" t="s">
        <v>271</v>
      </c>
      <c r="J9" s="5" t="s">
        <v>184</v>
      </c>
      <c r="K9" s="5" t="s">
        <v>184</v>
      </c>
      <c r="L9" s="4" t="s">
        <v>198</v>
      </c>
      <c r="M9" s="4" t="s">
        <v>198</v>
      </c>
      <c r="N9" s="5"/>
      <c r="O9" s="5" t="s">
        <v>108</v>
      </c>
      <c r="P9" s="5"/>
      <c r="Q9" s="5"/>
      <c r="R9" s="5"/>
      <c r="S9" s="5"/>
      <c r="T9" s="5"/>
      <c r="U9" s="5"/>
      <c r="V9" s="4" t="s">
        <v>257</v>
      </c>
      <c r="W9" s="82" t="s">
        <v>271</v>
      </c>
    </row>
    <row r="10" spans="1:23" s="75" customFormat="1" ht="289.2" customHeight="1" x14ac:dyDescent="0.3">
      <c r="A10" s="5" t="s">
        <v>103</v>
      </c>
      <c r="B10" s="40" t="s">
        <v>102</v>
      </c>
      <c r="C10" s="4" t="s">
        <v>104</v>
      </c>
      <c r="D10" s="4" t="s">
        <v>104</v>
      </c>
      <c r="E10" s="4">
        <v>3</v>
      </c>
      <c r="F10" s="4">
        <v>48</v>
      </c>
      <c r="G10" s="5" t="s">
        <v>336</v>
      </c>
      <c r="H10" s="5" t="s">
        <v>181</v>
      </c>
      <c r="I10" s="5" t="s">
        <v>271</v>
      </c>
      <c r="J10" s="5" t="s">
        <v>184</v>
      </c>
      <c r="K10" s="5" t="s">
        <v>184</v>
      </c>
      <c r="L10" s="4" t="s">
        <v>198</v>
      </c>
      <c r="M10" s="4" t="s">
        <v>198</v>
      </c>
      <c r="N10" s="5"/>
      <c r="O10" s="5" t="s">
        <v>108</v>
      </c>
      <c r="P10" s="5"/>
      <c r="Q10" s="5"/>
      <c r="R10" s="5"/>
      <c r="S10" s="5"/>
      <c r="T10" s="5"/>
      <c r="U10" s="5"/>
      <c r="V10" s="4" t="s">
        <v>257</v>
      </c>
      <c r="W10" s="82" t="s">
        <v>271</v>
      </c>
    </row>
    <row r="11" spans="1:23" s="75" customFormat="1" ht="43.2" x14ac:dyDescent="0.3">
      <c r="A11" s="5" t="s">
        <v>103</v>
      </c>
      <c r="B11" s="40" t="s">
        <v>102</v>
      </c>
      <c r="C11" s="4" t="s">
        <v>104</v>
      </c>
      <c r="D11" s="4" t="s">
        <v>104</v>
      </c>
      <c r="E11" s="4">
        <v>3</v>
      </c>
      <c r="F11" s="4">
        <v>48</v>
      </c>
      <c r="G11" s="5" t="s">
        <v>337</v>
      </c>
      <c r="H11" s="5" t="s">
        <v>181</v>
      </c>
      <c r="I11" s="5" t="s">
        <v>271</v>
      </c>
      <c r="J11" s="5" t="s">
        <v>184</v>
      </c>
      <c r="K11" s="5" t="s">
        <v>184</v>
      </c>
      <c r="L11" s="4" t="s">
        <v>198</v>
      </c>
      <c r="M11" s="4" t="s">
        <v>198</v>
      </c>
      <c r="N11" s="5"/>
      <c r="O11" s="5" t="s">
        <v>108</v>
      </c>
      <c r="P11" s="5"/>
      <c r="Q11" s="5"/>
      <c r="R11" s="5"/>
      <c r="S11" s="5"/>
      <c r="T11" s="5"/>
      <c r="U11" s="5"/>
      <c r="V11" s="4" t="s">
        <v>257</v>
      </c>
      <c r="W11" s="82" t="s">
        <v>271</v>
      </c>
    </row>
    <row r="12" spans="1:23" s="75" customFormat="1" ht="43.2" x14ac:dyDescent="0.3">
      <c r="A12" s="5" t="s">
        <v>103</v>
      </c>
      <c r="B12" s="40" t="s">
        <v>102</v>
      </c>
      <c r="C12" s="4" t="s">
        <v>104</v>
      </c>
      <c r="D12" s="4" t="s">
        <v>104</v>
      </c>
      <c r="E12" s="4">
        <v>3</v>
      </c>
      <c r="F12" s="4">
        <v>48</v>
      </c>
      <c r="G12" s="5" t="s">
        <v>338</v>
      </c>
      <c r="H12" s="5" t="s">
        <v>181</v>
      </c>
      <c r="I12" s="5" t="s">
        <v>271</v>
      </c>
      <c r="J12" s="5" t="s">
        <v>184</v>
      </c>
      <c r="K12" s="5" t="s">
        <v>184</v>
      </c>
      <c r="L12" s="4" t="s">
        <v>198</v>
      </c>
      <c r="M12" s="4" t="s">
        <v>198</v>
      </c>
      <c r="N12" s="5"/>
      <c r="O12" s="5" t="s">
        <v>108</v>
      </c>
      <c r="P12" s="5"/>
      <c r="Q12" s="5"/>
      <c r="R12" s="5"/>
      <c r="S12" s="5"/>
      <c r="T12" s="5"/>
      <c r="U12" s="5"/>
      <c r="V12" s="4" t="s">
        <v>257</v>
      </c>
      <c r="W12" s="82" t="s">
        <v>271</v>
      </c>
    </row>
    <row r="13" spans="1:23" s="75" customFormat="1" ht="57.6" x14ac:dyDescent="0.3">
      <c r="A13" s="69" t="s">
        <v>212</v>
      </c>
      <c r="B13" s="70" t="s">
        <v>14</v>
      </c>
      <c r="C13" s="71" t="s">
        <v>26</v>
      </c>
      <c r="D13" s="71" t="s">
        <v>26</v>
      </c>
      <c r="E13" s="72">
        <v>1241</v>
      </c>
      <c r="F13" s="73">
        <v>32</v>
      </c>
      <c r="G13" s="69" t="s">
        <v>125</v>
      </c>
      <c r="H13" s="69" t="s">
        <v>181</v>
      </c>
      <c r="I13" s="5" t="s">
        <v>271</v>
      </c>
      <c r="J13" s="69" t="s">
        <v>264</v>
      </c>
      <c r="K13" s="69" t="s">
        <v>355</v>
      </c>
      <c r="L13" s="73" t="s">
        <v>199</v>
      </c>
      <c r="M13" s="73" t="s">
        <v>199</v>
      </c>
      <c r="N13" s="69">
        <v>2030</v>
      </c>
      <c r="O13" s="74">
        <f>3800000/40</f>
        <v>95000</v>
      </c>
      <c r="P13" s="74">
        <v>10593963</v>
      </c>
      <c r="Q13" s="69">
        <f>Tableau1[[#This Row],[n_prev]]/Tableau1[[#This Row],[n_death]]</f>
        <v>8.9673713227052046E-3</v>
      </c>
      <c r="R13" s="69"/>
      <c r="S13" s="69" t="s">
        <v>238</v>
      </c>
      <c r="T13" s="69"/>
      <c r="U13" s="69"/>
      <c r="V13" s="4" t="s">
        <v>257</v>
      </c>
      <c r="W13" s="82" t="s">
        <v>270</v>
      </c>
    </row>
    <row r="14" spans="1:23" s="26" customFormat="1" ht="57.6" x14ac:dyDescent="0.3">
      <c r="A14" s="69" t="s">
        <v>212</v>
      </c>
      <c r="B14" s="70" t="s">
        <v>14</v>
      </c>
      <c r="C14" s="71" t="s">
        <v>26</v>
      </c>
      <c r="D14" s="71" t="s">
        <v>26</v>
      </c>
      <c r="E14" s="72">
        <v>1241</v>
      </c>
      <c r="F14" s="73">
        <v>32</v>
      </c>
      <c r="G14" s="69" t="s">
        <v>126</v>
      </c>
      <c r="H14" s="69" t="s">
        <v>181</v>
      </c>
      <c r="I14" s="5" t="s">
        <v>271</v>
      </c>
      <c r="J14" s="69" t="s">
        <v>264</v>
      </c>
      <c r="K14" s="69" t="s">
        <v>355</v>
      </c>
      <c r="L14" s="73" t="s">
        <v>199</v>
      </c>
      <c r="M14" s="73" t="s">
        <v>199</v>
      </c>
      <c r="N14" s="69">
        <v>2030</v>
      </c>
      <c r="O14" s="74">
        <f>8000000/40</f>
        <v>200000</v>
      </c>
      <c r="P14" s="74">
        <v>10593963</v>
      </c>
      <c r="Q14" s="69">
        <f>Tableau1[[#This Row],[n_prev]]/Tableau1[[#This Row],[n_death]]</f>
        <v>1.8878676468853064E-2</v>
      </c>
      <c r="R14" s="69"/>
      <c r="S14" s="69" t="s">
        <v>238</v>
      </c>
      <c r="T14" s="69"/>
      <c r="U14" s="69"/>
      <c r="V14" s="4" t="s">
        <v>257</v>
      </c>
      <c r="W14" s="82" t="s">
        <v>270</v>
      </c>
    </row>
    <row r="15" spans="1:23" s="26" customFormat="1" ht="57.6" x14ac:dyDescent="0.3">
      <c r="A15" s="69" t="s">
        <v>212</v>
      </c>
      <c r="B15" s="70" t="s">
        <v>14</v>
      </c>
      <c r="C15" s="71" t="s">
        <v>26</v>
      </c>
      <c r="D15" s="71" t="s">
        <v>26</v>
      </c>
      <c r="E15" s="72">
        <v>1241</v>
      </c>
      <c r="F15" s="73">
        <v>32</v>
      </c>
      <c r="G15" s="69" t="s">
        <v>248</v>
      </c>
      <c r="H15" s="69" t="s">
        <v>181</v>
      </c>
      <c r="I15" s="5" t="s">
        <v>271</v>
      </c>
      <c r="J15" s="69" t="s">
        <v>264</v>
      </c>
      <c r="K15" s="69" t="s">
        <v>355</v>
      </c>
      <c r="L15" s="73" t="s">
        <v>199</v>
      </c>
      <c r="M15" s="73" t="s">
        <v>199</v>
      </c>
      <c r="N15" s="69">
        <v>2030</v>
      </c>
      <c r="O15" s="74">
        <f>18900000/40</f>
        <v>472500</v>
      </c>
      <c r="P15" s="74">
        <v>10593963</v>
      </c>
      <c r="Q15" s="69">
        <f>Tableau1[[#This Row],[n_prev]]/Tableau1[[#This Row],[n_death]]</f>
        <v>4.4600873157665359E-2</v>
      </c>
      <c r="R15" s="69"/>
      <c r="S15" s="69" t="s">
        <v>238</v>
      </c>
      <c r="T15" s="69"/>
      <c r="U15" s="69"/>
      <c r="V15" s="4" t="s">
        <v>257</v>
      </c>
      <c r="W15" s="82" t="s">
        <v>270</v>
      </c>
    </row>
    <row r="16" spans="1:23" s="26" customFormat="1" ht="57.6" x14ac:dyDescent="0.3">
      <c r="A16" s="69" t="s">
        <v>212</v>
      </c>
      <c r="B16" s="70" t="s">
        <v>14</v>
      </c>
      <c r="C16" s="71" t="s">
        <v>26</v>
      </c>
      <c r="D16" s="71" t="s">
        <v>26</v>
      </c>
      <c r="E16" s="72">
        <v>1241</v>
      </c>
      <c r="F16" s="73">
        <v>32</v>
      </c>
      <c r="G16" s="69" t="s">
        <v>247</v>
      </c>
      <c r="H16" s="69" t="s">
        <v>181</v>
      </c>
      <c r="I16" s="5" t="s">
        <v>271</v>
      </c>
      <c r="J16" s="69" t="s">
        <v>264</v>
      </c>
      <c r="K16" s="69" t="s">
        <v>355</v>
      </c>
      <c r="L16" s="73" t="s">
        <v>199</v>
      </c>
      <c r="M16" s="73" t="s">
        <v>199</v>
      </c>
      <c r="N16" s="69">
        <v>2030</v>
      </c>
      <c r="O16" s="74">
        <f>20800000/40</f>
        <v>520000</v>
      </c>
      <c r="P16" s="74">
        <v>10593963</v>
      </c>
      <c r="Q16" s="69">
        <f>Tableau1[[#This Row],[n_prev]]/Tableau1[[#This Row],[n_death]]</f>
        <v>4.9084558819017965E-2</v>
      </c>
      <c r="R16" s="69"/>
      <c r="S16" s="69" t="s">
        <v>238</v>
      </c>
      <c r="T16" s="69"/>
      <c r="U16" s="69"/>
      <c r="V16" s="4" t="s">
        <v>257</v>
      </c>
      <c r="W16" s="82" t="s">
        <v>270</v>
      </c>
    </row>
    <row r="17" spans="1:23" s="26" customFormat="1" ht="72" x14ac:dyDescent="0.3">
      <c r="A17" s="20" t="s">
        <v>46</v>
      </c>
      <c r="B17" s="21" t="s">
        <v>17</v>
      </c>
      <c r="C17" s="22" t="s">
        <v>26</v>
      </c>
      <c r="D17" s="22" t="s">
        <v>26</v>
      </c>
      <c r="E17" s="23">
        <v>1241</v>
      </c>
      <c r="F17" s="22">
        <v>31</v>
      </c>
      <c r="G17" s="33" t="s">
        <v>339</v>
      </c>
      <c r="H17" s="33" t="s">
        <v>181</v>
      </c>
      <c r="I17" s="5" t="s">
        <v>271</v>
      </c>
      <c r="J17" s="33" t="s">
        <v>272</v>
      </c>
      <c r="K17" s="33" t="s">
        <v>272</v>
      </c>
      <c r="L17" s="22" t="s">
        <v>200</v>
      </c>
      <c r="M17" s="22" t="s">
        <v>199</v>
      </c>
      <c r="N17" s="33"/>
      <c r="O17" s="46"/>
      <c r="P17" s="46"/>
      <c r="Q17" s="46"/>
      <c r="R17" s="46"/>
      <c r="S17" s="46"/>
      <c r="T17" s="46"/>
      <c r="U17" s="46"/>
      <c r="V17" s="4" t="s">
        <v>259</v>
      </c>
      <c r="W17" s="82" t="s">
        <v>271</v>
      </c>
    </row>
    <row r="18" spans="1:23" s="26" customFormat="1" ht="72" x14ac:dyDescent="0.3">
      <c r="A18" s="20" t="s">
        <v>46</v>
      </c>
      <c r="B18" s="21" t="s">
        <v>17</v>
      </c>
      <c r="C18" s="22" t="s">
        <v>26</v>
      </c>
      <c r="D18" s="22" t="s">
        <v>26</v>
      </c>
      <c r="E18" s="23">
        <v>1241</v>
      </c>
      <c r="F18" s="22">
        <v>31</v>
      </c>
      <c r="G18" s="33" t="s">
        <v>340</v>
      </c>
      <c r="H18" s="33" t="s">
        <v>181</v>
      </c>
      <c r="I18" s="5" t="s">
        <v>271</v>
      </c>
      <c r="J18" s="33" t="s">
        <v>272</v>
      </c>
      <c r="K18" s="33" t="s">
        <v>272</v>
      </c>
      <c r="L18" s="22" t="s">
        <v>200</v>
      </c>
      <c r="M18" s="22" t="s">
        <v>199</v>
      </c>
      <c r="N18" s="33"/>
      <c r="O18" s="46"/>
      <c r="P18" s="46"/>
      <c r="Q18" s="46"/>
      <c r="R18" s="46"/>
      <c r="S18" s="46"/>
      <c r="T18" s="46"/>
      <c r="U18" s="46"/>
      <c r="V18" s="4" t="s">
        <v>259</v>
      </c>
      <c r="W18" s="82" t="s">
        <v>271</v>
      </c>
    </row>
    <row r="19" spans="1:23" s="26" customFormat="1" ht="72" x14ac:dyDescent="0.3">
      <c r="A19" s="20" t="s">
        <v>46</v>
      </c>
      <c r="B19" s="21" t="s">
        <v>17</v>
      </c>
      <c r="C19" s="22" t="s">
        <v>26</v>
      </c>
      <c r="D19" s="22" t="s">
        <v>26</v>
      </c>
      <c r="E19" s="23">
        <v>1241</v>
      </c>
      <c r="F19" s="22">
        <v>31</v>
      </c>
      <c r="G19" s="33" t="s">
        <v>341</v>
      </c>
      <c r="H19" s="33" t="s">
        <v>181</v>
      </c>
      <c r="I19" s="5" t="s">
        <v>271</v>
      </c>
      <c r="J19" s="22" t="s">
        <v>272</v>
      </c>
      <c r="K19" s="22" t="s">
        <v>272</v>
      </c>
      <c r="L19" s="22" t="s">
        <v>200</v>
      </c>
      <c r="M19" s="22" t="s">
        <v>199</v>
      </c>
      <c r="N19" s="33"/>
      <c r="O19" s="46"/>
      <c r="P19" s="46"/>
      <c r="Q19" s="46"/>
      <c r="R19" s="46"/>
      <c r="S19" s="46"/>
      <c r="T19" s="46"/>
      <c r="U19" s="46"/>
      <c r="V19" s="4" t="s">
        <v>259</v>
      </c>
      <c r="W19" s="82" t="s">
        <v>271</v>
      </c>
    </row>
    <row r="20" spans="1:23" s="36" customFormat="1" ht="76.2" customHeight="1" x14ac:dyDescent="0.3">
      <c r="A20" s="20" t="s">
        <v>46</v>
      </c>
      <c r="B20" s="21" t="s">
        <v>17</v>
      </c>
      <c r="C20" s="22" t="s">
        <v>26</v>
      </c>
      <c r="D20" s="22" t="s">
        <v>26</v>
      </c>
      <c r="E20" s="23">
        <v>1241</v>
      </c>
      <c r="F20" s="22">
        <v>31</v>
      </c>
      <c r="G20" s="33" t="s">
        <v>342</v>
      </c>
      <c r="H20" s="33" t="s">
        <v>181</v>
      </c>
      <c r="I20" s="5" t="s">
        <v>271</v>
      </c>
      <c r="J20" s="33" t="s">
        <v>272</v>
      </c>
      <c r="K20" s="33" t="s">
        <v>272</v>
      </c>
      <c r="L20" s="33" t="s">
        <v>200</v>
      </c>
      <c r="M20" s="33" t="s">
        <v>199</v>
      </c>
      <c r="N20" s="33"/>
      <c r="O20" s="46"/>
      <c r="P20" s="46"/>
      <c r="Q20" s="46"/>
      <c r="R20" s="46"/>
      <c r="S20" s="46"/>
      <c r="T20" s="46"/>
      <c r="U20" s="46"/>
      <c r="V20" s="4" t="s">
        <v>259</v>
      </c>
      <c r="W20" s="82" t="s">
        <v>271</v>
      </c>
    </row>
    <row r="21" spans="1:23" s="36" customFormat="1" ht="76.2" customHeight="1" x14ac:dyDescent="0.3">
      <c r="A21" s="28" t="s">
        <v>303</v>
      </c>
      <c r="B21" s="6" t="s">
        <v>13</v>
      </c>
      <c r="C21" s="4" t="s">
        <v>25</v>
      </c>
      <c r="D21" s="4" t="s">
        <v>25</v>
      </c>
      <c r="E21" s="7">
        <v>7821</v>
      </c>
      <c r="F21" s="4">
        <v>5</v>
      </c>
      <c r="G21" s="12" t="s">
        <v>136</v>
      </c>
      <c r="H21" s="12" t="s">
        <v>181</v>
      </c>
      <c r="I21" s="5" t="s">
        <v>271</v>
      </c>
      <c r="J21" s="5" t="s">
        <v>272</v>
      </c>
      <c r="K21" s="5" t="s">
        <v>272</v>
      </c>
      <c r="L21" s="5" t="s">
        <v>199</v>
      </c>
      <c r="M21" s="5" t="s">
        <v>199</v>
      </c>
      <c r="N21" s="12">
        <v>2030</v>
      </c>
      <c r="O21" s="18">
        <v>619000</v>
      </c>
      <c r="P21" s="19">
        <v>67172551</v>
      </c>
      <c r="Q21" s="28">
        <f>Tableau1[[#This Row],[n_prev]]/Tableau1[[#This Row],[n_death]]</f>
        <v>9.2150735796828684E-3</v>
      </c>
      <c r="R21" s="28"/>
      <c r="S21" s="28"/>
      <c r="T21" s="28"/>
      <c r="U21" s="28">
        <v>1294</v>
      </c>
      <c r="V21" s="4" t="s">
        <v>257</v>
      </c>
      <c r="W21" s="82" t="s">
        <v>270</v>
      </c>
    </row>
    <row r="22" spans="1:23" s="36" customFormat="1" ht="76.2" customHeight="1" x14ac:dyDescent="0.3">
      <c r="A22" s="28" t="s">
        <v>303</v>
      </c>
      <c r="B22" s="6" t="s">
        <v>13</v>
      </c>
      <c r="C22" s="4" t="s">
        <v>25</v>
      </c>
      <c r="D22" s="4" t="s">
        <v>25</v>
      </c>
      <c r="E22" s="7">
        <v>7821</v>
      </c>
      <c r="F22" s="4">
        <v>5</v>
      </c>
      <c r="G22" s="5" t="s">
        <v>137</v>
      </c>
      <c r="H22" s="5" t="s">
        <v>181</v>
      </c>
      <c r="I22" s="5" t="s">
        <v>271</v>
      </c>
      <c r="J22" s="5" t="s">
        <v>272</v>
      </c>
      <c r="K22" s="5" t="s">
        <v>272</v>
      </c>
      <c r="L22" s="4" t="s">
        <v>199</v>
      </c>
      <c r="M22" s="4" t="s">
        <v>199</v>
      </c>
      <c r="N22" s="12">
        <v>2030</v>
      </c>
      <c r="O22" s="37">
        <v>731000</v>
      </c>
      <c r="P22" s="19">
        <v>67172551</v>
      </c>
      <c r="Q22" s="28">
        <f>Tableau1[[#This Row],[n_prev]]/Tableau1[[#This Row],[n_death]]</f>
        <v>1.0882421303308847E-2</v>
      </c>
      <c r="R22" s="28"/>
      <c r="S22" s="28"/>
      <c r="T22" s="28"/>
      <c r="U22" s="28">
        <v>1425</v>
      </c>
      <c r="V22" s="4" t="s">
        <v>257</v>
      </c>
      <c r="W22" s="82" t="s">
        <v>270</v>
      </c>
    </row>
    <row r="23" spans="1:23" s="26" customFormat="1" ht="43.2" x14ac:dyDescent="0.3">
      <c r="A23" s="33" t="s">
        <v>34</v>
      </c>
      <c r="B23" s="21" t="s">
        <v>0</v>
      </c>
      <c r="C23" s="22" t="s">
        <v>59</v>
      </c>
      <c r="D23" s="22" t="s">
        <v>355</v>
      </c>
      <c r="E23" s="47">
        <v>3870</v>
      </c>
      <c r="F23" s="22">
        <v>15</v>
      </c>
      <c r="G23" s="33" t="s">
        <v>160</v>
      </c>
      <c r="H23" s="33" t="s">
        <v>181</v>
      </c>
      <c r="I23" s="5" t="s">
        <v>271</v>
      </c>
      <c r="J23" s="33" t="s">
        <v>184</v>
      </c>
      <c r="K23" s="33" t="s">
        <v>184</v>
      </c>
      <c r="L23" s="22" t="s">
        <v>198</v>
      </c>
      <c r="M23" s="22" t="s">
        <v>198</v>
      </c>
      <c r="N23" s="33">
        <v>2040</v>
      </c>
      <c r="O23" s="48">
        <v>1145365</v>
      </c>
      <c r="P23" s="46">
        <v>41991720</v>
      </c>
      <c r="Q23" s="20">
        <f>Tableau1[[#This Row],[n_prev]]/Tableau1[[#This Row],[n_death]]</f>
        <v>2.7275972501245485E-2</v>
      </c>
      <c r="R23" s="20"/>
      <c r="S23" s="20"/>
      <c r="T23" s="20"/>
      <c r="U23" s="20"/>
      <c r="V23" s="4" t="s">
        <v>257</v>
      </c>
      <c r="W23" s="82" t="s">
        <v>270</v>
      </c>
    </row>
    <row r="24" spans="1:23" s="29" customFormat="1" ht="43.2" x14ac:dyDescent="0.3">
      <c r="A24" s="33" t="s">
        <v>34</v>
      </c>
      <c r="B24" s="21" t="s">
        <v>0</v>
      </c>
      <c r="C24" s="22" t="s">
        <v>59</v>
      </c>
      <c r="D24" s="22" t="s">
        <v>355</v>
      </c>
      <c r="E24" s="47">
        <v>3870</v>
      </c>
      <c r="F24" s="22">
        <v>15</v>
      </c>
      <c r="G24" s="33" t="s">
        <v>156</v>
      </c>
      <c r="H24" s="33" t="s">
        <v>181</v>
      </c>
      <c r="I24" s="5" t="s">
        <v>271</v>
      </c>
      <c r="J24" s="33" t="s">
        <v>204</v>
      </c>
      <c r="K24" s="33" t="s">
        <v>355</v>
      </c>
      <c r="L24" s="33" t="s">
        <v>205</v>
      </c>
      <c r="M24" s="33" t="s">
        <v>205</v>
      </c>
      <c r="N24" s="33">
        <v>2040</v>
      </c>
      <c r="O24" s="48">
        <v>1183662</v>
      </c>
      <c r="P24" s="46">
        <v>41991720</v>
      </c>
      <c r="Q24" s="20">
        <f>Tableau1[[#This Row],[n_prev]]/Tableau1[[#This Row],[n_death]]</f>
        <v>2.8187985631453059E-2</v>
      </c>
      <c r="R24" s="20"/>
      <c r="S24" s="20"/>
      <c r="T24" s="20"/>
      <c r="U24" s="20"/>
      <c r="V24" s="4" t="s">
        <v>257</v>
      </c>
      <c r="W24" s="82" t="s">
        <v>270</v>
      </c>
    </row>
    <row r="25" spans="1:23" s="29" customFormat="1" ht="43.2" x14ac:dyDescent="0.3">
      <c r="A25" s="33" t="s">
        <v>34</v>
      </c>
      <c r="B25" s="21" t="s">
        <v>0</v>
      </c>
      <c r="C25" s="22" t="s">
        <v>59</v>
      </c>
      <c r="D25" s="22" t="s">
        <v>357</v>
      </c>
      <c r="E25" s="47">
        <v>3870</v>
      </c>
      <c r="F25" s="22">
        <v>15</v>
      </c>
      <c r="G25" s="33" t="s">
        <v>157</v>
      </c>
      <c r="H25" s="33" t="s">
        <v>129</v>
      </c>
      <c r="I25" s="5" t="s">
        <v>271</v>
      </c>
      <c r="J25" s="22" t="s">
        <v>204</v>
      </c>
      <c r="K25" s="22" t="s">
        <v>355</v>
      </c>
      <c r="L25" s="33" t="s">
        <v>205</v>
      </c>
      <c r="M25" s="33" t="s">
        <v>205</v>
      </c>
      <c r="N25" s="33">
        <v>2040</v>
      </c>
      <c r="O25" s="46">
        <v>1645276</v>
      </c>
      <c r="P25" s="46">
        <v>41991720</v>
      </c>
      <c r="Q25" s="20">
        <f>Tableau1[[#This Row],[n_prev]]/Tableau1[[#This Row],[n_death]]</f>
        <v>3.918096234209982E-2</v>
      </c>
      <c r="R25" s="20"/>
      <c r="S25" s="20"/>
      <c r="T25" s="20"/>
      <c r="U25" s="20"/>
      <c r="V25" s="4" t="s">
        <v>257</v>
      </c>
      <c r="W25" s="82" t="s">
        <v>270</v>
      </c>
    </row>
    <row r="26" spans="1:23" s="29" customFormat="1" ht="43.2" x14ac:dyDescent="0.3">
      <c r="A26" s="33" t="s">
        <v>34</v>
      </c>
      <c r="B26" s="21" t="s">
        <v>0</v>
      </c>
      <c r="C26" s="22" t="s">
        <v>59</v>
      </c>
      <c r="D26" s="22" t="s">
        <v>357</v>
      </c>
      <c r="E26" s="47">
        <v>3870</v>
      </c>
      <c r="F26" s="22">
        <v>15</v>
      </c>
      <c r="G26" s="33" t="s">
        <v>161</v>
      </c>
      <c r="H26" s="33" t="s">
        <v>129</v>
      </c>
      <c r="I26" s="5" t="s">
        <v>271</v>
      </c>
      <c r="J26" s="22" t="s">
        <v>184</v>
      </c>
      <c r="K26" s="22" t="s">
        <v>184</v>
      </c>
      <c r="L26" s="22" t="s">
        <v>198</v>
      </c>
      <c r="M26" s="22" t="s">
        <v>198</v>
      </c>
      <c r="N26" s="33">
        <v>2040</v>
      </c>
      <c r="O26" s="46">
        <v>2088298</v>
      </c>
      <c r="P26" s="46">
        <v>41991720</v>
      </c>
      <c r="Q26" s="20">
        <f>Tableau1[[#This Row],[n_prev]]/Tableau1[[#This Row],[n_death]]</f>
        <v>4.9731185100300723E-2</v>
      </c>
      <c r="R26" s="20"/>
      <c r="S26" s="20"/>
      <c r="T26" s="20"/>
      <c r="U26" s="20"/>
      <c r="V26" s="4" t="s">
        <v>257</v>
      </c>
      <c r="W26" s="82" t="s">
        <v>270</v>
      </c>
    </row>
    <row r="27" spans="1:23" s="29" customFormat="1" ht="216" customHeight="1" x14ac:dyDescent="0.3">
      <c r="A27" s="33" t="s">
        <v>34</v>
      </c>
      <c r="B27" s="21" t="s">
        <v>0</v>
      </c>
      <c r="C27" s="22" t="s">
        <v>59</v>
      </c>
      <c r="D27" s="22" t="s">
        <v>357</v>
      </c>
      <c r="E27" s="47">
        <v>3870</v>
      </c>
      <c r="F27" s="22">
        <v>15</v>
      </c>
      <c r="G27" s="33" t="s">
        <v>158</v>
      </c>
      <c r="H27" s="33" t="s">
        <v>181</v>
      </c>
      <c r="I27" s="5" t="s">
        <v>271</v>
      </c>
      <c r="J27" s="33" t="s">
        <v>202</v>
      </c>
      <c r="K27" s="33" t="s">
        <v>359</v>
      </c>
      <c r="L27" s="22" t="s">
        <v>202</v>
      </c>
      <c r="M27" s="22" t="s">
        <v>202</v>
      </c>
      <c r="N27" s="33">
        <v>2040</v>
      </c>
      <c r="O27" s="48">
        <v>5863930</v>
      </c>
      <c r="P27" s="46">
        <v>41991720</v>
      </c>
      <c r="Q27" s="20">
        <f>Tableau1[[#This Row],[n_prev]]/Tableau1[[#This Row],[n_death]]</f>
        <v>0.13964491094911091</v>
      </c>
      <c r="R27" s="20"/>
      <c r="S27" s="20"/>
      <c r="T27" s="20"/>
      <c r="U27" s="20"/>
      <c r="V27" s="4" t="s">
        <v>257</v>
      </c>
      <c r="W27" s="82" t="s">
        <v>270</v>
      </c>
    </row>
    <row r="28" spans="1:23" s="29" customFormat="1" ht="43.2" x14ac:dyDescent="0.3">
      <c r="A28" s="33" t="s">
        <v>34</v>
      </c>
      <c r="B28" s="21" t="s">
        <v>0</v>
      </c>
      <c r="C28" s="22" t="s">
        <v>59</v>
      </c>
      <c r="D28" s="22" t="s">
        <v>357</v>
      </c>
      <c r="E28" s="47">
        <v>3870</v>
      </c>
      <c r="F28" s="22">
        <v>15</v>
      </c>
      <c r="G28" s="33" t="s">
        <v>159</v>
      </c>
      <c r="H28" s="33" t="s">
        <v>129</v>
      </c>
      <c r="I28" s="5" t="s">
        <v>271</v>
      </c>
      <c r="J28" s="22" t="s">
        <v>202</v>
      </c>
      <c r="K28" s="22" t="s">
        <v>359</v>
      </c>
      <c r="L28" s="33" t="s">
        <v>202</v>
      </c>
      <c r="M28" s="33" t="s">
        <v>202</v>
      </c>
      <c r="N28" s="33">
        <v>2040</v>
      </c>
      <c r="O28" s="46">
        <v>6435910</v>
      </c>
      <c r="P28" s="46">
        <v>41991720</v>
      </c>
      <c r="Q28" s="20">
        <f>Tableau1[[#This Row],[n_prev]]/Tableau1[[#This Row],[n_death]]</f>
        <v>0.15326616771115831</v>
      </c>
      <c r="R28" s="20"/>
      <c r="S28" s="20"/>
      <c r="T28" s="20"/>
      <c r="U28" s="20"/>
      <c r="V28" s="4" t="s">
        <v>257</v>
      </c>
      <c r="W28" s="82" t="s">
        <v>270</v>
      </c>
    </row>
    <row r="29" spans="1:23" s="75" customFormat="1" ht="80.400000000000006" customHeight="1" x14ac:dyDescent="0.3">
      <c r="A29" s="83" t="s">
        <v>276</v>
      </c>
      <c r="B29" s="85" t="s">
        <v>277</v>
      </c>
      <c r="C29" s="4" t="s">
        <v>278</v>
      </c>
      <c r="D29" s="4" t="s">
        <v>278</v>
      </c>
      <c r="E29" s="4"/>
      <c r="F29" s="4"/>
      <c r="G29" s="10" t="s">
        <v>279</v>
      </c>
      <c r="H29" s="24" t="s">
        <v>119</v>
      </c>
      <c r="I29" s="5" t="s">
        <v>271</v>
      </c>
      <c r="J29" s="5" t="s">
        <v>272</v>
      </c>
      <c r="K29" s="5" t="s">
        <v>272</v>
      </c>
      <c r="L29" s="4" t="s">
        <v>199</v>
      </c>
      <c r="M29" s="4" t="s">
        <v>199</v>
      </c>
      <c r="N29" s="10">
        <v>2050</v>
      </c>
      <c r="O29" s="10"/>
      <c r="P29" s="10"/>
      <c r="Q29" s="10"/>
      <c r="R29" s="39"/>
      <c r="S29" s="39"/>
      <c r="T29" s="39"/>
      <c r="U29" s="39"/>
      <c r="V29" s="4" t="s">
        <v>258</v>
      </c>
      <c r="W29" s="82" t="s">
        <v>271</v>
      </c>
    </row>
    <row r="30" spans="1:23" s="29" customFormat="1" ht="80.400000000000006" customHeight="1" x14ac:dyDescent="0.3">
      <c r="A30" s="20" t="s">
        <v>52</v>
      </c>
      <c r="B30" s="38" t="s">
        <v>31</v>
      </c>
      <c r="C30" s="22" t="s">
        <v>60</v>
      </c>
      <c r="D30" s="22" t="s">
        <v>357</v>
      </c>
      <c r="E30" s="23">
        <v>6000</v>
      </c>
      <c r="F30" s="22">
        <v>13</v>
      </c>
      <c r="G30" s="33" t="s">
        <v>154</v>
      </c>
      <c r="H30" s="24" t="s">
        <v>119</v>
      </c>
      <c r="I30" s="5" t="s">
        <v>271</v>
      </c>
      <c r="J30" s="33" t="s">
        <v>185</v>
      </c>
      <c r="K30" s="33" t="s">
        <v>185</v>
      </c>
      <c r="L30" s="22" t="s">
        <v>200</v>
      </c>
      <c r="M30" s="22" t="s">
        <v>199</v>
      </c>
      <c r="N30" s="33">
        <v>2050</v>
      </c>
      <c r="O30" s="45">
        <v>3487163</v>
      </c>
      <c r="P30" s="24">
        <v>91583402</v>
      </c>
      <c r="Q30" s="46">
        <f>Tableau1[[#This Row],[n_prev]]/P30</f>
        <v>3.8076364536010578E-2</v>
      </c>
      <c r="R30" s="46"/>
      <c r="S30" s="46"/>
      <c r="T30" s="46"/>
      <c r="U30" s="45">
        <v>23000</v>
      </c>
      <c r="V30" s="4" t="s">
        <v>257</v>
      </c>
      <c r="W30" s="82" t="s">
        <v>270</v>
      </c>
    </row>
    <row r="31" spans="1:23" s="75" customFormat="1" ht="80.400000000000006" customHeight="1" x14ac:dyDescent="0.3">
      <c r="A31" s="33" t="s">
        <v>111</v>
      </c>
      <c r="B31" s="21" t="s">
        <v>112</v>
      </c>
      <c r="C31" s="68" t="s">
        <v>27</v>
      </c>
      <c r="D31" s="68" t="s">
        <v>27</v>
      </c>
      <c r="E31" s="68">
        <v>1408</v>
      </c>
      <c r="F31" s="22">
        <v>23</v>
      </c>
      <c r="G31" s="33" t="s">
        <v>166</v>
      </c>
      <c r="H31" s="33" t="s">
        <v>181</v>
      </c>
      <c r="I31" s="5" t="s">
        <v>271</v>
      </c>
      <c r="J31" s="33" t="s">
        <v>187</v>
      </c>
      <c r="K31" s="33" t="s">
        <v>355</v>
      </c>
      <c r="L31" s="22" t="s">
        <v>199</v>
      </c>
      <c r="M31" s="22" t="s">
        <v>199</v>
      </c>
      <c r="N31" s="33">
        <v>2050</v>
      </c>
      <c r="O31" s="54">
        <f>1610000-980000</f>
        <v>630000</v>
      </c>
      <c r="P31" s="59">
        <v>17360484</v>
      </c>
      <c r="Q31" s="55">
        <f>Tableau1[[#This Row],[n_prev]]/Tableau1[[#This Row],[n_death]]</f>
        <v>3.6289310827970003E-2</v>
      </c>
      <c r="R31" s="55"/>
      <c r="S31" s="55"/>
      <c r="T31" s="55"/>
      <c r="U31" s="55"/>
      <c r="V31" s="4" t="s">
        <v>257</v>
      </c>
      <c r="W31" s="82" t="s">
        <v>270</v>
      </c>
    </row>
    <row r="32" spans="1:23" s="75" customFormat="1" ht="80.400000000000006" customHeight="1" x14ac:dyDescent="0.3">
      <c r="A32" s="33" t="s">
        <v>41</v>
      </c>
      <c r="B32" s="98" t="s">
        <v>8</v>
      </c>
      <c r="C32" s="22" t="s">
        <v>61</v>
      </c>
      <c r="D32" s="22" t="s">
        <v>27</v>
      </c>
      <c r="E32" s="30">
        <v>38.6</v>
      </c>
      <c r="F32" s="22">
        <v>43</v>
      </c>
      <c r="G32" s="33" t="s">
        <v>343</v>
      </c>
      <c r="H32" s="33" t="s">
        <v>181</v>
      </c>
      <c r="I32" s="5" t="s">
        <v>270</v>
      </c>
      <c r="J32" s="33" t="s">
        <v>188</v>
      </c>
      <c r="K32" s="33" t="s">
        <v>355</v>
      </c>
      <c r="L32" s="22" t="s">
        <v>199</v>
      </c>
      <c r="M32" s="22" t="s">
        <v>199</v>
      </c>
      <c r="N32" s="33"/>
      <c r="O32" s="46"/>
      <c r="P32" s="46"/>
      <c r="Q32" s="46"/>
      <c r="R32" s="46"/>
      <c r="S32" s="46"/>
      <c r="T32" s="46"/>
      <c r="U32" s="46"/>
      <c r="V32" s="4" t="s">
        <v>257</v>
      </c>
      <c r="W32" s="82" t="s">
        <v>271</v>
      </c>
    </row>
    <row r="33" spans="1:23" s="75" customFormat="1" ht="80.400000000000006" customHeight="1" x14ac:dyDescent="0.3">
      <c r="A33" s="33" t="s">
        <v>41</v>
      </c>
      <c r="B33" s="98" t="s">
        <v>8</v>
      </c>
      <c r="C33" s="22" t="s">
        <v>61</v>
      </c>
      <c r="D33" s="22" t="s">
        <v>27</v>
      </c>
      <c r="E33" s="30">
        <v>38.6</v>
      </c>
      <c r="F33" s="22">
        <v>43</v>
      </c>
      <c r="G33" s="33" t="s">
        <v>344</v>
      </c>
      <c r="H33" s="33" t="s">
        <v>181</v>
      </c>
      <c r="I33" s="5" t="s">
        <v>270</v>
      </c>
      <c r="J33" s="33" t="s">
        <v>188</v>
      </c>
      <c r="K33" s="33" t="s">
        <v>355</v>
      </c>
      <c r="L33" s="22" t="s">
        <v>199</v>
      </c>
      <c r="M33" s="22" t="s">
        <v>199</v>
      </c>
      <c r="N33" s="33"/>
      <c r="O33" s="46"/>
      <c r="P33" s="46"/>
      <c r="Q33" s="46"/>
      <c r="R33" s="46"/>
      <c r="S33" s="46"/>
      <c r="T33" s="46"/>
      <c r="U33" s="46"/>
      <c r="V33" s="4" t="s">
        <v>257</v>
      </c>
      <c r="W33" s="82" t="s">
        <v>271</v>
      </c>
    </row>
    <row r="34" spans="1:23" s="75" customFormat="1" ht="80.400000000000006" customHeight="1" x14ac:dyDescent="0.3">
      <c r="A34" s="33" t="s">
        <v>41</v>
      </c>
      <c r="B34" s="98" t="s">
        <v>8</v>
      </c>
      <c r="C34" s="22" t="s">
        <v>61</v>
      </c>
      <c r="D34" s="22" t="s">
        <v>27</v>
      </c>
      <c r="E34" s="30">
        <v>38.6</v>
      </c>
      <c r="F34" s="22">
        <v>43</v>
      </c>
      <c r="G34" s="33" t="s">
        <v>345</v>
      </c>
      <c r="H34" s="33" t="s">
        <v>181</v>
      </c>
      <c r="I34" s="5" t="s">
        <v>270</v>
      </c>
      <c r="J34" s="33" t="s">
        <v>188</v>
      </c>
      <c r="K34" s="33" t="s">
        <v>355</v>
      </c>
      <c r="L34" s="22" t="s">
        <v>199</v>
      </c>
      <c r="M34" s="22" t="s">
        <v>199</v>
      </c>
      <c r="N34" s="33"/>
      <c r="O34" s="46"/>
      <c r="P34" s="46"/>
      <c r="Q34" s="46"/>
      <c r="R34" s="46"/>
      <c r="S34" s="46"/>
      <c r="T34" s="46"/>
      <c r="U34" s="46"/>
      <c r="V34" s="4" t="s">
        <v>257</v>
      </c>
      <c r="W34" s="82" t="s">
        <v>271</v>
      </c>
    </row>
    <row r="35" spans="1:23" s="75" customFormat="1" ht="80.400000000000006" customHeight="1" x14ac:dyDescent="0.3">
      <c r="A35" s="33" t="s">
        <v>41</v>
      </c>
      <c r="B35" s="98" t="s">
        <v>8</v>
      </c>
      <c r="C35" s="22" t="s">
        <v>61</v>
      </c>
      <c r="D35" s="22" t="s">
        <v>27</v>
      </c>
      <c r="E35" s="30">
        <v>38.6</v>
      </c>
      <c r="F35" s="22">
        <v>43</v>
      </c>
      <c r="G35" s="33" t="s">
        <v>346</v>
      </c>
      <c r="H35" s="33" t="s">
        <v>181</v>
      </c>
      <c r="I35" s="5" t="s">
        <v>270</v>
      </c>
      <c r="J35" s="33" t="s">
        <v>188</v>
      </c>
      <c r="K35" s="33" t="s">
        <v>355</v>
      </c>
      <c r="L35" s="22" t="s">
        <v>199</v>
      </c>
      <c r="M35" s="22" t="s">
        <v>199</v>
      </c>
      <c r="N35" s="33"/>
      <c r="O35" s="46"/>
      <c r="P35" s="46"/>
      <c r="Q35" s="46"/>
      <c r="R35" s="46"/>
      <c r="S35" s="46"/>
      <c r="T35" s="46"/>
      <c r="U35" s="46"/>
      <c r="V35" s="4" t="s">
        <v>257</v>
      </c>
      <c r="W35" s="82" t="s">
        <v>271</v>
      </c>
    </row>
    <row r="36" spans="1:23" s="75" customFormat="1" ht="80.400000000000006" customHeight="1" x14ac:dyDescent="0.3">
      <c r="A36" s="20" t="s">
        <v>38</v>
      </c>
      <c r="B36" s="27" t="s">
        <v>5</v>
      </c>
      <c r="C36" s="58" t="s">
        <v>27</v>
      </c>
      <c r="D36" s="58" t="s">
        <v>27</v>
      </c>
      <c r="E36" s="31">
        <v>1380</v>
      </c>
      <c r="F36" s="22">
        <v>25</v>
      </c>
      <c r="G36" s="33" t="s">
        <v>170</v>
      </c>
      <c r="H36" s="33" t="s">
        <v>119</v>
      </c>
      <c r="I36" s="5" t="s">
        <v>270</v>
      </c>
      <c r="J36" s="33" t="s">
        <v>360</v>
      </c>
      <c r="K36" s="33" t="s">
        <v>355</v>
      </c>
      <c r="L36" s="22" t="s">
        <v>199</v>
      </c>
      <c r="M36" s="22" t="s">
        <v>199</v>
      </c>
      <c r="N36" s="33">
        <v>2050</v>
      </c>
      <c r="O36" s="45">
        <v>960000</v>
      </c>
      <c r="P36" s="59">
        <v>17360484</v>
      </c>
      <c r="Q36" s="46">
        <f>Tableau1[[#This Row],[n_prev]]/Tableau1[[#This Row],[n_death]]</f>
        <v>5.5297997452144768E-2</v>
      </c>
      <c r="R36" s="46"/>
      <c r="S36" s="46"/>
      <c r="T36" s="46"/>
      <c r="U36" s="46"/>
      <c r="V36" s="4" t="s">
        <v>257</v>
      </c>
      <c r="W36" s="82" t="s">
        <v>270</v>
      </c>
    </row>
    <row r="37" spans="1:23" s="75" customFormat="1" ht="80.400000000000006" customHeight="1" x14ac:dyDescent="0.3">
      <c r="A37" s="20" t="s">
        <v>38</v>
      </c>
      <c r="B37" s="27" t="s">
        <v>5</v>
      </c>
      <c r="C37" s="58" t="s">
        <v>27</v>
      </c>
      <c r="D37" s="58" t="s">
        <v>27</v>
      </c>
      <c r="E37" s="31">
        <v>1380</v>
      </c>
      <c r="F37" s="22">
        <v>25</v>
      </c>
      <c r="G37" s="33" t="s">
        <v>170</v>
      </c>
      <c r="H37" s="33" t="s">
        <v>119</v>
      </c>
      <c r="I37" s="5" t="s">
        <v>270</v>
      </c>
      <c r="J37" s="33" t="s">
        <v>360</v>
      </c>
      <c r="K37" s="33" t="s">
        <v>355</v>
      </c>
      <c r="L37" s="22" t="s">
        <v>199</v>
      </c>
      <c r="M37" s="22" t="s">
        <v>199</v>
      </c>
      <c r="N37" s="33">
        <v>2050</v>
      </c>
      <c r="O37" s="45">
        <v>1060000</v>
      </c>
      <c r="P37" s="59">
        <v>17360484</v>
      </c>
      <c r="Q37" s="46">
        <f>Tableau1[[#This Row],[n_prev]]/Tableau1[[#This Row],[n_death]]</f>
        <v>6.1058205520076514E-2</v>
      </c>
      <c r="R37" s="46"/>
      <c r="S37" s="46"/>
      <c r="T37" s="46"/>
      <c r="U37" s="46"/>
      <c r="V37" s="4" t="s">
        <v>257</v>
      </c>
      <c r="W37" s="82" t="s">
        <v>270</v>
      </c>
    </row>
    <row r="38" spans="1:23" s="75" customFormat="1" ht="57.6" x14ac:dyDescent="0.3">
      <c r="A38" s="57" t="s">
        <v>58</v>
      </c>
      <c r="B38" s="40" t="s">
        <v>57</v>
      </c>
      <c r="C38" s="4" t="s">
        <v>62</v>
      </c>
      <c r="D38" s="4" t="s">
        <v>27</v>
      </c>
      <c r="E38" s="42">
        <v>21</v>
      </c>
      <c r="F38" s="4">
        <v>46</v>
      </c>
      <c r="G38" s="5" t="s">
        <v>347</v>
      </c>
      <c r="H38" s="5" t="s">
        <v>119</v>
      </c>
      <c r="I38" s="5" t="s">
        <v>271</v>
      </c>
      <c r="J38" s="5" t="s">
        <v>184</v>
      </c>
      <c r="K38" s="5" t="s">
        <v>184</v>
      </c>
      <c r="L38" s="4" t="s">
        <v>199</v>
      </c>
      <c r="M38" s="4" t="s">
        <v>199</v>
      </c>
      <c r="N38" s="5"/>
      <c r="O38" s="28">
        <v>300</v>
      </c>
      <c r="P38" s="28"/>
      <c r="Q38" s="28"/>
      <c r="R38" s="28"/>
      <c r="S38" s="28"/>
      <c r="T38" s="28"/>
      <c r="U38" s="28"/>
      <c r="V38" s="4" t="s">
        <v>257</v>
      </c>
      <c r="W38" s="82" t="s">
        <v>271</v>
      </c>
    </row>
    <row r="39" spans="1:23" s="29" customFormat="1" ht="57.6" x14ac:dyDescent="0.3">
      <c r="A39" s="83" t="s">
        <v>273</v>
      </c>
      <c r="B39" s="85" t="s">
        <v>274</v>
      </c>
      <c r="C39" s="4" t="s">
        <v>27</v>
      </c>
      <c r="D39" s="4" t="s">
        <v>27</v>
      </c>
      <c r="E39" s="4"/>
      <c r="F39" s="4"/>
      <c r="G39" s="10" t="s">
        <v>275</v>
      </c>
      <c r="H39" s="10" t="s">
        <v>119</v>
      </c>
      <c r="I39" s="5" t="s">
        <v>271</v>
      </c>
      <c r="J39" s="57" t="s">
        <v>185</v>
      </c>
      <c r="K39" s="57" t="s">
        <v>185</v>
      </c>
      <c r="L39" s="4" t="s">
        <v>199</v>
      </c>
      <c r="M39" s="4" t="s">
        <v>199</v>
      </c>
      <c r="N39" s="10">
        <v>2050</v>
      </c>
      <c r="O39" s="10"/>
      <c r="P39" s="10"/>
      <c r="Q39" s="10"/>
      <c r="R39" s="39"/>
      <c r="S39" s="39"/>
      <c r="T39" s="39"/>
      <c r="U39" s="39"/>
      <c r="V39" s="4" t="s">
        <v>257</v>
      </c>
      <c r="W39" s="82" t="s">
        <v>271</v>
      </c>
    </row>
    <row r="40" spans="1:23" s="29" customFormat="1" ht="43.2" x14ac:dyDescent="0.3">
      <c r="A40" s="69" t="s">
        <v>39</v>
      </c>
      <c r="B40" s="95" t="s">
        <v>6</v>
      </c>
      <c r="C40" s="87" t="s">
        <v>66</v>
      </c>
      <c r="D40" s="87" t="s">
        <v>25</v>
      </c>
      <c r="E40" s="105">
        <v>7821</v>
      </c>
      <c r="F40" s="73">
        <v>1</v>
      </c>
      <c r="G40" s="69" t="s">
        <v>246</v>
      </c>
      <c r="H40" s="69" t="s">
        <v>181</v>
      </c>
      <c r="I40" s="5" t="s">
        <v>271</v>
      </c>
      <c r="J40" s="69" t="s">
        <v>272</v>
      </c>
      <c r="K40" s="69" t="s">
        <v>272</v>
      </c>
      <c r="L40" s="73" t="s">
        <v>199</v>
      </c>
      <c r="M40" s="73" t="s">
        <v>199</v>
      </c>
      <c r="N40" s="69">
        <v>2035</v>
      </c>
      <c r="O40" s="76">
        <f>40000000/30</f>
        <v>1333333.3333333333</v>
      </c>
      <c r="P40" s="76">
        <v>67172551</v>
      </c>
      <c r="Q40" s="76">
        <f>Tableau1[[#This Row],[n_prev]]/Tableau1[[#This Row],[n_death]]</f>
        <v>1.9849377662214038E-2</v>
      </c>
      <c r="R40" s="76"/>
      <c r="S40" s="76"/>
      <c r="T40" s="76"/>
      <c r="U40" s="76"/>
      <c r="V40" s="4" t="s">
        <v>257</v>
      </c>
      <c r="W40" s="82" t="s">
        <v>270</v>
      </c>
    </row>
    <row r="41" spans="1:23" s="26" customFormat="1" ht="43.2" x14ac:dyDescent="0.3">
      <c r="A41" s="5" t="s">
        <v>90</v>
      </c>
      <c r="B41" s="40" t="s">
        <v>263</v>
      </c>
      <c r="C41" s="4" t="s">
        <v>25</v>
      </c>
      <c r="D41" s="4" t="s">
        <v>25</v>
      </c>
      <c r="E41" s="7">
        <v>6970</v>
      </c>
      <c r="F41" s="4">
        <v>12</v>
      </c>
      <c r="G41" s="5"/>
      <c r="H41" s="5" t="s">
        <v>181</v>
      </c>
      <c r="I41" s="5" t="s">
        <v>271</v>
      </c>
      <c r="J41" s="4" t="s">
        <v>185</v>
      </c>
      <c r="K41" s="4" t="s">
        <v>185</v>
      </c>
      <c r="L41" s="5" t="s">
        <v>199</v>
      </c>
      <c r="M41" s="5" t="s">
        <v>199</v>
      </c>
      <c r="N41" s="5"/>
      <c r="O41" s="28"/>
      <c r="P41" s="28"/>
      <c r="Q41" s="28"/>
      <c r="R41" s="28"/>
      <c r="S41" s="28"/>
      <c r="T41" s="28"/>
      <c r="U41" s="28"/>
      <c r="V41" s="4" t="s">
        <v>257</v>
      </c>
      <c r="W41" s="82" t="s">
        <v>271</v>
      </c>
    </row>
    <row r="42" spans="1:23" s="26" customFormat="1" ht="60.6" customHeight="1" x14ac:dyDescent="0.3">
      <c r="A42" s="77" t="s">
        <v>33</v>
      </c>
      <c r="B42" s="70" t="s">
        <v>354</v>
      </c>
      <c r="C42" s="73" t="s">
        <v>64</v>
      </c>
      <c r="D42" s="73" t="s">
        <v>64</v>
      </c>
      <c r="E42" s="73">
        <v>70</v>
      </c>
      <c r="F42" s="73">
        <v>20</v>
      </c>
      <c r="G42" s="69" t="s">
        <v>214</v>
      </c>
      <c r="H42" s="69" t="s">
        <v>121</v>
      </c>
      <c r="I42" s="5" t="s">
        <v>271</v>
      </c>
      <c r="J42" s="73" t="s">
        <v>203</v>
      </c>
      <c r="K42" s="73" t="s">
        <v>184</v>
      </c>
      <c r="L42" s="69" t="s">
        <v>198</v>
      </c>
      <c r="M42" s="69" t="s">
        <v>198</v>
      </c>
      <c r="N42" s="69">
        <v>2035</v>
      </c>
      <c r="O42" s="76">
        <f>Tableau1[[#This Row],[yll]]/Tableau1[[#This Row],[conversion_factor]]</f>
        <v>574.17033843584534</v>
      </c>
      <c r="P42" s="76">
        <v>694452</v>
      </c>
      <c r="Q42" s="76">
        <f>Tableau1[[#This Row],[n_prev]]/Tableau1[[#This Row],[n_death]]</f>
        <v>8.2679629180396248E-4</v>
      </c>
      <c r="R42" s="79">
        <v>16.638210000000001</v>
      </c>
      <c r="S42" s="76"/>
      <c r="T42" s="78">
        <f>286595/30</f>
        <v>9553.1666666666661</v>
      </c>
      <c r="U42" s="76"/>
      <c r="V42" s="4" t="s">
        <v>258</v>
      </c>
      <c r="W42" s="82" t="s">
        <v>270</v>
      </c>
    </row>
    <row r="43" spans="1:23" s="26" customFormat="1" ht="60.6" customHeight="1" x14ac:dyDescent="0.3">
      <c r="A43" s="77" t="s">
        <v>33</v>
      </c>
      <c r="B43" s="70" t="s">
        <v>354</v>
      </c>
      <c r="C43" s="73" t="s">
        <v>64</v>
      </c>
      <c r="D43" s="73" t="s">
        <v>64</v>
      </c>
      <c r="E43" s="73">
        <v>70</v>
      </c>
      <c r="F43" s="73">
        <v>20</v>
      </c>
      <c r="G43" s="69" t="s">
        <v>214</v>
      </c>
      <c r="H43" s="69" t="s">
        <v>121</v>
      </c>
      <c r="I43" s="5" t="s">
        <v>271</v>
      </c>
      <c r="J43" s="73" t="s">
        <v>203</v>
      </c>
      <c r="K43" s="73" t="s">
        <v>359</v>
      </c>
      <c r="L43" s="73" t="s">
        <v>202</v>
      </c>
      <c r="M43" s="73" t="s">
        <v>202</v>
      </c>
      <c r="N43" s="69">
        <v>2035</v>
      </c>
      <c r="O43" s="76">
        <f>Tableau1[[#This Row],[yll]]/Tableau1[[#This Row],[conversion_factor]]</f>
        <v>986.99208553507572</v>
      </c>
      <c r="P43" s="76">
        <v>694452</v>
      </c>
      <c r="Q43" s="76">
        <f>Tableau1[[#This Row],[n_prev]]/Tableau1[[#This Row],[n_death]]</f>
        <v>1.4212531399363465E-3</v>
      </c>
      <c r="R43" s="76">
        <v>16.515329999999999</v>
      </c>
      <c r="S43" s="76"/>
      <c r="T43" s="78">
        <f>489015/30</f>
        <v>16300.5</v>
      </c>
      <c r="U43" s="76"/>
      <c r="V43" s="4" t="s">
        <v>258</v>
      </c>
      <c r="W43" s="82" t="s">
        <v>270</v>
      </c>
    </row>
    <row r="44" spans="1:23" s="26" customFormat="1" ht="60.6" customHeight="1" x14ac:dyDescent="0.3">
      <c r="A44" s="77" t="s">
        <v>33</v>
      </c>
      <c r="B44" s="70" t="s">
        <v>354</v>
      </c>
      <c r="C44" s="73" t="s">
        <v>64</v>
      </c>
      <c r="D44" s="73" t="s">
        <v>64</v>
      </c>
      <c r="E44" s="73">
        <v>70</v>
      </c>
      <c r="F44" s="73">
        <v>20</v>
      </c>
      <c r="G44" s="69" t="s">
        <v>213</v>
      </c>
      <c r="H44" s="69" t="s">
        <v>119</v>
      </c>
      <c r="I44" s="5" t="s">
        <v>271</v>
      </c>
      <c r="J44" s="73" t="s">
        <v>203</v>
      </c>
      <c r="K44" s="73" t="s">
        <v>195</v>
      </c>
      <c r="L44" s="73" t="s">
        <v>201</v>
      </c>
      <c r="M44" s="73" t="s">
        <v>199</v>
      </c>
      <c r="N44" s="69">
        <v>2035</v>
      </c>
      <c r="O44" s="76">
        <f>Tableau1[[#This Row],[yll]]/Tableau1[[#This Row],[conversion_factor]]</f>
        <v>1676.942398125411</v>
      </c>
      <c r="P44" s="76">
        <v>694452</v>
      </c>
      <c r="Q44" s="76">
        <f>Tableau1[[#This Row],[n_prev]]/Tableau1[[#This Row],[n_death]]</f>
        <v>2.4147707805944989E-3</v>
      </c>
      <c r="R44" s="76">
        <v>16.615200000000002</v>
      </c>
      <c r="S44" s="76"/>
      <c r="T44" s="78">
        <f>835882/30</f>
        <v>27862.733333333334</v>
      </c>
      <c r="U44" s="76"/>
      <c r="V44" s="4" t="s">
        <v>258</v>
      </c>
      <c r="W44" s="82" t="s">
        <v>270</v>
      </c>
    </row>
    <row r="45" spans="1:23" s="26" customFormat="1" ht="90" customHeight="1" x14ac:dyDescent="0.3">
      <c r="A45" s="77" t="s">
        <v>33</v>
      </c>
      <c r="B45" s="70" t="s">
        <v>354</v>
      </c>
      <c r="C45" s="73" t="s">
        <v>64</v>
      </c>
      <c r="D45" s="73" t="s">
        <v>64</v>
      </c>
      <c r="E45" s="73">
        <v>70</v>
      </c>
      <c r="F45" s="73">
        <v>20</v>
      </c>
      <c r="G45" s="69" t="s">
        <v>214</v>
      </c>
      <c r="H45" s="69" t="s">
        <v>121</v>
      </c>
      <c r="I45" s="5" t="s">
        <v>271</v>
      </c>
      <c r="J45" s="73" t="s">
        <v>203</v>
      </c>
      <c r="K45" s="73" t="s">
        <v>355</v>
      </c>
      <c r="L45" s="69" t="s">
        <v>199</v>
      </c>
      <c r="M45" s="69" t="s">
        <v>199</v>
      </c>
      <c r="N45" s="69">
        <v>2035</v>
      </c>
      <c r="O45" s="76">
        <f>Tableau1[[#This Row],[yll]]/Tableau1[[#This Row],[conversion_factor]]</f>
        <v>1788.2119986518367</v>
      </c>
      <c r="P45" s="76">
        <v>694452</v>
      </c>
      <c r="Q45" s="76">
        <f>Tableau1[[#This Row],[n_prev]]/Tableau1[[#This Row],[n_death]]</f>
        <v>2.5749972620884333E-3</v>
      </c>
      <c r="R45" s="76">
        <v>16.615200000000002</v>
      </c>
      <c r="S45" s="76"/>
      <c r="T45" s="78">
        <f>891345/30</f>
        <v>29711.5</v>
      </c>
      <c r="U45" s="76"/>
      <c r="V45" s="4" t="s">
        <v>258</v>
      </c>
      <c r="W45" s="82" t="s">
        <v>270</v>
      </c>
    </row>
    <row r="46" spans="1:23" s="26" customFormat="1" ht="43.2" x14ac:dyDescent="0.3">
      <c r="A46" s="77" t="s">
        <v>33</v>
      </c>
      <c r="B46" s="70" t="s">
        <v>354</v>
      </c>
      <c r="C46" s="73" t="s">
        <v>64</v>
      </c>
      <c r="D46" s="73" t="s">
        <v>64</v>
      </c>
      <c r="E46" s="73">
        <v>70</v>
      </c>
      <c r="F46" s="73">
        <v>20</v>
      </c>
      <c r="G46" s="69" t="s">
        <v>214</v>
      </c>
      <c r="H46" s="69" t="s">
        <v>121</v>
      </c>
      <c r="I46" s="5" t="s">
        <v>271</v>
      </c>
      <c r="J46" s="73" t="s">
        <v>203</v>
      </c>
      <c r="K46" s="73" t="s">
        <v>195</v>
      </c>
      <c r="L46" s="89" t="s">
        <v>201</v>
      </c>
      <c r="M46" s="89" t="s">
        <v>199</v>
      </c>
      <c r="N46" s="69">
        <v>2035</v>
      </c>
      <c r="O46" s="76">
        <f>Tableau1[[#This Row],[yll]]/Tableau1[[#This Row],[conversion_factor]]</f>
        <v>1824.4860128075495</v>
      </c>
      <c r="P46" s="76">
        <v>694452</v>
      </c>
      <c r="Q46" s="76">
        <f>Tableau1[[#This Row],[n_prev]]/Tableau1[[#This Row],[n_death]]</f>
        <v>2.6272312741666085E-3</v>
      </c>
      <c r="R46" s="76">
        <v>16.615200000000002</v>
      </c>
      <c r="S46" s="76"/>
      <c r="T46" s="78">
        <f>909426/30</f>
        <v>30314.2</v>
      </c>
      <c r="U46" s="76"/>
      <c r="V46" s="4" t="s">
        <v>258</v>
      </c>
      <c r="W46" s="82" t="s">
        <v>270</v>
      </c>
    </row>
    <row r="47" spans="1:23" s="29" customFormat="1" ht="43.2" x14ac:dyDescent="0.3">
      <c r="A47" s="77" t="s">
        <v>240</v>
      </c>
      <c r="B47" s="70" t="s">
        <v>354</v>
      </c>
      <c r="C47" s="73" t="s">
        <v>64</v>
      </c>
      <c r="D47" s="73" t="s">
        <v>64</v>
      </c>
      <c r="E47" s="73">
        <v>70</v>
      </c>
      <c r="F47" s="73">
        <v>20</v>
      </c>
      <c r="G47" s="69" t="s">
        <v>213</v>
      </c>
      <c r="H47" s="69" t="s">
        <v>119</v>
      </c>
      <c r="I47" s="5" t="s">
        <v>271</v>
      </c>
      <c r="J47" s="73" t="s">
        <v>203</v>
      </c>
      <c r="K47" s="73" t="s">
        <v>184</v>
      </c>
      <c r="L47" s="89" t="s">
        <v>241</v>
      </c>
      <c r="M47" s="89" t="s">
        <v>241</v>
      </c>
      <c r="N47" s="69">
        <v>2035</v>
      </c>
      <c r="O47" s="76">
        <f>Tableau1[[#This Row],[yll]]/Tableau1[[#This Row],[conversion_factor]]</f>
        <v>249.64424257978069</v>
      </c>
      <c r="P47" s="76">
        <v>694452</v>
      </c>
      <c r="Q47" s="76">
        <f>Tableau1[[#This Row],[n_prev]]/Tableau1[[#This Row],[n_death]]</f>
        <v>3.5948379813116051E-4</v>
      </c>
      <c r="R47" s="79">
        <v>16.638210000000001</v>
      </c>
      <c r="S47" s="76"/>
      <c r="T47" s="78">
        <f>124609/30</f>
        <v>4153.6333333333332</v>
      </c>
      <c r="U47" s="76"/>
      <c r="V47" s="4" t="s">
        <v>258</v>
      </c>
      <c r="W47" s="82" t="s">
        <v>270</v>
      </c>
    </row>
    <row r="48" spans="1:23" s="29" customFormat="1" ht="43.2" x14ac:dyDescent="0.3">
      <c r="A48" s="77" t="s">
        <v>240</v>
      </c>
      <c r="B48" s="70" t="s">
        <v>354</v>
      </c>
      <c r="C48" s="69" t="s">
        <v>64</v>
      </c>
      <c r="D48" s="69" t="s">
        <v>64</v>
      </c>
      <c r="E48" s="69">
        <v>70</v>
      </c>
      <c r="F48" s="73">
        <v>20</v>
      </c>
      <c r="G48" s="69" t="s">
        <v>213</v>
      </c>
      <c r="H48" s="69" t="s">
        <v>119</v>
      </c>
      <c r="I48" s="5" t="s">
        <v>271</v>
      </c>
      <c r="J48" s="69" t="s">
        <v>203</v>
      </c>
      <c r="K48" s="69" t="s">
        <v>359</v>
      </c>
      <c r="L48" s="89" t="s">
        <v>202</v>
      </c>
      <c r="M48" s="89" t="s">
        <v>202</v>
      </c>
      <c r="N48" s="69">
        <v>2035</v>
      </c>
      <c r="O48" s="76">
        <f>Tableau1[[#This Row],[yll]]/Tableau1[[#This Row],[conversion_factor]]</f>
        <v>832.46292989604206</v>
      </c>
      <c r="P48" s="76">
        <v>694452</v>
      </c>
      <c r="Q48" s="76">
        <f>Tableau1[[#This Row],[n_prev]]/Tableau1[[#This Row],[n_death]]</f>
        <v>1.1987335768289848E-3</v>
      </c>
      <c r="R48" s="76">
        <v>16.515329999999999</v>
      </c>
      <c r="S48" s="76"/>
      <c r="T48" s="78">
        <f>412452/30</f>
        <v>13748.4</v>
      </c>
      <c r="U48" s="76"/>
      <c r="V48" s="4" t="s">
        <v>258</v>
      </c>
      <c r="W48" s="82" t="s">
        <v>270</v>
      </c>
    </row>
    <row r="49" spans="1:23" s="26" customFormat="1" ht="43.2" x14ac:dyDescent="0.3">
      <c r="A49" s="77" t="s">
        <v>240</v>
      </c>
      <c r="B49" s="70" t="s">
        <v>354</v>
      </c>
      <c r="C49" s="73" t="s">
        <v>64</v>
      </c>
      <c r="D49" s="73" t="s">
        <v>64</v>
      </c>
      <c r="E49" s="73">
        <v>70</v>
      </c>
      <c r="F49" s="73">
        <v>20</v>
      </c>
      <c r="G49" s="69" t="s">
        <v>213</v>
      </c>
      <c r="H49" s="69" t="s">
        <v>119</v>
      </c>
      <c r="I49" s="5" t="s">
        <v>271</v>
      </c>
      <c r="J49" s="73" t="s">
        <v>203</v>
      </c>
      <c r="K49" s="73" t="s">
        <v>355</v>
      </c>
      <c r="L49" s="73" t="s">
        <v>199</v>
      </c>
      <c r="M49" s="73" t="s">
        <v>199</v>
      </c>
      <c r="N49" s="69">
        <v>2035</v>
      </c>
      <c r="O49" s="76">
        <f>Tableau1[[#This Row],[yll]]/Tableau1[[#This Row],[conversion_factor]]</f>
        <v>1472.8682170542634</v>
      </c>
      <c r="P49" s="76">
        <v>694452</v>
      </c>
      <c r="Q49" s="76">
        <f>Tableau1[[#This Row],[n_prev]]/Tableau1[[#This Row],[n_death]]</f>
        <v>2.1209071570882703E-3</v>
      </c>
      <c r="R49" s="76">
        <v>16.615200000000002</v>
      </c>
      <c r="S49" s="76"/>
      <c r="T49" s="78">
        <f>734160/30</f>
        <v>24472</v>
      </c>
      <c r="U49" s="76"/>
      <c r="V49" s="4" t="s">
        <v>258</v>
      </c>
      <c r="W49" s="82" t="s">
        <v>270</v>
      </c>
    </row>
    <row r="50" spans="1:23" s="26" customFormat="1" ht="187.2" x14ac:dyDescent="0.3">
      <c r="A50" s="5" t="s">
        <v>78</v>
      </c>
      <c r="B50" s="6" t="s">
        <v>79</v>
      </c>
      <c r="C50" s="51" t="s">
        <v>81</v>
      </c>
      <c r="D50" s="51" t="s">
        <v>357</v>
      </c>
      <c r="E50" s="52">
        <v>4680</v>
      </c>
      <c r="F50" s="4">
        <v>14</v>
      </c>
      <c r="G50" s="5" t="s">
        <v>155</v>
      </c>
      <c r="H50" s="5" t="s">
        <v>181</v>
      </c>
      <c r="I50" s="5" t="s">
        <v>271</v>
      </c>
      <c r="J50" s="4" t="s">
        <v>189</v>
      </c>
      <c r="K50" s="4" t="s">
        <v>355</v>
      </c>
      <c r="L50" s="4" t="s">
        <v>199</v>
      </c>
      <c r="M50" s="4" t="s">
        <v>199</v>
      </c>
      <c r="N50" s="5">
        <v>2040</v>
      </c>
      <c r="O50" s="37">
        <v>290000</v>
      </c>
      <c r="P50" s="28">
        <v>45405745</v>
      </c>
      <c r="Q50" s="28">
        <f>Tableau1[[#This Row],[n_prev]]/Tableau1[[#This Row],[n_death]]</f>
        <v>6.3868569935368307E-3</v>
      </c>
      <c r="R50" s="28"/>
      <c r="S50" s="28"/>
      <c r="T50" s="28"/>
      <c r="U50" s="28"/>
      <c r="V50" s="4" t="s">
        <v>257</v>
      </c>
      <c r="W50" s="82" t="s">
        <v>270</v>
      </c>
    </row>
    <row r="51" spans="1:23" s="26" customFormat="1" ht="43.2" x14ac:dyDescent="0.3">
      <c r="A51" s="83" t="s">
        <v>283</v>
      </c>
      <c r="B51" s="85" t="s">
        <v>284</v>
      </c>
      <c r="C51" s="4" t="s">
        <v>285</v>
      </c>
      <c r="D51" s="4" t="s">
        <v>310</v>
      </c>
      <c r="E51" s="4"/>
      <c r="F51" s="4"/>
      <c r="G51" s="10" t="s">
        <v>286</v>
      </c>
      <c r="H51" s="10" t="s">
        <v>181</v>
      </c>
      <c r="I51" s="5" t="s">
        <v>271</v>
      </c>
      <c r="J51" s="4" t="s">
        <v>288</v>
      </c>
      <c r="K51" s="66" t="s">
        <v>355</v>
      </c>
      <c r="L51" s="4" t="s">
        <v>199</v>
      </c>
      <c r="M51" s="4" t="s">
        <v>199</v>
      </c>
      <c r="N51" s="10">
        <v>2050</v>
      </c>
      <c r="O51" s="10">
        <v>3230</v>
      </c>
      <c r="P51" s="10"/>
      <c r="Q51" s="10"/>
      <c r="R51" s="39"/>
      <c r="S51" s="39"/>
      <c r="T51" s="39"/>
      <c r="U51" s="39"/>
      <c r="V51" s="4" t="s">
        <v>257</v>
      </c>
      <c r="W51" s="82" t="s">
        <v>271</v>
      </c>
    </row>
    <row r="52" spans="1:23" s="26" customFormat="1" ht="43.2" x14ac:dyDescent="0.3">
      <c r="A52" s="83" t="s">
        <v>283</v>
      </c>
      <c r="B52" s="85" t="s">
        <v>284</v>
      </c>
      <c r="C52" s="4" t="s">
        <v>285</v>
      </c>
      <c r="D52" s="4" t="s">
        <v>310</v>
      </c>
      <c r="E52" s="4"/>
      <c r="F52" s="4"/>
      <c r="G52" s="10" t="s">
        <v>287</v>
      </c>
      <c r="H52" s="10" t="s">
        <v>129</v>
      </c>
      <c r="I52" s="5" t="s">
        <v>271</v>
      </c>
      <c r="J52" s="4" t="s">
        <v>288</v>
      </c>
      <c r="K52" s="66" t="s">
        <v>355</v>
      </c>
      <c r="L52" s="4" t="s">
        <v>199</v>
      </c>
      <c r="M52" s="4" t="s">
        <v>199</v>
      </c>
      <c r="N52" s="10">
        <v>2050</v>
      </c>
      <c r="O52" s="10">
        <f>O51+1940</f>
        <v>5170</v>
      </c>
      <c r="P52" s="10"/>
      <c r="Q52" s="10"/>
      <c r="R52" s="39"/>
      <c r="S52" s="39"/>
      <c r="T52" s="39"/>
      <c r="U52" s="39"/>
      <c r="V52" s="4" t="s">
        <v>257</v>
      </c>
      <c r="W52" s="82" t="s">
        <v>271</v>
      </c>
    </row>
    <row r="53" spans="1:23" s="29" customFormat="1" ht="91.8" customHeight="1" x14ac:dyDescent="0.3">
      <c r="A53" s="83" t="s">
        <v>298</v>
      </c>
      <c r="B53" s="85" t="s">
        <v>299</v>
      </c>
      <c r="C53" s="4" t="s">
        <v>300</v>
      </c>
      <c r="D53" s="4" t="s">
        <v>74</v>
      </c>
      <c r="E53" s="4"/>
      <c r="F53" s="4"/>
      <c r="G53" s="10" t="s">
        <v>301</v>
      </c>
      <c r="H53" s="24" t="s">
        <v>119</v>
      </c>
      <c r="I53" s="5" t="s">
        <v>271</v>
      </c>
      <c r="J53" s="4" t="s">
        <v>185</v>
      </c>
      <c r="K53" s="4" t="s">
        <v>185</v>
      </c>
      <c r="L53" s="8" t="s">
        <v>199</v>
      </c>
      <c r="M53" s="8" t="s">
        <v>199</v>
      </c>
      <c r="N53" s="10">
        <v>2045</v>
      </c>
      <c r="O53" s="5">
        <f>(14+32)/2</f>
        <v>23</v>
      </c>
      <c r="P53" s="5"/>
      <c r="Q53" s="10"/>
      <c r="R53" s="33"/>
      <c r="S53" s="33"/>
      <c r="T53" s="33"/>
      <c r="U53" s="33"/>
      <c r="V53" s="4" t="s">
        <v>257</v>
      </c>
      <c r="W53" s="82" t="s">
        <v>271</v>
      </c>
    </row>
    <row r="54" spans="1:23" s="29" customFormat="1" ht="129.6" customHeight="1" x14ac:dyDescent="0.3">
      <c r="A54" s="28" t="s">
        <v>43</v>
      </c>
      <c r="B54" s="41" t="s">
        <v>10</v>
      </c>
      <c r="C54" s="42" t="s">
        <v>30</v>
      </c>
      <c r="D54" s="42" t="s">
        <v>30</v>
      </c>
      <c r="E54" s="42">
        <v>51</v>
      </c>
      <c r="F54" s="4">
        <v>38</v>
      </c>
      <c r="G54" s="5"/>
      <c r="H54" s="5" t="s">
        <v>181</v>
      </c>
      <c r="I54" s="5" t="s">
        <v>271</v>
      </c>
      <c r="J54" s="4" t="s">
        <v>190</v>
      </c>
      <c r="K54" s="4" t="s">
        <v>355</v>
      </c>
      <c r="L54" s="8" t="s">
        <v>199</v>
      </c>
      <c r="M54" s="8" t="s">
        <v>199</v>
      </c>
      <c r="N54" s="5">
        <v>2050</v>
      </c>
      <c r="O54" s="5">
        <f>Tableau1[[#This Row],[yll]]/Tableau1[[#This Row],[conversion_factor]]</f>
        <v>354.20579931780111</v>
      </c>
      <c r="P54" s="5">
        <v>346171</v>
      </c>
      <c r="Q54" s="5">
        <f>Tableau1[[#This Row],[n_prev]]/Tableau1[[#This Row],[n_death]]</f>
        <v>1.0232104922648087E-3</v>
      </c>
      <c r="R54" s="5">
        <v>9.5678839999999994</v>
      </c>
      <c r="S54" s="5"/>
      <c r="T54" s="5">
        <v>3389</v>
      </c>
      <c r="U54" s="5"/>
      <c r="V54" s="4" t="s">
        <v>258</v>
      </c>
      <c r="W54" s="82" t="s">
        <v>270</v>
      </c>
    </row>
    <row r="55" spans="1:23" s="29" customFormat="1" ht="72" x14ac:dyDescent="0.3">
      <c r="A55" s="33" t="s">
        <v>85</v>
      </c>
      <c r="B55" s="21" t="s">
        <v>84</v>
      </c>
      <c r="C55" s="22" t="s">
        <v>25</v>
      </c>
      <c r="D55" s="22" t="s">
        <v>25</v>
      </c>
      <c r="E55" s="23">
        <v>7662</v>
      </c>
      <c r="F55" s="22">
        <v>6</v>
      </c>
      <c r="G55" s="32" t="s">
        <v>141</v>
      </c>
      <c r="H55" s="32" t="s">
        <v>181</v>
      </c>
      <c r="I55" s="5" t="s">
        <v>271</v>
      </c>
      <c r="J55" s="22" t="s">
        <v>191</v>
      </c>
      <c r="K55" s="22" t="s">
        <v>355</v>
      </c>
      <c r="L55" s="63" t="s">
        <v>199</v>
      </c>
      <c r="M55" s="63" t="s">
        <v>199</v>
      </c>
      <c r="N55" s="32">
        <v>2030</v>
      </c>
      <c r="O55" s="25">
        <f>6500000-6400000</f>
        <v>100000</v>
      </c>
      <c r="P55" s="35">
        <v>67172551</v>
      </c>
      <c r="Q55" s="20">
        <f>Tableau1[[#This Row],[n_prev]]/Tableau1[[#This Row],[n_death]]</f>
        <v>1.488703324666053E-3</v>
      </c>
      <c r="R55" s="20"/>
      <c r="S55" s="20"/>
      <c r="T55" s="20"/>
      <c r="U55" s="20"/>
      <c r="V55" s="4" t="s">
        <v>257</v>
      </c>
      <c r="W55" s="82" t="s">
        <v>270</v>
      </c>
    </row>
    <row r="56" spans="1:23" s="26" customFormat="1" ht="117.6" customHeight="1" x14ac:dyDescent="0.3">
      <c r="A56" s="33" t="s">
        <v>85</v>
      </c>
      <c r="B56" s="21" t="s">
        <v>84</v>
      </c>
      <c r="C56" s="22" t="s">
        <v>25</v>
      </c>
      <c r="D56" s="22" t="s">
        <v>25</v>
      </c>
      <c r="E56" s="23">
        <v>7662</v>
      </c>
      <c r="F56" s="22">
        <v>6</v>
      </c>
      <c r="G56" s="32" t="s">
        <v>142</v>
      </c>
      <c r="H56" s="33" t="s">
        <v>181</v>
      </c>
      <c r="I56" s="5" t="s">
        <v>271</v>
      </c>
      <c r="J56" s="22" t="s">
        <v>191</v>
      </c>
      <c r="K56" s="22" t="s">
        <v>355</v>
      </c>
      <c r="L56" s="63" t="s">
        <v>199</v>
      </c>
      <c r="M56" s="63" t="s">
        <v>199</v>
      </c>
      <c r="N56" s="32">
        <v>2030</v>
      </c>
      <c r="O56" s="25">
        <f>6500000-6400000</f>
        <v>100000</v>
      </c>
      <c r="P56" s="35">
        <v>67172551</v>
      </c>
      <c r="Q56" s="20">
        <f>Tableau1[[#This Row],[n_prev]]/Tableau1[[#This Row],[n_death]]</f>
        <v>1.488703324666053E-3</v>
      </c>
      <c r="R56" s="20"/>
      <c r="S56" s="20"/>
      <c r="T56" s="20"/>
      <c r="U56" s="20"/>
      <c r="V56" s="4" t="s">
        <v>257</v>
      </c>
      <c r="W56" s="82" t="s">
        <v>270</v>
      </c>
    </row>
    <row r="57" spans="1:23" s="26" customFormat="1" ht="225.6" customHeight="1" x14ac:dyDescent="0.3">
      <c r="A57" s="33" t="s">
        <v>85</v>
      </c>
      <c r="B57" s="33" t="s">
        <v>84</v>
      </c>
      <c r="C57" s="33" t="s">
        <v>25</v>
      </c>
      <c r="D57" s="33" t="s">
        <v>25</v>
      </c>
      <c r="E57" s="34">
        <v>7662</v>
      </c>
      <c r="F57" s="22">
        <v>6</v>
      </c>
      <c r="G57" s="33" t="s">
        <v>143</v>
      </c>
      <c r="H57" s="33" t="s">
        <v>129</v>
      </c>
      <c r="I57" s="5" t="s">
        <v>271</v>
      </c>
      <c r="J57" s="22" t="s">
        <v>191</v>
      </c>
      <c r="K57" s="22" t="s">
        <v>355</v>
      </c>
      <c r="L57" s="33" t="s">
        <v>199</v>
      </c>
      <c r="M57" s="33" t="s">
        <v>199</v>
      </c>
      <c r="N57" s="32">
        <v>2030</v>
      </c>
      <c r="O57" s="25">
        <f>6500000-5500000</f>
        <v>1000000</v>
      </c>
      <c r="P57" s="35">
        <v>67172551</v>
      </c>
      <c r="Q57" s="20">
        <f>Tableau1[[#This Row],[n_prev]]/Tableau1[[#This Row],[n_death]]</f>
        <v>1.488703324666053E-2</v>
      </c>
      <c r="R57" s="20"/>
      <c r="S57" s="20"/>
      <c r="T57" s="20"/>
      <c r="U57" s="20"/>
      <c r="V57" s="4" t="s">
        <v>257</v>
      </c>
      <c r="W57" s="82" t="s">
        <v>270</v>
      </c>
    </row>
    <row r="58" spans="1:23" s="26" customFormat="1" ht="72" x14ac:dyDescent="0.3">
      <c r="A58" s="33" t="s">
        <v>85</v>
      </c>
      <c r="B58" s="33" t="s">
        <v>84</v>
      </c>
      <c r="C58" s="22" t="s">
        <v>25</v>
      </c>
      <c r="D58" s="22" t="s">
        <v>25</v>
      </c>
      <c r="E58" s="34">
        <v>7662</v>
      </c>
      <c r="F58" s="22">
        <v>6</v>
      </c>
      <c r="G58" s="32" t="s">
        <v>138</v>
      </c>
      <c r="H58" s="32" t="s">
        <v>181</v>
      </c>
      <c r="I58" s="5" t="s">
        <v>271</v>
      </c>
      <c r="J58" s="22" t="s">
        <v>191</v>
      </c>
      <c r="K58" s="22" t="s">
        <v>355</v>
      </c>
      <c r="L58" s="33" t="s">
        <v>199</v>
      </c>
      <c r="M58" s="33" t="s">
        <v>199</v>
      </c>
      <c r="N58" s="32">
        <v>2030</v>
      </c>
      <c r="O58" s="35">
        <f>8500000-7000000</f>
        <v>1500000</v>
      </c>
      <c r="P58" s="35">
        <v>67172551</v>
      </c>
      <c r="Q58" s="20">
        <f>Tableau1[[#This Row],[n_prev]]/Tableau1[[#This Row],[n_death]]</f>
        <v>2.2330549869990793E-2</v>
      </c>
      <c r="R58" s="20"/>
      <c r="S58" s="20"/>
      <c r="T58" s="20"/>
      <c r="U58" s="20"/>
      <c r="V58" s="4" t="s">
        <v>257</v>
      </c>
      <c r="W58" s="82" t="s">
        <v>270</v>
      </c>
    </row>
    <row r="59" spans="1:23" s="26" customFormat="1" ht="157.80000000000001" customHeight="1" x14ac:dyDescent="0.3">
      <c r="A59" s="33" t="s">
        <v>85</v>
      </c>
      <c r="B59" s="21" t="s">
        <v>84</v>
      </c>
      <c r="C59" s="22" t="s">
        <v>25</v>
      </c>
      <c r="D59" s="22" t="s">
        <v>25</v>
      </c>
      <c r="E59" s="23">
        <v>7662</v>
      </c>
      <c r="F59" s="22">
        <v>6</v>
      </c>
      <c r="G59" s="32" t="s">
        <v>139</v>
      </c>
      <c r="H59" s="32" t="s">
        <v>181</v>
      </c>
      <c r="I59" s="5" t="s">
        <v>271</v>
      </c>
      <c r="J59" s="22" t="s">
        <v>191</v>
      </c>
      <c r="K59" s="22" t="s">
        <v>355</v>
      </c>
      <c r="L59" s="33" t="s">
        <v>199</v>
      </c>
      <c r="M59" s="33" t="s">
        <v>199</v>
      </c>
      <c r="N59" s="32">
        <v>2030</v>
      </c>
      <c r="O59" s="35">
        <f>8500000-7000000</f>
        <v>1500000</v>
      </c>
      <c r="P59" s="35">
        <v>67172551</v>
      </c>
      <c r="Q59" s="20">
        <f>Tableau1[[#This Row],[n_prev]]/Tableau1[[#This Row],[n_death]]</f>
        <v>2.2330549869990793E-2</v>
      </c>
      <c r="R59" s="20"/>
      <c r="S59" s="20"/>
      <c r="T59" s="20"/>
      <c r="U59" s="20"/>
      <c r="V59" s="4" t="s">
        <v>257</v>
      </c>
      <c r="W59" s="82" t="s">
        <v>270</v>
      </c>
    </row>
    <row r="60" spans="1:23" s="26" customFormat="1" ht="72" x14ac:dyDescent="0.3">
      <c r="A60" s="33" t="s">
        <v>85</v>
      </c>
      <c r="B60" s="21" t="s">
        <v>84</v>
      </c>
      <c r="C60" s="22" t="s">
        <v>25</v>
      </c>
      <c r="D60" s="22" t="s">
        <v>25</v>
      </c>
      <c r="E60" s="23">
        <v>7662</v>
      </c>
      <c r="F60" s="22">
        <v>6</v>
      </c>
      <c r="G60" s="33" t="s">
        <v>140</v>
      </c>
      <c r="H60" s="33" t="s">
        <v>129</v>
      </c>
      <c r="I60" s="5" t="s">
        <v>271</v>
      </c>
      <c r="J60" s="22" t="s">
        <v>191</v>
      </c>
      <c r="K60" s="22" t="s">
        <v>355</v>
      </c>
      <c r="L60" s="33" t="s">
        <v>199</v>
      </c>
      <c r="M60" s="33" t="s">
        <v>199</v>
      </c>
      <c r="N60" s="32">
        <v>2030</v>
      </c>
      <c r="O60" s="20">
        <f>8500000-5600000</f>
        <v>2900000</v>
      </c>
      <c r="P60" s="35">
        <v>67172551</v>
      </c>
      <c r="Q60" s="20">
        <f>Tableau1[[#This Row],[n_prev]]/Tableau1[[#This Row],[n_death]]</f>
        <v>4.3172396415315534E-2</v>
      </c>
      <c r="R60" s="20"/>
      <c r="S60" s="20"/>
      <c r="T60" s="20"/>
      <c r="U60" s="20"/>
      <c r="V60" s="4" t="s">
        <v>257</v>
      </c>
      <c r="W60" s="82" t="s">
        <v>270</v>
      </c>
    </row>
    <row r="61" spans="1:23" s="26" customFormat="1" ht="72" x14ac:dyDescent="0.3">
      <c r="A61" s="28" t="s">
        <v>50</v>
      </c>
      <c r="B61" s="6" t="s">
        <v>20</v>
      </c>
      <c r="C61" s="4" t="s">
        <v>27</v>
      </c>
      <c r="D61" s="4" t="s">
        <v>27</v>
      </c>
      <c r="E61" s="7">
        <v>1380</v>
      </c>
      <c r="F61" s="4">
        <v>26</v>
      </c>
      <c r="G61" s="5" t="s">
        <v>171</v>
      </c>
      <c r="H61" s="5" t="s">
        <v>181</v>
      </c>
      <c r="I61" s="5" t="s">
        <v>271</v>
      </c>
      <c r="J61" s="4" t="s">
        <v>192</v>
      </c>
      <c r="K61" s="4" t="s">
        <v>355</v>
      </c>
      <c r="L61" s="4" t="s">
        <v>199</v>
      </c>
      <c r="M61" s="4" t="s">
        <v>199</v>
      </c>
      <c r="N61" s="5">
        <v>2030</v>
      </c>
      <c r="O61" s="9">
        <v>190000</v>
      </c>
      <c r="P61" s="9">
        <v>12224379</v>
      </c>
      <c r="Q61" s="44">
        <f>Tableau1[[#This Row],[n_prev]]/Tableau1[[#This Row],[n_death]]</f>
        <v>1.5542711822007482E-2</v>
      </c>
      <c r="R61" s="44"/>
      <c r="S61" s="44"/>
      <c r="T61" s="44"/>
      <c r="U61" s="44" t="s">
        <v>215</v>
      </c>
      <c r="V61" s="4" t="s">
        <v>257</v>
      </c>
      <c r="W61" s="82" t="s">
        <v>270</v>
      </c>
    </row>
    <row r="62" spans="1:23" s="26" customFormat="1" ht="129.6" x14ac:dyDescent="0.3">
      <c r="A62" s="5" t="s">
        <v>256</v>
      </c>
      <c r="B62" s="40" t="s">
        <v>113</v>
      </c>
      <c r="C62" s="4" t="s">
        <v>114</v>
      </c>
      <c r="D62" s="4" t="s">
        <v>357</v>
      </c>
      <c r="E62" s="4">
        <v>503</v>
      </c>
      <c r="F62" s="4">
        <v>18</v>
      </c>
      <c r="G62" s="5" t="s">
        <v>163</v>
      </c>
      <c r="H62" s="5" t="s">
        <v>181</v>
      </c>
      <c r="I62" s="5" t="s">
        <v>271</v>
      </c>
      <c r="J62" s="4" t="s">
        <v>187</v>
      </c>
      <c r="K62" s="4" t="s">
        <v>355</v>
      </c>
      <c r="L62" s="8" t="s">
        <v>199</v>
      </c>
      <c r="M62" s="8" t="s">
        <v>199</v>
      </c>
      <c r="N62" s="5">
        <v>2050</v>
      </c>
      <c r="O62" s="5">
        <v>80000</v>
      </c>
      <c r="P62" s="5">
        <v>38337222</v>
      </c>
      <c r="Q62" s="5">
        <f>Tableau1[[#This Row],[n_prev]]/Tableau1[[#This Row],[n_death]]</f>
        <v>2.0867448350848166E-3</v>
      </c>
      <c r="R62" s="5"/>
      <c r="S62" s="5" t="s">
        <v>216</v>
      </c>
      <c r="T62" s="5"/>
      <c r="U62" s="5"/>
      <c r="V62" s="4" t="s">
        <v>258</v>
      </c>
      <c r="W62" s="82" t="s">
        <v>270</v>
      </c>
    </row>
    <row r="63" spans="1:23" s="17" customFormat="1" ht="43.2" x14ac:dyDescent="0.3">
      <c r="A63" s="33" t="s">
        <v>115</v>
      </c>
      <c r="B63" s="38" t="s">
        <v>116</v>
      </c>
      <c r="C63" s="22" t="s">
        <v>25</v>
      </c>
      <c r="D63" s="22" t="s">
        <v>25</v>
      </c>
      <c r="E63" s="23">
        <v>7662</v>
      </c>
      <c r="F63" s="22">
        <v>7</v>
      </c>
      <c r="G63" s="33" t="s">
        <v>144</v>
      </c>
      <c r="H63" s="33" t="s">
        <v>129</v>
      </c>
      <c r="I63" s="5" t="s">
        <v>271</v>
      </c>
      <c r="J63" s="22" t="s">
        <v>193</v>
      </c>
      <c r="K63" s="22" t="s">
        <v>355</v>
      </c>
      <c r="L63" s="63" t="s">
        <v>200</v>
      </c>
      <c r="M63" s="63" t="s">
        <v>199</v>
      </c>
      <c r="N63" s="33">
        <v>2040</v>
      </c>
      <c r="O63" s="39">
        <f>2550000-2200000</f>
        <v>350000</v>
      </c>
      <c r="P63" s="33">
        <v>40109096</v>
      </c>
      <c r="Q63" s="33">
        <f>Tableau1[[#This Row],[n_prev]]/Tableau1[[#This Row],[n_death]]</f>
        <v>8.7262001616790364E-3</v>
      </c>
      <c r="R63" s="33"/>
      <c r="S63" s="33"/>
      <c r="T63" s="33"/>
      <c r="U63" s="33"/>
      <c r="V63" s="4" t="s">
        <v>257</v>
      </c>
      <c r="W63" s="82" t="s">
        <v>270</v>
      </c>
    </row>
    <row r="64" spans="1:23" s="17" customFormat="1" ht="43.2" x14ac:dyDescent="0.3">
      <c r="A64" s="33" t="s">
        <v>115</v>
      </c>
      <c r="B64" s="38" t="s">
        <v>116</v>
      </c>
      <c r="C64" s="22" t="s">
        <v>25</v>
      </c>
      <c r="D64" s="22" t="s">
        <v>25</v>
      </c>
      <c r="E64" s="23">
        <v>7662</v>
      </c>
      <c r="F64" s="22">
        <v>7</v>
      </c>
      <c r="G64" s="33" t="s">
        <v>146</v>
      </c>
      <c r="H64" s="33" t="s">
        <v>129</v>
      </c>
      <c r="I64" s="5" t="s">
        <v>271</v>
      </c>
      <c r="J64" s="22" t="s">
        <v>193</v>
      </c>
      <c r="K64" s="22" t="s">
        <v>355</v>
      </c>
      <c r="L64" s="63" t="s">
        <v>200</v>
      </c>
      <c r="M64" s="63" t="s">
        <v>199</v>
      </c>
      <c r="N64" s="33">
        <v>2040</v>
      </c>
      <c r="O64" s="33">
        <f>1200000-650000</f>
        <v>550000</v>
      </c>
      <c r="P64" s="33">
        <v>33179734</v>
      </c>
      <c r="Q64" s="33">
        <f>Tableau1[[#This Row],[n_prev]]/Tableau1[[#This Row],[n_death]]</f>
        <v>1.6576383644305286E-2</v>
      </c>
      <c r="R64" s="33"/>
      <c r="S64" s="33"/>
      <c r="T64" s="33"/>
      <c r="U64" s="33"/>
      <c r="V64" s="4" t="s">
        <v>257</v>
      </c>
      <c r="W64" s="82" t="s">
        <v>270</v>
      </c>
    </row>
    <row r="65" spans="1:23" s="17" customFormat="1" ht="43.2" x14ac:dyDescent="0.3">
      <c r="A65" s="33" t="s">
        <v>115</v>
      </c>
      <c r="B65" s="38" t="s">
        <v>116</v>
      </c>
      <c r="C65" s="22" t="s">
        <v>25</v>
      </c>
      <c r="D65" s="22" t="s">
        <v>25</v>
      </c>
      <c r="E65" s="23">
        <v>7662</v>
      </c>
      <c r="F65" s="22">
        <v>7</v>
      </c>
      <c r="G65" s="33" t="s">
        <v>145</v>
      </c>
      <c r="H65" s="33" t="s">
        <v>129</v>
      </c>
      <c r="I65" s="5" t="s">
        <v>271</v>
      </c>
      <c r="J65" s="33" t="s">
        <v>193</v>
      </c>
      <c r="K65" s="33" t="s">
        <v>355</v>
      </c>
      <c r="L65" s="63" t="s">
        <v>200</v>
      </c>
      <c r="M65" s="63" t="s">
        <v>199</v>
      </c>
      <c r="N65" s="33">
        <v>2040</v>
      </c>
      <c r="O65" s="39">
        <f>2550000-1800000</f>
        <v>750000</v>
      </c>
      <c r="P65" s="33">
        <v>40109096</v>
      </c>
      <c r="Q65" s="33">
        <f>Tableau1[[#This Row],[n_prev]]/Tableau1[[#This Row],[n_death]]</f>
        <v>1.8699000346455077E-2</v>
      </c>
      <c r="R65" s="33"/>
      <c r="S65" s="33"/>
      <c r="T65" s="33"/>
      <c r="U65" s="33"/>
      <c r="V65" s="4" t="s">
        <v>257</v>
      </c>
      <c r="W65" s="82" t="s">
        <v>270</v>
      </c>
    </row>
    <row r="66" spans="1:23" s="17" customFormat="1" ht="43.2" x14ac:dyDescent="0.3">
      <c r="A66" s="33" t="s">
        <v>115</v>
      </c>
      <c r="B66" s="38" t="s">
        <v>116</v>
      </c>
      <c r="C66" s="22" t="s">
        <v>25</v>
      </c>
      <c r="D66" s="22" t="s">
        <v>25</v>
      </c>
      <c r="E66" s="23">
        <v>7662</v>
      </c>
      <c r="F66" s="22">
        <v>7</v>
      </c>
      <c r="G66" s="33" t="s">
        <v>147</v>
      </c>
      <c r="H66" s="33" t="s">
        <v>129</v>
      </c>
      <c r="I66" s="5" t="s">
        <v>271</v>
      </c>
      <c r="J66" s="33" t="s">
        <v>193</v>
      </c>
      <c r="K66" s="33" t="s">
        <v>355</v>
      </c>
      <c r="L66" s="63" t="s">
        <v>200</v>
      </c>
      <c r="M66" s="63" t="s">
        <v>199</v>
      </c>
      <c r="N66" s="33">
        <v>2040</v>
      </c>
      <c r="O66" s="33">
        <f>1200000-400000</f>
        <v>800000</v>
      </c>
      <c r="P66" s="33">
        <v>33179734</v>
      </c>
      <c r="Q66" s="33">
        <f>Tableau1[[#This Row],[n_prev]]/Tableau1[[#This Row],[n_death]]</f>
        <v>2.4111103482625872E-2</v>
      </c>
      <c r="R66" s="33"/>
      <c r="S66" s="33"/>
      <c r="T66" s="33"/>
      <c r="U66" s="33"/>
      <c r="V66" s="4" t="s">
        <v>257</v>
      </c>
      <c r="W66" s="82" t="s">
        <v>270</v>
      </c>
    </row>
    <row r="67" spans="1:23" s="26" customFormat="1" ht="72" x14ac:dyDescent="0.3">
      <c r="A67" s="28" t="s">
        <v>42</v>
      </c>
      <c r="B67" s="41" t="s">
        <v>356</v>
      </c>
      <c r="C67" s="42" t="s">
        <v>65</v>
      </c>
      <c r="D67" s="42" t="s">
        <v>355</v>
      </c>
      <c r="E67" s="56">
        <v>3820</v>
      </c>
      <c r="F67" s="4">
        <v>16</v>
      </c>
      <c r="G67" s="5" t="s">
        <v>162</v>
      </c>
      <c r="H67" s="5" t="s">
        <v>181</v>
      </c>
      <c r="I67" s="5" t="s">
        <v>271</v>
      </c>
      <c r="J67" s="4" t="s">
        <v>194</v>
      </c>
      <c r="K67" s="5" t="s">
        <v>355</v>
      </c>
      <c r="L67" s="8" t="s">
        <v>199</v>
      </c>
      <c r="M67" s="8" t="s">
        <v>199</v>
      </c>
      <c r="N67" s="5">
        <v>2050</v>
      </c>
      <c r="O67" s="9">
        <v>1000000</v>
      </c>
      <c r="P67" s="9">
        <v>31985106</v>
      </c>
      <c r="Q67" s="28">
        <f>Tableau1[[#This Row],[n_prev]]/Tableau1[[#This Row],[n_death]]</f>
        <v>3.1264551694779437E-2</v>
      </c>
      <c r="R67" s="28"/>
      <c r="S67" s="28"/>
      <c r="T67" s="28"/>
      <c r="U67" s="28"/>
      <c r="V67" s="4" t="s">
        <v>257</v>
      </c>
      <c r="W67" s="82" t="s">
        <v>270</v>
      </c>
    </row>
    <row r="68" spans="1:23" s="26" customFormat="1" ht="28.8" x14ac:dyDescent="0.3">
      <c r="A68" s="5" t="s">
        <v>94</v>
      </c>
      <c r="B68" s="40" t="s">
        <v>93</v>
      </c>
      <c r="C68" s="4" t="s">
        <v>25</v>
      </c>
      <c r="D68" s="4" t="s">
        <v>25</v>
      </c>
      <c r="E68" s="7">
        <v>7405</v>
      </c>
      <c r="F68" s="4">
        <v>8</v>
      </c>
      <c r="G68" s="5" t="s">
        <v>148</v>
      </c>
      <c r="H68" s="5" t="s">
        <v>181</v>
      </c>
      <c r="I68" s="5" t="s">
        <v>271</v>
      </c>
      <c r="J68" s="4" t="s">
        <v>272</v>
      </c>
      <c r="K68" s="4" t="s">
        <v>272</v>
      </c>
      <c r="L68" s="8" t="s">
        <v>199</v>
      </c>
      <c r="M68" s="8" t="s">
        <v>199</v>
      </c>
      <c r="N68" s="10">
        <v>2050</v>
      </c>
      <c r="O68" s="5">
        <v>130000</v>
      </c>
      <c r="P68" s="11">
        <v>91583402</v>
      </c>
      <c r="Q68" s="5">
        <f>Tableau1[[#This Row],[n_prev]]/Tableau1[[#This Row],[n_death]]</f>
        <v>1.4194711832172385E-3</v>
      </c>
      <c r="R68" s="5"/>
      <c r="S68" s="5"/>
      <c r="T68" s="5"/>
      <c r="U68" s="5"/>
      <c r="V68" s="4" t="s">
        <v>257</v>
      </c>
      <c r="W68" s="82" t="s">
        <v>270</v>
      </c>
    </row>
    <row r="69" spans="1:23" s="26" customFormat="1" ht="28.8" x14ac:dyDescent="0.3">
      <c r="A69" s="5" t="s">
        <v>94</v>
      </c>
      <c r="B69" s="40" t="s">
        <v>93</v>
      </c>
      <c r="C69" s="4" t="s">
        <v>25</v>
      </c>
      <c r="D69" s="4" t="s">
        <v>25</v>
      </c>
      <c r="E69" s="7">
        <v>7405</v>
      </c>
      <c r="F69" s="4">
        <v>8</v>
      </c>
      <c r="G69" s="5" t="s">
        <v>125</v>
      </c>
      <c r="H69" s="5" t="s">
        <v>181</v>
      </c>
      <c r="I69" s="5" t="s">
        <v>271</v>
      </c>
      <c r="J69" s="5" t="s">
        <v>272</v>
      </c>
      <c r="K69" s="5" t="s">
        <v>272</v>
      </c>
      <c r="L69" s="8" t="s">
        <v>199</v>
      </c>
      <c r="M69" s="8" t="s">
        <v>199</v>
      </c>
      <c r="N69" s="10">
        <v>2050</v>
      </c>
      <c r="O69" s="5">
        <v>1100000</v>
      </c>
      <c r="P69" s="11">
        <v>91583402</v>
      </c>
      <c r="Q69" s="5">
        <f>Tableau1[[#This Row],[n_prev]]/Tableau1[[#This Row],[n_death]]</f>
        <v>1.2010910011838171E-2</v>
      </c>
      <c r="R69" s="5"/>
      <c r="S69" s="5"/>
      <c r="T69" s="5"/>
      <c r="U69" s="5"/>
      <c r="V69" s="4" t="s">
        <v>257</v>
      </c>
      <c r="W69" s="82" t="s">
        <v>270</v>
      </c>
    </row>
    <row r="70" spans="1:23" s="26" customFormat="1" ht="43.2" x14ac:dyDescent="0.3">
      <c r="A70" s="83" t="s">
        <v>292</v>
      </c>
      <c r="B70" s="85" t="s">
        <v>291</v>
      </c>
      <c r="C70" s="4" t="s">
        <v>25</v>
      </c>
      <c r="D70" s="4" t="s">
        <v>25</v>
      </c>
      <c r="E70" s="4"/>
      <c r="F70" s="4"/>
      <c r="G70" s="10" t="s">
        <v>293</v>
      </c>
      <c r="H70" s="10" t="s">
        <v>181</v>
      </c>
      <c r="I70" s="5" t="s">
        <v>271</v>
      </c>
      <c r="J70" s="5" t="s">
        <v>272</v>
      </c>
      <c r="K70" s="5" t="s">
        <v>272</v>
      </c>
      <c r="L70" s="8" t="s">
        <v>199</v>
      </c>
      <c r="M70" s="8" t="s">
        <v>199</v>
      </c>
      <c r="N70" s="10">
        <v>2047</v>
      </c>
      <c r="O70" s="10">
        <f>2477000/5</f>
        <v>495400</v>
      </c>
      <c r="P70" s="10">
        <v>88093659</v>
      </c>
      <c r="Q70" s="10">
        <f>Tableau1[[#This Row],[n_prev]]/Tableau1[[#This Row],[n_death]]</f>
        <v>5.623560261017198E-3</v>
      </c>
      <c r="R70" s="39"/>
      <c r="S70" s="39"/>
      <c r="T70" s="39"/>
      <c r="U70" s="39"/>
      <c r="V70" s="4" t="s">
        <v>257</v>
      </c>
      <c r="W70" s="82" t="s">
        <v>270</v>
      </c>
    </row>
    <row r="71" spans="1:23" s="26" customFormat="1" ht="43.2" x14ac:dyDescent="0.3">
      <c r="A71" s="83" t="s">
        <v>292</v>
      </c>
      <c r="B71" s="85" t="s">
        <v>291</v>
      </c>
      <c r="C71" s="4" t="s">
        <v>25</v>
      </c>
      <c r="D71" s="4" t="s">
        <v>25</v>
      </c>
      <c r="E71" s="4"/>
      <c r="F71" s="4"/>
      <c r="G71" s="10" t="s">
        <v>281</v>
      </c>
      <c r="H71" s="10" t="s">
        <v>181</v>
      </c>
      <c r="I71" s="5" t="s">
        <v>271</v>
      </c>
      <c r="J71" s="5" t="s">
        <v>272</v>
      </c>
      <c r="K71" s="5" t="s">
        <v>272</v>
      </c>
      <c r="L71" s="8" t="s">
        <v>199</v>
      </c>
      <c r="M71" s="8" t="s">
        <v>199</v>
      </c>
      <c r="N71" s="10">
        <v>2047</v>
      </c>
      <c r="O71" s="5">
        <f>2946000/5</f>
        <v>589200</v>
      </c>
      <c r="P71" s="5">
        <v>88093659</v>
      </c>
      <c r="Q71" s="10">
        <f>Tableau1[[#This Row],[n_prev]]/Tableau1[[#This Row],[n_death]]</f>
        <v>6.6883361037370463E-3</v>
      </c>
      <c r="R71" s="33"/>
      <c r="S71" s="33"/>
      <c r="T71" s="33"/>
      <c r="U71" s="33"/>
      <c r="V71" s="4" t="s">
        <v>257</v>
      </c>
      <c r="W71" s="82" t="s">
        <v>270</v>
      </c>
    </row>
    <row r="72" spans="1:23" s="26" customFormat="1" ht="43.2" x14ac:dyDescent="0.3">
      <c r="A72" s="20" t="s">
        <v>47</v>
      </c>
      <c r="B72" s="21" t="s">
        <v>18</v>
      </c>
      <c r="C72" s="22" t="s">
        <v>25</v>
      </c>
      <c r="D72" s="22" t="s">
        <v>25</v>
      </c>
      <c r="E72" s="23">
        <v>7405</v>
      </c>
      <c r="F72" s="22">
        <v>9</v>
      </c>
      <c r="G72" s="33" t="s">
        <v>150</v>
      </c>
      <c r="H72" s="33" t="s">
        <v>181</v>
      </c>
      <c r="I72" s="5" t="s">
        <v>271</v>
      </c>
      <c r="J72" s="33" t="s">
        <v>272</v>
      </c>
      <c r="K72" s="33" t="s">
        <v>272</v>
      </c>
      <c r="L72" s="63" t="s">
        <v>199</v>
      </c>
      <c r="M72" s="63" t="s">
        <v>199</v>
      </c>
      <c r="N72" s="33">
        <v>2050</v>
      </c>
      <c r="O72" s="34">
        <v>470000</v>
      </c>
      <c r="P72" s="24">
        <v>91583402</v>
      </c>
      <c r="Q72" s="33">
        <f>Tableau1[[#This Row],[n_prev]]/Tableau1[[#This Row],[n_death]]</f>
        <v>5.1319342777854E-3</v>
      </c>
      <c r="R72" s="33"/>
      <c r="S72" s="33"/>
      <c r="T72" s="33"/>
      <c r="U72" s="33"/>
      <c r="V72" s="4" t="s">
        <v>257</v>
      </c>
      <c r="W72" s="82" t="s">
        <v>270</v>
      </c>
    </row>
    <row r="73" spans="1:23" s="26" customFormat="1" ht="43.2" x14ac:dyDescent="0.3">
      <c r="A73" s="20" t="s">
        <v>47</v>
      </c>
      <c r="B73" s="21" t="s">
        <v>18</v>
      </c>
      <c r="C73" s="22" t="s">
        <v>25</v>
      </c>
      <c r="D73" s="22" t="s">
        <v>25</v>
      </c>
      <c r="E73" s="23">
        <v>7405</v>
      </c>
      <c r="F73" s="22">
        <v>9</v>
      </c>
      <c r="G73" s="33" t="s">
        <v>151</v>
      </c>
      <c r="H73" s="33" t="s">
        <v>149</v>
      </c>
      <c r="I73" s="5" t="s">
        <v>271</v>
      </c>
      <c r="J73" s="33" t="s">
        <v>272</v>
      </c>
      <c r="K73" s="33" t="s">
        <v>272</v>
      </c>
      <c r="L73" s="63" t="s">
        <v>199</v>
      </c>
      <c r="M73" s="63" t="s">
        <v>199</v>
      </c>
      <c r="N73" s="33">
        <v>2050</v>
      </c>
      <c r="O73" s="34">
        <v>1340000</v>
      </c>
      <c r="P73" s="24">
        <v>91583402</v>
      </c>
      <c r="Q73" s="33">
        <f>Tableau1[[#This Row],[n_prev]]/Tableau1[[#This Row],[n_death]]</f>
        <v>1.4631472196239228E-2</v>
      </c>
      <c r="R73" s="33"/>
      <c r="S73" s="33"/>
      <c r="T73" s="33"/>
      <c r="U73" s="33"/>
      <c r="V73" s="4" t="s">
        <v>257</v>
      </c>
      <c r="W73" s="82" t="s">
        <v>270</v>
      </c>
    </row>
    <row r="74" spans="1:23" s="26" customFormat="1" ht="43.2" x14ac:dyDescent="0.3">
      <c r="A74" s="20" t="s">
        <v>47</v>
      </c>
      <c r="B74" s="21" t="s">
        <v>18</v>
      </c>
      <c r="C74" s="22" t="s">
        <v>25</v>
      </c>
      <c r="D74" s="22" t="s">
        <v>25</v>
      </c>
      <c r="E74" s="23">
        <v>7405</v>
      </c>
      <c r="F74" s="22">
        <v>9</v>
      </c>
      <c r="G74" s="33" t="s">
        <v>152</v>
      </c>
      <c r="H74" s="33" t="s">
        <v>149</v>
      </c>
      <c r="I74" s="5" t="s">
        <v>271</v>
      </c>
      <c r="J74" s="33" t="s">
        <v>272</v>
      </c>
      <c r="K74" s="33" t="s">
        <v>272</v>
      </c>
      <c r="L74" s="63" t="s">
        <v>199</v>
      </c>
      <c r="M74" s="63" t="s">
        <v>199</v>
      </c>
      <c r="N74" s="33">
        <v>2050</v>
      </c>
      <c r="O74" s="34">
        <v>1620000</v>
      </c>
      <c r="P74" s="24">
        <v>91583402</v>
      </c>
      <c r="Q74" s="33">
        <f>Tableau1[[#This Row],[n_prev]]/Tableau1[[#This Row],[n_death]]</f>
        <v>1.7688794744707127E-2</v>
      </c>
      <c r="R74" s="33"/>
      <c r="S74" s="33"/>
      <c r="T74" s="33"/>
      <c r="U74" s="33"/>
      <c r="V74" s="4" t="s">
        <v>257</v>
      </c>
      <c r="W74" s="82" t="s">
        <v>270</v>
      </c>
    </row>
    <row r="75" spans="1:23" s="26" customFormat="1" ht="57.6" x14ac:dyDescent="0.3">
      <c r="A75" s="20" t="s">
        <v>48</v>
      </c>
      <c r="B75" s="21" t="s">
        <v>19</v>
      </c>
      <c r="C75" s="22" t="s">
        <v>25</v>
      </c>
      <c r="D75" s="22" t="s">
        <v>25</v>
      </c>
      <c r="E75" s="23">
        <v>7821</v>
      </c>
      <c r="F75" s="22">
        <v>2</v>
      </c>
      <c r="G75" s="24" t="s">
        <v>122</v>
      </c>
      <c r="H75" s="24" t="s">
        <v>119</v>
      </c>
      <c r="I75" s="5" t="s">
        <v>270</v>
      </c>
      <c r="J75" s="33" t="s">
        <v>185</v>
      </c>
      <c r="K75" s="33" t="s">
        <v>185</v>
      </c>
      <c r="L75" s="63" t="s">
        <v>199</v>
      </c>
      <c r="M75" s="63" t="s">
        <v>199</v>
      </c>
      <c r="N75" s="24">
        <v>2050</v>
      </c>
      <c r="O75" s="24">
        <v>1100000</v>
      </c>
      <c r="P75" s="24">
        <v>91583402</v>
      </c>
      <c r="Q75" s="24">
        <f>Tableau1[[#This Row],[n_prev]]/Tableau1[[#This Row],[n_death]]</f>
        <v>1.2010910011838171E-2</v>
      </c>
      <c r="R75" s="24"/>
      <c r="S75" s="24"/>
      <c r="T75" s="24"/>
      <c r="U75" s="34"/>
      <c r="V75" s="4" t="s">
        <v>257</v>
      </c>
      <c r="W75" s="82" t="s">
        <v>270</v>
      </c>
    </row>
    <row r="76" spans="1:23" s="26" customFormat="1" ht="57.6" x14ac:dyDescent="0.3">
      <c r="A76" s="20" t="s">
        <v>48</v>
      </c>
      <c r="B76" s="33" t="s">
        <v>19</v>
      </c>
      <c r="C76" s="63" t="s">
        <v>25</v>
      </c>
      <c r="D76" s="63" t="s">
        <v>25</v>
      </c>
      <c r="E76" s="23">
        <v>7821</v>
      </c>
      <c r="F76" s="22">
        <v>2</v>
      </c>
      <c r="G76" s="24" t="s">
        <v>262</v>
      </c>
      <c r="H76" s="24" t="s">
        <v>119</v>
      </c>
      <c r="I76" s="5" t="s">
        <v>271</v>
      </c>
      <c r="J76" s="33" t="s">
        <v>185</v>
      </c>
      <c r="K76" s="33" t="s">
        <v>185</v>
      </c>
      <c r="L76" s="63" t="s">
        <v>199</v>
      </c>
      <c r="M76" s="63" t="s">
        <v>199</v>
      </c>
      <c r="N76" s="24">
        <v>2050</v>
      </c>
      <c r="O76" s="24">
        <v>1200000</v>
      </c>
      <c r="P76" s="24">
        <v>91583402</v>
      </c>
      <c r="Q76" s="24">
        <f>Tableau1[[#This Row],[n_prev]]/Tableau1[[#This Row],[n_death]]</f>
        <v>1.3102810922005277E-2</v>
      </c>
      <c r="R76" s="24"/>
      <c r="S76" s="24"/>
      <c r="T76" s="24"/>
      <c r="U76" s="34"/>
      <c r="V76" s="4" t="s">
        <v>257</v>
      </c>
      <c r="W76" s="82" t="s">
        <v>270</v>
      </c>
    </row>
    <row r="77" spans="1:23" s="26" customFormat="1" ht="57.6" x14ac:dyDescent="0.3">
      <c r="A77" s="20" t="s">
        <v>48</v>
      </c>
      <c r="B77" s="33" t="s">
        <v>19</v>
      </c>
      <c r="C77" s="63" t="s">
        <v>25</v>
      </c>
      <c r="D77" s="63" t="s">
        <v>25</v>
      </c>
      <c r="E77" s="23">
        <v>7821</v>
      </c>
      <c r="F77" s="22">
        <v>2</v>
      </c>
      <c r="G77" s="24" t="s">
        <v>123</v>
      </c>
      <c r="H77" s="33" t="s">
        <v>119</v>
      </c>
      <c r="I77" s="5" t="s">
        <v>271</v>
      </c>
      <c r="J77" s="33" t="s">
        <v>185</v>
      </c>
      <c r="K77" s="33" t="s">
        <v>185</v>
      </c>
      <c r="L77" s="63" t="s">
        <v>199</v>
      </c>
      <c r="M77" s="63" t="s">
        <v>199</v>
      </c>
      <c r="N77" s="24">
        <v>2050</v>
      </c>
      <c r="O77" s="24">
        <v>1200000</v>
      </c>
      <c r="P77" s="24">
        <v>91583402</v>
      </c>
      <c r="Q77" s="24">
        <f>Tableau1[[#This Row],[n_prev]]/Tableau1[[#This Row],[n_death]]</f>
        <v>1.3102810922005277E-2</v>
      </c>
      <c r="R77" s="24"/>
      <c r="S77" s="24"/>
      <c r="T77" s="24"/>
      <c r="U77" s="34"/>
      <c r="V77" s="4" t="s">
        <v>257</v>
      </c>
      <c r="W77" s="82" t="s">
        <v>270</v>
      </c>
    </row>
    <row r="78" spans="1:23" s="64" customFormat="1" ht="57.6" x14ac:dyDescent="0.3">
      <c r="A78" s="20" t="s">
        <v>48</v>
      </c>
      <c r="B78" s="33" t="s">
        <v>19</v>
      </c>
      <c r="C78" s="33" t="s">
        <v>25</v>
      </c>
      <c r="D78" s="33" t="s">
        <v>25</v>
      </c>
      <c r="E78" s="34">
        <v>7821</v>
      </c>
      <c r="F78" s="22">
        <v>2</v>
      </c>
      <c r="G78" s="24" t="s">
        <v>120</v>
      </c>
      <c r="H78" s="24" t="s">
        <v>121</v>
      </c>
      <c r="I78" s="5" t="s">
        <v>271</v>
      </c>
      <c r="J78" s="33" t="s">
        <v>185</v>
      </c>
      <c r="K78" s="33" t="s">
        <v>185</v>
      </c>
      <c r="L78" s="63" t="s">
        <v>199</v>
      </c>
      <c r="M78" s="63" t="s">
        <v>199</v>
      </c>
      <c r="N78" s="24">
        <v>2050</v>
      </c>
      <c r="O78" s="24">
        <v>1300000</v>
      </c>
      <c r="P78" s="24">
        <v>91583402</v>
      </c>
      <c r="Q78" s="24">
        <f>Tableau1[[#This Row],[n_prev]]/Tableau1[[#This Row],[n_death]]</f>
        <v>1.4194711832172384E-2</v>
      </c>
      <c r="R78" s="24"/>
      <c r="S78" s="24"/>
      <c r="T78" s="24"/>
      <c r="U78" s="34"/>
      <c r="V78" s="4" t="s">
        <v>257</v>
      </c>
      <c r="W78" s="82" t="s">
        <v>270</v>
      </c>
    </row>
    <row r="79" spans="1:23" s="26" customFormat="1" ht="43.2" x14ac:dyDescent="0.3">
      <c r="A79" s="13" t="s">
        <v>45</v>
      </c>
      <c r="B79" s="15" t="s">
        <v>16</v>
      </c>
      <c r="C79" s="88" t="s">
        <v>25</v>
      </c>
      <c r="D79" s="88" t="s">
        <v>25</v>
      </c>
      <c r="E79" s="92">
        <v>7821</v>
      </c>
      <c r="F79" s="14">
        <v>3</v>
      </c>
      <c r="G79" s="15" t="s">
        <v>126</v>
      </c>
      <c r="H79" s="15" t="s">
        <v>181</v>
      </c>
      <c r="I79" s="5" t="s">
        <v>271</v>
      </c>
      <c r="J79" s="15" t="s">
        <v>265</v>
      </c>
      <c r="K79" s="15" t="s">
        <v>355</v>
      </c>
      <c r="L79" s="88" t="s">
        <v>199</v>
      </c>
      <c r="M79" s="88" t="s">
        <v>199</v>
      </c>
      <c r="N79" s="16">
        <v>2050</v>
      </c>
      <c r="O79" s="15">
        <v>3337286</v>
      </c>
      <c r="P79" s="16">
        <v>91583402</v>
      </c>
      <c r="Q79" s="16">
        <f>Tableau1[[#This Row],[n_prev]]/Tableau1[[#This Row],[n_death]]</f>
        <v>3.643985620887942E-2</v>
      </c>
      <c r="R79" s="16"/>
      <c r="S79" s="16"/>
      <c r="T79" s="16"/>
      <c r="U79" s="16"/>
      <c r="V79" s="4" t="s">
        <v>257</v>
      </c>
      <c r="W79" s="82" t="s">
        <v>270</v>
      </c>
    </row>
    <row r="80" spans="1:23" s="29" customFormat="1" ht="126" customHeight="1" x14ac:dyDescent="0.3">
      <c r="A80" s="13" t="s">
        <v>45</v>
      </c>
      <c r="B80" s="15" t="s">
        <v>16</v>
      </c>
      <c r="C80" s="88" t="s">
        <v>25</v>
      </c>
      <c r="D80" s="88" t="s">
        <v>25</v>
      </c>
      <c r="E80" s="92">
        <v>7821</v>
      </c>
      <c r="F80" s="14">
        <v>3</v>
      </c>
      <c r="G80" s="15" t="s">
        <v>128</v>
      </c>
      <c r="H80" s="15" t="s">
        <v>129</v>
      </c>
      <c r="I80" s="5" t="s">
        <v>271</v>
      </c>
      <c r="J80" s="15" t="s">
        <v>265</v>
      </c>
      <c r="K80" s="15" t="s">
        <v>355</v>
      </c>
      <c r="L80" s="88" t="s">
        <v>199</v>
      </c>
      <c r="M80" s="88" t="s">
        <v>199</v>
      </c>
      <c r="N80" s="16">
        <v>2050</v>
      </c>
      <c r="O80" s="13">
        <f xml:space="preserve"> 1854 + 3337286</f>
        <v>3339140</v>
      </c>
      <c r="P80" s="16">
        <v>91583402</v>
      </c>
      <c r="Q80" s="16">
        <f>Tableau1[[#This Row],[n_prev]]/Tableau1[[#This Row],[n_death]]</f>
        <v>3.6460100051753916E-2</v>
      </c>
      <c r="R80" s="16"/>
      <c r="S80" s="16"/>
      <c r="T80" s="16"/>
      <c r="U80" s="16"/>
      <c r="V80" s="4" t="s">
        <v>257</v>
      </c>
      <c r="W80" s="82" t="s">
        <v>270</v>
      </c>
    </row>
    <row r="81" spans="1:23" s="29" customFormat="1" ht="144" customHeight="1" x14ac:dyDescent="0.3">
      <c r="A81" s="13" t="s">
        <v>45</v>
      </c>
      <c r="B81" s="15" t="s">
        <v>16</v>
      </c>
      <c r="C81" s="88" t="s">
        <v>25</v>
      </c>
      <c r="D81" s="88" t="s">
        <v>25</v>
      </c>
      <c r="E81" s="92">
        <v>7821</v>
      </c>
      <c r="F81" s="14">
        <v>3</v>
      </c>
      <c r="G81" s="15" t="s">
        <v>125</v>
      </c>
      <c r="H81" s="15" t="s">
        <v>181</v>
      </c>
      <c r="I81" s="5" t="s">
        <v>271</v>
      </c>
      <c r="J81" s="15" t="s">
        <v>265</v>
      </c>
      <c r="K81" s="15" t="s">
        <v>355</v>
      </c>
      <c r="L81" s="88" t="s">
        <v>199</v>
      </c>
      <c r="M81" s="88" t="s">
        <v>199</v>
      </c>
      <c r="N81" s="16">
        <v>2050</v>
      </c>
      <c r="O81" s="15">
        <v>3671573</v>
      </c>
      <c r="P81" s="16">
        <v>91583402</v>
      </c>
      <c r="Q81" s="16">
        <f>Tableau1[[#This Row],[n_prev]]/Tableau1[[#This Row],[n_death]]</f>
        <v>4.0089939004449737E-2</v>
      </c>
      <c r="R81" s="16"/>
      <c r="S81" s="16"/>
      <c r="T81" s="16"/>
      <c r="U81" s="16"/>
      <c r="V81" s="4" t="s">
        <v>257</v>
      </c>
      <c r="W81" s="82" t="s">
        <v>270</v>
      </c>
    </row>
    <row r="82" spans="1:23" s="29" customFormat="1" ht="43.2" x14ac:dyDescent="0.3">
      <c r="A82" s="13" t="s">
        <v>45</v>
      </c>
      <c r="B82" s="15" t="s">
        <v>16</v>
      </c>
      <c r="C82" s="88" t="s">
        <v>25</v>
      </c>
      <c r="D82" s="88" t="s">
        <v>25</v>
      </c>
      <c r="E82" s="92">
        <v>7821</v>
      </c>
      <c r="F82" s="14">
        <v>3</v>
      </c>
      <c r="G82" s="15" t="s">
        <v>127</v>
      </c>
      <c r="H82" s="15" t="s">
        <v>129</v>
      </c>
      <c r="I82" s="5" t="s">
        <v>271</v>
      </c>
      <c r="J82" s="15" t="s">
        <v>265</v>
      </c>
      <c r="K82" s="15" t="s">
        <v>355</v>
      </c>
      <c r="L82" s="88" t="s">
        <v>199</v>
      </c>
      <c r="M82" s="88" t="s">
        <v>199</v>
      </c>
      <c r="N82" s="16">
        <v>2050</v>
      </c>
      <c r="O82" s="15">
        <f xml:space="preserve"> 6261 +3671573</f>
        <v>3677834</v>
      </c>
      <c r="P82" s="16">
        <v>91583402</v>
      </c>
      <c r="Q82" s="16">
        <f>Tableau1[[#This Row],[n_prev]]/Tableau1[[#This Row],[n_death]]</f>
        <v>4.0158302920435297E-2</v>
      </c>
      <c r="R82" s="16"/>
      <c r="S82" s="16"/>
      <c r="T82" s="16"/>
      <c r="U82" s="16"/>
      <c r="V82" s="4" t="s">
        <v>257</v>
      </c>
      <c r="W82" s="82" t="s">
        <v>270</v>
      </c>
    </row>
    <row r="83" spans="1:23" s="29" customFormat="1" ht="222.6" customHeight="1" x14ac:dyDescent="0.3">
      <c r="A83" s="33" t="s">
        <v>106</v>
      </c>
      <c r="B83" s="49" t="s">
        <v>105</v>
      </c>
      <c r="C83" s="102" t="s">
        <v>107</v>
      </c>
      <c r="D83" s="102" t="s">
        <v>357</v>
      </c>
      <c r="E83" s="33">
        <v>528</v>
      </c>
      <c r="F83" s="22">
        <v>17</v>
      </c>
      <c r="G83" s="33" t="s">
        <v>349</v>
      </c>
      <c r="H83" s="49" t="s">
        <v>181</v>
      </c>
      <c r="I83" s="5" t="s">
        <v>271</v>
      </c>
      <c r="J83" s="33" t="s">
        <v>185</v>
      </c>
      <c r="K83" s="33" t="s">
        <v>185</v>
      </c>
      <c r="L83" s="63" t="s">
        <v>199</v>
      </c>
      <c r="M83" s="63" t="s">
        <v>199</v>
      </c>
      <c r="N83" s="33"/>
      <c r="O83" s="33"/>
      <c r="P83" s="33"/>
      <c r="Q83" s="33"/>
      <c r="R83" s="33"/>
      <c r="S83" s="33"/>
      <c r="T83" s="33"/>
      <c r="U83" s="33"/>
      <c r="V83" s="4" t="s">
        <v>257</v>
      </c>
      <c r="W83" s="82" t="s">
        <v>271</v>
      </c>
    </row>
    <row r="84" spans="1:23" s="26" customFormat="1" ht="223.8" customHeight="1" x14ac:dyDescent="0.3">
      <c r="A84" s="33" t="s">
        <v>106</v>
      </c>
      <c r="B84" s="49" t="s">
        <v>105</v>
      </c>
      <c r="C84" s="94" t="s">
        <v>107</v>
      </c>
      <c r="D84" s="94" t="s">
        <v>357</v>
      </c>
      <c r="E84" s="22">
        <v>528</v>
      </c>
      <c r="F84" s="22">
        <v>17</v>
      </c>
      <c r="G84" s="33" t="s">
        <v>348</v>
      </c>
      <c r="H84" s="49" t="s">
        <v>181</v>
      </c>
      <c r="I84" s="5" t="s">
        <v>271</v>
      </c>
      <c r="J84" s="33" t="s">
        <v>185</v>
      </c>
      <c r="K84" s="33" t="s">
        <v>185</v>
      </c>
      <c r="L84" s="63" t="s">
        <v>199</v>
      </c>
      <c r="M84" s="63" t="s">
        <v>199</v>
      </c>
      <c r="N84" s="33"/>
      <c r="O84" s="33"/>
      <c r="P84" s="33"/>
      <c r="Q84" s="33"/>
      <c r="R84" s="33"/>
      <c r="S84" s="33"/>
      <c r="T84" s="33"/>
      <c r="U84" s="33"/>
      <c r="V84" s="4" t="s">
        <v>257</v>
      </c>
      <c r="W84" s="82" t="s">
        <v>271</v>
      </c>
    </row>
    <row r="85" spans="1:23" s="67" customFormat="1" ht="57.6" x14ac:dyDescent="0.3">
      <c r="A85" s="33" t="s">
        <v>83</v>
      </c>
      <c r="B85" s="49" t="s">
        <v>82</v>
      </c>
      <c r="C85" s="63" t="s">
        <v>27</v>
      </c>
      <c r="D85" s="63" t="s">
        <v>27</v>
      </c>
      <c r="E85" s="34">
        <v>1411</v>
      </c>
      <c r="F85" s="22">
        <v>19</v>
      </c>
      <c r="G85" s="33" t="s">
        <v>164</v>
      </c>
      <c r="H85" s="33" t="s">
        <v>181</v>
      </c>
      <c r="I85" s="5" t="s">
        <v>271</v>
      </c>
      <c r="J85" s="33" t="s">
        <v>266</v>
      </c>
      <c r="K85" s="33" t="s">
        <v>355</v>
      </c>
      <c r="L85" s="63" t="s">
        <v>199</v>
      </c>
      <c r="M85" s="63" t="s">
        <v>199</v>
      </c>
      <c r="N85" s="33">
        <v>2060</v>
      </c>
      <c r="O85" s="50">
        <v>1300000</v>
      </c>
      <c r="P85" s="50">
        <v>18786882</v>
      </c>
      <c r="Q85" s="33">
        <f>Tableau1[[#This Row],[n_prev]]/Tableau1[[#This Row],[n_death]]</f>
        <v>6.9197219634423643E-2</v>
      </c>
      <c r="R85" s="33"/>
      <c r="S85" s="33"/>
      <c r="T85" s="33"/>
      <c r="U85" s="33" t="s">
        <v>239</v>
      </c>
      <c r="V85" s="4" t="s">
        <v>257</v>
      </c>
      <c r="W85" s="82" t="s">
        <v>270</v>
      </c>
    </row>
    <row r="86" spans="1:23" s="67" customFormat="1" ht="57.6" x14ac:dyDescent="0.3">
      <c r="A86" s="5" t="s">
        <v>307</v>
      </c>
      <c r="B86" s="5" t="s">
        <v>1</v>
      </c>
      <c r="C86" s="91" t="s">
        <v>27</v>
      </c>
      <c r="D86" s="91" t="s">
        <v>27</v>
      </c>
      <c r="E86" s="9">
        <v>1411</v>
      </c>
      <c r="F86" s="4">
        <v>21</v>
      </c>
      <c r="G86" s="10" t="s">
        <v>148</v>
      </c>
      <c r="H86" s="5" t="s">
        <v>181</v>
      </c>
      <c r="I86" s="5" t="s">
        <v>271</v>
      </c>
      <c r="J86" s="5" t="s">
        <v>185</v>
      </c>
      <c r="K86" s="5" t="s">
        <v>185</v>
      </c>
      <c r="L86" s="8" t="s">
        <v>199</v>
      </c>
      <c r="M86" s="8" t="s">
        <v>199</v>
      </c>
      <c r="N86" s="5">
        <v>2060</v>
      </c>
      <c r="O86" s="5">
        <v>540000</v>
      </c>
      <c r="P86" s="37">
        <v>18786882</v>
      </c>
      <c r="Q86" s="5">
        <f>Tableau1[[#This Row],[n_prev]]/Tableau1[[#This Row],[n_death]]</f>
        <v>2.8743460463529817E-2</v>
      </c>
      <c r="R86" s="5"/>
      <c r="S86" s="5" t="s">
        <v>224</v>
      </c>
      <c r="T86" s="5"/>
      <c r="U86" s="5"/>
      <c r="V86" s="4" t="s">
        <v>257</v>
      </c>
      <c r="W86" s="82" t="s">
        <v>270</v>
      </c>
    </row>
    <row r="87" spans="1:23" s="26" customFormat="1" ht="57.6" x14ac:dyDescent="0.3">
      <c r="A87" s="5" t="s">
        <v>307</v>
      </c>
      <c r="B87" s="5" t="s">
        <v>1</v>
      </c>
      <c r="C87" s="91" t="s">
        <v>27</v>
      </c>
      <c r="D87" s="91" t="s">
        <v>27</v>
      </c>
      <c r="E87" s="9">
        <v>1411</v>
      </c>
      <c r="F87" s="4">
        <v>21</v>
      </c>
      <c r="G87" s="10" t="s">
        <v>223</v>
      </c>
      <c r="H87" s="5" t="s">
        <v>119</v>
      </c>
      <c r="I87" s="5" t="s">
        <v>270</v>
      </c>
      <c r="J87" s="5" t="s">
        <v>185</v>
      </c>
      <c r="K87" s="5" t="s">
        <v>185</v>
      </c>
      <c r="L87" s="8" t="s">
        <v>199</v>
      </c>
      <c r="M87" s="8" t="s">
        <v>199</v>
      </c>
      <c r="N87" s="5">
        <v>2060</v>
      </c>
      <c r="O87" s="5">
        <v>1160000</v>
      </c>
      <c r="P87" s="37">
        <v>18786882</v>
      </c>
      <c r="Q87" s="5">
        <f>Tableau1[[#This Row],[n_prev]]/Tableau1[[#This Row],[n_death]]</f>
        <v>6.1745211366101088E-2</v>
      </c>
      <c r="R87" s="5"/>
      <c r="S87" s="5" t="s">
        <v>225</v>
      </c>
      <c r="T87" s="5"/>
      <c r="U87" s="5"/>
      <c r="V87" s="4" t="s">
        <v>257</v>
      </c>
      <c r="W87" s="82" t="s">
        <v>270</v>
      </c>
    </row>
    <row r="88" spans="1:23" s="26" customFormat="1" ht="57.6" x14ac:dyDescent="0.3">
      <c r="A88" s="5" t="s">
        <v>307</v>
      </c>
      <c r="B88" s="5" t="s">
        <v>1</v>
      </c>
      <c r="C88" s="91" t="s">
        <v>27</v>
      </c>
      <c r="D88" s="91" t="s">
        <v>27</v>
      </c>
      <c r="E88" s="9">
        <v>1411</v>
      </c>
      <c r="F88" s="4">
        <v>21</v>
      </c>
      <c r="G88" s="10" t="s">
        <v>222</v>
      </c>
      <c r="H88" s="5" t="s">
        <v>119</v>
      </c>
      <c r="I88" s="5" t="s">
        <v>271</v>
      </c>
      <c r="J88" s="5" t="s">
        <v>185</v>
      </c>
      <c r="K88" s="5" t="s">
        <v>185</v>
      </c>
      <c r="L88" s="8" t="s">
        <v>199</v>
      </c>
      <c r="M88" s="8" t="s">
        <v>199</v>
      </c>
      <c r="N88" s="5">
        <v>2060</v>
      </c>
      <c r="O88" s="5">
        <v>2020000</v>
      </c>
      <c r="P88" s="37">
        <v>18786882</v>
      </c>
      <c r="Q88" s="5">
        <f>Tableau1[[#This Row],[n_prev]]/Tableau1[[#This Row],[n_death]]</f>
        <v>0.10752183358579673</v>
      </c>
      <c r="R88" s="5"/>
      <c r="S88" s="5" t="s">
        <v>226</v>
      </c>
      <c r="T88" s="5"/>
      <c r="U88" s="5"/>
      <c r="V88" s="4" t="s">
        <v>257</v>
      </c>
      <c r="W88" s="82" t="s">
        <v>270</v>
      </c>
    </row>
    <row r="89" spans="1:23" s="29" customFormat="1" ht="57.6" x14ac:dyDescent="0.3">
      <c r="A89" s="33" t="s">
        <v>73</v>
      </c>
      <c r="B89" s="33" t="s">
        <v>72</v>
      </c>
      <c r="C89" s="81" t="s">
        <v>74</v>
      </c>
      <c r="D89" s="81" t="s">
        <v>74</v>
      </c>
      <c r="E89" s="106">
        <v>330</v>
      </c>
      <c r="F89" s="22">
        <v>33</v>
      </c>
      <c r="G89" s="33" t="s">
        <v>312</v>
      </c>
      <c r="H89" s="33" t="s">
        <v>181</v>
      </c>
      <c r="I89" s="5" t="s">
        <v>271</v>
      </c>
      <c r="J89" s="33" t="s">
        <v>272</v>
      </c>
      <c r="K89" s="33" t="s">
        <v>272</v>
      </c>
      <c r="L89" s="63" t="s">
        <v>199</v>
      </c>
      <c r="M89" s="63" t="s">
        <v>199</v>
      </c>
      <c r="N89" s="33">
        <v>2050</v>
      </c>
      <c r="O89" s="50">
        <v>122000</v>
      </c>
      <c r="P89" s="50">
        <v>4113152</v>
      </c>
      <c r="Q89" s="20">
        <f>Tableau1[[#This Row],[n_prev]]/Tableau1[[#This Row],[n_death]]</f>
        <v>2.9660951017613742E-2</v>
      </c>
      <c r="R89" s="20"/>
      <c r="S89" s="20"/>
      <c r="T89" s="20"/>
      <c r="U89" s="20"/>
      <c r="V89" s="4" t="s">
        <v>257</v>
      </c>
      <c r="W89" s="82" t="s">
        <v>270</v>
      </c>
    </row>
    <row r="90" spans="1:23" s="29" customFormat="1" ht="72" x14ac:dyDescent="0.3">
      <c r="A90" s="33" t="s">
        <v>100</v>
      </c>
      <c r="B90" s="49" t="s">
        <v>99</v>
      </c>
      <c r="C90" s="33" t="s">
        <v>101</v>
      </c>
      <c r="D90" s="33" t="s">
        <v>309</v>
      </c>
      <c r="E90" s="33">
        <v>9</v>
      </c>
      <c r="F90" s="22">
        <v>47</v>
      </c>
      <c r="G90" s="33" t="s">
        <v>250</v>
      </c>
      <c r="H90" s="33" t="s">
        <v>181</v>
      </c>
      <c r="I90" s="5" t="s">
        <v>271</v>
      </c>
      <c r="J90" s="33" t="s">
        <v>195</v>
      </c>
      <c r="K90" s="33" t="s">
        <v>195</v>
      </c>
      <c r="L90" s="63" t="s">
        <v>201</v>
      </c>
      <c r="M90" s="63" t="s">
        <v>199</v>
      </c>
      <c r="N90" s="33"/>
      <c r="O90" s="33"/>
      <c r="P90" s="33"/>
      <c r="Q90" s="20">
        <f>Tableau1[[#This Row],[yll]]/Tableau1[[#This Row],[conversion_factor]]</f>
        <v>1.2679489687562004E-2</v>
      </c>
      <c r="R90" s="20">
        <f>(31973.01+43454.19+59287.41+638302.61+1192.18+1504.09+1935.48+22535.72)/(684.86+1038.91+1597.41+46594.26+25.52+35.92+52.15+1551.72)</f>
        <v>15.513242634122225</v>
      </c>
      <c r="S90" s="20"/>
      <c r="T90" s="20">
        <f>0.1095+0.0872</f>
        <v>0.19669999999999999</v>
      </c>
      <c r="U90" s="20"/>
      <c r="V90" s="4" t="s">
        <v>258</v>
      </c>
      <c r="W90" s="82" t="s">
        <v>270</v>
      </c>
    </row>
    <row r="91" spans="1:23" s="26" customFormat="1" ht="43.2" x14ac:dyDescent="0.3">
      <c r="A91" s="33" t="s">
        <v>306</v>
      </c>
      <c r="B91" s="46" t="s">
        <v>12</v>
      </c>
      <c r="C91" s="46" t="s">
        <v>71</v>
      </c>
      <c r="D91" s="46" t="s">
        <v>27</v>
      </c>
      <c r="E91" s="33">
        <v>80</v>
      </c>
      <c r="F91" s="22">
        <v>35</v>
      </c>
      <c r="G91" s="33" t="s">
        <v>350</v>
      </c>
      <c r="H91" s="33" t="s">
        <v>181</v>
      </c>
      <c r="I91" s="5" t="s">
        <v>271</v>
      </c>
      <c r="J91" s="33" t="s">
        <v>185</v>
      </c>
      <c r="K91" s="33" t="s">
        <v>185</v>
      </c>
      <c r="L91" s="63" t="s">
        <v>199</v>
      </c>
      <c r="M91" s="63" t="s">
        <v>199</v>
      </c>
      <c r="N91" s="33"/>
      <c r="O91" s="34">
        <v>14000</v>
      </c>
      <c r="P91" s="34"/>
      <c r="Q91" s="33"/>
      <c r="R91" s="33"/>
      <c r="S91" s="33"/>
      <c r="T91" s="33"/>
      <c r="U91" s="33"/>
      <c r="V91" s="4" t="s">
        <v>257</v>
      </c>
      <c r="W91" s="82" t="s">
        <v>271</v>
      </c>
    </row>
    <row r="92" spans="1:23" s="29" customFormat="1" ht="43.2" x14ac:dyDescent="0.3">
      <c r="A92" s="83" t="s">
        <v>305</v>
      </c>
      <c r="B92" s="86" t="s">
        <v>289</v>
      </c>
      <c r="C92" s="8" t="s">
        <v>27</v>
      </c>
      <c r="D92" s="8" t="s">
        <v>27</v>
      </c>
      <c r="E92" s="5"/>
      <c r="F92" s="4"/>
      <c r="G92" s="10" t="s">
        <v>290</v>
      </c>
      <c r="H92" s="10" t="s">
        <v>119</v>
      </c>
      <c r="I92" s="5" t="s">
        <v>271</v>
      </c>
      <c r="J92" s="5" t="s">
        <v>185</v>
      </c>
      <c r="K92" s="5" t="s">
        <v>185</v>
      </c>
      <c r="L92" s="8" t="s">
        <v>199</v>
      </c>
      <c r="M92" s="8" t="s">
        <v>199</v>
      </c>
      <c r="N92" s="10">
        <v>2050</v>
      </c>
      <c r="O92" s="10">
        <v>96900</v>
      </c>
      <c r="P92" s="10">
        <v>17360484</v>
      </c>
      <c r="Q92" s="10">
        <f>Tableau1[[#This Row],[n_prev]]/Tableau1[[#This Row],[n_death]]</f>
        <v>5.5816416178258626E-3</v>
      </c>
      <c r="R92" s="39"/>
      <c r="S92" s="39"/>
      <c r="T92" s="39"/>
      <c r="U92" s="39"/>
      <c r="V92" s="4" t="s">
        <v>257</v>
      </c>
      <c r="W92" s="82" t="s">
        <v>270</v>
      </c>
    </row>
    <row r="93" spans="1:23" s="29" customFormat="1" ht="43.2" x14ac:dyDescent="0.3">
      <c r="A93" s="20" t="s">
        <v>49</v>
      </c>
      <c r="B93" s="33" t="s">
        <v>173</v>
      </c>
      <c r="C93" s="63" t="s">
        <v>27</v>
      </c>
      <c r="D93" s="63" t="s">
        <v>27</v>
      </c>
      <c r="E93" s="34">
        <v>1338</v>
      </c>
      <c r="F93" s="22">
        <v>29</v>
      </c>
      <c r="G93" s="33" t="s">
        <v>175</v>
      </c>
      <c r="H93" s="33" t="s">
        <v>181</v>
      </c>
      <c r="I93" s="5" t="s">
        <v>271</v>
      </c>
      <c r="J93" s="33" t="s">
        <v>272</v>
      </c>
      <c r="K93" s="33" t="s">
        <v>272</v>
      </c>
      <c r="L93" s="63" t="s">
        <v>199</v>
      </c>
      <c r="M93" s="63" t="s">
        <v>199</v>
      </c>
      <c r="N93" s="33">
        <v>2050</v>
      </c>
      <c r="O93" s="34">
        <f>7039600-6841400</f>
        <v>198200</v>
      </c>
      <c r="P93" s="59">
        <v>17360484</v>
      </c>
      <c r="Q93" s="20">
        <f>Tableau1[[#This Row],[n_prev]]/Tableau1[[#This Row],[n_death]]</f>
        <v>1.1416732390640722E-2</v>
      </c>
      <c r="R93" s="20"/>
      <c r="S93" s="20"/>
      <c r="T93" s="20"/>
      <c r="U93" s="20" t="s">
        <v>219</v>
      </c>
      <c r="V93" s="4" t="s">
        <v>257</v>
      </c>
      <c r="W93" s="82" t="s">
        <v>270</v>
      </c>
    </row>
    <row r="94" spans="1:23" s="29" customFormat="1" ht="43.2" x14ac:dyDescent="0.3">
      <c r="A94" s="20" t="s">
        <v>49</v>
      </c>
      <c r="B94" s="33" t="s">
        <v>174</v>
      </c>
      <c r="C94" s="63" t="s">
        <v>27</v>
      </c>
      <c r="D94" s="63" t="s">
        <v>27</v>
      </c>
      <c r="E94" s="34">
        <v>1338</v>
      </c>
      <c r="F94" s="22">
        <v>29</v>
      </c>
      <c r="G94" s="33" t="s">
        <v>176</v>
      </c>
      <c r="H94" s="33" t="s">
        <v>181</v>
      </c>
      <c r="I94" s="5" t="s">
        <v>271</v>
      </c>
      <c r="J94" s="33" t="s">
        <v>272</v>
      </c>
      <c r="K94" s="33" t="s">
        <v>272</v>
      </c>
      <c r="L94" s="63" t="s">
        <v>199</v>
      </c>
      <c r="M94" s="63" t="s">
        <v>199</v>
      </c>
      <c r="N94" s="33">
        <v>2050</v>
      </c>
      <c r="O94" s="34">
        <f>7039600-6426000</f>
        <v>613600</v>
      </c>
      <c r="P94" s="59">
        <v>17360484</v>
      </c>
      <c r="Q94" s="20">
        <f>Tableau1[[#This Row],[n_prev]]/Tableau1[[#This Row],[n_death]]</f>
        <v>3.5344636704829194E-2</v>
      </c>
      <c r="R94" s="20"/>
      <c r="S94" s="20"/>
      <c r="T94" s="20"/>
      <c r="U94" s="20"/>
      <c r="V94" s="4" t="s">
        <v>257</v>
      </c>
      <c r="W94" s="82" t="s">
        <v>270</v>
      </c>
    </row>
    <row r="95" spans="1:23" s="26" customFormat="1" ht="176.4" customHeight="1" x14ac:dyDescent="0.3">
      <c r="A95" s="20" t="s">
        <v>49</v>
      </c>
      <c r="B95" s="33" t="s">
        <v>11</v>
      </c>
      <c r="C95" s="63" t="s">
        <v>27</v>
      </c>
      <c r="D95" s="63" t="s">
        <v>27</v>
      </c>
      <c r="E95" s="34">
        <v>1338</v>
      </c>
      <c r="F95" s="22">
        <v>29</v>
      </c>
      <c r="G95" s="33" t="s">
        <v>177</v>
      </c>
      <c r="H95" s="33" t="s">
        <v>181</v>
      </c>
      <c r="I95" s="5" t="s">
        <v>271</v>
      </c>
      <c r="J95" s="33" t="s">
        <v>272</v>
      </c>
      <c r="K95" s="33" t="s">
        <v>272</v>
      </c>
      <c r="L95" s="63" t="s">
        <v>199</v>
      </c>
      <c r="M95" s="63" t="s">
        <v>199</v>
      </c>
      <c r="N95" s="33">
        <v>2050</v>
      </c>
      <c r="O95" s="34">
        <f>7525500-6380500</f>
        <v>1145000</v>
      </c>
      <c r="P95" s="59">
        <v>17360484</v>
      </c>
      <c r="Q95" s="20">
        <f>Tableau1[[#This Row],[n_prev]]/Tableau1[[#This Row],[n_death]]</f>
        <v>6.5954382377818505E-2</v>
      </c>
      <c r="R95" s="20"/>
      <c r="S95" s="20"/>
      <c r="T95" s="20"/>
      <c r="U95" s="20" t="s">
        <v>220</v>
      </c>
      <c r="V95" s="4" t="s">
        <v>257</v>
      </c>
      <c r="W95" s="82" t="s">
        <v>270</v>
      </c>
    </row>
    <row r="96" spans="1:23" s="29" customFormat="1" ht="99" customHeight="1" x14ac:dyDescent="0.3">
      <c r="A96" s="20" t="s">
        <v>40</v>
      </c>
      <c r="B96" s="27" t="s">
        <v>7</v>
      </c>
      <c r="C96" s="30" t="s">
        <v>25</v>
      </c>
      <c r="D96" s="30" t="s">
        <v>25</v>
      </c>
      <c r="E96" s="31">
        <v>7821</v>
      </c>
      <c r="F96" s="22">
        <v>4</v>
      </c>
      <c r="G96" s="32" t="s">
        <v>134</v>
      </c>
      <c r="H96" s="32" t="s">
        <v>119</v>
      </c>
      <c r="I96" s="5" t="s">
        <v>271</v>
      </c>
      <c r="J96" s="33" t="s">
        <v>272</v>
      </c>
      <c r="K96" s="33" t="s">
        <v>272</v>
      </c>
      <c r="L96" s="63" t="s">
        <v>199</v>
      </c>
      <c r="M96" s="63" t="s">
        <v>199</v>
      </c>
      <c r="N96" s="32">
        <v>2050</v>
      </c>
      <c r="O96" s="25">
        <f>(5582000-5333000)+(232000-176000)</f>
        <v>305000</v>
      </c>
      <c r="P96" s="24">
        <v>91583402</v>
      </c>
      <c r="Q96" s="24">
        <f>Tableau1[[#This Row],[n_prev]]/Tableau1[[#This Row],[n_death]]</f>
        <v>3.3302977760096748E-3</v>
      </c>
      <c r="R96" s="24"/>
      <c r="S96" s="24"/>
      <c r="T96" s="24"/>
      <c r="U96" s="24"/>
      <c r="V96" s="4" t="s">
        <v>257</v>
      </c>
      <c r="W96" s="82" t="s">
        <v>270</v>
      </c>
    </row>
    <row r="97" spans="1:23" s="29" customFormat="1" ht="99" customHeight="1" x14ac:dyDescent="0.3">
      <c r="A97" s="20" t="s">
        <v>40</v>
      </c>
      <c r="B97" s="27" t="s">
        <v>7</v>
      </c>
      <c r="C97" s="30" t="s">
        <v>25</v>
      </c>
      <c r="D97" s="30" t="s">
        <v>25</v>
      </c>
      <c r="E97" s="31">
        <v>7821</v>
      </c>
      <c r="F97" s="22">
        <v>4</v>
      </c>
      <c r="G97" s="32" t="s">
        <v>132</v>
      </c>
      <c r="H97" s="32" t="s">
        <v>119</v>
      </c>
      <c r="I97" s="5" t="s">
        <v>271</v>
      </c>
      <c r="J97" s="33" t="s">
        <v>272</v>
      </c>
      <c r="K97" s="33" t="s">
        <v>272</v>
      </c>
      <c r="L97" s="63" t="s">
        <v>199</v>
      </c>
      <c r="M97" s="63" t="s">
        <v>199</v>
      </c>
      <c r="N97" s="32">
        <v>2050</v>
      </c>
      <c r="O97" s="25">
        <f>(6552000-6224000)+(400000-334000)</f>
        <v>394000</v>
      </c>
      <c r="P97" s="24">
        <v>91583402</v>
      </c>
      <c r="Q97" s="24">
        <f>Tableau1[[#This Row],[n_prev]]/Tableau1[[#This Row],[n_death]]</f>
        <v>4.3020895860583991E-3</v>
      </c>
      <c r="R97" s="24"/>
      <c r="S97" s="24"/>
      <c r="T97" s="24"/>
      <c r="U97" s="24"/>
      <c r="V97" s="4" t="s">
        <v>257</v>
      </c>
      <c r="W97" s="82" t="s">
        <v>270</v>
      </c>
    </row>
    <row r="98" spans="1:23" s="29" customFormat="1" ht="99" customHeight="1" x14ac:dyDescent="0.3">
      <c r="A98" s="20" t="s">
        <v>40</v>
      </c>
      <c r="B98" s="27" t="s">
        <v>7</v>
      </c>
      <c r="C98" s="30" t="s">
        <v>25</v>
      </c>
      <c r="D98" s="30" t="s">
        <v>25</v>
      </c>
      <c r="E98" s="31">
        <v>7821</v>
      </c>
      <c r="F98" s="22">
        <v>4</v>
      </c>
      <c r="G98" s="32" t="s">
        <v>130</v>
      </c>
      <c r="H98" s="32" t="s">
        <v>119</v>
      </c>
      <c r="I98" s="5" t="s">
        <v>271</v>
      </c>
      <c r="J98" s="33" t="s">
        <v>272</v>
      </c>
      <c r="K98" s="33" t="s">
        <v>272</v>
      </c>
      <c r="L98" s="63" t="s">
        <v>199</v>
      </c>
      <c r="M98" s="63" t="s">
        <v>199</v>
      </c>
      <c r="N98" s="32">
        <v>2050</v>
      </c>
      <c r="O98" s="25">
        <f>(7846000-7372000)+(631000-539000)</f>
        <v>566000</v>
      </c>
      <c r="P98" s="24">
        <v>91583402</v>
      </c>
      <c r="Q98" s="24">
        <f>Tableau1[[#This Row],[n_prev]]/Tableau1[[#This Row],[n_death]]</f>
        <v>6.1801591515458229E-3</v>
      </c>
      <c r="R98" s="24"/>
      <c r="S98" s="24"/>
      <c r="T98" s="24"/>
      <c r="U98" s="24"/>
      <c r="V98" s="4" t="s">
        <v>257</v>
      </c>
      <c r="W98" s="82" t="s">
        <v>270</v>
      </c>
    </row>
    <row r="99" spans="1:23" s="29" customFormat="1" ht="99" customHeight="1" x14ac:dyDescent="0.3">
      <c r="A99" s="20" t="s">
        <v>40</v>
      </c>
      <c r="B99" s="27" t="s">
        <v>7</v>
      </c>
      <c r="C99" s="30" t="s">
        <v>25</v>
      </c>
      <c r="D99" s="30" t="s">
        <v>25</v>
      </c>
      <c r="E99" s="31">
        <v>7821</v>
      </c>
      <c r="F99" s="22">
        <v>4</v>
      </c>
      <c r="G99" s="33" t="s">
        <v>135</v>
      </c>
      <c r="H99" s="32" t="s">
        <v>119</v>
      </c>
      <c r="I99" s="5" t="s">
        <v>271</v>
      </c>
      <c r="J99" s="33" t="s">
        <v>272</v>
      </c>
      <c r="K99" s="33" t="s">
        <v>272</v>
      </c>
      <c r="L99" s="63" t="s">
        <v>199</v>
      </c>
      <c r="M99" s="63" t="s">
        <v>199</v>
      </c>
      <c r="N99" s="32">
        <v>2050</v>
      </c>
      <c r="O99" s="34">
        <f>(5582000-5019000)+(232000-126000)</f>
        <v>669000</v>
      </c>
      <c r="P99" s="24">
        <v>91583402</v>
      </c>
      <c r="Q99" s="20">
        <f>Tableau1[[#This Row],[n_prev]]/Tableau1[[#This Row],[n_death]]</f>
        <v>7.3048170890179422E-3</v>
      </c>
      <c r="R99" s="20"/>
      <c r="S99" s="20"/>
      <c r="T99" s="20"/>
      <c r="U99" s="20"/>
      <c r="V99" s="4" t="s">
        <v>257</v>
      </c>
      <c r="W99" s="82" t="s">
        <v>270</v>
      </c>
    </row>
    <row r="100" spans="1:23" s="29" customFormat="1" ht="43.2" x14ac:dyDescent="0.3">
      <c r="A100" s="20" t="s">
        <v>40</v>
      </c>
      <c r="B100" s="96" t="s">
        <v>7</v>
      </c>
      <c r="C100" s="101" t="s">
        <v>25</v>
      </c>
      <c r="D100" s="101" t="s">
        <v>25</v>
      </c>
      <c r="E100" s="104">
        <v>7821</v>
      </c>
      <c r="F100" s="22">
        <v>4</v>
      </c>
      <c r="G100" s="32" t="s">
        <v>133</v>
      </c>
      <c r="H100" s="32" t="s">
        <v>119</v>
      </c>
      <c r="I100" s="5" t="s">
        <v>271</v>
      </c>
      <c r="J100" s="63" t="s">
        <v>272</v>
      </c>
      <c r="K100" s="63" t="s">
        <v>272</v>
      </c>
      <c r="L100" s="63" t="s">
        <v>199</v>
      </c>
      <c r="M100" s="63" t="s">
        <v>199</v>
      </c>
      <c r="N100" s="32">
        <v>2050</v>
      </c>
      <c r="O100" s="25">
        <f>(6552000-5701000)+(400000-237000)</f>
        <v>1014000</v>
      </c>
      <c r="P100" s="24">
        <v>91583402</v>
      </c>
      <c r="Q100" s="24">
        <f>Tableau1[[#This Row],[n_prev]]/Tableau1[[#This Row],[n_death]]</f>
        <v>1.1071875229094461E-2</v>
      </c>
      <c r="R100" s="24"/>
      <c r="S100" s="24"/>
      <c r="T100" s="24"/>
      <c r="U100" s="24"/>
      <c r="V100" s="4" t="s">
        <v>257</v>
      </c>
      <c r="W100" s="82" t="s">
        <v>270</v>
      </c>
    </row>
    <row r="101" spans="1:23" s="29" customFormat="1" ht="43.2" x14ac:dyDescent="0.3">
      <c r="A101" s="20" t="s">
        <v>40</v>
      </c>
      <c r="B101" s="96" t="s">
        <v>7</v>
      </c>
      <c r="C101" s="101" t="s">
        <v>25</v>
      </c>
      <c r="D101" s="101" t="s">
        <v>25</v>
      </c>
      <c r="E101" s="104">
        <v>7821</v>
      </c>
      <c r="F101" s="22">
        <v>4</v>
      </c>
      <c r="G101" s="32" t="s">
        <v>131</v>
      </c>
      <c r="H101" s="32" t="s">
        <v>119</v>
      </c>
      <c r="I101" s="5" t="s">
        <v>271</v>
      </c>
      <c r="J101" s="63" t="s">
        <v>272</v>
      </c>
      <c r="K101" s="63" t="s">
        <v>272</v>
      </c>
      <c r="L101" s="63" t="s">
        <v>199</v>
      </c>
      <c r="M101" s="63" t="s">
        <v>199</v>
      </c>
      <c r="N101" s="32">
        <v>2050</v>
      </c>
      <c r="O101" s="25">
        <f>(7846000-6598000)+(631000-382000)</f>
        <v>1497000</v>
      </c>
      <c r="P101" s="24">
        <v>91583402</v>
      </c>
      <c r="Q101" s="24">
        <f>Tableau1[[#This Row],[n_prev]]/Tableau1[[#This Row],[n_death]]</f>
        <v>1.6345756625201584E-2</v>
      </c>
      <c r="R101" s="24"/>
      <c r="S101" s="24"/>
      <c r="T101" s="24"/>
      <c r="U101" s="24"/>
      <c r="V101" s="4" t="s">
        <v>257</v>
      </c>
      <c r="W101" s="82" t="s">
        <v>270</v>
      </c>
    </row>
    <row r="102" spans="1:23" s="29" customFormat="1" ht="43.2" x14ac:dyDescent="0.3">
      <c r="A102" s="5" t="s">
        <v>36</v>
      </c>
      <c r="B102" s="97" t="s">
        <v>3</v>
      </c>
      <c r="C102" s="8" t="s">
        <v>68</v>
      </c>
      <c r="D102" s="8" t="s">
        <v>74</v>
      </c>
      <c r="E102" s="8">
        <v>37.299999999999997</v>
      </c>
      <c r="F102" s="4">
        <v>44</v>
      </c>
      <c r="G102" s="5" t="s">
        <v>253</v>
      </c>
      <c r="H102" s="5" t="s">
        <v>119</v>
      </c>
      <c r="I102" s="5" t="s">
        <v>271</v>
      </c>
      <c r="J102" s="8" t="s">
        <v>185</v>
      </c>
      <c r="K102" s="8" t="s">
        <v>185</v>
      </c>
      <c r="L102" s="8" t="s">
        <v>199</v>
      </c>
      <c r="M102" s="8" t="s">
        <v>199</v>
      </c>
      <c r="N102" s="5">
        <v>2050</v>
      </c>
      <c r="O102" s="9">
        <v>14400</v>
      </c>
      <c r="P102" s="33">
        <f>(281800.94/39440000)*40049519</f>
        <v>286155.98632727843</v>
      </c>
      <c r="Q102" s="33">
        <f>Tableau1[[#This Row],[n_prev]]/Tableau1[[#This Row],[n_death]]</f>
        <v>5.0322204280327819E-2</v>
      </c>
      <c r="R102" s="28"/>
      <c r="S102" s="28"/>
      <c r="T102" s="28"/>
      <c r="U102" s="28"/>
      <c r="V102" s="4" t="s">
        <v>258</v>
      </c>
      <c r="W102" s="82" t="s">
        <v>270</v>
      </c>
    </row>
    <row r="103" spans="1:23" s="29" customFormat="1" ht="28.8" x14ac:dyDescent="0.3">
      <c r="A103" s="5" t="s">
        <v>92</v>
      </c>
      <c r="B103" s="100" t="s">
        <v>91</v>
      </c>
      <c r="C103" s="8" t="s">
        <v>25</v>
      </c>
      <c r="D103" s="8" t="s">
        <v>25</v>
      </c>
      <c r="E103" s="107">
        <v>7405</v>
      </c>
      <c r="F103" s="4">
        <v>10</v>
      </c>
      <c r="G103" s="5" t="s">
        <v>153</v>
      </c>
      <c r="H103" s="5" t="s">
        <v>181</v>
      </c>
      <c r="I103" s="5" t="s">
        <v>271</v>
      </c>
      <c r="J103" s="8" t="s">
        <v>272</v>
      </c>
      <c r="K103" s="8" t="s">
        <v>272</v>
      </c>
      <c r="L103" s="8" t="s">
        <v>199</v>
      </c>
      <c r="M103" s="8" t="s">
        <v>199</v>
      </c>
      <c r="N103" s="5">
        <v>2050</v>
      </c>
      <c r="O103" s="9">
        <v>35550</v>
      </c>
      <c r="P103" s="11">
        <v>91583402</v>
      </c>
      <c r="Q103" s="28">
        <f>Tableau1[[#This Row],[n_prev]]/Tableau1[[#This Row],[n_death]]</f>
        <v>3.8817077356440634E-4</v>
      </c>
      <c r="R103" s="28"/>
      <c r="S103" s="28"/>
      <c r="T103" s="28"/>
      <c r="U103" s="28">
        <v>10</v>
      </c>
      <c r="V103" s="4" t="s">
        <v>257</v>
      </c>
      <c r="W103" s="82" t="s">
        <v>270</v>
      </c>
    </row>
    <row r="104" spans="1:23" s="29" customFormat="1" ht="57.6" x14ac:dyDescent="0.3">
      <c r="A104" s="33" t="s">
        <v>69</v>
      </c>
      <c r="B104" s="93" t="s">
        <v>9</v>
      </c>
      <c r="C104" s="81" t="s">
        <v>28</v>
      </c>
      <c r="D104" s="81" t="s">
        <v>28</v>
      </c>
      <c r="E104" s="81">
        <v>63.26</v>
      </c>
      <c r="F104" s="22">
        <v>37</v>
      </c>
      <c r="G104" s="33" t="s">
        <v>243</v>
      </c>
      <c r="H104" s="33" t="s">
        <v>119</v>
      </c>
      <c r="I104" s="5" t="s">
        <v>271</v>
      </c>
      <c r="J104" s="63" t="s">
        <v>185</v>
      </c>
      <c r="K104" s="63" t="s">
        <v>185</v>
      </c>
      <c r="L104" s="63" t="s">
        <v>199</v>
      </c>
      <c r="M104" s="63" t="s">
        <v>199</v>
      </c>
      <c r="N104" s="33"/>
      <c r="O104" s="33">
        <f>Tableau1[[#This Row],[yll]]/Tableau1[[#This Row],[conversion_factor]]</f>
        <v>-605.79359614401687</v>
      </c>
      <c r="P104" s="33">
        <v>786330</v>
      </c>
      <c r="Q104" s="33">
        <f>Tableau1[[#This Row],[n_prev]]/Tableau1[[#This Row],[n_death]]</f>
        <v>-7.7040631305433707E-4</v>
      </c>
      <c r="R104" s="33">
        <v>12.95186</v>
      </c>
      <c r="S104" s="33"/>
      <c r="T104" s="33">
        <f>-(1122000/(2154-2011))</f>
        <v>-7846.1538461538457</v>
      </c>
      <c r="U104" s="33"/>
      <c r="V104" s="4" t="s">
        <v>258</v>
      </c>
      <c r="W104" s="82" t="s">
        <v>270</v>
      </c>
    </row>
    <row r="105" spans="1:23" s="26" customFormat="1" ht="57.6" x14ac:dyDescent="0.3">
      <c r="A105" s="33" t="s">
        <v>69</v>
      </c>
      <c r="B105" s="33" t="s">
        <v>9</v>
      </c>
      <c r="C105" s="58" t="s">
        <v>28</v>
      </c>
      <c r="D105" s="58" t="s">
        <v>28</v>
      </c>
      <c r="E105" s="106">
        <v>63.26</v>
      </c>
      <c r="F105" s="22">
        <v>37</v>
      </c>
      <c r="G105" s="33" t="s">
        <v>242</v>
      </c>
      <c r="H105" s="33" t="s">
        <v>119</v>
      </c>
      <c r="I105" s="5" t="s">
        <v>271</v>
      </c>
      <c r="J105" s="33" t="s">
        <v>272</v>
      </c>
      <c r="K105" s="33" t="s">
        <v>272</v>
      </c>
      <c r="L105" s="63" t="s">
        <v>199</v>
      </c>
      <c r="M105" s="63" t="s">
        <v>199</v>
      </c>
      <c r="N105" s="33"/>
      <c r="O105" s="33">
        <f>Tableau1[[#This Row],[yll]]/Tableau1[[#This Row],[conversion_factor]]</f>
        <v>-254.84365185381102</v>
      </c>
      <c r="P105" s="33">
        <v>786330</v>
      </c>
      <c r="Q105" s="33">
        <f>Tableau1[[#This Row],[n_prev]]/Tableau1[[#This Row],[n_death]]</f>
        <v>-3.2409249533123626E-4</v>
      </c>
      <c r="R105" s="33">
        <v>12.95186</v>
      </c>
      <c r="S105" s="33"/>
      <c r="T105" s="33">
        <f>-(472000/(2154-2011))</f>
        <v>-3300.6993006993007</v>
      </c>
      <c r="U105" s="33"/>
      <c r="V105" s="4" t="s">
        <v>258</v>
      </c>
      <c r="W105" s="82" t="s">
        <v>270</v>
      </c>
    </row>
    <row r="106" spans="1:23" s="26" customFormat="1" ht="72" x14ac:dyDescent="0.3">
      <c r="A106" s="5" t="s">
        <v>302</v>
      </c>
      <c r="B106" s="44" t="s">
        <v>21</v>
      </c>
      <c r="C106" s="42" t="s">
        <v>63</v>
      </c>
      <c r="D106" s="42" t="s">
        <v>311</v>
      </c>
      <c r="E106" s="44">
        <v>100</v>
      </c>
      <c r="F106" s="4">
        <v>34</v>
      </c>
      <c r="G106" s="5" t="s">
        <v>351</v>
      </c>
      <c r="H106" s="5" t="s">
        <v>181</v>
      </c>
      <c r="I106" s="5" t="s">
        <v>270</v>
      </c>
      <c r="J106" s="5" t="s">
        <v>360</v>
      </c>
      <c r="K106" s="5" t="s">
        <v>355</v>
      </c>
      <c r="L106" s="8" t="s">
        <v>199</v>
      </c>
      <c r="M106" s="8" t="s">
        <v>199</v>
      </c>
      <c r="N106" s="5"/>
      <c r="O106" s="5"/>
      <c r="P106" s="5"/>
      <c r="Q106" s="5"/>
      <c r="R106" s="5"/>
      <c r="S106" s="5"/>
      <c r="T106" s="5"/>
      <c r="U106" s="5"/>
      <c r="V106" s="4" t="s">
        <v>257</v>
      </c>
      <c r="W106" s="82" t="s">
        <v>271</v>
      </c>
    </row>
    <row r="107" spans="1:23" s="26" customFormat="1" ht="72" x14ac:dyDescent="0.3">
      <c r="A107" s="5" t="s">
        <v>302</v>
      </c>
      <c r="B107" s="44" t="s">
        <v>21</v>
      </c>
      <c r="C107" s="42" t="s">
        <v>63</v>
      </c>
      <c r="D107" s="42" t="s">
        <v>311</v>
      </c>
      <c r="E107" s="44">
        <v>100</v>
      </c>
      <c r="F107" s="4">
        <v>34</v>
      </c>
      <c r="G107" s="5" t="s">
        <v>352</v>
      </c>
      <c r="H107" s="5" t="s">
        <v>181</v>
      </c>
      <c r="I107" s="5" t="s">
        <v>270</v>
      </c>
      <c r="J107" s="5" t="s">
        <v>360</v>
      </c>
      <c r="K107" s="5" t="s">
        <v>355</v>
      </c>
      <c r="L107" s="8" t="s">
        <v>199</v>
      </c>
      <c r="M107" s="8" t="s">
        <v>199</v>
      </c>
      <c r="N107" s="5"/>
      <c r="O107" s="5"/>
      <c r="P107" s="5"/>
      <c r="Q107" s="5"/>
      <c r="R107" s="5"/>
      <c r="S107" s="5"/>
      <c r="T107" s="5"/>
      <c r="U107" s="5"/>
      <c r="V107" s="4" t="s">
        <v>257</v>
      </c>
      <c r="W107" s="82" t="s">
        <v>271</v>
      </c>
    </row>
    <row r="108" spans="1:23" s="26" customFormat="1" ht="72" x14ac:dyDescent="0.3">
      <c r="A108" s="5" t="s">
        <v>302</v>
      </c>
      <c r="B108" s="44" t="s">
        <v>21</v>
      </c>
      <c r="C108" s="42" t="s">
        <v>63</v>
      </c>
      <c r="D108" s="42" t="s">
        <v>311</v>
      </c>
      <c r="E108" s="44">
        <v>100</v>
      </c>
      <c r="F108" s="4">
        <v>34</v>
      </c>
      <c r="G108" s="5" t="s">
        <v>353</v>
      </c>
      <c r="H108" s="5" t="s">
        <v>181</v>
      </c>
      <c r="I108" s="5" t="s">
        <v>270</v>
      </c>
      <c r="J108" s="5" t="s">
        <v>360</v>
      </c>
      <c r="K108" s="5" t="s">
        <v>355</v>
      </c>
      <c r="L108" s="8" t="s">
        <v>199</v>
      </c>
      <c r="M108" s="8" t="s">
        <v>199</v>
      </c>
      <c r="N108" s="5"/>
      <c r="O108" s="5"/>
      <c r="P108" s="5"/>
      <c r="Q108" s="5"/>
      <c r="R108" s="5"/>
      <c r="S108" s="5"/>
      <c r="T108" s="5"/>
      <c r="U108" s="5"/>
      <c r="V108" s="4" t="s">
        <v>257</v>
      </c>
      <c r="W108" s="82" t="s">
        <v>271</v>
      </c>
    </row>
    <row r="109" spans="1:23" s="26" customFormat="1" ht="57.6" x14ac:dyDescent="0.3">
      <c r="A109" s="20" t="s">
        <v>51</v>
      </c>
      <c r="B109" s="33" t="s">
        <v>22</v>
      </c>
      <c r="C109" s="22" t="s">
        <v>70</v>
      </c>
      <c r="D109" s="22" t="s">
        <v>27</v>
      </c>
      <c r="E109" s="33">
        <v>61</v>
      </c>
      <c r="F109" s="22">
        <v>41</v>
      </c>
      <c r="G109" s="33"/>
      <c r="H109" s="33" t="s">
        <v>181</v>
      </c>
      <c r="I109" s="5" t="s">
        <v>271</v>
      </c>
      <c r="J109" s="33" t="s">
        <v>185</v>
      </c>
      <c r="K109" s="33" t="s">
        <v>185</v>
      </c>
      <c r="L109" s="63" t="s">
        <v>199</v>
      </c>
      <c r="M109" s="63" t="s">
        <v>199</v>
      </c>
      <c r="N109" s="33">
        <v>2060</v>
      </c>
      <c r="O109" s="34">
        <f>(230000*0.2752)/40</f>
        <v>1582.4</v>
      </c>
      <c r="P109" s="34">
        <f>(51815888*7.09)/1000</f>
        <v>367374.64592000004</v>
      </c>
      <c r="Q109" s="33">
        <f>Tableau1[[#This Row],[n_prev]]/Tableau1[[#This Row],[n_death]]</f>
        <v>4.3073195648471218E-3</v>
      </c>
      <c r="R109" s="33"/>
      <c r="S109" s="33"/>
      <c r="T109" s="33">
        <v>8</v>
      </c>
      <c r="U109" s="33"/>
      <c r="V109" s="4" t="s">
        <v>257</v>
      </c>
      <c r="W109" s="82" t="s">
        <v>270</v>
      </c>
    </row>
    <row r="110" spans="1:23" s="26" customFormat="1" ht="57.6" x14ac:dyDescent="0.3">
      <c r="A110" s="61" t="s">
        <v>77</v>
      </c>
      <c r="B110" s="61" t="s">
        <v>80</v>
      </c>
      <c r="C110" s="103" t="s">
        <v>27</v>
      </c>
      <c r="D110" s="103" t="s">
        <v>27</v>
      </c>
      <c r="E110" s="62">
        <v>1380</v>
      </c>
      <c r="F110" s="63">
        <v>27</v>
      </c>
      <c r="G110" s="33" t="s">
        <v>172</v>
      </c>
      <c r="H110" s="33" t="s">
        <v>129</v>
      </c>
      <c r="I110" s="5" t="s">
        <v>271</v>
      </c>
      <c r="J110" s="33" t="s">
        <v>267</v>
      </c>
      <c r="K110" s="33" t="s">
        <v>355</v>
      </c>
      <c r="L110" s="63" t="s">
        <v>199</v>
      </c>
      <c r="M110" s="63" t="s">
        <v>199</v>
      </c>
      <c r="N110" s="33">
        <v>2035</v>
      </c>
      <c r="O110" s="62">
        <v>170000</v>
      </c>
      <c r="P110" s="33">
        <v>13571259</v>
      </c>
      <c r="Q110" s="46">
        <f>Tableau1[[#This Row],[n_prev]]/Tableau1[[#This Row],[n_death]]</f>
        <v>1.2526472304448689E-2</v>
      </c>
      <c r="R110" s="46"/>
      <c r="S110" s="46"/>
      <c r="T110" s="46"/>
      <c r="U110" s="46" t="s">
        <v>221</v>
      </c>
      <c r="V110" s="4" t="s">
        <v>257</v>
      </c>
      <c r="W110" s="82" t="s">
        <v>270</v>
      </c>
    </row>
    <row r="111" spans="1:23" ht="72" x14ac:dyDescent="0.3">
      <c r="A111" s="28" t="s">
        <v>304</v>
      </c>
      <c r="B111" s="86" t="s">
        <v>280</v>
      </c>
      <c r="C111" s="4" t="s">
        <v>27</v>
      </c>
      <c r="D111" s="4" t="s">
        <v>27</v>
      </c>
      <c r="E111" s="5"/>
      <c r="F111" s="4"/>
      <c r="G111" s="10" t="s">
        <v>281</v>
      </c>
      <c r="H111" s="10" t="s">
        <v>181</v>
      </c>
      <c r="I111" s="5" t="s">
        <v>271</v>
      </c>
      <c r="J111" s="86" t="s">
        <v>282</v>
      </c>
      <c r="K111" s="65" t="s">
        <v>355</v>
      </c>
      <c r="L111" s="8" t="s">
        <v>199</v>
      </c>
      <c r="M111" s="8" t="s">
        <v>199</v>
      </c>
      <c r="N111" s="10">
        <v>2060</v>
      </c>
      <c r="O111" s="10">
        <v>3520000</v>
      </c>
      <c r="P111" s="37">
        <v>18786882</v>
      </c>
      <c r="Q111" s="10">
        <f>Tableau1[[#This Row],[n_prev]]/Tableau1[[#This Row],[n_death]]</f>
        <v>0.187364779317824</v>
      </c>
      <c r="R111" s="39"/>
      <c r="S111" s="39"/>
      <c r="T111" s="39"/>
      <c r="U111" s="39"/>
      <c r="V111" s="4" t="s">
        <v>257</v>
      </c>
      <c r="W111" s="4" t="s">
        <v>270</v>
      </c>
    </row>
    <row r="112" spans="1:23" ht="28.8" x14ac:dyDescent="0.3">
      <c r="A112" s="5" t="s">
        <v>89</v>
      </c>
      <c r="B112" s="57" t="s">
        <v>88</v>
      </c>
      <c r="C112" s="4" t="s">
        <v>27</v>
      </c>
      <c r="D112" s="4" t="s">
        <v>27</v>
      </c>
      <c r="E112" s="9">
        <v>1338</v>
      </c>
      <c r="F112" s="4">
        <v>30</v>
      </c>
      <c r="G112" s="5" t="s">
        <v>178</v>
      </c>
      <c r="H112" s="5" t="s">
        <v>121</v>
      </c>
      <c r="I112" s="5" t="s">
        <v>271</v>
      </c>
      <c r="J112" s="5" t="s">
        <v>185</v>
      </c>
      <c r="K112" s="5" t="s">
        <v>185</v>
      </c>
      <c r="L112" s="8" t="s">
        <v>199</v>
      </c>
      <c r="M112" s="8" t="s">
        <v>199</v>
      </c>
      <c r="N112" s="5">
        <v>2030</v>
      </c>
      <c r="O112" s="9">
        <f>1429940-(140510+17223+1174779)</f>
        <v>97428</v>
      </c>
      <c r="P112" s="53">
        <v>12224379</v>
      </c>
      <c r="Q112" s="5">
        <f>Tableau1[[#This Row],[n_prev]]/Tableau1[[#This Row],[n_death]]</f>
        <v>7.9699754073397095E-3</v>
      </c>
      <c r="R112" s="5"/>
      <c r="S112" s="5"/>
      <c r="T112" s="5"/>
      <c r="U112" s="5"/>
      <c r="V112" s="4" t="s">
        <v>257</v>
      </c>
      <c r="W112" s="4" t="s">
        <v>270</v>
      </c>
    </row>
    <row r="113" spans="1:25" ht="162.6" customHeight="1" x14ac:dyDescent="0.3">
      <c r="A113" s="5" t="s">
        <v>89</v>
      </c>
      <c r="B113" s="57" t="s">
        <v>88</v>
      </c>
      <c r="C113" s="4" t="s">
        <v>27</v>
      </c>
      <c r="D113" s="4" t="s">
        <v>27</v>
      </c>
      <c r="E113" s="9">
        <v>1338</v>
      </c>
      <c r="F113" s="4">
        <v>30</v>
      </c>
      <c r="G113" s="5" t="s">
        <v>179</v>
      </c>
      <c r="H113" s="5" t="s">
        <v>181</v>
      </c>
      <c r="I113" s="5" t="s">
        <v>271</v>
      </c>
      <c r="J113" s="5" t="s">
        <v>185</v>
      </c>
      <c r="K113" s="5" t="s">
        <v>185</v>
      </c>
      <c r="L113" s="8" t="s">
        <v>199</v>
      </c>
      <c r="M113" s="8" t="s">
        <v>199</v>
      </c>
      <c r="N113" s="5">
        <v>2030</v>
      </c>
      <c r="O113" s="9">
        <f>1429940-(17580+2717+177872)</f>
        <v>1231771</v>
      </c>
      <c r="P113" s="53">
        <v>12224379</v>
      </c>
      <c r="Q113" s="5">
        <f>Tableau1[[#This Row],[n_prev]]/Tableau1[[#This Row],[n_death]]</f>
        <v>0.10076348254582093</v>
      </c>
      <c r="R113" s="5"/>
      <c r="S113" s="5"/>
      <c r="T113" s="5"/>
      <c r="U113" s="5"/>
      <c r="V113" s="4" t="s">
        <v>257</v>
      </c>
      <c r="W113" s="4" t="s">
        <v>270</v>
      </c>
      <c r="X113" s="84"/>
      <c r="Y113" s="84"/>
    </row>
    <row r="114" spans="1:25" ht="43.2" x14ac:dyDescent="0.3">
      <c r="A114" s="20" t="s">
        <v>35</v>
      </c>
      <c r="B114" s="46" t="s">
        <v>2</v>
      </c>
      <c r="C114" s="22" t="s">
        <v>68</v>
      </c>
      <c r="D114" s="22" t="s">
        <v>74</v>
      </c>
      <c r="E114" s="33">
        <v>37.299999999999997</v>
      </c>
      <c r="F114" s="22">
        <v>45</v>
      </c>
      <c r="G114" s="33" t="s">
        <v>252</v>
      </c>
      <c r="H114" s="33" t="s">
        <v>181</v>
      </c>
      <c r="I114" s="5" t="s">
        <v>271</v>
      </c>
      <c r="J114" s="49" t="s">
        <v>196</v>
      </c>
      <c r="K114" s="49" t="s">
        <v>355</v>
      </c>
      <c r="L114" s="63" t="s">
        <v>199</v>
      </c>
      <c r="M114" s="63" t="s">
        <v>199</v>
      </c>
      <c r="N114" s="33">
        <v>2050</v>
      </c>
      <c r="O114" s="34">
        <v>2800</v>
      </c>
      <c r="P114" s="33">
        <f>(281800.94/39440000)*40049519</f>
        <v>286155.98632727843</v>
      </c>
      <c r="Q114" s="33">
        <f>Tableau1[[#This Row],[n_prev]]/Tableau1[[#This Row],[n_death]]</f>
        <v>9.7848730545081874E-3</v>
      </c>
      <c r="R114" s="33"/>
      <c r="S114" s="33"/>
      <c r="T114" s="33"/>
      <c r="U114" s="33"/>
      <c r="V114" s="4" t="s">
        <v>258</v>
      </c>
      <c r="W114" s="4" t="s">
        <v>270</v>
      </c>
      <c r="X114" s="84"/>
      <c r="Y114" s="84"/>
    </row>
    <row r="115" spans="1:25" ht="43.2" x14ac:dyDescent="0.3">
      <c r="A115" s="20" t="s">
        <v>35</v>
      </c>
      <c r="B115" s="46" t="s">
        <v>2</v>
      </c>
      <c r="C115" s="22" t="s">
        <v>68</v>
      </c>
      <c r="D115" s="22" t="s">
        <v>74</v>
      </c>
      <c r="E115" s="33">
        <v>37.299999999999997</v>
      </c>
      <c r="F115" s="22">
        <v>45</v>
      </c>
      <c r="G115" s="33" t="s">
        <v>251</v>
      </c>
      <c r="H115" s="33" t="s">
        <v>181</v>
      </c>
      <c r="I115" s="5" t="s">
        <v>271</v>
      </c>
      <c r="J115" s="49" t="s">
        <v>196</v>
      </c>
      <c r="K115" s="49" t="s">
        <v>355</v>
      </c>
      <c r="L115" s="63" t="s">
        <v>199</v>
      </c>
      <c r="M115" s="63" t="s">
        <v>199</v>
      </c>
      <c r="N115" s="33">
        <v>2050</v>
      </c>
      <c r="O115" s="34">
        <v>12100</v>
      </c>
      <c r="P115" s="33">
        <f>(281800.94/39440000)*40049519</f>
        <v>286155.98632727843</v>
      </c>
      <c r="Q115" s="33">
        <f>Tableau1[[#This Row],[n_prev]]/Tableau1[[#This Row],[n_death]]</f>
        <v>4.228462998555324E-2</v>
      </c>
      <c r="R115" s="33"/>
      <c r="S115" s="33"/>
      <c r="T115" s="33"/>
      <c r="U115" s="33"/>
      <c r="V115" s="4" t="s">
        <v>258</v>
      </c>
      <c r="W115" s="4" t="s">
        <v>270</v>
      </c>
    </row>
    <row r="116" spans="1:25" ht="28.8" x14ac:dyDescent="0.3">
      <c r="A116" s="5" t="s">
        <v>87</v>
      </c>
      <c r="B116" s="5" t="s">
        <v>86</v>
      </c>
      <c r="C116" s="4" t="s">
        <v>68</v>
      </c>
      <c r="D116" s="4" t="s">
        <v>74</v>
      </c>
      <c r="E116" s="5">
        <v>39.4</v>
      </c>
      <c r="F116" s="4">
        <v>42</v>
      </c>
      <c r="G116" s="5" t="s">
        <v>255</v>
      </c>
      <c r="H116" s="5" t="s">
        <v>181</v>
      </c>
      <c r="I116" s="5" t="s">
        <v>271</v>
      </c>
      <c r="J116" s="5" t="s">
        <v>268</v>
      </c>
      <c r="K116" s="5" t="s">
        <v>355</v>
      </c>
      <c r="L116" s="8" t="s">
        <v>199</v>
      </c>
      <c r="M116" s="8" t="s">
        <v>199</v>
      </c>
      <c r="N116" s="5">
        <v>2050</v>
      </c>
      <c r="O116" s="5">
        <v>5300</v>
      </c>
      <c r="P116" s="5">
        <f>(281800.94/39440000)*40049519</f>
        <v>286155.98632727843</v>
      </c>
      <c r="Q116" s="5">
        <f>Tableau1[[#This Row],[n_prev]]/Tableau1[[#This Row],[n_death]]</f>
        <v>1.8521366853176211E-2</v>
      </c>
      <c r="R116" s="5"/>
      <c r="S116" s="5"/>
      <c r="T116" s="5"/>
      <c r="U116" s="5"/>
      <c r="V116" s="4" t="s">
        <v>258</v>
      </c>
      <c r="W116" s="4" t="s">
        <v>270</v>
      </c>
    </row>
    <row r="117" spans="1:25" ht="28.8" x14ac:dyDescent="0.3">
      <c r="A117" s="5" t="s">
        <v>87</v>
      </c>
      <c r="B117" s="5" t="s">
        <v>86</v>
      </c>
      <c r="C117" s="4" t="s">
        <v>68</v>
      </c>
      <c r="D117" s="4" t="s">
        <v>74</v>
      </c>
      <c r="E117" s="5">
        <v>39.4</v>
      </c>
      <c r="F117" s="4">
        <v>42</v>
      </c>
      <c r="G117" s="5" t="s">
        <v>254</v>
      </c>
      <c r="H117" s="5" t="s">
        <v>181</v>
      </c>
      <c r="I117" s="5" t="s">
        <v>271</v>
      </c>
      <c r="J117" s="5" t="s">
        <v>268</v>
      </c>
      <c r="K117" s="5" t="s">
        <v>355</v>
      </c>
      <c r="L117" s="8" t="s">
        <v>199</v>
      </c>
      <c r="M117" s="8" t="s">
        <v>199</v>
      </c>
      <c r="N117" s="5">
        <v>2050</v>
      </c>
      <c r="O117" s="5">
        <v>6100</v>
      </c>
      <c r="P117" s="5">
        <f>(281800.94/39440000)*40049519</f>
        <v>286155.98632727843</v>
      </c>
      <c r="Q117" s="5">
        <f>Tableau1[[#This Row],[n_prev]]/Tableau1[[#This Row],[n_death]]</f>
        <v>2.1317044868749978E-2</v>
      </c>
      <c r="R117" s="5"/>
      <c r="S117" s="5"/>
      <c r="T117" s="5"/>
      <c r="U117" s="5"/>
      <c r="V117" s="4" t="s">
        <v>258</v>
      </c>
      <c r="W117" s="4" t="s">
        <v>270</v>
      </c>
    </row>
    <row r="118" spans="1:25" ht="147.6" customHeight="1" x14ac:dyDescent="0.3">
      <c r="A118" s="33" t="s">
        <v>44</v>
      </c>
      <c r="B118" s="46" t="s">
        <v>15</v>
      </c>
      <c r="C118" s="66" t="s">
        <v>29</v>
      </c>
      <c r="D118" s="66" t="s">
        <v>29</v>
      </c>
      <c r="E118" s="65">
        <v>37.99</v>
      </c>
      <c r="F118" s="80">
        <v>39</v>
      </c>
      <c r="G118" s="65" t="s">
        <v>233</v>
      </c>
      <c r="H118" s="65" t="s">
        <v>119</v>
      </c>
      <c r="I118" s="5" t="s">
        <v>271</v>
      </c>
      <c r="J118" s="65" t="s">
        <v>234</v>
      </c>
      <c r="K118" s="33" t="s">
        <v>355</v>
      </c>
      <c r="L118" s="80" t="s">
        <v>199</v>
      </c>
      <c r="M118" s="80" t="s">
        <v>199</v>
      </c>
      <c r="N118" s="65">
        <v>2050</v>
      </c>
      <c r="O118" s="65">
        <f>Tableau1[[#This Row],[yll]]/Tableau1[[#This Row],[conversion_factor]]</f>
        <v>2545.3794856929521</v>
      </c>
      <c r="P118" s="33">
        <v>489530</v>
      </c>
      <c r="Q118" s="33">
        <f>Tableau1[[#This Row],[n_prev]]/Tableau1[[#This Row],[n_death]]</f>
        <v>5.1996394208586854E-3</v>
      </c>
      <c r="R118" s="33">
        <v>13.41961</v>
      </c>
      <c r="S118" s="65"/>
      <c r="T118" s="65">
        <f>218415-184257</f>
        <v>34158</v>
      </c>
      <c r="U118" s="65" t="s">
        <v>237</v>
      </c>
      <c r="V118" s="4" t="s">
        <v>257</v>
      </c>
      <c r="W118" s="4" t="s">
        <v>270</v>
      </c>
      <c r="X118" s="84"/>
    </row>
    <row r="119" spans="1:25" ht="147.6" customHeight="1" x14ac:dyDescent="0.3">
      <c r="A119" s="33" t="s">
        <v>44</v>
      </c>
      <c r="B119" s="46" t="s">
        <v>15</v>
      </c>
      <c r="C119" s="66" t="s">
        <v>29</v>
      </c>
      <c r="D119" s="66" t="s">
        <v>29</v>
      </c>
      <c r="E119" s="65">
        <v>37.99</v>
      </c>
      <c r="F119" s="80">
        <v>39</v>
      </c>
      <c r="G119" s="65" t="s">
        <v>232</v>
      </c>
      <c r="H119" s="65" t="s">
        <v>119</v>
      </c>
      <c r="I119" s="5" t="s">
        <v>271</v>
      </c>
      <c r="J119" s="65" t="s">
        <v>234</v>
      </c>
      <c r="K119" s="65" t="s">
        <v>355</v>
      </c>
      <c r="L119" s="80" t="s">
        <v>199</v>
      </c>
      <c r="M119" s="80" t="s">
        <v>199</v>
      </c>
      <c r="N119" s="65">
        <v>2050</v>
      </c>
      <c r="O119" s="65"/>
      <c r="P119" s="65"/>
      <c r="Q119" s="33"/>
      <c r="R119" s="65"/>
      <c r="S119" s="65"/>
      <c r="T119" s="65"/>
      <c r="U119" s="65" t="s">
        <v>236</v>
      </c>
      <c r="V119" s="4" t="s">
        <v>257</v>
      </c>
      <c r="W119" s="4" t="s">
        <v>271</v>
      </c>
      <c r="X119" s="84"/>
    </row>
    <row r="120" spans="1:25" ht="147.6" customHeight="1" x14ac:dyDescent="0.3">
      <c r="A120" s="33" t="s">
        <v>44</v>
      </c>
      <c r="B120" s="46" t="s">
        <v>15</v>
      </c>
      <c r="C120" s="66" t="s">
        <v>29</v>
      </c>
      <c r="D120" s="66" t="s">
        <v>29</v>
      </c>
      <c r="E120" s="65">
        <v>37.99</v>
      </c>
      <c r="F120" s="80">
        <v>39</v>
      </c>
      <c r="G120" s="65" t="s">
        <v>231</v>
      </c>
      <c r="H120" s="33" t="s">
        <v>119</v>
      </c>
      <c r="I120" s="5" t="s">
        <v>271</v>
      </c>
      <c r="J120" s="65" t="s">
        <v>234</v>
      </c>
      <c r="K120" s="65" t="s">
        <v>355</v>
      </c>
      <c r="L120" s="80" t="s">
        <v>199</v>
      </c>
      <c r="M120" s="80" t="s">
        <v>199</v>
      </c>
      <c r="N120" s="65">
        <v>2050</v>
      </c>
      <c r="O120" s="65"/>
      <c r="P120" s="65"/>
      <c r="Q120" s="33"/>
      <c r="R120" s="65"/>
      <c r="S120" s="65"/>
      <c r="T120" s="65"/>
      <c r="U120" s="65" t="s">
        <v>235</v>
      </c>
      <c r="V120" s="4" t="s">
        <v>257</v>
      </c>
      <c r="W120" s="4" t="s">
        <v>271</v>
      </c>
      <c r="X120" s="84"/>
    </row>
    <row r="121" spans="1:25" ht="147.6" customHeight="1" x14ac:dyDescent="0.3">
      <c r="A121" s="5" t="s">
        <v>76</v>
      </c>
      <c r="B121" s="99" t="s">
        <v>75</v>
      </c>
      <c r="C121" s="4" t="s">
        <v>29</v>
      </c>
      <c r="D121" s="4" t="s">
        <v>29</v>
      </c>
      <c r="E121" s="5">
        <v>37.97</v>
      </c>
      <c r="F121" s="4">
        <v>40</v>
      </c>
      <c r="G121" s="5" t="s">
        <v>227</v>
      </c>
      <c r="H121" s="5" t="s">
        <v>181</v>
      </c>
      <c r="I121" s="5" t="s">
        <v>271</v>
      </c>
      <c r="J121" s="57" t="s">
        <v>185</v>
      </c>
      <c r="K121" s="57" t="s">
        <v>185</v>
      </c>
      <c r="L121" s="8" t="s">
        <v>199</v>
      </c>
      <c r="M121" s="8" t="s">
        <v>199</v>
      </c>
      <c r="N121" s="5">
        <v>2050</v>
      </c>
      <c r="O121" s="5">
        <f>Tableau1[[#This Row],[yll]]/Tableau1[[#This Row],[conversion_factor]]</f>
        <v>81.298934916886552</v>
      </c>
      <c r="P121" s="33">
        <v>489530</v>
      </c>
      <c r="Q121" s="33">
        <f>Tableau1[[#This Row],[n_prev]]/Tableau1[[#This Row],[n_death]]</f>
        <v>1.6607549060708549E-4</v>
      </c>
      <c r="R121" s="33">
        <v>13.41961</v>
      </c>
      <c r="S121" s="5"/>
      <c r="T121" s="5">
        <f>1200-109</f>
        <v>1091</v>
      </c>
      <c r="U121" s="5" t="s">
        <v>230</v>
      </c>
      <c r="V121" s="4" t="s">
        <v>257</v>
      </c>
      <c r="W121" s="4" t="s">
        <v>270</v>
      </c>
      <c r="X121" s="84"/>
      <c r="Y121" s="84"/>
    </row>
    <row r="122" spans="1:25" ht="26.4" x14ac:dyDescent="0.3">
      <c r="A122" s="5" t="s">
        <v>76</v>
      </c>
      <c r="B122" s="99" t="s">
        <v>75</v>
      </c>
      <c r="C122" s="4" t="s">
        <v>29</v>
      </c>
      <c r="D122" s="4" t="s">
        <v>29</v>
      </c>
      <c r="E122" s="5">
        <v>37.97</v>
      </c>
      <c r="F122" s="4">
        <v>40</v>
      </c>
      <c r="G122" s="5" t="s">
        <v>228</v>
      </c>
      <c r="H122" s="5" t="s">
        <v>181</v>
      </c>
      <c r="I122" s="5" t="s">
        <v>271</v>
      </c>
      <c r="J122" s="57" t="s">
        <v>185</v>
      </c>
      <c r="K122" s="57" t="s">
        <v>185</v>
      </c>
      <c r="L122" s="8" t="s">
        <v>199</v>
      </c>
      <c r="M122" s="8" t="s">
        <v>199</v>
      </c>
      <c r="N122" s="5">
        <v>2050</v>
      </c>
      <c r="O122" s="5">
        <f>Tableau1[[#This Row],[yll]]/Tableau1[[#This Row],[conversion_factor]]</f>
        <v>84.354165284982201</v>
      </c>
      <c r="P122" s="33">
        <v>489530</v>
      </c>
      <c r="Q122" s="33">
        <f>Tableau1[[#This Row],[n_prev]]/Tableau1[[#This Row],[n_death]]</f>
        <v>1.7231664103319961E-4</v>
      </c>
      <c r="R122" s="33">
        <v>13.41961</v>
      </c>
      <c r="S122" s="5"/>
      <c r="T122" s="5">
        <f>1200-68</f>
        <v>1132</v>
      </c>
      <c r="U122" s="5" t="s">
        <v>229</v>
      </c>
      <c r="V122" s="4" t="s">
        <v>257</v>
      </c>
      <c r="W122" s="4" t="s">
        <v>270</v>
      </c>
      <c r="X122" s="84"/>
      <c r="Y122" s="84"/>
    </row>
    <row r="123" spans="1:25" ht="43.2" x14ac:dyDescent="0.3">
      <c r="A123" s="83" t="s">
        <v>361</v>
      </c>
      <c r="B123" s="83" t="s">
        <v>362</v>
      </c>
      <c r="C123" s="4" t="s">
        <v>25</v>
      </c>
      <c r="D123" s="8" t="s">
        <v>25</v>
      </c>
      <c r="E123" s="10"/>
      <c r="F123" s="4"/>
      <c r="G123" s="10"/>
      <c r="H123" s="5" t="s">
        <v>181</v>
      </c>
      <c r="I123" s="39" t="s">
        <v>271</v>
      </c>
      <c r="J123" s="10" t="s">
        <v>272</v>
      </c>
      <c r="K123" t="s">
        <v>272</v>
      </c>
      <c r="L123" s="10" t="s">
        <v>199</v>
      </c>
      <c r="M123" s="8" t="s">
        <v>199</v>
      </c>
      <c r="N123" s="10">
        <v>2100</v>
      </c>
      <c r="O123" s="10"/>
      <c r="P123" s="10"/>
      <c r="Q123" s="10"/>
      <c r="R123" s="39"/>
      <c r="S123" s="39"/>
      <c r="T123" s="39"/>
      <c r="U123" s="39"/>
      <c r="V123" s="4" t="s">
        <v>257</v>
      </c>
      <c r="W123" s="4" t="s">
        <v>271</v>
      </c>
    </row>
    <row r="124" spans="1:25" ht="72" x14ac:dyDescent="0.3">
      <c r="A124" s="83" t="s">
        <v>363</v>
      </c>
      <c r="B124" s="83" t="s">
        <v>364</v>
      </c>
      <c r="C124" s="4" t="s">
        <v>365</v>
      </c>
      <c r="D124" s="4" t="s">
        <v>365</v>
      </c>
      <c r="E124" s="5"/>
      <c r="F124" s="8"/>
      <c r="G124" s="5" t="s">
        <v>366</v>
      </c>
      <c r="H124" s="5" t="s">
        <v>119</v>
      </c>
      <c r="I124" s="33" t="s">
        <v>271</v>
      </c>
      <c r="J124" s="5" t="s">
        <v>185</v>
      </c>
      <c r="K124" s="5" t="s">
        <v>185</v>
      </c>
      <c r="L124" s="10" t="s">
        <v>199</v>
      </c>
      <c r="M124" s="8" t="s">
        <v>199</v>
      </c>
      <c r="N124" s="5">
        <v>2050</v>
      </c>
      <c r="O124" s="5">
        <f>63500-35500</f>
        <v>28000</v>
      </c>
      <c r="P124" s="5"/>
      <c r="Q124" s="5"/>
      <c r="R124" s="33"/>
      <c r="S124" s="33"/>
      <c r="T124" s="33"/>
      <c r="U124" s="33"/>
      <c r="V124" s="4" t="s">
        <v>257</v>
      </c>
      <c r="W124" s="8" t="s">
        <v>271</v>
      </c>
    </row>
    <row r="125" spans="1:25" ht="72" x14ac:dyDescent="0.3">
      <c r="A125" s="83" t="s">
        <v>363</v>
      </c>
      <c r="B125" s="83" t="s">
        <v>364</v>
      </c>
      <c r="C125" s="4" t="s">
        <v>365</v>
      </c>
      <c r="D125" s="4" t="s">
        <v>365</v>
      </c>
      <c r="E125" s="5"/>
      <c r="F125" s="4"/>
      <c r="G125" s="5" t="s">
        <v>367</v>
      </c>
      <c r="H125" s="5" t="s">
        <v>119</v>
      </c>
      <c r="I125" s="33" t="s">
        <v>271</v>
      </c>
      <c r="J125" s="5" t="s">
        <v>185</v>
      </c>
      <c r="K125" s="5" t="s">
        <v>185</v>
      </c>
      <c r="L125" s="10" t="s">
        <v>199</v>
      </c>
      <c r="M125" s="8" t="s">
        <v>199</v>
      </c>
      <c r="N125" s="5">
        <v>2050</v>
      </c>
      <c r="O125" s="5">
        <f>63500-20600</f>
        <v>42900</v>
      </c>
      <c r="P125" s="5"/>
      <c r="Q125" s="5"/>
      <c r="R125" s="33"/>
      <c r="S125" s="33"/>
      <c r="T125" s="33"/>
      <c r="U125" s="33"/>
      <c r="V125" s="4" t="s">
        <v>257</v>
      </c>
      <c r="W125" s="4" t="s">
        <v>271</v>
      </c>
    </row>
    <row r="126" spans="1:25" ht="57.6" x14ac:dyDescent="0.3">
      <c r="A126" s="83" t="s">
        <v>368</v>
      </c>
      <c r="B126" s="83" t="s">
        <v>369</v>
      </c>
      <c r="C126" s="4" t="s">
        <v>370</v>
      </c>
      <c r="D126" s="4" t="s">
        <v>370</v>
      </c>
      <c r="E126" s="10"/>
      <c r="F126" s="4"/>
      <c r="G126" s="10" t="s">
        <v>125</v>
      </c>
      <c r="H126" s="10" t="s">
        <v>181</v>
      </c>
      <c r="I126" s="39" t="s">
        <v>271</v>
      </c>
      <c r="J126" s="10" t="s">
        <v>272</v>
      </c>
      <c r="K126" s="10" t="s">
        <v>272</v>
      </c>
      <c r="L126" s="10" t="s">
        <v>199</v>
      </c>
      <c r="M126" s="10" t="s">
        <v>199</v>
      </c>
      <c r="N126" s="10"/>
      <c r="O126" s="10"/>
      <c r="P126" s="10"/>
      <c r="Q126" s="10"/>
      <c r="R126" s="39"/>
      <c r="S126" s="39"/>
      <c r="T126" s="39"/>
      <c r="U126" s="39"/>
      <c r="V126" s="4" t="s">
        <v>258</v>
      </c>
      <c r="W126" s="4" t="s">
        <v>271</v>
      </c>
    </row>
    <row r="127" spans="1:25" ht="57.6" x14ac:dyDescent="0.3">
      <c r="A127" s="83" t="s">
        <v>371</v>
      </c>
      <c r="B127" s="83" t="s">
        <v>372</v>
      </c>
      <c r="C127" s="4" t="s">
        <v>27</v>
      </c>
      <c r="D127" t="s">
        <v>27</v>
      </c>
      <c r="E127" s="10"/>
      <c r="F127" s="4"/>
      <c r="G127" s="10" t="s">
        <v>373</v>
      </c>
      <c r="H127" s="10" t="s">
        <v>181</v>
      </c>
      <c r="I127" s="39" t="s">
        <v>271</v>
      </c>
      <c r="J127" s="10" t="s">
        <v>272</v>
      </c>
      <c r="K127" s="10" t="s">
        <v>272</v>
      </c>
      <c r="L127" s="10" t="s">
        <v>199</v>
      </c>
      <c r="M127" s="10" t="s">
        <v>199</v>
      </c>
      <c r="N127" s="10"/>
      <c r="O127" s="10"/>
      <c r="P127" s="10"/>
      <c r="Q127" s="10"/>
      <c r="R127" s="39"/>
      <c r="S127" s="39"/>
      <c r="T127" s="39"/>
      <c r="U127" s="39"/>
      <c r="V127" s="4" t="s">
        <v>257</v>
      </c>
      <c r="W127" s="4" t="s">
        <v>271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308</v>
      </c>
      <c r="E1" s="83" t="s">
        <v>95</v>
      </c>
      <c r="F1" s="83" t="s">
        <v>96</v>
      </c>
      <c r="G1" s="83" t="s">
        <v>117</v>
      </c>
      <c r="H1" s="83" t="s">
        <v>118</v>
      </c>
      <c r="I1" s="83" t="s">
        <v>183</v>
      </c>
      <c r="J1" s="83" t="s">
        <v>244</v>
      </c>
      <c r="K1" s="83" t="s">
        <v>197</v>
      </c>
      <c r="L1" s="83" t="s">
        <v>261</v>
      </c>
      <c r="M1" s="83" t="s">
        <v>124</v>
      </c>
      <c r="N1" s="83" t="s">
        <v>182</v>
      </c>
      <c r="O1" s="83" t="s">
        <v>109</v>
      </c>
      <c r="P1" s="83" t="s">
        <v>110</v>
      </c>
      <c r="Q1" s="83" t="s">
        <v>245</v>
      </c>
      <c r="R1" s="83" t="s">
        <v>207</v>
      </c>
      <c r="S1" s="83" t="s">
        <v>206</v>
      </c>
      <c r="T1" s="83" t="s">
        <v>249</v>
      </c>
      <c r="U1" s="83" t="s">
        <v>217</v>
      </c>
      <c r="V1" s="83" t="s">
        <v>260</v>
      </c>
      <c r="W1" s="83" t="s">
        <v>269</v>
      </c>
    </row>
    <row r="2" spans="1:23" s="83" customFormat="1" ht="144" x14ac:dyDescent="0.3">
      <c r="A2" s="83" t="s">
        <v>313</v>
      </c>
      <c r="B2" s="83" t="s">
        <v>314</v>
      </c>
      <c r="C2" s="83" t="s">
        <v>315</v>
      </c>
      <c r="D2" s="83" t="s">
        <v>315</v>
      </c>
      <c r="E2" s="83" t="s">
        <v>316</v>
      </c>
      <c r="F2" s="83" t="s">
        <v>317</v>
      </c>
      <c r="G2" s="83" t="s">
        <v>319</v>
      </c>
      <c r="H2" s="83" t="s">
        <v>320</v>
      </c>
      <c r="I2" s="83" t="s">
        <v>318</v>
      </c>
      <c r="J2" s="83" t="s">
        <v>321</v>
      </c>
      <c r="K2" s="83" t="s">
        <v>322</v>
      </c>
      <c r="L2" s="83" t="s">
        <v>323</v>
      </c>
      <c r="M2" s="83" t="s">
        <v>324</v>
      </c>
      <c r="N2" s="83" t="s">
        <v>325</v>
      </c>
      <c r="O2" s="83" t="s">
        <v>326</v>
      </c>
      <c r="P2" s="83" t="s">
        <v>327</v>
      </c>
      <c r="Q2" s="83" t="s">
        <v>328</v>
      </c>
      <c r="R2" s="83" t="s">
        <v>329</v>
      </c>
      <c r="S2" s="83" t="s">
        <v>331</v>
      </c>
      <c r="T2" s="83" t="s">
        <v>330</v>
      </c>
      <c r="U2" s="83" t="s">
        <v>332</v>
      </c>
      <c r="V2" s="83" t="s">
        <v>333</v>
      </c>
      <c r="W2" s="83" t="s">
        <v>334</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2024-09-02T11:18:54Z</dcterms:modified>
</cp:coreProperties>
</file>