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8328"/>
  </bookViews>
  <sheets>
    <sheet name="Feuil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84" i="1" l="1"/>
  <c r="S98" i="1"/>
  <c r="S27" i="1"/>
  <c r="S34" i="1"/>
  <c r="S28" i="1"/>
  <c r="S35" i="1"/>
  <c r="S36" i="1"/>
  <c r="S29" i="1"/>
  <c r="S30" i="1"/>
  <c r="S31" i="1"/>
  <c r="T100" i="1"/>
  <c r="T96" i="1"/>
  <c r="T97" i="1"/>
  <c r="T98" i="1"/>
  <c r="T99" i="1"/>
  <c r="T87" i="1"/>
  <c r="S85" i="1"/>
  <c r="T81" i="1"/>
  <c r="T82" i="1"/>
  <c r="T80" i="1"/>
  <c r="T70" i="1"/>
  <c r="T72" i="1"/>
  <c r="T68" i="1"/>
  <c r="T66" i="1"/>
  <c r="T5" i="1"/>
  <c r="S38" i="1"/>
  <c r="S33" i="1"/>
  <c r="S32" i="1"/>
  <c r="T3" i="1"/>
  <c r="T4" i="1"/>
  <c r="T6" i="1"/>
  <c r="S2" i="1"/>
  <c r="T2" i="1"/>
  <c r="O98" i="1" l="1"/>
  <c r="M93" i="1"/>
  <c r="M92" i="1"/>
  <c r="M91" i="1"/>
  <c r="K62" i="1" l="1"/>
  <c r="K64" i="1"/>
  <c r="K67" i="1" l="1"/>
  <c r="K68" i="1"/>
  <c r="M68" i="1"/>
  <c r="K89" i="1"/>
  <c r="M89" i="1" s="1"/>
  <c r="K88" i="1"/>
  <c r="M88" i="1" s="1"/>
  <c r="K72" i="1"/>
  <c r="K71" i="1"/>
  <c r="M71" i="1" s="1"/>
  <c r="K70" i="1"/>
  <c r="M70" i="1" s="1"/>
  <c r="M87" i="1"/>
  <c r="M45" i="1"/>
  <c r="M20" i="1"/>
  <c r="M21" i="1"/>
  <c r="M4" i="1"/>
  <c r="M5" i="1"/>
  <c r="M6" i="1"/>
  <c r="K18" i="1" l="1"/>
  <c r="K7" i="1"/>
  <c r="M66" i="1"/>
  <c r="M46" i="1"/>
  <c r="M51" i="1"/>
  <c r="M12" i="1"/>
  <c r="M13" i="1"/>
  <c r="M15" i="1"/>
  <c r="M16" i="1"/>
  <c r="M11" i="1"/>
  <c r="M14" i="1"/>
  <c r="M37" i="1"/>
  <c r="M17" i="1"/>
  <c r="M54" i="1" l="1"/>
  <c r="M55" i="1"/>
  <c r="M56" i="1"/>
  <c r="M52" i="1"/>
  <c r="M53" i="1"/>
  <c r="K50" i="1" l="1"/>
  <c r="M50" i="1" s="1"/>
  <c r="K48" i="1"/>
  <c r="M48" i="1" s="1"/>
  <c r="K49" i="1"/>
  <c r="M49" i="1" s="1"/>
  <c r="K47" i="1"/>
  <c r="M47" i="1" s="1"/>
  <c r="K41" i="1" l="1"/>
  <c r="M41" i="1" s="1"/>
  <c r="K40" i="1"/>
  <c r="M40" i="1" s="1"/>
  <c r="K39" i="1"/>
  <c r="M39" i="1" s="1"/>
  <c r="K44" i="1"/>
  <c r="M44" i="1" s="1"/>
  <c r="K43" i="1"/>
  <c r="M43" i="1" s="1"/>
  <c r="K42" i="1"/>
  <c r="M42" i="1" s="1"/>
  <c r="M81" i="1"/>
  <c r="M82" i="1"/>
  <c r="K77" i="1"/>
  <c r="M77" i="1" s="1"/>
  <c r="K76" i="1"/>
  <c r="M76" i="1" s="1"/>
  <c r="K73" i="1"/>
  <c r="M73" i="1" s="1"/>
  <c r="K74" i="1"/>
  <c r="M74" i="1" s="1"/>
  <c r="K75" i="1"/>
  <c r="M75" i="1" s="1"/>
  <c r="K78" i="1"/>
  <c r="M78" i="1" s="1"/>
  <c r="M63" i="1"/>
  <c r="M61" i="1"/>
  <c r="M64" i="1"/>
  <c r="M62" i="1"/>
  <c r="M60" i="1" l="1"/>
  <c r="M57" i="1"/>
  <c r="M59" i="1"/>
  <c r="M58" i="1"/>
  <c r="M18" i="1" l="1"/>
  <c r="M7" i="1" l="1"/>
  <c r="M72" i="1"/>
  <c r="M80" i="1"/>
  <c r="M67" i="1"/>
  <c r="M3" i="1"/>
  <c r="M2" i="1"/>
</calcChain>
</file>

<file path=xl/sharedStrings.xml><?xml version="1.0" encoding="utf-8"?>
<sst xmlns="http://schemas.openxmlformats.org/spreadsheetml/2006/main" count="826" uniqueCount="353">
  <si>
    <t>The public health implications of the Paris Agreement: a modelling study</t>
  </si>
  <si>
    <t>Impact on mortality of pathways to net zero greenhouse gas emissions in England and Wales: a multisectoral modelling study</t>
  </si>
  <si>
    <t>Incorporating health co-benefits into technology pathways to achieve China's 2060 carbon neutrality goal: a modelling study</t>
  </si>
  <si>
    <t>Air Quality and Health Cobenefits of Different Deep Decarbonization Pathways in California</t>
  </si>
  <si>
    <t>Health co-benefits of achieving sustainable net-zero greenhouse gas emissions in California</t>
  </si>
  <si>
    <t>Assessing the Health Benefits of Physical Activity Due to Active Commuting in a French Energy Transition Scenario</t>
  </si>
  <si>
    <t>Role of climate goals and clean-air policies on reducing future air pollution deaths in China: a modelling study</t>
  </si>
  <si>
    <t>Health co-benefits from air pollution and mitigation costs of the Paris Agreement: a modelling study</t>
  </si>
  <si>
    <t>Air quality co-benefits for human health and agriculture counterbalance costs to meet Paris Agreement pledges</t>
  </si>
  <si>
    <t>Comprehensive impact assessment of carbon neutral pathways and air pollution control policies in Shaanxi Province of China</t>
  </si>
  <si>
    <t>Air quality and health implications of 1.5 °C–2 °C climate pathways under considerations of ageing population: a multi-model scenario analysis</t>
  </si>
  <si>
    <t>The Lancet Countdown on health benefits from the UK Climate Change Act: a modelling study for Great Britain</t>
  </si>
  <si>
    <t>Ambient Air Quality Synergies with a 2050 Carbon Neutrality Pathway in South Korea</t>
  </si>
  <si>
    <t>Air quality and health co-benefits of China’s carbon dioxide emissions peaking before 2030</t>
  </si>
  <si>
    <t>Co-benefits of deep carbon reduction on air quality and health improvement in Sichuan Province of China</t>
  </si>
  <si>
    <t>The Double Dividend of International Cooperation for Climate Mitigation Cost Effectiveness and Public Health Cobenefits</t>
  </si>
  <si>
    <t>Health impacts of fine particles under climate change mitigation, air quality control, and demographic change in India</t>
  </si>
  <si>
    <t>The Impact of Decarbonization Scenarios on Air Quality and Human Health in Poland—Analysis of Scenarios up to 2050</t>
  </si>
  <si>
    <t>Quantifying the reductions in mortality from air-pollution by cancelling new coal power plants</t>
  </si>
  <si>
    <t>Projecting the impact of air pollution on child stunting in India—synergies and trade-offs between climate change mitigation, ambient air quality control, and clean cooking access</t>
  </si>
  <si>
    <t>Internalising health-economic impacts of air pollution into climate policy: a global modelling study</t>
  </si>
  <si>
    <t>Health co-benefits and mitigation costs as per the Paris Agreement under different technological pathways for energy supply</t>
  </si>
  <si>
    <t>Estimating health co-benefits of climate policies in China: An application of the Regional Emissions-Air quality-Climate-Health (REACH) framework</t>
  </si>
  <si>
    <t>Estimating future PM2.5-attributed acute myocardial infarction incident cases under climate mitigation and population change scenarios in Shandong Province, China</t>
  </si>
  <si>
    <t>Environmental and Health Co-Benefits of Coal Regulation under the Carbon Neutral Target: A Case Study in Anhui Province, China</t>
  </si>
  <si>
    <t>title</t>
  </si>
  <si>
    <t>France</t>
  </si>
  <si>
    <t>World</t>
  </si>
  <si>
    <t>India</t>
  </si>
  <si>
    <t>China</t>
  </si>
  <si>
    <t>United Kingdom</t>
  </si>
  <si>
    <t>Poland</t>
  </si>
  <si>
    <t>South Korea</t>
  </si>
  <si>
    <t>100% Clean and Renewable Wind, Water, and Sunlight All-Sector Energy Roadmaps for 139 Countries of the World</t>
  </si>
  <si>
    <t>author_date</t>
  </si>
  <si>
    <t>Milner, 2023</t>
  </si>
  <si>
    <t>Hamilton, 2021</t>
  </si>
  <si>
    <t>Zhao, 2019</t>
  </si>
  <si>
    <t>Wang, 2020</t>
  </si>
  <si>
    <t>Barban, 2022</t>
  </si>
  <si>
    <t>Liu, 2022</t>
  </si>
  <si>
    <t>Markandya, 2018</t>
  </si>
  <si>
    <t>Vandyck, 2018</t>
  </si>
  <si>
    <t>Lin, 2023</t>
  </si>
  <si>
    <t>Rafaj, 2021</t>
  </si>
  <si>
    <t>Phillips, 2021</t>
  </si>
  <si>
    <t>Wang, 2023</t>
  </si>
  <si>
    <t>Zysk, 2020</t>
  </si>
  <si>
    <t>Sampedro, 2021</t>
  </si>
  <si>
    <t>Dimitrova, 2022</t>
  </si>
  <si>
    <t>Reis, 2022</t>
  </si>
  <si>
    <t>Sampedro, 2020</t>
  </si>
  <si>
    <t>Tang, 2022</t>
  </si>
  <si>
    <t>Qu, 2020</t>
  </si>
  <si>
    <t>Ma, 2023</t>
  </si>
  <si>
    <t>Xie, 2021</t>
  </si>
  <si>
    <t>Jacobson, 2017</t>
  </si>
  <si>
    <t>The Lancet Countdown on PM2·5 pollution-related health impacts of China’s projected carbon dioxide mitigation in the electric power generation sector under the Paris Agreement: a modelling study</t>
  </si>
  <si>
    <t>Cai, 2018</t>
  </si>
  <si>
    <t>Energy demand, emission reduction and health co-benefits evaluated in transitional China in a 2 _x0001_C warming world</t>
  </si>
  <si>
    <t>Chen, 2020</t>
  </si>
  <si>
    <t>Scenarios of demographic distributional aspects of health co-benefits from decarbonising urban transport</t>
  </si>
  <si>
    <t>Lu, 2022</t>
  </si>
  <si>
    <t>Brazil, China, Germany, India, Indonesia, Nigeria, South Africa, the UK, and the USA</t>
  </si>
  <si>
    <t>139 countries</t>
  </si>
  <si>
    <t>Shaanxi, China</t>
  </si>
  <si>
    <t>Beijing, China</t>
  </si>
  <si>
    <t>Shandong, China</t>
  </si>
  <si>
    <t>England and Wales</t>
  </si>
  <si>
    <t>Bangladesh, Cambodia, China, India, Indonesia, Iran, Japan, Laos, Malaysia, Mongolia, Nepal, Pakistan, Philippines, Korea, Thaïland, Vietnam</t>
  </si>
  <si>
    <t>World: China, EU-27, India, USA, rest of the world (ROW)</t>
  </si>
  <si>
    <t>Geographical scale</t>
  </si>
  <si>
    <t>California, USA</t>
  </si>
  <si>
    <t>Williams, 2018</t>
  </si>
  <si>
    <t>Anhui, China</t>
  </si>
  <si>
    <t>Sichuan, China</t>
  </si>
  <si>
    <t>Temporal and spatial distribution of health, labor,and crop benefits of climate change mitigation inthe United States</t>
  </si>
  <si>
    <t>Shindell, 2020</t>
  </si>
  <si>
    <t>USA</t>
  </si>
  <si>
    <t>The Health Impact and External Cost of Electricity Production</t>
  </si>
  <si>
    <t>Zysk, 2021</t>
  </si>
  <si>
    <t>Xing, 2020</t>
  </si>
  <si>
    <t>Nawaz, 2022</t>
  </si>
  <si>
    <t>A Source Apportionment and Emission Scenario Assessment of PM2.5- and O3-Related Health Impacts in G20 Countries</t>
  </si>
  <si>
    <t>The quest for improved air quality may push China tocontinue its CO2reduction beyond theParis Commitment</t>
  </si>
  <si>
    <t>41 countries: Argentina, Australia, Austria, Belgium, Bulgaria, Brazil, Canada, China, Cyprus, Czech Republic, Germany, Denmark, Spain, Estonia, Finland, France, United Kingdom, Greece, Croatia, Hungary, Indonesia, India, Ireland, Italy, Japan, South Korea, Lithuania, Luxembourg, Latvia, Mexico, Malta, Netherlands, Poland, Portugal, Romania, Russia, Saudi Arabia, Slovakia, Slovenia, Sweden, Turkey</t>
  </si>
  <si>
    <t>Synergies of carbon neutrality, air pollution control, and health improvement — a case study of China Energy Interconnection scenario</t>
  </si>
  <si>
    <t>Shen, 2022</t>
  </si>
  <si>
    <t>Paris Agreement's Ambiguity About Aerosols Drives Uncertain Health and Climate Outcomes</t>
  </si>
  <si>
    <t>Polonik, 2021</t>
  </si>
  <si>
    <t>Decarbonization will lead to more equitable air quality in California</t>
  </si>
  <si>
    <t>Zhu, 2022</t>
  </si>
  <si>
    <t>Effect of China’s energy conservation efforts on reducing health damage</t>
  </si>
  <si>
    <t>Yang, 2019</t>
  </si>
  <si>
    <t>Climate policies can help resolve energy security and air pollution challenges</t>
  </si>
  <si>
    <t>McCollum, 2013</t>
  </si>
  <si>
    <t>Ozone-related Co-benefits of China’s Climate mitigation Policy</t>
  </si>
  <si>
    <t>Wang, 2022</t>
  </si>
  <si>
    <t>Air quality co-benefits of ratcheting up the NDCs</t>
  </si>
  <si>
    <t>Rauner, 2020</t>
  </si>
  <si>
    <t>Anticipated burden and mitigation of carbondioxide-induced nutritional deficiencies and related diseases</t>
  </si>
  <si>
    <t>Weyant, 2018</t>
  </si>
  <si>
    <t>Population included at baseline (million), banque mondiale</t>
  </si>
  <si>
    <t>rank_pop</t>
  </si>
  <si>
    <t>The contribution of emission sources to the future air pollution disease burden in China</t>
  </si>
  <si>
    <t>Conibear, 2022</t>
  </si>
  <si>
    <t>A tale of two cities: Comparison of impacts on CO2 emissions, the indoor environment and health of home energy efficiency strategies in London and Milton Keynes</t>
  </si>
  <si>
    <t>Shrubsole, 2015</t>
  </si>
  <si>
    <t>London &amp; Milton keynes, UK</t>
  </si>
  <si>
    <t>Decarbonizing urban transport in European cities: four cases show possibly high co-benefits</t>
  </si>
  <si>
    <t>Creutzig, 2012</t>
  </si>
  <si>
    <t>Barcelona, Freiburg, Malmö, Sofia</t>
  </si>
  <si>
    <t>Analyzing transformation pathways to a sustainable European energy system—Internalization of health damage costs caused by air pollution</t>
  </si>
  <si>
    <t>Schmid, 2019</t>
  </si>
  <si>
    <t>Austria, France, Italy, Portugal, Spain, United Kingdom Belgium, Germany, Luxembourg,Netherlands Denmark, Finland, Ireland, Sweden Czech Republic, Poland Bulgaria, Croatia, Cyprus, Estonia, Greece, Hungary, Latvia, Lithuania,Malta, Romania, Slovakia, Slovenia</t>
  </si>
  <si>
    <t>1 432 (2040)</t>
  </si>
  <si>
    <t>Cumulatif 2010-2050</t>
  </si>
  <si>
    <t>Cumulatif 2020-2050</t>
  </si>
  <si>
    <t>12 100 / 2 800</t>
  </si>
  <si>
    <t>no data</t>
  </si>
  <si>
    <t>n_death</t>
  </si>
  <si>
    <t>mortality_proj</t>
  </si>
  <si>
    <t>Li, 2019</t>
  </si>
  <si>
    <t>Air Quality Improvement Co-benefits of Low-Carbon Pathways toward Well Below the 2 °C Climate Target in China</t>
  </si>
  <si>
    <t>Co-benefits of post-2012 global climate mitigation policies</t>
  </si>
  <si>
    <t>EU-27: Austria, Belgium, Bulgaria, Cyprus, Czech Rep, Denmark,
Estonia, Finland, France, Germany, Greece, Hungary, Ireland,
Italy, Latvia, Lithuania, Malta, Netherlands, Poland, Portugal,
Romania, Slovakia, Slovenia, Spain, Sweden, United Kingdom
, China, India</t>
  </si>
  <si>
    <t>Rafaj, 2012</t>
  </si>
  <si>
    <t>Rafaj, 2018</t>
  </si>
  <si>
    <t>Outlook for clean air in the context of sustainable development goals</t>
  </si>
  <si>
    <t>scenario</t>
  </si>
  <si>
    <t>scenario_cat</t>
  </si>
  <si>
    <t>all available</t>
  </si>
  <si>
    <t>energy decarbonation</t>
  </si>
  <si>
    <t>bioenergy limitation</t>
  </si>
  <si>
    <t>sufficiency</t>
  </si>
  <si>
    <t>low CCS</t>
  </si>
  <si>
    <t>nuclear phase-out</t>
  </si>
  <si>
    <t>scenario_yr</t>
  </si>
  <si>
    <t>2°C</t>
  </si>
  <si>
    <t>1.5°C</t>
  </si>
  <si>
    <t>2°C_coal_plant</t>
  </si>
  <si>
    <t>1.5°C_coal_plant</t>
  </si>
  <si>
    <t>health in climate policies</t>
  </si>
  <si>
    <t>FLE_NDC</t>
  </si>
  <si>
    <t>FLE_2C</t>
  </si>
  <si>
    <t>SLE_NDC</t>
  </si>
  <si>
    <t>SLE_2C</t>
  </si>
  <si>
    <t>BAT_NDC</t>
  </si>
  <si>
    <t>BAT_2C</t>
  </si>
  <si>
    <t>PM2,5+O3</t>
  </si>
  <si>
    <t>Comment</t>
  </si>
  <si>
    <t>2C-domestic</t>
  </si>
  <si>
    <t>2C-trading</t>
  </si>
  <si>
    <t>SSP3_Equal-by-sector</t>
  </si>
  <si>
    <t>SSP3_Climate priority</t>
  </si>
  <si>
    <t>SSP3_AQ priority</t>
  </si>
  <si>
    <t>SSP5_Equal-by-sector</t>
  </si>
  <si>
    <t>SSP5_Climate priority</t>
  </si>
  <si>
    <t>SSP5_AQ priority</t>
  </si>
  <si>
    <t>Comment2</t>
  </si>
  <si>
    <t>CAS_outdoor</t>
  </si>
  <si>
    <t>SDS_outdoor</t>
  </si>
  <si>
    <t>CAS_indoor</t>
  </si>
  <si>
    <t>SDS_indoor</t>
  </si>
  <si>
    <t>EUROPE China Indonesia India South Africa</t>
  </si>
  <si>
    <t>Brazil China Indonesia India South Africa</t>
  </si>
  <si>
    <t>NDC</t>
  </si>
  <si>
    <t>financial instrument</t>
  </si>
  <si>
    <t>TT</t>
  </si>
  <si>
    <t>CBAP</t>
  </si>
  <si>
    <t>TT + CBAP</t>
  </si>
  <si>
    <t>TT = Temperature target</t>
  </si>
  <si>
    <t>Impact on mortality (not a benefit)
no HIA for baseline year</t>
  </si>
  <si>
    <t>Ca</t>
  </si>
  <si>
    <t>WWS</t>
  </si>
  <si>
    <t>pm2,5+O3 / indoor+outdoor</t>
  </si>
  <si>
    <t>Net-zero</t>
  </si>
  <si>
    <t>SPS_Air_pollution</t>
  </si>
  <si>
    <t>HPS-Air_pollution</t>
  </si>
  <si>
    <t>SPS_Diet</t>
  </si>
  <si>
    <t>HPS_Diet</t>
  </si>
  <si>
    <t>SPS_Active_travel</t>
  </si>
  <si>
    <t>HPS_Active_travel</t>
  </si>
  <si>
    <t>1.5_MFR</t>
  </si>
  <si>
    <t>Only china and india</t>
  </si>
  <si>
    <t>mitigation</t>
  </si>
  <si>
    <t xml:space="preserve">Only O3 </t>
  </si>
  <si>
    <t>CEICN</t>
  </si>
  <si>
    <t>SDS-MFR</t>
  </si>
  <si>
    <t>WBD2-MFR</t>
  </si>
  <si>
    <t>NPI_CLE - WBD2-MFR</t>
  </si>
  <si>
    <t>CCS</t>
  </si>
  <si>
    <t>REN</t>
  </si>
  <si>
    <t>HIG</t>
  </si>
  <si>
    <t>Current-pollution_baseline</t>
  </si>
  <si>
    <t>Ambitious-pollution_1.5°C</t>
  </si>
  <si>
    <t>Current-pollution_ndc</t>
  </si>
  <si>
    <t>PES</t>
  </si>
  <si>
    <t>CBE-MFR</t>
  </si>
  <si>
    <t>GEMM - NCD &amp; LRI</t>
  </si>
  <si>
    <t>Air quality and health co-benefits of China’s carbon dioxide emissions peaking before 2028</t>
  </si>
  <si>
    <t>Air quality and health co-benefits of China’s carbon dioxide emissions peaking before 2029</t>
  </si>
  <si>
    <t>SSP1_RCP2.6</t>
  </si>
  <si>
    <t>SSP1_RCP1.9</t>
  </si>
  <si>
    <t>SSP5_RCP2.6</t>
  </si>
  <si>
    <t>DDP</t>
  </si>
  <si>
    <t>COC</t>
  </si>
  <si>
    <t>SSP1_19</t>
  </si>
  <si>
    <t>negaWatt</t>
  </si>
  <si>
    <t>not detailed</t>
  </si>
  <si>
    <t>n_prev</t>
  </si>
  <si>
    <t>emission_sector</t>
  </si>
  <si>
    <t>Transport</t>
  </si>
  <si>
    <t>Energy</t>
  </si>
  <si>
    <t>all</t>
  </si>
  <si>
    <t>Residential, industry, transport, agriculture, energy</t>
  </si>
  <si>
    <t>Energy, industry, transport, household</t>
  </si>
  <si>
    <t>Service, transport, construction, industry, energy</t>
  </si>
  <si>
    <t>Agriculture, energy, industry, residential, shipping, transport, waste</t>
  </si>
  <si>
    <t>Energy, industry, transport, agriculture, waste, building</t>
  </si>
  <si>
    <t>Agriculture, energy, industry, transportation, residential/commercial, solvents, waste, and shipping</t>
  </si>
  <si>
    <t>Agriculture, energy, industry, transport, services</t>
  </si>
  <si>
    <t>Energy, industry, transport, household, agriculture, waste</t>
  </si>
  <si>
    <t>Energy, industry, transport</t>
  </si>
  <si>
    <t>Housing</t>
  </si>
  <si>
    <t>Agriculture</t>
  </si>
  <si>
    <t>Energy, transport, residential, commercial, industry, agriculture</t>
  </si>
  <si>
    <t>pathway_co_benefits</t>
  </si>
  <si>
    <t>Physical activity</t>
  </si>
  <si>
    <t>Air pollution</t>
  </si>
  <si>
    <t>Air &amp; Indoor pollution</t>
  </si>
  <si>
    <t>Indoor pollution</t>
  </si>
  <si>
    <t>Diet</t>
  </si>
  <si>
    <r>
      <t xml:space="preserve">In the REN scenario in 2030, the </t>
    </r>
    <r>
      <rPr>
        <b/>
        <sz val="11"/>
        <color theme="1"/>
        <rFont val="Calibri"/>
        <family val="2"/>
        <scheme val="minor"/>
      </rPr>
      <t>transformation sector and the manufacturing sector</t>
    </r>
    <r>
      <rPr>
        <sz val="11"/>
        <color theme="1"/>
        <rFont val="Calibri"/>
        <family val="2"/>
        <scheme val="minor"/>
      </rPr>
      <t xml:space="preserve"> had the greatest potential for health co-benefits. 
</t>
    </r>
  </si>
  <si>
    <r>
      <t>In the HIG scenario transformation sector, health co-benefits are negative, mainly because in the HIG scenario,</t>
    </r>
    <r>
      <rPr>
        <b/>
        <sz val="11"/>
        <color theme="1"/>
        <rFont val="Calibri"/>
        <family val="2"/>
        <scheme val="minor"/>
      </rPr>
      <t xml:space="preserve"> industrial restructuring contributed to larger health gains,</t>
    </r>
    <r>
      <rPr>
        <sz val="11"/>
        <color theme="1"/>
        <rFont val="Calibri"/>
        <family val="2"/>
        <scheme val="minor"/>
      </rPr>
      <t xml:space="preserve"> but the energy restructuring of the industrial sector shifted health losses to the electricity generation sector, so the health gains of transformation sector are negative</t>
    </r>
  </si>
  <si>
    <r>
      <t xml:space="preserve">The health co-benefits of </t>
    </r>
    <r>
      <rPr>
        <b/>
        <sz val="11"/>
        <color theme="1"/>
        <rFont val="Calibri"/>
        <family val="2"/>
        <scheme val="minor"/>
      </rPr>
      <t>NOx emission reductions are the highest of all pollutants.</t>
    </r>
    <r>
      <rPr>
        <sz val="11"/>
        <color theme="1"/>
        <rFont val="Calibri"/>
        <family val="2"/>
        <scheme val="minor"/>
      </rPr>
      <t xml:space="preserve">
- greatest emission reduction potential among all pollutant emissions, especially in the REN scenario
-NOx has a high intake fractions value, almost eight times that of SO2
- concentration-response coefficient of NOx, which mortality concentration-response coefficient is 3.5 times than that of PM2.5</t>
    </r>
  </si>
  <si>
    <r>
      <t>additional air quality co-benefits from climate mitigation efforts are spread across :</t>
    </r>
    <r>
      <rPr>
        <b/>
        <sz val="11"/>
        <color theme="1"/>
        <rFont val="Calibri"/>
        <family val="2"/>
        <scheme val="minor"/>
      </rPr>
      <t xml:space="preserve"> industrial &gt; residential &gt; power generation &gt; land transport emissions</t>
    </r>
  </si>
  <si>
    <t>Energie, housing transport, diet</t>
  </si>
  <si>
    <t>Health benefits: Diet &gt;&gt;&gt;&gt;&gt; Active transport &lt;=&gt; Air pollution (depend on countries)</t>
  </si>
  <si>
    <t>Projected premature deaths : Industrie &gt; Transport &gt;&gt; Energy</t>
  </si>
  <si>
    <t>SSP5 &gt;&gt;&gt;&gt;&gt; SSP3</t>
  </si>
  <si>
    <t>Health benefits: sufficiency &gt; energy decarbonation (CCS / nuclear)</t>
  </si>
  <si>
    <t xml:space="preserve">Energy &amp; Agriculture &amp; Transport </t>
  </si>
  <si>
    <t xml:space="preserve">Air pollution </t>
  </si>
  <si>
    <t>yll</t>
  </si>
  <si>
    <t>lifexp_months</t>
  </si>
  <si>
    <t>[53.79-171.93]</t>
  </si>
  <si>
    <t>Health benefits: Stroke &gt;&gt; IHD &gt;  COPD &gt;&gt; Lung cancer</t>
  </si>
  <si>
    <t>Health benefits: Nox &gt;&gt;&gt; PM 10 &gt;SO2 &gt; PM 2.5</t>
  </si>
  <si>
    <t>Health benefits: REN &gt; HIG &gt; CCS</t>
  </si>
  <si>
    <t>Health benefits: Acute bronchitis &gt;&gt; Asthma attack &gt;&gt; Respiratory/cardiovascular hospital admission / Chronic bronchitis</t>
  </si>
  <si>
    <t>102.67</t>
  </si>
  <si>
    <t>187.11</t>
  </si>
  <si>
    <t>222.84</t>
  </si>
  <si>
    <t>Dimitrova, 2021</t>
  </si>
  <si>
    <t>Balanced pathway</t>
  </si>
  <si>
    <t>Widespread engagement</t>
  </si>
  <si>
    <t>Deaths: PM 2.5 = 8x O3</t>
  </si>
  <si>
    <t>Unclear</t>
  </si>
  <si>
    <t>1.2 (EU)
19 (China)
30 (India)</t>
  </si>
  <si>
    <t>Health valuation 0,05% of GDP</t>
  </si>
  <si>
    <t>Health valuation 0,75% of GDP</t>
  </si>
  <si>
    <t>Impact charbon + mitigation</t>
  </si>
  <si>
    <t>monetary_bilions ($)</t>
  </si>
  <si>
    <t>40.7 (37.6 Euro)</t>
  </si>
  <si>
    <t>167.91</t>
  </si>
  <si>
    <t>684.03</t>
  </si>
  <si>
    <t>125.35 (980)</t>
  </si>
  <si>
    <t>Zhang, 2021a</t>
  </si>
  <si>
    <t>Zhang, 2021b</t>
  </si>
  <si>
    <t>RE</t>
  </si>
  <si>
    <t>NET (negative tech)</t>
  </si>
  <si>
    <t>7.4</t>
  </si>
  <si>
    <t>15.8</t>
  </si>
  <si>
    <t>27.7</t>
  </si>
  <si>
    <t>Benefits: REN &gt; NEG tech</t>
  </si>
  <si>
    <t>PM10 + SO2 + NO2</t>
  </si>
  <si>
    <t>Nuclear</t>
  </si>
  <si>
    <t>Non-nuclear</t>
  </si>
  <si>
    <t>Benefits: Nuclear &gt; non-nuclear</t>
  </si>
  <si>
    <t>0.7-1.0</t>
  </si>
  <si>
    <t>0.7-1.3</t>
  </si>
  <si>
    <t>Reduction of external costs</t>
  </si>
  <si>
    <t>Mod-RES</t>
  </si>
  <si>
    <t>High-res decentralized</t>
  </si>
  <si>
    <t>High-res centralized</t>
  </si>
  <si>
    <t>Energy,  household</t>
  </si>
  <si>
    <t>2.291</t>
  </si>
  <si>
    <t>2.268</t>
  </si>
  <si>
    <t>2.314</t>
  </si>
  <si>
    <t>Benefits: Centralized &gt; decentralized</t>
  </si>
  <si>
    <t>Air pollution &gt; Active transport: China, Germany, Indonesia</t>
  </si>
  <si>
    <t>Active transport &gt; Air pollution: Brazil, South Africa, UK, USA</t>
  </si>
  <si>
    <t>monetary_per_capita</t>
  </si>
  <si>
    <t>population_target</t>
  </si>
  <si>
    <t>Air pollution benefit: China, India, Indonesia &gt;&gt;</t>
  </si>
  <si>
    <t>Diet benefit: Nigeria &lt;&lt;</t>
  </si>
  <si>
    <t>Active travel benefit: Germany &lt; Nigeria &lt;&lt;</t>
  </si>
  <si>
    <t>Benefit: Male &gt; female
Urban &gt; Rural</t>
  </si>
  <si>
    <t>0.7</t>
  </si>
  <si>
    <t>WWS requires no mining, transporting, or processing of fuels, and WWS end-use efficiency is assumed to exceed that of BAU (6.9%). Converting may create  24.3 million more permanent, full-time jobs than jobs lost.</t>
  </si>
  <si>
    <t>Developing green transport measures outperforms the electrification of passenger transport.</t>
  </si>
  <si>
    <r>
      <t>Health benefits: even with the lower bound of the VSL, the</t>
    </r>
    <r>
      <rPr>
        <b/>
        <sz val="11"/>
        <color theme="1"/>
        <rFont val="Calibri"/>
        <family val="2"/>
        <scheme val="minor"/>
      </rPr>
      <t xml:space="preserve"> value of the health co-benefits would cover 70–91% of the mitigation costs</t>
    </r>
    <r>
      <rPr>
        <sz val="11"/>
        <color theme="1"/>
        <rFont val="Calibri"/>
        <family val="2"/>
        <scheme val="minor"/>
      </rPr>
      <t>, depending on the chosen scenario. 
The results showed that in</t>
    </r>
    <r>
      <rPr>
        <b/>
        <sz val="11"/>
        <color theme="1"/>
        <rFont val="Calibri"/>
        <family val="2"/>
        <scheme val="minor"/>
      </rPr>
      <t xml:space="preserve"> China and India</t>
    </r>
    <r>
      <rPr>
        <sz val="11"/>
        <color theme="1"/>
        <rFont val="Calibri"/>
        <family val="2"/>
        <scheme val="minor"/>
      </rPr>
      <t xml:space="preserve">, the cost of setting </t>
    </r>
    <r>
      <rPr>
        <b/>
        <sz val="11"/>
        <color theme="1"/>
        <rFont val="Calibri"/>
        <family val="2"/>
        <scheme val="minor"/>
      </rPr>
      <t>any additional policy could be compensated</t>
    </r>
    <r>
      <rPr>
        <sz val="11"/>
        <color theme="1"/>
        <rFont val="Calibri"/>
        <family val="2"/>
        <scheme val="minor"/>
      </rPr>
      <t xml:space="preserve"> just with the health benefits in most cases. Other regions could not compensate the costs with the cobenefits alone, but the co-benefits would make a valuable contribution towards</t>
    </r>
    <r>
      <rPr>
        <b/>
        <sz val="11"/>
        <color theme="1"/>
        <rFont val="Calibri"/>
        <family val="2"/>
        <scheme val="minor"/>
      </rPr>
      <t xml:space="preserve"> covering the mitigation costs, from 7% to 84% in the EU-27 countries and from 10% to 41% in the USA</t>
    </r>
    <r>
      <rPr>
        <sz val="11"/>
        <color theme="1"/>
        <rFont val="Calibri"/>
        <family val="2"/>
        <scheme val="minor"/>
      </rPr>
      <t>.</t>
    </r>
  </si>
  <si>
    <t>Concerted decarbonization efforts can lead to improved air quality, thereby reducing energy-related health impacts worldwide, at the same time, low-carbon technologies and energy-efficiency improvements can help to further the energy security goals of individual countries and regions by promoting a more dependable, resilient, and diversified energy portfolio. The cost savings of these climate policy synergies are potentially enormous.</t>
  </si>
  <si>
    <t>Health benefits being correspondingly greater with a pathway that entails faster and more ambitious changes, especially in physical activity and diets.</t>
  </si>
  <si>
    <t>UK &amp; Wales health benefits: Housing &gt; Air pollution &gt;&gt; Diet &gt;&gt; Active transport.</t>
  </si>
  <si>
    <t>Premature deaths (PM2.5) at baseline: AGR &gt; RES &gt; IND &gt; ENE &gt; TRN &gt;&gt; SHP
Premature deaths (O3) at baseline: TRN &gt; RES &gt; IND &gt; AIR &gt; SHP
Action by India would result in the most benefits of any country and a majority of these avoided deaths would be attributable to reductions in PM2.5 exposure (68%)</t>
  </si>
  <si>
    <t>AQ &gt;&gt;&gt; climate &gt; equal by sector</t>
  </si>
  <si>
    <t>The health benefits couldpartially or fully cover the policy costs under different assumptions of the value of a statistical life</t>
  </si>
  <si>
    <t>Around one third of financial co-benefits estimated world-wide in this study by 2050 occur in China, while an annual cost saving of 35 billion Euros (€) is estimated for the EU if the current air pollution legislation and climate policies are adopted in parallel</t>
  </si>
  <si>
    <t>In comparison to costs needed for the decarbonization of global economy, additional investments in air pollution control and access to clean fuels are very modest against major societal gains.</t>
  </si>
  <si>
    <t>Emerging Asian countries, followed by Africa and Middle East, might benefit the most from air pollution cuts brought about through GHG mitigation. At the same time, the potential co-benefits depend on the rate of implementation and enforcement of AQ legislation and emission standards.</t>
  </si>
  <si>
    <t>2 ◦C pathway is therefore, from a social cost perspective, a “no-regret option” in the global aggregate, but in particular for China and India due to high air quality benefits, and also for developed regions due to net negative mitigation costs. Energy and resource exporting regions, on the other hand, face higher mitigation cost than benefits. Our analysis further shows that the result of higher health benefits than mitigation costs is robust across various air pollution control scenarios.</t>
  </si>
  <si>
    <t>Accounting for air pollution impacts reduces climate mitigation costs and inequality and increases global and regional welfare. Results are robust to a broad set of scenarios and assumptions, including debated normative choices on how to value improved health.</t>
  </si>
  <si>
    <t>China is the region where most of the avoided mortality is possible.</t>
  </si>
  <si>
    <t xml:space="preserve">Significant co-benefits can be found for a range of technological options. </t>
  </si>
  <si>
    <t xml:space="preserve">
The ratio of health co-benefits to mitigation costs varies substantially, ranging from 1.45 when a bioenergy limitation is set to 2.19 when all technologies are available. As for regional disaggregation, some regions, such as India and China, obtain far greater co-benefits than others.</t>
  </si>
  <si>
    <r>
      <t xml:space="preserve">In this research, we quantify the health co-benefits from cancelling new coal-fired power plants in the context of deep decarbonization. We find that that this measure would result in significant reductions of PM 2.5 concentrations at a global level, with largest reductions in China and India. </t>
    </r>
    <r>
      <rPr>
        <b/>
        <sz val="11"/>
        <color theme="1"/>
        <rFont val="Calibri"/>
        <family val="2"/>
        <scheme val="minor"/>
      </rPr>
      <t>These regions also present the largest health co-benefits due to high population density.</t>
    </r>
  </si>
  <si>
    <t>Monetized benefits are in the tens of trillions of dollars for avoided deaths and tens of billions for labor productivity and crop yield increases and reduced hospital expenditures.</t>
  </si>
  <si>
    <t>health co-benefits brought by CO2 emission reduction policies could fully offset the mitigation costs in the long-term</t>
  </si>
  <si>
    <t>Co-reductions in air pollutant emissions under climate policies could also induce significant cost savings in pollution control, an additional co-benefit of climate policies</t>
  </si>
  <si>
    <t>Air quality co-benefits on morbidity, mortality, and agriculture could globally offset the costs of climate policy.</t>
  </si>
  <si>
    <t xml:space="preserve">Health benefits: China/India &gt; EU &gt; USA </t>
  </si>
  <si>
    <t>Nevertheless, our analysis shows that ambitious GHG reduction efforts can provide substantial health co-benefits, especially for residents of disadvantaged communities.</t>
  </si>
  <si>
    <r>
      <t xml:space="preserve">In the presence of increasing CO2 concentrations, we estimated that decreasing zinc and iron concentrations of crops would induce an additional 125.8 million DALYs globally from 2015-2050. This CO2-induced disease burden is projected to disproportionately affect nations in the World Health Organization's </t>
    </r>
    <r>
      <rPr>
        <b/>
        <sz val="11"/>
        <color theme="1"/>
        <rFont val="Calibri"/>
        <family val="2"/>
        <scheme val="minor"/>
      </rPr>
      <t>South-East Asia and African Regions</t>
    </r>
    <r>
      <rPr>
        <sz val="11"/>
        <color theme="1"/>
        <rFont val="Calibri"/>
        <family val="2"/>
        <scheme val="minor"/>
      </rPr>
      <t>. A climate mitigation strategy such as the Paris Agreement would be expected to avert 48.2% of this burden, while traditional public health interventions including nutrient supplementation and disease control programs would be expected to avert 26.6% of the burden.</t>
    </r>
  </si>
  <si>
    <t>Health benefits: Low GHG &gt; nuclear</t>
  </si>
  <si>
    <t>optimization and implementation of coal regulation in the future is not only essential for the carbon neutrality target, but also a significant method to yield environmental and health co-benefits.</t>
  </si>
  <si>
    <t>PM 2.5 + O3
 vs NDC-MFR</t>
  </si>
  <si>
    <t>PM2.5+O3
 vs Current path</t>
  </si>
  <si>
    <t xml:space="preserve">SSP1_19 </t>
  </si>
  <si>
    <t>vs SSP5_85</t>
  </si>
  <si>
    <t>Results show that the incremental health benefit from improved air quality of CBE exceeds 8 times the additional costs of CO2 mitigation, attributed particularly to the cost-effective reduction in household PM2.5 exposure</t>
  </si>
  <si>
    <t>The health benefits are higher in the renewable energies-led scenarios, whereas the mitigation costs are smaller in the negative emission technologies-led scenarios</t>
  </si>
  <si>
    <t>if China incorporates health co-benefits into climate policy making and puts a high value on people’s health, it should choose a carbon neutrality pathway that relies more on developing renewable energies and avoid over-reliance on negative emission technologies.</t>
  </si>
  <si>
    <t>decarbonization pathway that focuses on electrification and clean renewable energy is estimated to bring 4x more health benefits than a pathway focusing more on combustible renewable fuels.
After subtracting the cost, the net monetized benefit of the electrification-focused pathway still exceeds that of the renewable fuel-focused pathway, indicating that a cleaner but more expensive decarbonization pathway may be more preferable in California.</t>
  </si>
  <si>
    <t>California: The building electrification focused decarbonization strategy achieves ~15% greater total health benefits than the truck electrification focused strategy which uses renewable fuels to meet building demands. Conversely, the enhanced electrification of the truck sector is shown to benefit disadvantaged communities more effectively.</t>
  </si>
  <si>
    <t>cumulative value of avoided external costs between 2018 and 2050 is significantly lower than the planned capital expenditures in the energy sector in Poland.</t>
  </si>
  <si>
    <t>The results showed that the largest reductions in both greenhouse gas and PM emissions—and consequently improvements of air quality resulting in a decrease of negative impacts on human health and a decrease of external costs—can be achieved by the transformation of heat production in the household and tertiary sector.</t>
  </si>
  <si>
    <t>Increased physical activity could generate substantial public health benefits, which are comparable to the gain expected by large scale health prevention interventions.</t>
  </si>
  <si>
    <r>
      <t>Opportunity to reduce inequalities in health and human capital early in life: Implementation of integrated climate, air quality, and energy access interventions has a synergistic impact, reducing  number of stunted children million with the</t>
    </r>
    <r>
      <rPr>
        <b/>
        <sz val="11"/>
        <color theme="1"/>
        <rFont val="Calibri"/>
        <family val="2"/>
        <scheme val="minor"/>
      </rPr>
      <t xml:space="preserve"> largest health benefits experienced by the most disadvantaged children</t>
    </r>
    <r>
      <rPr>
        <sz val="11"/>
        <color theme="1"/>
        <rFont val="Calibri"/>
        <family val="2"/>
        <scheme val="minor"/>
      </rPr>
      <t xml:space="preserve"> and geographic regions (lowest household income, maternal education and social status).</t>
    </r>
  </si>
  <si>
    <t>When costs of air pollution are considered in the decision making, cumulative damage costs due to health impacts are still reduced by approximately 20% while the energy system costs vary only marginally</t>
  </si>
  <si>
    <t>yll_per_capita</t>
  </si>
  <si>
    <t>monetary</t>
  </si>
  <si>
    <t>0,72 (5,1) billion</t>
  </si>
  <si>
    <t>0,38 (2,7 CNY) = 380 ?</t>
  </si>
  <si>
    <t>10.6 Million</t>
  </si>
  <si>
    <t>VSL</t>
  </si>
  <si>
    <t xml:space="preserve">Milner, 2023 </t>
  </si>
  <si>
    <t xml:space="preserve">Physical activity </t>
  </si>
  <si>
    <t>cumulative 2021-50</t>
  </si>
  <si>
    <t xml:space="preserve">Air &amp; Indoor pollution &amp; Diet &amp; Physical activity </t>
  </si>
  <si>
    <t>LGHG</t>
  </si>
  <si>
    <t>NRPO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</si>
</sst>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sz val="10"/>
      <color rgb="FF2A2A2A"/>
      <name val="Arial"/>
      <family val="2"/>
    </font>
    <font>
      <sz val="10"/>
      <name val="Segoe UI"/>
      <family val="2"/>
    </font>
    <font>
      <sz val="11"/>
      <color theme="1"/>
      <name val="Calibri"/>
      <family val="2"/>
      <scheme val="minor"/>
    </font>
    <font>
      <sz val="1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2"/>
        <bgColor indexed="64"/>
      </patternFill>
    </fill>
    <fill>
      <patternFill patternType="solid">
        <fgColor theme="2"/>
        <bgColor theme="4" tint="0.79998168889431442"/>
      </patternFill>
    </fill>
    <fill>
      <patternFill patternType="solid">
        <fgColor theme="4" tint="0.59999389629810485"/>
        <bgColor indexed="64"/>
      </patternFill>
    </fill>
    <fill>
      <patternFill patternType="solid">
        <fgColor theme="4" tint="0.59999389629810485"/>
        <bgColor theme="4" tint="0.79998168889431442"/>
      </patternFill>
    </fill>
    <fill>
      <patternFill patternType="solid">
        <fgColor theme="4" tint="0.79998168889431442"/>
        <bgColor indexed="64"/>
      </patternFill>
    </fill>
  </fills>
  <borders count="6">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top style="thin">
        <color theme="4" tint="0.39997558519241921"/>
      </top>
      <bottom/>
      <diagonal/>
    </border>
    <border>
      <left style="thin">
        <color theme="4" tint="0.39997558519241921"/>
      </left>
      <right/>
      <top style="thin">
        <color theme="4" tint="0.39997558519241921"/>
      </top>
      <bottom/>
      <diagonal/>
    </border>
    <border>
      <left/>
      <right/>
      <top/>
      <bottom style="thin">
        <color theme="4" tint="0.39997558519241921"/>
      </bottom>
      <diagonal/>
    </border>
  </borders>
  <cellStyleXfs count="1">
    <xf numFmtId="0" fontId="0" fillId="0" borderId="0"/>
  </cellStyleXfs>
  <cellXfs count="91">
    <xf numFmtId="0" fontId="0" fillId="0" borderId="0" xfId="0"/>
    <xf numFmtId="0" fontId="0" fillId="0" borderId="0" xfId="0" applyAlignment="1">
      <alignment vertical="center"/>
    </xf>
    <xf numFmtId="0" fontId="0" fillId="0" borderId="0" xfId="0" applyAlignment="1">
      <alignment horizontal="left" vertical="center" wrapText="1"/>
    </xf>
    <xf numFmtId="0" fontId="0" fillId="0" borderId="0" xfId="0" applyAlignment="1">
      <alignment horizontal="left" vertical="center"/>
    </xf>
    <xf numFmtId="0" fontId="0" fillId="2" borderId="2"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0" fillId="2" borderId="1" xfId="0" applyFont="1" applyFill="1" applyBorder="1" applyAlignment="1">
      <alignment horizontal="center" vertical="center" wrapText="1"/>
    </xf>
    <xf numFmtId="3" fontId="0" fillId="2" borderId="2" xfId="0" applyNumberFormat="1" applyFont="1" applyFill="1" applyBorder="1" applyAlignment="1">
      <alignment horizontal="center" vertical="center" wrapText="1"/>
    </xf>
    <xf numFmtId="0" fontId="0" fillId="2" borderId="3" xfId="0" applyFont="1" applyFill="1" applyBorder="1" applyAlignment="1">
      <alignment horizontal="center" vertical="center" wrapText="1"/>
    </xf>
    <xf numFmtId="3" fontId="0" fillId="2" borderId="0" xfId="0" applyNumberFormat="1" applyFont="1" applyFill="1" applyBorder="1" applyAlignment="1">
      <alignment horizontal="center" vertical="center" wrapText="1"/>
    </xf>
    <xf numFmtId="0" fontId="0" fillId="2" borderId="0" xfId="0" applyFont="1" applyFill="1" applyAlignment="1">
      <alignment horizontal="center" vertical="center" wrapText="1"/>
    </xf>
    <xf numFmtId="0" fontId="5" fillId="2" borderId="0" xfId="0" applyFont="1" applyFill="1" applyBorder="1" applyAlignment="1">
      <alignment horizontal="center" vertical="center" wrapText="1"/>
    </xf>
    <xf numFmtId="0" fontId="6" fillId="2" borderId="0" xfId="0" applyFont="1" applyFill="1" applyAlignment="1">
      <alignment horizontal="center" vertical="center" wrapText="1"/>
    </xf>
    <xf numFmtId="0" fontId="6" fillId="2" borderId="0" xfId="0" applyFont="1" applyFill="1" applyBorder="1" applyAlignment="1">
      <alignment horizontal="center" vertical="center" wrapText="1"/>
    </xf>
    <xf numFmtId="0" fontId="6" fillId="2" borderId="2" xfId="0" applyFont="1" applyFill="1" applyBorder="1" applyAlignment="1">
      <alignment horizontal="center" vertical="center" wrapText="1"/>
    </xf>
    <xf numFmtId="0" fontId="0" fillId="3" borderId="0" xfId="0" applyFill="1" applyAlignment="1">
      <alignment horizontal="center" vertical="center" wrapText="1"/>
    </xf>
    <xf numFmtId="0" fontId="0" fillId="4" borderId="1" xfId="0" applyFont="1" applyFill="1" applyBorder="1" applyAlignment="1">
      <alignment horizontal="center" vertical="center" wrapText="1"/>
    </xf>
    <xf numFmtId="0" fontId="0" fillId="4" borderId="2" xfId="0" applyFont="1" applyFill="1" applyBorder="1" applyAlignment="1">
      <alignment horizontal="center" vertical="center" wrapText="1"/>
    </xf>
    <xf numFmtId="3" fontId="0" fillId="4" borderId="2" xfId="0" applyNumberFormat="1" applyFont="1" applyFill="1" applyBorder="1" applyAlignment="1">
      <alignment horizontal="center" vertical="center" wrapText="1"/>
    </xf>
    <xf numFmtId="0" fontId="0"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0" fillId="3" borderId="0" xfId="0" applyFill="1"/>
    <xf numFmtId="3" fontId="6" fillId="2" borderId="0" xfId="0" applyNumberFormat="1" applyFont="1" applyFill="1" applyBorder="1" applyAlignment="1">
      <alignment horizontal="center" vertical="center" wrapText="1"/>
    </xf>
    <xf numFmtId="3" fontId="6" fillId="2" borderId="0" xfId="0" applyNumberFormat="1" applyFont="1" applyFill="1" applyAlignment="1">
      <alignment horizontal="center" vertical="center" wrapText="1"/>
    </xf>
    <xf numFmtId="0" fontId="0" fillId="5" borderId="0" xfId="0" applyFill="1" applyAlignment="1">
      <alignment horizontal="center" vertical="center" wrapText="1"/>
    </xf>
    <xf numFmtId="0" fontId="0" fillId="6" borderId="1" xfId="0" applyFont="1" applyFill="1" applyBorder="1" applyAlignment="1">
      <alignment horizontal="center" vertical="center" wrapText="1"/>
    </xf>
    <xf numFmtId="0" fontId="0" fillId="6" borderId="2" xfId="0" applyFont="1" applyFill="1" applyBorder="1" applyAlignment="1">
      <alignment horizontal="center" vertical="center" wrapText="1"/>
    </xf>
    <xf numFmtId="3" fontId="0" fillId="6" borderId="2" xfId="0" applyNumberFormat="1"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6" fillId="6" borderId="0" xfId="0" applyFont="1" applyFill="1" applyAlignment="1">
      <alignment horizontal="center" vertical="center" wrapText="1"/>
    </xf>
    <xf numFmtId="0" fontId="0" fillId="5" borderId="0" xfId="0" applyFill="1"/>
    <xf numFmtId="0" fontId="0" fillId="5" borderId="1" xfId="0" applyFont="1" applyFill="1" applyBorder="1" applyAlignment="1">
      <alignment horizontal="center" vertical="center" wrapText="1"/>
    </xf>
    <xf numFmtId="0" fontId="0" fillId="7" borderId="0" xfId="0" applyFill="1" applyAlignment="1">
      <alignment horizontal="center" vertical="center" wrapText="1"/>
    </xf>
    <xf numFmtId="0" fontId="0" fillId="7" borderId="0" xfId="0" applyFill="1"/>
    <xf numFmtId="0" fontId="0" fillId="5" borderId="2" xfId="0" applyFont="1" applyFill="1" applyBorder="1" applyAlignment="1">
      <alignment horizontal="center" vertical="center" wrapText="1"/>
    </xf>
    <xf numFmtId="3" fontId="0" fillId="5" borderId="2" xfId="0" applyNumberFormat="1" applyFont="1" applyFill="1" applyBorder="1" applyAlignment="1">
      <alignment horizontal="center" vertical="center" wrapText="1"/>
    </xf>
    <xf numFmtId="0" fontId="6" fillId="6" borderId="0"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0" fillId="6" borderId="0" xfId="0" applyFont="1" applyFill="1" applyBorder="1" applyAlignment="1">
      <alignment horizontal="center" vertical="center" wrapText="1"/>
    </xf>
    <xf numFmtId="3" fontId="0" fillId="6" borderId="0" xfId="0" applyNumberFormat="1" applyFont="1" applyFill="1" applyBorder="1" applyAlignment="1">
      <alignment horizontal="center" vertical="center" wrapText="1"/>
    </xf>
    <xf numFmtId="3" fontId="6" fillId="6" borderId="0" xfId="0" applyNumberFormat="1" applyFont="1" applyFill="1" applyAlignment="1">
      <alignment horizontal="center" vertical="center" wrapText="1"/>
    </xf>
    <xf numFmtId="0" fontId="0" fillId="5" borderId="0" xfId="0" applyFill="1" applyAlignment="1">
      <alignment vertical="center"/>
    </xf>
    <xf numFmtId="3" fontId="0" fillId="7" borderId="0" xfId="0" applyNumberFormat="1" applyFill="1" applyAlignment="1">
      <alignment horizontal="center" vertical="center" wrapText="1"/>
    </xf>
    <xf numFmtId="0" fontId="0" fillId="5" borderId="1" xfId="0" applyFill="1" applyBorder="1" applyAlignment="1">
      <alignment horizontal="center" vertical="center" wrapText="1"/>
    </xf>
    <xf numFmtId="0" fontId="0" fillId="6" borderId="0" xfId="0" applyFont="1" applyFill="1" applyAlignment="1">
      <alignment horizontal="center" vertical="center" wrapText="1"/>
    </xf>
    <xf numFmtId="0" fontId="0" fillId="7" borderId="1" xfId="0" applyFill="1" applyBorder="1" applyAlignment="1">
      <alignment horizontal="center" vertical="center" wrapText="1"/>
    </xf>
    <xf numFmtId="0" fontId="0" fillId="7" borderId="1" xfId="0" applyFont="1" applyFill="1" applyBorder="1" applyAlignment="1">
      <alignment horizontal="center" vertical="center" wrapText="1"/>
    </xf>
    <xf numFmtId="0" fontId="0" fillId="7" borderId="2" xfId="0" applyFont="1" applyFill="1" applyBorder="1" applyAlignment="1">
      <alignment horizontal="center" vertical="center" wrapText="1"/>
    </xf>
    <xf numFmtId="3" fontId="0" fillId="7" borderId="0" xfId="0" applyNumberFormat="1" applyFont="1" applyFill="1" applyBorder="1" applyAlignment="1">
      <alignment horizontal="center" vertical="center" wrapText="1"/>
    </xf>
    <xf numFmtId="0" fontId="0" fillId="7" borderId="0" xfId="0" applyFont="1" applyFill="1" applyBorder="1" applyAlignment="1">
      <alignment horizontal="center" vertical="center" wrapText="1"/>
    </xf>
    <xf numFmtId="3" fontId="0" fillId="5" borderId="0" xfId="0" applyNumberFormat="1" applyFont="1" applyFill="1" applyBorder="1" applyAlignment="1">
      <alignment horizontal="center" vertical="center" wrapText="1"/>
    </xf>
    <xf numFmtId="0" fontId="0" fillId="5" borderId="0" xfId="0" applyFont="1" applyFill="1" applyBorder="1" applyAlignment="1">
      <alignment horizontal="center" vertical="center" wrapText="1"/>
    </xf>
    <xf numFmtId="3" fontId="3" fillId="6" borderId="2" xfId="0" applyNumberFormat="1" applyFont="1" applyFill="1" applyBorder="1" applyAlignment="1">
      <alignment horizontal="center" vertical="center" wrapText="1"/>
    </xf>
    <xf numFmtId="3" fontId="0" fillId="6" borderId="0" xfId="0" applyNumberFormat="1" applyFont="1" applyFill="1" applyAlignment="1">
      <alignment horizontal="center" vertical="center" wrapText="1"/>
    </xf>
    <xf numFmtId="0" fontId="0" fillId="5" borderId="0" xfId="0" applyFill="1" applyBorder="1" applyAlignment="1">
      <alignment horizontal="center" vertical="center" wrapText="1"/>
    </xf>
    <xf numFmtId="3" fontId="0" fillId="5" borderId="0" xfId="0" applyNumberFormat="1" applyFill="1" applyAlignment="1">
      <alignment horizontal="center" vertical="center" wrapText="1"/>
    </xf>
    <xf numFmtId="0" fontId="0" fillId="7" borderId="2" xfId="0" applyFill="1" applyBorder="1" applyAlignment="1">
      <alignment horizontal="center" vertical="center" wrapText="1"/>
    </xf>
    <xf numFmtId="3" fontId="0" fillId="7" borderId="2" xfId="0" applyNumberFormat="1" applyFill="1" applyBorder="1" applyAlignment="1">
      <alignment horizontal="center" vertical="center" wrapText="1"/>
    </xf>
    <xf numFmtId="3" fontId="0" fillId="7" borderId="0" xfId="0" applyNumberFormat="1" applyFill="1" applyAlignment="1">
      <alignment horizontal="center" vertical="center"/>
    </xf>
    <xf numFmtId="0" fontId="3" fillId="6" borderId="2" xfId="0" applyFont="1" applyFill="1" applyBorder="1" applyAlignment="1">
      <alignment horizontal="center" vertical="center" wrapText="1"/>
    </xf>
    <xf numFmtId="3" fontId="3" fillId="6" borderId="0" xfId="0" applyNumberFormat="1" applyFont="1" applyFill="1" applyBorder="1" applyAlignment="1">
      <alignment horizontal="center" vertical="center" wrapText="1"/>
    </xf>
    <xf numFmtId="0" fontId="3" fillId="6" borderId="0" xfId="0" applyFont="1" applyFill="1" applyBorder="1" applyAlignment="1">
      <alignment horizontal="center" vertical="center" wrapText="1"/>
    </xf>
    <xf numFmtId="3" fontId="0" fillId="7" borderId="2" xfId="0" applyNumberFormat="1" applyFont="1" applyFill="1" applyBorder="1" applyAlignment="1">
      <alignment horizontal="center" vertical="center" wrapText="1"/>
    </xf>
    <xf numFmtId="0" fontId="0" fillId="7" borderId="0" xfId="0" applyFill="1" applyBorder="1" applyAlignment="1">
      <alignment horizontal="center" vertical="center" wrapText="1"/>
    </xf>
    <xf numFmtId="0" fontId="2" fillId="5" borderId="2" xfId="0" applyFont="1" applyFill="1" applyBorder="1" applyAlignment="1">
      <alignment horizontal="center" vertical="center" wrapText="1"/>
    </xf>
    <xf numFmtId="3" fontId="0" fillId="5" borderId="0" xfId="0" applyNumberFormat="1" applyFill="1" applyAlignment="1">
      <alignment horizontal="center" vertical="center"/>
    </xf>
    <xf numFmtId="0" fontId="3" fillId="2" borderId="0" xfId="0" applyFont="1" applyFill="1" applyBorder="1" applyAlignment="1">
      <alignment horizontal="center" vertical="center" wrapText="1"/>
    </xf>
    <xf numFmtId="0" fontId="4" fillId="6" borderId="0" xfId="0" applyFont="1" applyFill="1" applyBorder="1" applyAlignment="1">
      <alignment horizontal="center" vertical="center" wrapText="1"/>
    </xf>
    <xf numFmtId="3" fontId="4" fillId="6" borderId="0" xfId="0" applyNumberFormat="1"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0" xfId="0" applyFill="1" applyAlignment="1">
      <alignment vertical="top"/>
    </xf>
    <xf numFmtId="0" fontId="2" fillId="5" borderId="3" xfId="0" applyFont="1" applyFill="1" applyBorder="1" applyAlignment="1">
      <alignment horizontal="center" vertical="center" wrapText="1"/>
    </xf>
    <xf numFmtId="0" fontId="2" fillId="5" borderId="0"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2" borderId="5" xfId="0" applyFont="1" applyFill="1" applyBorder="1" applyAlignment="1">
      <alignment horizontal="center" vertical="center" wrapText="1"/>
    </xf>
    <xf numFmtId="0" fontId="8" fillId="6" borderId="0"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4" fillId="5" borderId="0" xfId="0" applyFont="1" applyFill="1"/>
    <xf numFmtId="0" fontId="0" fillId="4" borderId="3"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1" fillId="7" borderId="0"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0" fillId="5" borderId="2" xfId="0" applyFill="1" applyBorder="1" applyAlignment="1">
      <alignment horizontal="center" vertical="center" wrapText="1"/>
    </xf>
    <xf numFmtId="0" fontId="6" fillId="6"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6" fillId="4" borderId="0" xfId="0" applyFont="1" applyFill="1" applyBorder="1" applyAlignment="1">
      <alignment horizontal="center" vertical="center" wrapText="1"/>
    </xf>
  </cellXfs>
  <cellStyles count="1">
    <cellStyle name="Normal" xfId="0" builtinId="0"/>
  </cellStyles>
  <dxfs count="24">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59999389629810485"/>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dxf>
    <dxf>
      <font>
        <b val="0"/>
        <i val="0"/>
        <strike val="0"/>
        <condense val="0"/>
        <extend val="0"/>
        <outline val="0"/>
        <shadow val="0"/>
        <u val="none"/>
        <vertAlign val="baseline"/>
        <sz val="11"/>
        <color theme="1"/>
        <name val="Calibri"/>
        <scheme val="minor"/>
      </font>
      <fill>
        <patternFill patternType="solid">
          <fgColor theme="4" tint="0.79998168889431442"/>
          <bgColor theme="4" tint="0.79998168889431442"/>
        </patternFill>
      </fill>
      <alignment horizontal="center" vertical="center" textRotation="0" wrapText="1" indent="0" justifyLastLine="0" shrinkToFit="0" readingOrder="0"/>
      <border diagonalUp="0" diagonalDown="0" outline="0">
        <left/>
        <right/>
        <top style="thin">
          <color theme="4" tint="0.39997558519241921"/>
        </top>
        <bottom style="thin">
          <color theme="4" tint="0.39997558519241921"/>
        </bottom>
      </border>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au1" displayName="Tableau1" ref="A1:W100" totalsRowShown="0" dataDxfId="23">
  <autoFilter ref="A1:W100"/>
  <sortState ref="A2:W99">
    <sortCondition ref="A1:A99"/>
  </sortState>
  <tableColumns count="23">
    <tableColumn id="18" name="author_date" dataDxfId="22"/>
    <tableColumn id="1" name="title" dataDxfId="21"/>
    <tableColumn id="3" name="Geographical scale" dataDxfId="20"/>
    <tableColumn id="29" name="Population included at baseline (million), banque mondiale" dataDxfId="19"/>
    <tableColumn id="22" name="rank_pop" dataDxfId="18"/>
    <tableColumn id="4" name="scenario" dataDxfId="17"/>
    <tableColumn id="5" name="scenario_cat" dataDxfId="16"/>
    <tableColumn id="8" name="emission_sector" dataDxfId="15"/>
    <tableColumn id="9" name="pathway_co_benefits" dataDxfId="14"/>
    <tableColumn id="6" name="scenario_yr" dataDxfId="13"/>
    <tableColumn id="2" name="n_prev" dataDxfId="12"/>
    <tableColumn id="17" name="n_death" dataDxfId="11"/>
    <tableColumn id="16" name="mortality_proj" dataDxfId="10"/>
    <tableColumn id="12" name="lifexp_months" dataDxfId="9"/>
    <tableColumn id="11" name="yll" dataDxfId="8"/>
    <tableColumn id="13" name="monetary_bilions ($)" dataDxfId="7"/>
    <tableColumn id="19" name="monetary" dataDxfId="6"/>
    <tableColumn id="14" name="population_target" dataDxfId="5"/>
    <tableColumn id="15" name="yll_per_capita" dataDxfId="4">
      <calculatedColumnFormula>Tableau1[[#This Row],[yll]]/Tableau1[[#This Row],[population_target]]</calculatedColumnFormula>
    </tableColumn>
    <tableColumn id="10" name="monetary_per_capita" dataDxfId="3"/>
    <tableColumn id="21" name="VSL" dataDxfId="2"/>
    <tableColumn id="23" name="Comment" dataDxfId="1"/>
    <tableColumn id="7" name="Comment2"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00"/>
  <sheetViews>
    <sheetView tabSelected="1" topLeftCell="A14" zoomScale="55" zoomScaleNormal="55" workbookViewId="0">
      <pane xSplit="1" topLeftCell="B1" activePane="topRight" state="frozen"/>
      <selection pane="topRight" activeCell="G24" sqref="G24"/>
    </sheetView>
  </sheetViews>
  <sheetFormatPr baseColWidth="10" defaultColWidth="8.88671875" defaultRowHeight="14.4" x14ac:dyDescent="0.3"/>
  <cols>
    <col min="1" max="1" width="19.21875" customWidth="1"/>
    <col min="2" max="2" width="32.77734375" customWidth="1"/>
    <col min="3" max="3" width="30" customWidth="1"/>
    <col min="4" max="4" width="20" style="3" customWidth="1"/>
    <col min="5" max="10" width="22.6640625" customWidth="1"/>
    <col min="11" max="13" width="26.21875" style="1" customWidth="1"/>
    <col min="14" max="20" width="32.33203125" customWidth="1"/>
    <col min="21" max="21" width="54.21875" customWidth="1"/>
    <col min="22" max="22" width="47" customWidth="1"/>
    <col min="23" max="23" width="44.33203125" customWidth="1"/>
  </cols>
  <sheetData>
    <row r="1" spans="1:23" ht="43.2" x14ac:dyDescent="0.3">
      <c r="A1" t="s">
        <v>34</v>
      </c>
      <c r="B1" t="s">
        <v>25</v>
      </c>
      <c r="C1" t="s">
        <v>71</v>
      </c>
      <c r="D1" s="2" t="s">
        <v>102</v>
      </c>
      <c r="E1" t="s">
        <v>103</v>
      </c>
      <c r="F1" t="s">
        <v>129</v>
      </c>
      <c r="G1" t="s">
        <v>130</v>
      </c>
      <c r="H1" t="s">
        <v>211</v>
      </c>
      <c r="I1" t="s">
        <v>227</v>
      </c>
      <c r="J1" t="s">
        <v>137</v>
      </c>
      <c r="K1" s="1" t="s">
        <v>210</v>
      </c>
      <c r="L1" s="1" t="s">
        <v>120</v>
      </c>
      <c r="M1" s="1" t="s">
        <v>121</v>
      </c>
      <c r="N1" s="1" t="s">
        <v>245</v>
      </c>
      <c r="O1" s="1" t="s">
        <v>244</v>
      </c>
      <c r="P1" s="1" t="s">
        <v>263</v>
      </c>
      <c r="Q1" s="1" t="s">
        <v>342</v>
      </c>
      <c r="R1" s="1" t="s">
        <v>294</v>
      </c>
      <c r="S1" s="1" t="s">
        <v>341</v>
      </c>
      <c r="T1" s="1" t="s">
        <v>293</v>
      </c>
      <c r="U1" s="1" t="s">
        <v>346</v>
      </c>
      <c r="V1" t="s">
        <v>150</v>
      </c>
      <c r="W1" t="s">
        <v>159</v>
      </c>
    </row>
    <row r="2" spans="1:23" s="34" customFormat="1" ht="57.6" x14ac:dyDescent="0.3">
      <c r="A2" s="33" t="s">
        <v>39</v>
      </c>
      <c r="B2" s="47" t="s">
        <v>5</v>
      </c>
      <c r="C2" s="48" t="s">
        <v>26</v>
      </c>
      <c r="D2" s="48">
        <v>67.5</v>
      </c>
      <c r="E2" s="4">
        <v>36</v>
      </c>
      <c r="F2" s="5" t="s">
        <v>208</v>
      </c>
      <c r="G2" s="5" t="s">
        <v>134</v>
      </c>
      <c r="H2" s="64" t="s">
        <v>212</v>
      </c>
      <c r="I2" s="48" t="s">
        <v>228</v>
      </c>
      <c r="J2" s="5">
        <v>2045</v>
      </c>
      <c r="K2" s="49">
        <v>9825</v>
      </c>
      <c r="L2" s="49">
        <v>758805</v>
      </c>
      <c r="M2" s="50">
        <f>9825/757000</f>
        <v>1.297886393659181E-2</v>
      </c>
      <c r="N2" s="50">
        <v>3.39</v>
      </c>
      <c r="O2" s="50">
        <v>204000</v>
      </c>
      <c r="P2" s="50" t="s">
        <v>264</v>
      </c>
      <c r="Q2" s="50">
        <v>40700000000</v>
      </c>
      <c r="R2" s="50">
        <v>66099100</v>
      </c>
      <c r="S2" s="50">
        <f>Tableau1[[#This Row],[yll]]/Tableau1[[#This Row],[population_target]]</f>
        <v>3.0862750022314978E-3</v>
      </c>
      <c r="T2" s="50">
        <f>Tableau1[[#This Row],[monetary]]/Tableau1[[#This Row],[population_target]]</f>
        <v>615.74212054324494</v>
      </c>
      <c r="U2" s="50"/>
      <c r="V2" s="76" t="s">
        <v>338</v>
      </c>
      <c r="W2" s="13"/>
    </row>
    <row r="3" spans="1:23" s="34" customFormat="1" ht="86.4" x14ac:dyDescent="0.3">
      <c r="A3" s="5" t="s">
        <v>58</v>
      </c>
      <c r="B3" s="46" t="s">
        <v>57</v>
      </c>
      <c r="C3" s="48" t="s">
        <v>29</v>
      </c>
      <c r="D3" s="63">
        <v>1338</v>
      </c>
      <c r="E3" s="4">
        <v>28</v>
      </c>
      <c r="F3" s="5" t="s">
        <v>166</v>
      </c>
      <c r="G3" s="5" t="s">
        <v>209</v>
      </c>
      <c r="H3" s="64" t="s">
        <v>213</v>
      </c>
      <c r="I3" s="64" t="s">
        <v>229</v>
      </c>
      <c r="J3" s="5">
        <v>2050</v>
      </c>
      <c r="K3" s="59">
        <v>368568</v>
      </c>
      <c r="L3" s="59">
        <v>17360484</v>
      </c>
      <c r="M3" s="33">
        <f>Tableau1[[#This Row],[n_prev]]/Tableau1[[#This Row],[n_death]]</f>
        <v>2.1230283671814679E-2</v>
      </c>
      <c r="N3" s="33"/>
      <c r="O3" s="33"/>
      <c r="P3" s="33" t="s">
        <v>246</v>
      </c>
      <c r="Q3" s="33">
        <v>171930000000</v>
      </c>
      <c r="R3" s="33">
        <v>1312636325</v>
      </c>
      <c r="S3" s="33"/>
      <c r="T3" s="50">
        <f>Tableau1[[#This Row],[monetary]]/Tableau1[[#This Row],[population_target]]</f>
        <v>130.98068118753304</v>
      </c>
      <c r="U3" s="50"/>
      <c r="V3" s="48" t="s">
        <v>247</v>
      </c>
      <c r="W3" s="13"/>
    </row>
    <row r="4" spans="1:23" s="34" customFormat="1" ht="144.6" customHeight="1" x14ac:dyDescent="0.3">
      <c r="A4" s="64" t="s">
        <v>60</v>
      </c>
      <c r="B4" s="46" t="s">
        <v>59</v>
      </c>
      <c r="C4" s="4" t="s">
        <v>29</v>
      </c>
      <c r="D4" s="63">
        <v>1380</v>
      </c>
      <c r="E4" s="4">
        <v>24</v>
      </c>
      <c r="F4" s="5" t="s">
        <v>191</v>
      </c>
      <c r="G4" s="5" t="s">
        <v>132</v>
      </c>
      <c r="H4" s="4" t="s">
        <v>214</v>
      </c>
      <c r="I4" s="5" t="s">
        <v>229</v>
      </c>
      <c r="J4" s="5">
        <v>2050</v>
      </c>
      <c r="K4" s="33">
        <v>160000</v>
      </c>
      <c r="L4" s="59">
        <v>17360482</v>
      </c>
      <c r="M4" s="67">
        <f>Tableau1[[#This Row],[n_prev]]/Tableau1[[#This Row],[n_death]]</f>
        <v>9.2163339704508206E-3</v>
      </c>
      <c r="N4" s="67"/>
      <c r="O4" s="67"/>
      <c r="P4" s="5" t="s">
        <v>251</v>
      </c>
      <c r="Q4" s="5">
        <v>102670000000</v>
      </c>
      <c r="R4" s="33">
        <v>1312636325</v>
      </c>
      <c r="S4" s="5"/>
      <c r="T4" s="50">
        <f>Tableau1[[#This Row],[monetary]]/Tableau1[[#This Row],[population_target]]</f>
        <v>78.216637803315407</v>
      </c>
      <c r="U4" s="50"/>
      <c r="V4" s="4" t="s">
        <v>248</v>
      </c>
      <c r="W4" s="5" t="s">
        <v>235</v>
      </c>
    </row>
    <row r="5" spans="1:23" s="34" customFormat="1" ht="100.8" x14ac:dyDescent="0.3">
      <c r="A5" s="64" t="s">
        <v>60</v>
      </c>
      <c r="B5" s="46" t="s">
        <v>59</v>
      </c>
      <c r="C5" s="4" t="s">
        <v>29</v>
      </c>
      <c r="D5" s="63">
        <v>1380</v>
      </c>
      <c r="E5" s="4">
        <v>24</v>
      </c>
      <c r="F5" s="5" t="s">
        <v>193</v>
      </c>
      <c r="G5" s="5" t="s">
        <v>132</v>
      </c>
      <c r="H5" s="5" t="s">
        <v>214</v>
      </c>
      <c r="I5" s="5" t="s">
        <v>229</v>
      </c>
      <c r="J5" s="5">
        <v>2050</v>
      </c>
      <c r="K5" s="33">
        <v>292000</v>
      </c>
      <c r="L5" s="59">
        <v>17360483</v>
      </c>
      <c r="M5" s="67">
        <f>Tableau1[[#This Row],[n_prev]]/Tableau1[[#This Row],[n_death]]</f>
        <v>1.6819808527216668E-2</v>
      </c>
      <c r="N5" s="67"/>
      <c r="O5" s="67"/>
      <c r="P5" s="5" t="s">
        <v>252</v>
      </c>
      <c r="Q5" s="5">
        <v>187110000000</v>
      </c>
      <c r="R5" s="33">
        <v>1312636325</v>
      </c>
      <c r="S5" s="5"/>
      <c r="T5" s="50">
        <f>Tableau1[[#This Row],[monetary]]/Tableau1[[#This Row],[population_target]]</f>
        <v>142.54519430581811</v>
      </c>
      <c r="U5" s="50"/>
      <c r="V5" s="4" t="s">
        <v>249</v>
      </c>
      <c r="W5" s="4" t="s">
        <v>234</v>
      </c>
    </row>
    <row r="6" spans="1:23" s="34" customFormat="1" ht="57.6" x14ac:dyDescent="0.3">
      <c r="A6" s="64" t="s">
        <v>60</v>
      </c>
      <c r="B6" s="46" t="s">
        <v>59</v>
      </c>
      <c r="C6" s="4" t="s">
        <v>29</v>
      </c>
      <c r="D6" s="63">
        <v>1380</v>
      </c>
      <c r="E6" s="4">
        <v>24</v>
      </c>
      <c r="F6" s="5" t="s">
        <v>192</v>
      </c>
      <c r="G6" s="5" t="s">
        <v>132</v>
      </c>
      <c r="H6" s="5" t="s">
        <v>214</v>
      </c>
      <c r="I6" s="5" t="s">
        <v>229</v>
      </c>
      <c r="J6" s="5">
        <v>2050</v>
      </c>
      <c r="K6" s="43">
        <v>345000</v>
      </c>
      <c r="L6" s="59">
        <v>17360484</v>
      </c>
      <c r="M6" s="67">
        <f>Tableau1[[#This Row],[n_prev]]/Tableau1[[#This Row],[n_death]]</f>
        <v>1.9872717834364527E-2</v>
      </c>
      <c r="N6" s="67"/>
      <c r="O6" s="67"/>
      <c r="P6" s="5" t="s">
        <v>253</v>
      </c>
      <c r="Q6" s="5">
        <v>222840000000</v>
      </c>
      <c r="R6" s="33">
        <v>1312636325</v>
      </c>
      <c r="S6" s="5"/>
      <c r="T6" s="50">
        <f>Tableau1[[#This Row],[monetary]]/Tableau1[[#This Row],[population_target]]</f>
        <v>169.76522419490411</v>
      </c>
      <c r="U6" s="50"/>
      <c r="V6" s="4" t="s">
        <v>250</v>
      </c>
      <c r="W6" s="48" t="s">
        <v>233</v>
      </c>
    </row>
    <row r="7" spans="1:23" s="34" customFormat="1" ht="57.6" x14ac:dyDescent="0.3">
      <c r="A7" s="33" t="s">
        <v>105</v>
      </c>
      <c r="B7" s="46" t="s">
        <v>104</v>
      </c>
      <c r="C7" s="57" t="s">
        <v>29</v>
      </c>
      <c r="D7" s="58">
        <v>1410</v>
      </c>
      <c r="E7" s="4">
        <v>22</v>
      </c>
      <c r="F7" s="5" t="s">
        <v>188</v>
      </c>
      <c r="G7" s="5" t="s">
        <v>209</v>
      </c>
      <c r="H7" s="5" t="s">
        <v>215</v>
      </c>
      <c r="I7" s="4" t="s">
        <v>229</v>
      </c>
      <c r="J7" s="5">
        <v>2050</v>
      </c>
      <c r="K7" s="43">
        <f>3500000-2880000</f>
        <v>620000</v>
      </c>
      <c r="L7" s="59">
        <v>17360484</v>
      </c>
      <c r="M7" s="33">
        <f>Tableau1[[#This Row],[n_prev]]/Tableau1[[#This Row],[n_death]]</f>
        <v>3.5713290021176826E-2</v>
      </c>
      <c r="N7" s="33"/>
      <c r="O7" s="33"/>
      <c r="P7" s="33"/>
      <c r="Q7" s="33"/>
      <c r="R7" s="33"/>
      <c r="S7" s="33"/>
      <c r="T7" s="33"/>
      <c r="U7" s="33"/>
      <c r="V7" s="57" t="s">
        <v>236</v>
      </c>
      <c r="W7" s="13"/>
    </row>
    <row r="8" spans="1:23" s="34" customFormat="1" ht="43.2" x14ac:dyDescent="0.3">
      <c r="A8" s="5" t="s">
        <v>110</v>
      </c>
      <c r="B8" s="46" t="s">
        <v>109</v>
      </c>
      <c r="C8" s="4" t="s">
        <v>111</v>
      </c>
      <c r="D8" s="4">
        <v>3</v>
      </c>
      <c r="E8" s="4">
        <v>48</v>
      </c>
      <c r="F8" s="5"/>
      <c r="G8" s="5" t="s">
        <v>209</v>
      </c>
      <c r="H8" s="4" t="s">
        <v>212</v>
      </c>
      <c r="I8" s="4" t="s">
        <v>228</v>
      </c>
      <c r="J8" s="5"/>
      <c r="K8" s="5" t="s">
        <v>115</v>
      </c>
      <c r="L8" s="5"/>
      <c r="M8" s="5"/>
      <c r="N8" s="5"/>
      <c r="O8" s="5"/>
      <c r="P8" s="5"/>
      <c r="Q8" s="5"/>
      <c r="R8" s="5"/>
      <c r="S8" s="5"/>
      <c r="T8" s="5"/>
      <c r="U8" s="5"/>
      <c r="V8" s="4"/>
      <c r="W8" s="12"/>
    </row>
    <row r="9" spans="1:23" s="34" customFormat="1" ht="102.6" customHeight="1" x14ac:dyDescent="0.3">
      <c r="A9" s="5" t="s">
        <v>254</v>
      </c>
      <c r="B9" s="47" t="s">
        <v>16</v>
      </c>
      <c r="C9" s="48" t="s">
        <v>28</v>
      </c>
      <c r="D9" s="63">
        <v>1241</v>
      </c>
      <c r="E9" s="4">
        <v>32</v>
      </c>
      <c r="F9" s="5" t="s">
        <v>138</v>
      </c>
      <c r="G9" s="5" t="s">
        <v>209</v>
      </c>
      <c r="H9" s="4" t="s">
        <v>214</v>
      </c>
      <c r="I9" s="4" t="s">
        <v>229</v>
      </c>
      <c r="J9" s="5">
        <v>2050</v>
      </c>
      <c r="K9" s="5" t="s">
        <v>116</v>
      </c>
      <c r="L9" s="9"/>
      <c r="M9" s="5"/>
      <c r="N9" s="5" t="s">
        <v>299</v>
      </c>
      <c r="O9" s="5"/>
      <c r="P9" s="5"/>
      <c r="Q9" s="5"/>
      <c r="R9" s="5"/>
      <c r="S9" s="5"/>
      <c r="T9" s="5"/>
      <c r="U9" s="5"/>
      <c r="V9" s="4" t="s">
        <v>298</v>
      </c>
      <c r="W9" s="12"/>
    </row>
    <row r="10" spans="1:23" s="31" customFormat="1" ht="220.2" customHeight="1" x14ac:dyDescent="0.3">
      <c r="A10" s="24" t="s">
        <v>49</v>
      </c>
      <c r="B10" s="25" t="s">
        <v>19</v>
      </c>
      <c r="C10" s="26" t="s">
        <v>28</v>
      </c>
      <c r="D10" s="27">
        <v>1241</v>
      </c>
      <c r="E10" s="26">
        <v>31</v>
      </c>
      <c r="F10" s="39"/>
      <c r="G10" s="39" t="s">
        <v>209</v>
      </c>
      <c r="H10" s="26" t="s">
        <v>214</v>
      </c>
      <c r="I10" s="26" t="s">
        <v>230</v>
      </c>
      <c r="J10" s="39"/>
      <c r="K10" s="52"/>
      <c r="L10" s="52"/>
      <c r="M10" s="52"/>
      <c r="N10" s="52"/>
      <c r="O10" s="52"/>
      <c r="P10" s="52"/>
      <c r="Q10" s="52"/>
      <c r="R10" s="52"/>
      <c r="S10" s="52"/>
      <c r="T10" s="52"/>
      <c r="U10" s="52"/>
      <c r="V10" s="26" t="s">
        <v>339</v>
      </c>
      <c r="W10" s="30"/>
    </row>
    <row r="11" spans="1:23" s="31" customFormat="1" ht="43.2" x14ac:dyDescent="0.3">
      <c r="A11" s="39" t="s">
        <v>36</v>
      </c>
      <c r="B11" s="25" t="s">
        <v>0</v>
      </c>
      <c r="C11" s="26" t="s">
        <v>63</v>
      </c>
      <c r="D11" s="53">
        <v>3870</v>
      </c>
      <c r="E11" s="26">
        <v>15</v>
      </c>
      <c r="F11" s="39" t="s">
        <v>181</v>
      </c>
      <c r="G11" s="39" t="s">
        <v>209</v>
      </c>
      <c r="H11" s="39" t="s">
        <v>212</v>
      </c>
      <c r="I11" s="26" t="s">
        <v>228</v>
      </c>
      <c r="J11" s="39">
        <v>2040</v>
      </c>
      <c r="K11" s="54">
        <v>1145365</v>
      </c>
      <c r="L11" s="52">
        <v>41991720</v>
      </c>
      <c r="M11" s="24">
        <f>Tableau1[[#This Row],[n_prev]]/Tableau1[[#This Row],[n_death]]</f>
        <v>2.7275972501245485E-2</v>
      </c>
      <c r="N11" s="24"/>
      <c r="O11" s="24"/>
      <c r="P11" s="24"/>
      <c r="Q11" s="24"/>
      <c r="R11" s="24"/>
      <c r="S11" s="24"/>
      <c r="T11" s="24"/>
      <c r="U11" s="24"/>
      <c r="V11" s="26" t="s">
        <v>238</v>
      </c>
      <c r="W11" s="45"/>
    </row>
    <row r="12" spans="1:23" s="31" customFormat="1" ht="43.2" x14ac:dyDescent="0.3">
      <c r="A12" s="39" t="s">
        <v>36</v>
      </c>
      <c r="B12" s="25" t="s">
        <v>0</v>
      </c>
      <c r="C12" s="26" t="s">
        <v>63</v>
      </c>
      <c r="D12" s="53">
        <v>3870</v>
      </c>
      <c r="E12" s="26">
        <v>15</v>
      </c>
      <c r="F12" s="39" t="s">
        <v>177</v>
      </c>
      <c r="G12" s="39" t="s">
        <v>209</v>
      </c>
      <c r="H12" s="39" t="s">
        <v>242</v>
      </c>
      <c r="I12" s="26" t="s">
        <v>243</v>
      </c>
      <c r="J12" s="39">
        <v>2040</v>
      </c>
      <c r="K12" s="54">
        <v>1183662</v>
      </c>
      <c r="L12" s="52">
        <v>41991720</v>
      </c>
      <c r="M12" s="24">
        <f>Tableau1[[#This Row],[n_prev]]/Tableau1[[#This Row],[n_death]]</f>
        <v>2.8187985631453059E-2</v>
      </c>
      <c r="N12" s="24"/>
      <c r="O12" s="24"/>
      <c r="P12" s="24"/>
      <c r="Q12" s="24"/>
      <c r="R12" s="24"/>
      <c r="S12" s="24"/>
      <c r="T12" s="24"/>
      <c r="U12" s="24"/>
      <c r="V12" s="26" t="s">
        <v>292</v>
      </c>
      <c r="W12" s="45"/>
    </row>
    <row r="13" spans="1:23" s="31" customFormat="1" ht="43.2" x14ac:dyDescent="0.3">
      <c r="A13" s="39" t="s">
        <v>36</v>
      </c>
      <c r="B13" s="25" t="s">
        <v>0</v>
      </c>
      <c r="C13" s="26" t="s">
        <v>63</v>
      </c>
      <c r="D13" s="53">
        <v>3870</v>
      </c>
      <c r="E13" s="26">
        <v>15</v>
      </c>
      <c r="F13" s="39" t="s">
        <v>178</v>
      </c>
      <c r="G13" s="39" t="s">
        <v>142</v>
      </c>
      <c r="H13" s="39" t="s">
        <v>242</v>
      </c>
      <c r="I13" s="26" t="s">
        <v>243</v>
      </c>
      <c r="J13" s="39">
        <v>2040</v>
      </c>
      <c r="K13" s="52">
        <v>1645276</v>
      </c>
      <c r="L13" s="52">
        <v>41991720</v>
      </c>
      <c r="M13" s="24">
        <f>Tableau1[[#This Row],[n_prev]]/Tableau1[[#This Row],[n_death]]</f>
        <v>3.918096234209982E-2</v>
      </c>
      <c r="N13" s="24"/>
      <c r="O13" s="24"/>
      <c r="P13" s="24"/>
      <c r="Q13" s="24"/>
      <c r="R13" s="24"/>
      <c r="S13" s="24"/>
      <c r="T13" s="24"/>
      <c r="U13" s="24"/>
      <c r="V13" s="26" t="s">
        <v>291</v>
      </c>
      <c r="W13" s="39"/>
    </row>
    <row r="14" spans="1:23" s="31" customFormat="1" ht="43.2" x14ac:dyDescent="0.3">
      <c r="A14" s="39" t="s">
        <v>36</v>
      </c>
      <c r="B14" s="25" t="s">
        <v>0</v>
      </c>
      <c r="C14" s="26" t="s">
        <v>63</v>
      </c>
      <c r="D14" s="53">
        <v>3870</v>
      </c>
      <c r="E14" s="26">
        <v>15</v>
      </c>
      <c r="F14" s="39" t="s">
        <v>182</v>
      </c>
      <c r="G14" s="39" t="s">
        <v>142</v>
      </c>
      <c r="H14" s="39" t="s">
        <v>212</v>
      </c>
      <c r="I14" s="26" t="s">
        <v>228</v>
      </c>
      <c r="J14" s="39">
        <v>2040</v>
      </c>
      <c r="K14" s="52">
        <v>2088298</v>
      </c>
      <c r="L14" s="52">
        <v>41991720</v>
      </c>
      <c r="M14" s="24">
        <f>Tableau1[[#This Row],[n_prev]]/Tableau1[[#This Row],[n_death]]</f>
        <v>4.9731185100300723E-2</v>
      </c>
      <c r="N14" s="24"/>
      <c r="O14" s="24"/>
      <c r="P14" s="24"/>
      <c r="Q14" s="24"/>
      <c r="R14" s="24"/>
      <c r="S14" s="24"/>
      <c r="T14" s="24"/>
      <c r="U14" s="24"/>
      <c r="V14" s="26" t="s">
        <v>295</v>
      </c>
      <c r="W14" s="30"/>
    </row>
    <row r="15" spans="1:23" s="31" customFormat="1" ht="43.2" x14ac:dyDescent="0.3">
      <c r="A15" s="39" t="s">
        <v>36</v>
      </c>
      <c r="B15" s="25" t="s">
        <v>0</v>
      </c>
      <c r="C15" s="26" t="s">
        <v>63</v>
      </c>
      <c r="D15" s="53">
        <v>3870</v>
      </c>
      <c r="E15" s="26">
        <v>15</v>
      </c>
      <c r="F15" s="39" t="s">
        <v>179</v>
      </c>
      <c r="G15" s="39" t="s">
        <v>209</v>
      </c>
      <c r="H15" s="39" t="s">
        <v>232</v>
      </c>
      <c r="I15" s="26" t="s">
        <v>232</v>
      </c>
      <c r="J15" s="39">
        <v>2040</v>
      </c>
      <c r="K15" s="54">
        <v>5863930</v>
      </c>
      <c r="L15" s="52">
        <v>41991720</v>
      </c>
      <c r="M15" s="24">
        <f>Tableau1[[#This Row],[n_prev]]/Tableau1[[#This Row],[n_death]]</f>
        <v>0.13964491094911091</v>
      </c>
      <c r="N15" s="24"/>
      <c r="O15" s="24"/>
      <c r="P15" s="24"/>
      <c r="Q15" s="24"/>
      <c r="R15" s="24"/>
      <c r="S15" s="24"/>
      <c r="T15" s="24"/>
      <c r="U15" s="24"/>
      <c r="V15" s="26" t="s">
        <v>296</v>
      </c>
      <c r="W15" s="45"/>
    </row>
    <row r="16" spans="1:23" s="31" customFormat="1" ht="43.2" x14ac:dyDescent="0.3">
      <c r="A16" s="39" t="s">
        <v>36</v>
      </c>
      <c r="B16" s="25" t="s">
        <v>0</v>
      </c>
      <c r="C16" s="26" t="s">
        <v>63</v>
      </c>
      <c r="D16" s="53">
        <v>3870</v>
      </c>
      <c r="E16" s="26">
        <v>15</v>
      </c>
      <c r="F16" s="39" t="s">
        <v>180</v>
      </c>
      <c r="G16" s="39" t="s">
        <v>142</v>
      </c>
      <c r="H16" s="39" t="s">
        <v>232</v>
      </c>
      <c r="I16" s="26" t="s">
        <v>232</v>
      </c>
      <c r="J16" s="39">
        <v>2040</v>
      </c>
      <c r="K16" s="52">
        <v>6435910</v>
      </c>
      <c r="L16" s="52">
        <v>41991720</v>
      </c>
      <c r="M16" s="24">
        <f>Tableau1[[#This Row],[n_prev]]/Tableau1[[#This Row],[n_death]]</f>
        <v>0.15326616771115831</v>
      </c>
      <c r="N16" s="24"/>
      <c r="O16" s="24"/>
      <c r="P16" s="24"/>
      <c r="Q16" s="24"/>
      <c r="R16" s="24"/>
      <c r="S16" s="24"/>
      <c r="T16" s="24"/>
      <c r="U16" s="24"/>
      <c r="V16" s="26" t="s">
        <v>297</v>
      </c>
      <c r="W16" s="45"/>
    </row>
    <row r="17" spans="1:23" s="31" customFormat="1" ht="57.6" x14ac:dyDescent="0.3">
      <c r="A17" s="24" t="s">
        <v>56</v>
      </c>
      <c r="B17" s="44" t="s">
        <v>33</v>
      </c>
      <c r="C17" s="26" t="s">
        <v>64</v>
      </c>
      <c r="D17" s="27">
        <v>6000</v>
      </c>
      <c r="E17" s="26">
        <v>13</v>
      </c>
      <c r="F17" s="39" t="s">
        <v>174</v>
      </c>
      <c r="G17" s="28" t="s">
        <v>132</v>
      </c>
      <c r="H17" s="26" t="s">
        <v>213</v>
      </c>
      <c r="I17" s="26" t="s">
        <v>230</v>
      </c>
      <c r="J17" s="39">
        <v>2050</v>
      </c>
      <c r="K17" s="51">
        <v>3487163</v>
      </c>
      <c r="L17" s="28">
        <v>91583402</v>
      </c>
      <c r="M17" s="52">
        <f>Tableau1[[#This Row],[n_prev]]/L17</f>
        <v>3.8076364536010578E-2</v>
      </c>
      <c r="N17" s="52"/>
      <c r="O17" s="52"/>
      <c r="P17" s="51">
        <v>23000</v>
      </c>
      <c r="Q17" s="51"/>
      <c r="R17" s="51"/>
      <c r="S17" s="51"/>
      <c r="T17" s="51"/>
      <c r="U17" s="51"/>
      <c r="V17" s="26" t="s">
        <v>300</v>
      </c>
      <c r="W17" s="39" t="s">
        <v>175</v>
      </c>
    </row>
    <row r="18" spans="1:23" s="42" customFormat="1" ht="76.2" customHeight="1" x14ac:dyDescent="0.3">
      <c r="A18" s="39" t="s">
        <v>122</v>
      </c>
      <c r="B18" s="25" t="s">
        <v>123</v>
      </c>
      <c r="C18" s="60" t="s">
        <v>29</v>
      </c>
      <c r="D18" s="60">
        <v>1408</v>
      </c>
      <c r="E18" s="26">
        <v>23</v>
      </c>
      <c r="F18" s="39" t="s">
        <v>189</v>
      </c>
      <c r="G18" s="39" t="s">
        <v>209</v>
      </c>
      <c r="H18" s="39" t="s">
        <v>216</v>
      </c>
      <c r="I18" s="39" t="s">
        <v>229</v>
      </c>
      <c r="J18" s="39">
        <v>2050</v>
      </c>
      <c r="K18" s="61">
        <f>1610000-980000</f>
        <v>630000</v>
      </c>
      <c r="L18" s="66">
        <v>17360484</v>
      </c>
      <c r="M18" s="62">
        <f>Tableau1[[#This Row],[n_prev]]/Tableau1[[#This Row],[n_death]]</f>
        <v>3.6289310827970003E-2</v>
      </c>
      <c r="N18" s="62"/>
      <c r="O18" s="62"/>
      <c r="P18" s="62"/>
      <c r="Q18" s="62"/>
      <c r="R18" s="62"/>
      <c r="S18" s="62"/>
      <c r="T18" s="62"/>
      <c r="U18" s="62"/>
      <c r="V18" s="26"/>
      <c r="W18" s="37" t="s">
        <v>190</v>
      </c>
    </row>
    <row r="19" spans="1:23" s="42" customFormat="1" ht="76.2" customHeight="1" x14ac:dyDescent="0.3">
      <c r="A19" s="39" t="s">
        <v>43</v>
      </c>
      <c r="B19" s="74" t="s">
        <v>9</v>
      </c>
      <c r="C19" s="26" t="s">
        <v>65</v>
      </c>
      <c r="D19" s="35">
        <v>38.6</v>
      </c>
      <c r="E19" s="26">
        <v>43</v>
      </c>
      <c r="F19" s="39"/>
      <c r="G19" s="39" t="s">
        <v>209</v>
      </c>
      <c r="H19" s="39" t="s">
        <v>217</v>
      </c>
      <c r="I19" s="39" t="s">
        <v>229</v>
      </c>
      <c r="J19" s="39"/>
      <c r="K19" s="52"/>
      <c r="L19" s="52"/>
      <c r="M19" s="52"/>
      <c r="N19" s="52"/>
      <c r="O19" s="52"/>
      <c r="P19" s="52"/>
      <c r="Q19" s="52"/>
      <c r="R19" s="52"/>
      <c r="S19" s="52"/>
      <c r="T19" s="52"/>
      <c r="U19" s="52"/>
      <c r="V19" s="26"/>
      <c r="W19" s="30"/>
    </row>
    <row r="20" spans="1:23" s="42" customFormat="1" ht="76.2" customHeight="1" x14ac:dyDescent="0.3">
      <c r="A20" s="24" t="s">
        <v>40</v>
      </c>
      <c r="B20" s="32" t="s">
        <v>6</v>
      </c>
      <c r="C20" s="65" t="s">
        <v>29</v>
      </c>
      <c r="D20" s="36">
        <v>1380</v>
      </c>
      <c r="E20" s="26">
        <v>25</v>
      </c>
      <c r="F20" s="39" t="s">
        <v>195</v>
      </c>
      <c r="G20" s="39" t="s">
        <v>132</v>
      </c>
      <c r="H20" s="39" t="s">
        <v>214</v>
      </c>
      <c r="I20" s="26" t="s">
        <v>229</v>
      </c>
      <c r="J20" s="39">
        <v>2050</v>
      </c>
      <c r="K20" s="51">
        <v>960000</v>
      </c>
      <c r="L20" s="66">
        <v>17360484</v>
      </c>
      <c r="M20" s="52">
        <f>Tableau1[[#This Row],[n_prev]]/Tableau1[[#This Row],[n_death]]</f>
        <v>5.5297997452144768E-2</v>
      </c>
      <c r="N20" s="52"/>
      <c r="O20" s="52"/>
      <c r="P20" s="52"/>
      <c r="Q20" s="52"/>
      <c r="R20" s="52"/>
      <c r="S20" s="52"/>
      <c r="T20" s="52"/>
      <c r="U20" s="52"/>
      <c r="V20" s="26"/>
      <c r="W20" s="30" t="s">
        <v>196</v>
      </c>
    </row>
    <row r="21" spans="1:23" s="31" customFormat="1" ht="57.6" x14ac:dyDescent="0.3">
      <c r="A21" s="24" t="s">
        <v>40</v>
      </c>
      <c r="B21" s="32" t="s">
        <v>6</v>
      </c>
      <c r="C21" s="65" t="s">
        <v>29</v>
      </c>
      <c r="D21" s="36">
        <v>1380</v>
      </c>
      <c r="E21" s="26">
        <v>25</v>
      </c>
      <c r="F21" s="39" t="s">
        <v>195</v>
      </c>
      <c r="G21" s="39" t="s">
        <v>132</v>
      </c>
      <c r="H21" s="39" t="s">
        <v>214</v>
      </c>
      <c r="I21" s="26" t="s">
        <v>229</v>
      </c>
      <c r="J21" s="39">
        <v>2050</v>
      </c>
      <c r="K21" s="51">
        <v>1060000</v>
      </c>
      <c r="L21" s="66">
        <v>17360484</v>
      </c>
      <c r="M21" s="52">
        <f>Tableau1[[#This Row],[n_prev]]/Tableau1[[#This Row],[n_death]]</f>
        <v>6.1058205520076514E-2</v>
      </c>
      <c r="N21" s="52"/>
      <c r="O21" s="52"/>
      <c r="P21" s="52"/>
      <c r="Q21" s="52"/>
      <c r="R21" s="52"/>
      <c r="S21" s="52"/>
      <c r="T21" s="52"/>
      <c r="U21" s="52"/>
      <c r="V21" s="26"/>
      <c r="W21" s="30" t="s">
        <v>194</v>
      </c>
    </row>
    <row r="22" spans="1:23" s="34" customFormat="1" ht="57.6" x14ac:dyDescent="0.3">
      <c r="A22" s="64" t="s">
        <v>62</v>
      </c>
      <c r="B22" s="46" t="s">
        <v>61</v>
      </c>
      <c r="C22" s="4" t="s">
        <v>66</v>
      </c>
      <c r="D22" s="48">
        <v>21</v>
      </c>
      <c r="E22" s="4">
        <v>46</v>
      </c>
      <c r="F22" s="5"/>
      <c r="G22" s="5" t="s">
        <v>132</v>
      </c>
      <c r="H22" s="4" t="s">
        <v>212</v>
      </c>
      <c r="I22" s="5" t="s">
        <v>229</v>
      </c>
      <c r="J22" s="5"/>
      <c r="K22" s="33">
        <v>300</v>
      </c>
      <c r="L22" s="33"/>
      <c r="M22" s="33"/>
      <c r="N22" s="33"/>
      <c r="O22" s="33"/>
      <c r="P22" s="33"/>
      <c r="Q22" s="33"/>
      <c r="R22" s="33"/>
      <c r="S22" s="33"/>
      <c r="T22" s="33"/>
      <c r="U22" s="33"/>
      <c r="V22" s="4" t="s">
        <v>301</v>
      </c>
      <c r="W22" s="12"/>
    </row>
    <row r="23" spans="1:23" s="34" customFormat="1" ht="57.6" x14ac:dyDescent="0.3">
      <c r="A23" s="64" t="s">
        <v>62</v>
      </c>
      <c r="B23" s="46" t="s">
        <v>61</v>
      </c>
      <c r="C23" s="4" t="s">
        <v>66</v>
      </c>
      <c r="D23" s="48">
        <v>21</v>
      </c>
      <c r="E23" s="4">
        <v>46</v>
      </c>
      <c r="F23" s="5"/>
      <c r="G23" s="5" t="s">
        <v>142</v>
      </c>
      <c r="H23" s="4" t="s">
        <v>212</v>
      </c>
      <c r="I23" s="5" t="s">
        <v>229</v>
      </c>
      <c r="J23" s="5"/>
      <c r="K23" s="33">
        <v>300</v>
      </c>
      <c r="L23" s="33"/>
      <c r="M23" s="33"/>
      <c r="N23" s="33"/>
      <c r="O23" s="33"/>
      <c r="P23" s="33"/>
      <c r="Q23" s="33"/>
      <c r="R23" s="33"/>
      <c r="S23" s="33"/>
      <c r="T23" s="33"/>
      <c r="U23" s="33"/>
      <c r="V23" s="4" t="s">
        <v>301</v>
      </c>
      <c r="W23" s="12"/>
    </row>
    <row r="24" spans="1:23" s="34" customFormat="1" ht="72" x14ac:dyDescent="0.3">
      <c r="A24" s="5" t="s">
        <v>54</v>
      </c>
      <c r="B24" s="47" t="s">
        <v>23</v>
      </c>
      <c r="C24" s="48" t="s">
        <v>67</v>
      </c>
      <c r="D24" s="48">
        <v>100</v>
      </c>
      <c r="E24" s="4">
        <v>34</v>
      </c>
      <c r="F24" s="5"/>
      <c r="G24" s="5" t="s">
        <v>209</v>
      </c>
      <c r="H24" s="4" t="s">
        <v>214</v>
      </c>
      <c r="I24" s="4" t="s">
        <v>229</v>
      </c>
      <c r="J24" s="5"/>
      <c r="K24" s="5"/>
      <c r="L24" s="5"/>
      <c r="M24" s="5"/>
      <c r="N24" s="5"/>
      <c r="O24" s="5"/>
      <c r="P24" s="5"/>
      <c r="Q24" s="5"/>
      <c r="R24" s="5"/>
      <c r="S24" s="5"/>
      <c r="T24" s="5"/>
      <c r="U24" s="5"/>
      <c r="V24" s="4"/>
      <c r="W24" s="12"/>
    </row>
    <row r="25" spans="1:23" s="34" customFormat="1" ht="216" customHeight="1" x14ac:dyDescent="0.3">
      <c r="A25" s="5" t="s">
        <v>41</v>
      </c>
      <c r="B25" s="6" t="s">
        <v>7</v>
      </c>
      <c r="C25" s="57" t="s">
        <v>70</v>
      </c>
      <c r="D25" s="58">
        <v>7821</v>
      </c>
      <c r="E25" s="4">
        <v>1</v>
      </c>
      <c r="F25" s="5"/>
      <c r="G25" s="5" t="s">
        <v>209</v>
      </c>
      <c r="H25" s="5" t="s">
        <v>214</v>
      </c>
      <c r="I25" s="4" t="s">
        <v>229</v>
      </c>
      <c r="J25" s="5"/>
      <c r="K25" s="50" t="s">
        <v>117</v>
      </c>
      <c r="L25" s="50"/>
      <c r="M25" s="50"/>
      <c r="N25" s="50"/>
      <c r="O25" s="50"/>
      <c r="P25" s="50"/>
      <c r="Q25" s="50"/>
      <c r="R25" s="50"/>
      <c r="S25" s="50"/>
      <c r="T25" s="50"/>
      <c r="U25" s="50"/>
      <c r="V25" s="4" t="s">
        <v>302</v>
      </c>
      <c r="W25" s="13"/>
    </row>
    <row r="26" spans="1:23" s="34" customFormat="1" ht="129.6" x14ac:dyDescent="0.3">
      <c r="A26" s="5" t="s">
        <v>95</v>
      </c>
      <c r="B26" s="46" t="s">
        <v>94</v>
      </c>
      <c r="C26" s="4" t="s">
        <v>27</v>
      </c>
      <c r="D26" s="7">
        <v>6970</v>
      </c>
      <c r="E26" s="4">
        <v>12</v>
      </c>
      <c r="F26" s="5"/>
      <c r="G26" s="5" t="s">
        <v>209</v>
      </c>
      <c r="H26" s="4" t="s">
        <v>213</v>
      </c>
      <c r="I26" s="5" t="s">
        <v>229</v>
      </c>
      <c r="J26" s="5"/>
      <c r="K26" s="33"/>
      <c r="L26" s="33"/>
      <c r="M26" s="33"/>
      <c r="N26" s="33"/>
      <c r="O26" s="33"/>
      <c r="P26" s="33"/>
      <c r="Q26" s="33"/>
      <c r="R26" s="33"/>
      <c r="S26" s="33"/>
      <c r="T26" s="33"/>
      <c r="U26" s="33"/>
      <c r="V26" s="4" t="s">
        <v>303</v>
      </c>
      <c r="W26" s="12"/>
    </row>
    <row r="27" spans="1:23" s="34" customFormat="1" ht="80.400000000000006" customHeight="1" x14ac:dyDescent="0.3">
      <c r="A27" s="33" t="s">
        <v>35</v>
      </c>
      <c r="B27" s="47" t="s">
        <v>1</v>
      </c>
      <c r="C27" s="4" t="s">
        <v>68</v>
      </c>
      <c r="D27" s="4">
        <v>70</v>
      </c>
      <c r="E27" s="4">
        <v>20</v>
      </c>
      <c r="F27" s="5" t="s">
        <v>256</v>
      </c>
      <c r="G27" s="5" t="s">
        <v>134</v>
      </c>
      <c r="H27" s="5" t="s">
        <v>237</v>
      </c>
      <c r="I27" s="4" t="s">
        <v>229</v>
      </c>
      <c r="J27" s="5" t="s">
        <v>349</v>
      </c>
      <c r="K27" s="50"/>
      <c r="L27" s="50"/>
      <c r="M27" s="50"/>
      <c r="N27" s="50"/>
      <c r="O27" s="49">
        <v>891345</v>
      </c>
      <c r="P27" s="50"/>
      <c r="Q27" s="50"/>
      <c r="R27" s="50">
        <v>1889026192</v>
      </c>
      <c r="S27" s="50">
        <f>Tableau1[[#This Row],[yll]]/Tableau1[[#This Row],[population_target]]</f>
        <v>4.7185423038327042E-4</v>
      </c>
      <c r="T27" s="50"/>
      <c r="U27" s="50"/>
      <c r="V27" s="48" t="s">
        <v>305</v>
      </c>
      <c r="W27" s="12"/>
    </row>
    <row r="28" spans="1:23" s="34" customFormat="1" ht="80.400000000000006" customHeight="1" x14ac:dyDescent="0.3">
      <c r="A28" s="33" t="s">
        <v>35</v>
      </c>
      <c r="B28" s="47" t="s">
        <v>1</v>
      </c>
      <c r="C28" s="4" t="s">
        <v>68</v>
      </c>
      <c r="D28" s="4">
        <v>70</v>
      </c>
      <c r="E28" s="4">
        <v>20</v>
      </c>
      <c r="F28" s="5" t="s">
        <v>256</v>
      </c>
      <c r="G28" s="5" t="s">
        <v>134</v>
      </c>
      <c r="H28" s="5" t="s">
        <v>237</v>
      </c>
      <c r="I28" s="4" t="s">
        <v>232</v>
      </c>
      <c r="J28" s="5" t="s">
        <v>349</v>
      </c>
      <c r="K28" s="50"/>
      <c r="L28" s="50"/>
      <c r="M28" s="50"/>
      <c r="N28" s="50"/>
      <c r="O28" s="49">
        <v>489015</v>
      </c>
      <c r="P28" s="50"/>
      <c r="Q28" s="50"/>
      <c r="R28" s="50">
        <v>1889026192</v>
      </c>
      <c r="S28" s="50">
        <f>Tableau1[[#This Row],[yll]]/Tableau1[[#This Row],[population_target]]</f>
        <v>2.5887147678045538E-4</v>
      </c>
      <c r="T28" s="50"/>
      <c r="U28" s="50"/>
      <c r="V28" s="48" t="s">
        <v>305</v>
      </c>
      <c r="W28" s="12"/>
    </row>
    <row r="29" spans="1:23" s="34" customFormat="1" ht="80.400000000000006" customHeight="1" x14ac:dyDescent="0.3">
      <c r="A29" s="33" t="s">
        <v>35</v>
      </c>
      <c r="B29" s="47" t="s">
        <v>1</v>
      </c>
      <c r="C29" s="4" t="s">
        <v>68</v>
      </c>
      <c r="D29" s="4">
        <v>70</v>
      </c>
      <c r="E29" s="4">
        <v>20</v>
      </c>
      <c r="F29" s="5" t="s">
        <v>256</v>
      </c>
      <c r="G29" s="5" t="s">
        <v>134</v>
      </c>
      <c r="H29" s="5" t="s">
        <v>237</v>
      </c>
      <c r="I29" s="4" t="s">
        <v>228</v>
      </c>
      <c r="J29" s="5" t="s">
        <v>349</v>
      </c>
      <c r="K29" s="50"/>
      <c r="L29" s="50"/>
      <c r="M29" s="50"/>
      <c r="N29" s="50"/>
      <c r="O29" s="49">
        <v>286595</v>
      </c>
      <c r="P29" s="50"/>
      <c r="Q29" s="50"/>
      <c r="R29" s="50">
        <v>1889026192</v>
      </c>
      <c r="S29" s="50">
        <f>Tableau1[[#This Row],[yll]]/Tableau1[[#This Row],[population_target]]</f>
        <v>1.5171573650684457E-4</v>
      </c>
      <c r="T29" s="50"/>
      <c r="U29" s="50"/>
      <c r="V29" s="48" t="s">
        <v>305</v>
      </c>
      <c r="W29" s="12"/>
    </row>
    <row r="30" spans="1:23" s="34" customFormat="1" ht="80.400000000000006" customHeight="1" x14ac:dyDescent="0.3">
      <c r="A30" s="33" t="s">
        <v>35</v>
      </c>
      <c r="B30" s="47" t="s">
        <v>1</v>
      </c>
      <c r="C30" s="4" t="s">
        <v>68</v>
      </c>
      <c r="D30" s="4">
        <v>70</v>
      </c>
      <c r="E30" s="4">
        <v>20</v>
      </c>
      <c r="F30" s="5" t="s">
        <v>255</v>
      </c>
      <c r="G30" s="5" t="s">
        <v>132</v>
      </c>
      <c r="H30" s="5" t="s">
        <v>237</v>
      </c>
      <c r="I30" s="4" t="s">
        <v>231</v>
      </c>
      <c r="J30" s="5" t="s">
        <v>349</v>
      </c>
      <c r="K30" s="50"/>
      <c r="L30" s="50"/>
      <c r="M30" s="50"/>
      <c r="N30" s="50"/>
      <c r="O30" s="49">
        <v>835882</v>
      </c>
      <c r="P30" s="50"/>
      <c r="Q30" s="50"/>
      <c r="R30" s="50">
        <v>1889026192</v>
      </c>
      <c r="S30" s="50">
        <f>Tableau1[[#This Row],[yll]]/Tableau1[[#This Row],[population_target]]</f>
        <v>4.4249359989816383E-4</v>
      </c>
      <c r="T30" s="50"/>
      <c r="U30" s="50"/>
      <c r="V30" s="48" t="s">
        <v>305</v>
      </c>
      <c r="W30" s="12"/>
    </row>
    <row r="31" spans="1:23" s="34" customFormat="1" ht="80.400000000000006" customHeight="1" x14ac:dyDescent="0.3">
      <c r="A31" s="33" t="s">
        <v>35</v>
      </c>
      <c r="B31" s="47" t="s">
        <v>1</v>
      </c>
      <c r="C31" s="4" t="s">
        <v>68</v>
      </c>
      <c r="D31" s="4">
        <v>70</v>
      </c>
      <c r="E31" s="4">
        <v>20</v>
      </c>
      <c r="F31" s="5" t="s">
        <v>256</v>
      </c>
      <c r="G31" s="5" t="s">
        <v>134</v>
      </c>
      <c r="H31" s="5" t="s">
        <v>237</v>
      </c>
      <c r="I31" s="4" t="s">
        <v>231</v>
      </c>
      <c r="J31" s="5" t="s">
        <v>349</v>
      </c>
      <c r="K31" s="50"/>
      <c r="L31" s="50"/>
      <c r="M31" s="50"/>
      <c r="N31" s="50"/>
      <c r="O31" s="49">
        <v>909426</v>
      </c>
      <c r="P31" s="50"/>
      <c r="Q31" s="50"/>
      <c r="R31" s="50">
        <v>1889026192</v>
      </c>
      <c r="S31" s="50">
        <f>Tableau1[[#This Row],[yll]]/Tableau1[[#This Row],[population_target]]</f>
        <v>4.814258287425588E-4</v>
      </c>
      <c r="T31" s="50"/>
      <c r="U31" s="50"/>
      <c r="V31" s="48" t="s">
        <v>305</v>
      </c>
      <c r="W31" s="12"/>
    </row>
    <row r="32" spans="1:23" s="34" customFormat="1" ht="80.400000000000006" customHeight="1" x14ac:dyDescent="0.3">
      <c r="A32" s="33" t="s">
        <v>35</v>
      </c>
      <c r="B32" s="47" t="s">
        <v>1</v>
      </c>
      <c r="C32" s="4" t="s">
        <v>68</v>
      </c>
      <c r="D32" s="4">
        <v>70</v>
      </c>
      <c r="E32" s="4">
        <v>20</v>
      </c>
      <c r="F32" s="5" t="s">
        <v>255</v>
      </c>
      <c r="G32" s="5" t="s">
        <v>132</v>
      </c>
      <c r="H32" s="5" t="s">
        <v>237</v>
      </c>
      <c r="I32" s="4" t="s">
        <v>350</v>
      </c>
      <c r="J32" s="5">
        <v>2050</v>
      </c>
      <c r="K32" s="50"/>
      <c r="L32" s="50"/>
      <c r="M32" s="50"/>
      <c r="N32" s="50"/>
      <c r="O32" s="49">
        <v>160000</v>
      </c>
      <c r="P32" s="50"/>
      <c r="Q32" s="50"/>
      <c r="R32" s="50">
        <v>71684966</v>
      </c>
      <c r="S32" s="50">
        <f>Tableau1[[#This Row],[yll]]/Tableau1[[#This Row],[population_target]]</f>
        <v>2.2319882246997231E-3</v>
      </c>
      <c r="T32" s="50"/>
      <c r="U32" s="50"/>
      <c r="V32" s="48" t="s">
        <v>305</v>
      </c>
      <c r="W32" s="12"/>
    </row>
    <row r="33" spans="1:23" s="34" customFormat="1" ht="80.400000000000006" customHeight="1" x14ac:dyDescent="0.3">
      <c r="A33" s="33" t="s">
        <v>35</v>
      </c>
      <c r="B33" s="47" t="s">
        <v>1</v>
      </c>
      <c r="C33" s="4" t="s">
        <v>68</v>
      </c>
      <c r="D33" s="4">
        <v>70</v>
      </c>
      <c r="E33" s="4">
        <v>20</v>
      </c>
      <c r="F33" s="5" t="s">
        <v>256</v>
      </c>
      <c r="G33" s="5" t="s">
        <v>134</v>
      </c>
      <c r="H33" s="5" t="s">
        <v>237</v>
      </c>
      <c r="I33" s="4" t="s">
        <v>350</v>
      </c>
      <c r="J33" s="5">
        <v>2050</v>
      </c>
      <c r="K33" s="50"/>
      <c r="L33" s="50"/>
      <c r="M33" s="50"/>
      <c r="N33" s="50"/>
      <c r="O33" s="49">
        <v>200000</v>
      </c>
      <c r="P33" s="50"/>
      <c r="Q33" s="50"/>
      <c r="R33" s="50">
        <v>71684966</v>
      </c>
      <c r="S33" s="50">
        <f>Tableau1[[#This Row],[yll]]/Tableau1[[#This Row],[population_target]]</f>
        <v>2.7899852808746539E-3</v>
      </c>
      <c r="T33" s="50"/>
      <c r="U33" s="50"/>
      <c r="V33" s="48" t="s">
        <v>304</v>
      </c>
      <c r="W33" s="12"/>
    </row>
    <row r="34" spans="1:23" s="34" customFormat="1" ht="80.400000000000006" customHeight="1" x14ac:dyDescent="0.3">
      <c r="A34" s="33" t="s">
        <v>347</v>
      </c>
      <c r="B34" s="47" t="s">
        <v>1</v>
      </c>
      <c r="C34" s="4" t="s">
        <v>68</v>
      </c>
      <c r="D34" s="4">
        <v>70</v>
      </c>
      <c r="E34" s="4">
        <v>20</v>
      </c>
      <c r="F34" s="5" t="s">
        <v>255</v>
      </c>
      <c r="G34" s="5" t="s">
        <v>132</v>
      </c>
      <c r="H34" s="5" t="s">
        <v>237</v>
      </c>
      <c r="I34" s="4" t="s">
        <v>229</v>
      </c>
      <c r="J34" s="5" t="s">
        <v>349</v>
      </c>
      <c r="K34" s="50"/>
      <c r="L34" s="50"/>
      <c r="M34" s="50"/>
      <c r="N34" s="50"/>
      <c r="O34" s="49">
        <v>734160</v>
      </c>
      <c r="P34" s="50"/>
      <c r="Q34" s="50"/>
      <c r="R34" s="50">
        <v>1889026192</v>
      </c>
      <c r="S34" s="50">
        <f>Tableau1[[#This Row],[yll]]/Tableau1[[#This Row],[population_target]]</f>
        <v>3.8864469063963088E-4</v>
      </c>
      <c r="T34" s="50"/>
      <c r="U34" s="50"/>
      <c r="V34" s="48" t="s">
        <v>305</v>
      </c>
      <c r="W34" s="12"/>
    </row>
    <row r="35" spans="1:23" s="34" customFormat="1" ht="80.400000000000006" customHeight="1" x14ac:dyDescent="0.3">
      <c r="A35" s="33" t="s">
        <v>347</v>
      </c>
      <c r="B35" s="47" t="s">
        <v>1</v>
      </c>
      <c r="C35" s="4" t="s">
        <v>68</v>
      </c>
      <c r="D35" s="4">
        <v>70</v>
      </c>
      <c r="E35" s="4">
        <v>20</v>
      </c>
      <c r="F35" s="5" t="s">
        <v>255</v>
      </c>
      <c r="G35" s="5" t="s">
        <v>132</v>
      </c>
      <c r="H35" s="5" t="s">
        <v>237</v>
      </c>
      <c r="I35" s="4" t="s">
        <v>232</v>
      </c>
      <c r="J35" s="5" t="s">
        <v>349</v>
      </c>
      <c r="K35" s="50"/>
      <c r="L35" s="50"/>
      <c r="M35" s="50"/>
      <c r="N35" s="50"/>
      <c r="O35" s="49">
        <v>412452</v>
      </c>
      <c r="P35" s="50"/>
      <c r="Q35" s="50"/>
      <c r="R35" s="50">
        <v>1889026192</v>
      </c>
      <c r="S35" s="50">
        <f>Tableau1[[#This Row],[yll]]/Tableau1[[#This Row],[population_target]]</f>
        <v>2.1834106998978021E-4</v>
      </c>
      <c r="T35" s="50"/>
      <c r="U35" s="50"/>
      <c r="V35" s="48" t="s">
        <v>305</v>
      </c>
      <c r="W35" s="12"/>
    </row>
    <row r="36" spans="1:23" s="34" customFormat="1" ht="57.6" x14ac:dyDescent="0.3">
      <c r="A36" s="33" t="s">
        <v>347</v>
      </c>
      <c r="B36" s="47" t="s">
        <v>1</v>
      </c>
      <c r="C36" s="4" t="s">
        <v>68</v>
      </c>
      <c r="D36" s="4">
        <v>70</v>
      </c>
      <c r="E36" s="4">
        <v>20</v>
      </c>
      <c r="F36" s="5" t="s">
        <v>255</v>
      </c>
      <c r="G36" s="5" t="s">
        <v>132</v>
      </c>
      <c r="H36" s="5" t="s">
        <v>237</v>
      </c>
      <c r="I36" s="4" t="s">
        <v>348</v>
      </c>
      <c r="J36" s="5" t="s">
        <v>349</v>
      </c>
      <c r="K36" s="50"/>
      <c r="L36" s="50"/>
      <c r="M36" s="50"/>
      <c r="N36" s="50"/>
      <c r="O36" s="49">
        <v>124609</v>
      </c>
      <c r="P36" s="50"/>
      <c r="Q36" s="50"/>
      <c r="R36" s="50">
        <v>1889026192</v>
      </c>
      <c r="S36" s="50">
        <f>Tableau1[[#This Row],[yll]]/Tableau1[[#This Row],[population_target]]</f>
        <v>6.5964675623724753E-5</v>
      </c>
      <c r="T36" s="50"/>
      <c r="U36" s="50"/>
      <c r="V36" s="48" t="s">
        <v>305</v>
      </c>
      <c r="W36" s="12"/>
    </row>
    <row r="37" spans="1:23" s="34" customFormat="1" ht="187.2" x14ac:dyDescent="0.3">
      <c r="A37" s="5" t="s">
        <v>82</v>
      </c>
      <c r="B37" s="6" t="s">
        <v>83</v>
      </c>
      <c r="C37" s="57" t="s">
        <v>85</v>
      </c>
      <c r="D37" s="58">
        <v>4680</v>
      </c>
      <c r="E37" s="4">
        <v>14</v>
      </c>
      <c r="F37" s="5" t="s">
        <v>176</v>
      </c>
      <c r="G37" s="5" t="s">
        <v>209</v>
      </c>
      <c r="H37" s="5" t="s">
        <v>218</v>
      </c>
      <c r="I37" s="4" t="s">
        <v>229</v>
      </c>
      <c r="J37" s="5">
        <v>2040</v>
      </c>
      <c r="K37" s="43">
        <v>290000</v>
      </c>
      <c r="L37" s="33">
        <v>45405745</v>
      </c>
      <c r="M37" s="33">
        <f>Tableau1[[#This Row],[n_prev]]/Tableau1[[#This Row],[n_death]]</f>
        <v>6.3868569935368307E-3</v>
      </c>
      <c r="N37" s="33"/>
      <c r="O37" s="33"/>
      <c r="P37" s="33"/>
      <c r="Q37" s="33"/>
      <c r="R37" s="33"/>
      <c r="S37" s="50"/>
      <c r="T37" s="33"/>
      <c r="U37" s="33"/>
      <c r="V37" s="4" t="s">
        <v>306</v>
      </c>
      <c r="W37" s="4" t="s">
        <v>257</v>
      </c>
    </row>
    <row r="38" spans="1:23" s="34" customFormat="1" ht="43.2" x14ac:dyDescent="0.3">
      <c r="A38" s="33" t="s">
        <v>45</v>
      </c>
      <c r="B38" s="47" t="s">
        <v>12</v>
      </c>
      <c r="C38" s="48" t="s">
        <v>32</v>
      </c>
      <c r="D38" s="48">
        <v>51</v>
      </c>
      <c r="E38" s="4">
        <v>38</v>
      </c>
      <c r="F38" s="5"/>
      <c r="G38" s="5" t="s">
        <v>209</v>
      </c>
      <c r="H38" s="5" t="s">
        <v>219</v>
      </c>
      <c r="I38" s="4" t="s">
        <v>229</v>
      </c>
      <c r="J38" s="5">
        <v>2050</v>
      </c>
      <c r="K38" s="5"/>
      <c r="L38" s="5"/>
      <c r="M38" s="5"/>
      <c r="N38" s="5"/>
      <c r="O38" s="5">
        <v>3389</v>
      </c>
      <c r="P38" s="5"/>
      <c r="Q38" s="5"/>
      <c r="R38" s="5">
        <v>25807197</v>
      </c>
      <c r="S38" s="50">
        <f>Tableau1[[#This Row],[yll]]/Tableau1[[#This Row],[population_target]]</f>
        <v>1.3131995698719237E-4</v>
      </c>
      <c r="T38" s="5"/>
      <c r="U38" s="5"/>
      <c r="V38" s="4" t="s">
        <v>239</v>
      </c>
      <c r="W38" s="14"/>
    </row>
    <row r="39" spans="1:23" s="31" customFormat="1" ht="72" x14ac:dyDescent="0.3">
      <c r="A39" s="39" t="s">
        <v>89</v>
      </c>
      <c r="B39" s="25" t="s">
        <v>88</v>
      </c>
      <c r="C39" s="26" t="s">
        <v>27</v>
      </c>
      <c r="D39" s="27">
        <v>7662</v>
      </c>
      <c r="E39" s="26">
        <v>6</v>
      </c>
      <c r="F39" s="37" t="s">
        <v>156</v>
      </c>
      <c r="G39" s="37" t="s">
        <v>209</v>
      </c>
      <c r="H39" s="26" t="s">
        <v>220</v>
      </c>
      <c r="I39" s="39" t="s">
        <v>229</v>
      </c>
      <c r="J39" s="37">
        <v>2030</v>
      </c>
      <c r="K39" s="30">
        <f>6500000-6400000</f>
        <v>100000</v>
      </c>
      <c r="L39" s="41">
        <v>67172551</v>
      </c>
      <c r="M39" s="24">
        <f>Tableau1[[#This Row],[n_prev]]/Tableau1[[#This Row],[n_death]]</f>
        <v>1.488703324666053E-3</v>
      </c>
      <c r="N39" s="24"/>
      <c r="O39" s="24"/>
      <c r="P39" s="24"/>
      <c r="Q39" s="24"/>
      <c r="R39" s="24"/>
      <c r="S39" s="24"/>
      <c r="T39" s="24"/>
      <c r="U39" s="24"/>
      <c r="V39" s="26" t="s">
        <v>240</v>
      </c>
      <c r="W39" s="37"/>
    </row>
    <row r="40" spans="1:23" s="31" customFormat="1" ht="60.6" customHeight="1" x14ac:dyDescent="0.3">
      <c r="A40" s="39" t="s">
        <v>89</v>
      </c>
      <c r="B40" s="25" t="s">
        <v>88</v>
      </c>
      <c r="C40" s="26" t="s">
        <v>27</v>
      </c>
      <c r="D40" s="27">
        <v>7662</v>
      </c>
      <c r="E40" s="26">
        <v>6</v>
      </c>
      <c r="F40" s="37" t="s">
        <v>157</v>
      </c>
      <c r="G40" s="39" t="s">
        <v>209</v>
      </c>
      <c r="H40" s="26" t="s">
        <v>220</v>
      </c>
      <c r="I40" s="39" t="s">
        <v>229</v>
      </c>
      <c r="J40" s="37">
        <v>2030</v>
      </c>
      <c r="K40" s="30">
        <f>6500000-6400000</f>
        <v>100000</v>
      </c>
      <c r="L40" s="41">
        <v>67172551</v>
      </c>
      <c r="M40" s="24">
        <f>Tableau1[[#This Row],[n_prev]]/Tableau1[[#This Row],[n_death]]</f>
        <v>1.488703324666053E-3</v>
      </c>
      <c r="N40" s="24"/>
      <c r="O40" s="24"/>
      <c r="P40" s="24"/>
      <c r="Q40" s="24"/>
      <c r="R40" s="24"/>
      <c r="S40" s="24"/>
      <c r="T40" s="24"/>
      <c r="U40" s="24"/>
      <c r="V40" s="26" t="s">
        <v>307</v>
      </c>
      <c r="W40" s="37"/>
    </row>
    <row r="41" spans="1:23" s="31" customFormat="1" ht="60.6" customHeight="1" x14ac:dyDescent="0.3">
      <c r="A41" s="39" t="s">
        <v>89</v>
      </c>
      <c r="B41" s="25" t="s">
        <v>88</v>
      </c>
      <c r="C41" s="26" t="s">
        <v>27</v>
      </c>
      <c r="D41" s="27">
        <v>7662</v>
      </c>
      <c r="E41" s="26">
        <v>6</v>
      </c>
      <c r="F41" s="39" t="s">
        <v>158</v>
      </c>
      <c r="G41" s="39" t="s">
        <v>142</v>
      </c>
      <c r="H41" s="26" t="s">
        <v>220</v>
      </c>
      <c r="I41" s="26" t="s">
        <v>229</v>
      </c>
      <c r="J41" s="37">
        <v>2030</v>
      </c>
      <c r="K41" s="30">
        <f>6500000-5500000</f>
        <v>1000000</v>
      </c>
      <c r="L41" s="41">
        <v>67172551</v>
      </c>
      <c r="M41" s="24">
        <f>Tableau1[[#This Row],[n_prev]]/Tableau1[[#This Row],[n_death]]</f>
        <v>1.488703324666053E-2</v>
      </c>
      <c r="N41" s="24"/>
      <c r="O41" s="24"/>
      <c r="P41" s="24"/>
      <c r="Q41" s="24"/>
      <c r="R41" s="24"/>
      <c r="S41" s="24"/>
      <c r="T41" s="24"/>
      <c r="U41" s="24"/>
      <c r="V41" s="38"/>
      <c r="W41" s="30"/>
    </row>
    <row r="42" spans="1:23" s="31" customFormat="1" ht="60.6" customHeight="1" x14ac:dyDescent="0.3">
      <c r="A42" s="39" t="s">
        <v>89</v>
      </c>
      <c r="B42" s="25" t="s">
        <v>88</v>
      </c>
      <c r="C42" s="26" t="s">
        <v>27</v>
      </c>
      <c r="D42" s="27">
        <v>7662</v>
      </c>
      <c r="E42" s="26">
        <v>6</v>
      </c>
      <c r="F42" s="37" t="s">
        <v>153</v>
      </c>
      <c r="G42" s="37" t="s">
        <v>209</v>
      </c>
      <c r="H42" s="26" t="s">
        <v>220</v>
      </c>
      <c r="I42" s="26" t="s">
        <v>229</v>
      </c>
      <c r="J42" s="37">
        <v>2030</v>
      </c>
      <c r="K42" s="41">
        <f>8500000-7000000</f>
        <v>1500000</v>
      </c>
      <c r="L42" s="41">
        <v>67172551</v>
      </c>
      <c r="M42" s="24">
        <f>Tableau1[[#This Row],[n_prev]]/Tableau1[[#This Row],[n_death]]</f>
        <v>2.2330549869990793E-2</v>
      </c>
      <c r="N42" s="24"/>
      <c r="O42" s="24"/>
      <c r="P42" s="24"/>
      <c r="Q42" s="24"/>
      <c r="R42" s="24"/>
      <c r="S42" s="24"/>
      <c r="T42" s="24"/>
      <c r="U42" s="24"/>
      <c r="V42" s="38"/>
      <c r="W42" s="37"/>
    </row>
    <row r="43" spans="1:23" s="31" customFormat="1" ht="90" customHeight="1" x14ac:dyDescent="0.3">
      <c r="A43" s="39" t="s">
        <v>89</v>
      </c>
      <c r="B43" s="25" t="s">
        <v>88</v>
      </c>
      <c r="C43" s="26" t="s">
        <v>27</v>
      </c>
      <c r="D43" s="27">
        <v>7662</v>
      </c>
      <c r="E43" s="26">
        <v>6</v>
      </c>
      <c r="F43" s="37" t="s">
        <v>154</v>
      </c>
      <c r="G43" s="37" t="s">
        <v>209</v>
      </c>
      <c r="H43" s="26" t="s">
        <v>220</v>
      </c>
      <c r="I43" s="39" t="s">
        <v>229</v>
      </c>
      <c r="J43" s="37">
        <v>2030</v>
      </c>
      <c r="K43" s="41">
        <f>8500000-7000000</f>
        <v>1500000</v>
      </c>
      <c r="L43" s="41">
        <v>67172551</v>
      </c>
      <c r="M43" s="24">
        <f>Tableau1[[#This Row],[n_prev]]/Tableau1[[#This Row],[n_death]]</f>
        <v>2.2330549869990793E-2</v>
      </c>
      <c r="N43" s="24"/>
      <c r="O43" s="24"/>
      <c r="P43" s="24"/>
      <c r="Q43" s="24"/>
      <c r="R43" s="24"/>
      <c r="S43" s="24"/>
      <c r="T43" s="24"/>
      <c r="U43" s="24"/>
      <c r="V43" s="38"/>
      <c r="W43" s="30"/>
    </row>
    <row r="44" spans="1:23" s="31" customFormat="1" ht="72" x14ac:dyDescent="0.3">
      <c r="A44" s="39" t="s">
        <v>89</v>
      </c>
      <c r="B44" s="25" t="s">
        <v>88</v>
      </c>
      <c r="C44" s="26" t="s">
        <v>27</v>
      </c>
      <c r="D44" s="27">
        <v>7662</v>
      </c>
      <c r="E44" s="26">
        <v>6</v>
      </c>
      <c r="F44" s="39" t="s">
        <v>155</v>
      </c>
      <c r="G44" s="39" t="s">
        <v>142</v>
      </c>
      <c r="H44" s="26" t="s">
        <v>220</v>
      </c>
      <c r="I44" s="70" t="s">
        <v>229</v>
      </c>
      <c r="J44" s="37">
        <v>2030</v>
      </c>
      <c r="K44" s="24">
        <f>8500000-5600000</f>
        <v>2900000</v>
      </c>
      <c r="L44" s="41">
        <v>67172551</v>
      </c>
      <c r="M44" s="24">
        <f>Tableau1[[#This Row],[n_prev]]/Tableau1[[#This Row],[n_death]]</f>
        <v>4.3172396415315534E-2</v>
      </c>
      <c r="N44" s="24"/>
      <c r="O44" s="24"/>
      <c r="P44" s="24"/>
      <c r="Q44" s="24"/>
      <c r="R44" s="24"/>
      <c r="S44" s="24"/>
      <c r="T44" s="24"/>
      <c r="U44" s="24"/>
      <c r="V44" s="26"/>
      <c r="W44" s="37"/>
    </row>
    <row r="45" spans="1:23" s="34" customFormat="1" ht="72" x14ac:dyDescent="0.3">
      <c r="A45" s="33" t="s">
        <v>53</v>
      </c>
      <c r="B45" s="6" t="s">
        <v>22</v>
      </c>
      <c r="C45" s="4" t="s">
        <v>29</v>
      </c>
      <c r="D45" s="7">
        <v>1380</v>
      </c>
      <c r="E45" s="4">
        <v>26</v>
      </c>
      <c r="F45" s="5" t="s">
        <v>197</v>
      </c>
      <c r="G45" s="5" t="s">
        <v>209</v>
      </c>
      <c r="H45" s="4" t="s">
        <v>221</v>
      </c>
      <c r="I45" s="8" t="s">
        <v>229</v>
      </c>
      <c r="J45" s="5">
        <v>2030</v>
      </c>
      <c r="K45" s="9">
        <v>190000</v>
      </c>
      <c r="L45" s="9">
        <v>12224379</v>
      </c>
      <c r="M45" s="50">
        <f>Tableau1[[#This Row],[n_prev]]/Tableau1[[#This Row],[n_death]]</f>
        <v>1.5542711822007482E-2</v>
      </c>
      <c r="N45" s="50"/>
      <c r="O45" s="50"/>
      <c r="P45" s="50" t="s">
        <v>258</v>
      </c>
      <c r="Q45" s="50"/>
      <c r="R45" s="50"/>
      <c r="S45" s="50"/>
      <c r="T45" s="50"/>
      <c r="U45" s="50"/>
      <c r="V45" s="4" t="s">
        <v>308</v>
      </c>
      <c r="W45" s="13"/>
    </row>
    <row r="46" spans="1:23" s="34" customFormat="1" ht="129.6" x14ac:dyDescent="0.3">
      <c r="A46" s="5" t="s">
        <v>126</v>
      </c>
      <c r="B46" s="46" t="s">
        <v>124</v>
      </c>
      <c r="C46" s="5" t="s">
        <v>125</v>
      </c>
      <c r="D46" s="5">
        <v>503</v>
      </c>
      <c r="E46" s="4">
        <v>18</v>
      </c>
      <c r="F46" s="5" t="s">
        <v>185</v>
      </c>
      <c r="G46" s="5" t="s">
        <v>209</v>
      </c>
      <c r="H46" s="5" t="s">
        <v>216</v>
      </c>
      <c r="I46" s="8" t="s">
        <v>229</v>
      </c>
      <c r="J46" s="5">
        <v>2050</v>
      </c>
      <c r="K46" s="5">
        <v>80000</v>
      </c>
      <c r="L46" s="5">
        <v>38337222</v>
      </c>
      <c r="M46" s="5">
        <f>Tableau1[[#This Row],[n_prev]]/Tableau1[[#This Row],[n_death]]</f>
        <v>2.0867448350848166E-3</v>
      </c>
      <c r="N46" s="5" t="s">
        <v>259</v>
      </c>
      <c r="O46" s="5"/>
      <c r="P46" s="5"/>
      <c r="Q46" s="5"/>
      <c r="R46" s="5"/>
      <c r="S46" s="5"/>
      <c r="T46" s="5"/>
      <c r="U46" s="5"/>
      <c r="V46" s="4" t="s">
        <v>309</v>
      </c>
      <c r="W46" s="4" t="s">
        <v>186</v>
      </c>
    </row>
    <row r="47" spans="1:23" s="31" customFormat="1" ht="57.6" x14ac:dyDescent="0.3">
      <c r="A47" s="39" t="s">
        <v>127</v>
      </c>
      <c r="B47" s="44" t="s">
        <v>128</v>
      </c>
      <c r="C47" s="26" t="s">
        <v>27</v>
      </c>
      <c r="D47" s="27">
        <v>7662</v>
      </c>
      <c r="E47" s="26">
        <v>7</v>
      </c>
      <c r="F47" s="39" t="s">
        <v>160</v>
      </c>
      <c r="G47" s="39" t="s">
        <v>142</v>
      </c>
      <c r="H47" s="26" t="s">
        <v>222</v>
      </c>
      <c r="I47" s="26" t="s">
        <v>230</v>
      </c>
      <c r="J47" s="39">
        <v>2040</v>
      </c>
      <c r="K47" s="45">
        <f>2550000-2200000</f>
        <v>350000</v>
      </c>
      <c r="L47" s="39">
        <v>40109096</v>
      </c>
      <c r="M47" s="39">
        <f>Tableau1[[#This Row],[n_prev]]/Tableau1[[#This Row],[n_death]]</f>
        <v>8.7262001616790364E-3</v>
      </c>
      <c r="N47" s="39"/>
      <c r="O47" s="39"/>
      <c r="P47" s="39"/>
      <c r="Q47" s="39"/>
      <c r="R47" s="39"/>
      <c r="S47" s="39"/>
      <c r="T47" s="39"/>
      <c r="U47" s="39"/>
      <c r="V47" s="26" t="s">
        <v>310</v>
      </c>
      <c r="W47" s="26" t="s">
        <v>164</v>
      </c>
    </row>
    <row r="48" spans="1:23" s="31" customFormat="1" ht="43.2" x14ac:dyDescent="0.3">
      <c r="A48" s="39" t="s">
        <v>127</v>
      </c>
      <c r="B48" s="44" t="s">
        <v>128</v>
      </c>
      <c r="C48" s="26" t="s">
        <v>27</v>
      </c>
      <c r="D48" s="27">
        <v>7662</v>
      </c>
      <c r="E48" s="26">
        <v>7</v>
      </c>
      <c r="F48" s="39" t="s">
        <v>162</v>
      </c>
      <c r="G48" s="39" t="s">
        <v>142</v>
      </c>
      <c r="H48" s="26" t="s">
        <v>222</v>
      </c>
      <c r="I48" s="26" t="s">
        <v>230</v>
      </c>
      <c r="J48" s="39">
        <v>2040</v>
      </c>
      <c r="K48" s="39">
        <f>1200000-650000</f>
        <v>550000</v>
      </c>
      <c r="L48" s="39">
        <v>33179734</v>
      </c>
      <c r="M48" s="39">
        <f>Tableau1[[#This Row],[n_prev]]/Tableau1[[#This Row],[n_death]]</f>
        <v>1.6576383644305286E-2</v>
      </c>
      <c r="N48" s="39"/>
      <c r="O48" s="39"/>
      <c r="P48" s="39"/>
      <c r="Q48" s="39"/>
      <c r="R48" s="39"/>
      <c r="S48" s="39"/>
      <c r="T48" s="39"/>
      <c r="U48" s="39"/>
      <c r="V48" s="26"/>
      <c r="W48" s="26" t="s">
        <v>165</v>
      </c>
    </row>
    <row r="49" spans="1:23" s="31" customFormat="1" ht="43.2" x14ac:dyDescent="0.3">
      <c r="A49" s="39" t="s">
        <v>127</v>
      </c>
      <c r="B49" s="44" t="s">
        <v>128</v>
      </c>
      <c r="C49" s="26" t="s">
        <v>27</v>
      </c>
      <c r="D49" s="27">
        <v>7662</v>
      </c>
      <c r="E49" s="26">
        <v>7</v>
      </c>
      <c r="F49" s="39" t="s">
        <v>161</v>
      </c>
      <c r="G49" s="39" t="s">
        <v>142</v>
      </c>
      <c r="H49" s="26" t="s">
        <v>222</v>
      </c>
      <c r="I49" s="26" t="s">
        <v>230</v>
      </c>
      <c r="J49" s="39">
        <v>2040</v>
      </c>
      <c r="K49" s="45">
        <f>2550000-1800000</f>
        <v>750000</v>
      </c>
      <c r="L49" s="39">
        <v>40109096</v>
      </c>
      <c r="M49" s="39">
        <f>Tableau1[[#This Row],[n_prev]]/Tableau1[[#This Row],[n_death]]</f>
        <v>1.8699000346455077E-2</v>
      </c>
      <c r="N49" s="39"/>
      <c r="O49" s="39"/>
      <c r="P49" s="39"/>
      <c r="Q49" s="39"/>
      <c r="R49" s="39"/>
      <c r="S49" s="39"/>
      <c r="T49" s="39"/>
      <c r="U49" s="39"/>
      <c r="V49" s="26"/>
      <c r="W49" s="26" t="s">
        <v>164</v>
      </c>
    </row>
    <row r="50" spans="1:23" s="31" customFormat="1" ht="43.2" x14ac:dyDescent="0.3">
      <c r="A50" s="39" t="s">
        <v>127</v>
      </c>
      <c r="B50" s="44" t="s">
        <v>128</v>
      </c>
      <c r="C50" s="26" t="s">
        <v>27</v>
      </c>
      <c r="D50" s="27">
        <v>7662</v>
      </c>
      <c r="E50" s="26">
        <v>7</v>
      </c>
      <c r="F50" s="39" t="s">
        <v>163</v>
      </c>
      <c r="G50" s="39" t="s">
        <v>142</v>
      </c>
      <c r="H50" s="26" t="s">
        <v>222</v>
      </c>
      <c r="I50" s="26" t="s">
        <v>230</v>
      </c>
      <c r="J50" s="39">
        <v>2040</v>
      </c>
      <c r="K50" s="39">
        <f>1200000-400000</f>
        <v>800000</v>
      </c>
      <c r="L50" s="39">
        <v>33179734</v>
      </c>
      <c r="M50" s="39">
        <f>Tableau1[[#This Row],[n_prev]]/Tableau1[[#This Row],[n_death]]</f>
        <v>2.4111103482625872E-2</v>
      </c>
      <c r="N50" s="39"/>
      <c r="O50" s="39"/>
      <c r="P50" s="39"/>
      <c r="Q50" s="39"/>
      <c r="R50" s="39"/>
      <c r="S50" s="39"/>
      <c r="T50" s="39"/>
      <c r="U50" s="39"/>
      <c r="V50" s="26"/>
      <c r="W50" s="26" t="s">
        <v>165</v>
      </c>
    </row>
    <row r="51" spans="1:23" s="34" customFormat="1" ht="91.8" customHeight="1" x14ac:dyDescent="0.3">
      <c r="A51" s="33" t="s">
        <v>44</v>
      </c>
      <c r="B51" s="47" t="s">
        <v>10</v>
      </c>
      <c r="C51" s="48" t="s">
        <v>69</v>
      </c>
      <c r="D51" s="63">
        <v>3820</v>
      </c>
      <c r="E51" s="4">
        <v>16</v>
      </c>
      <c r="F51" s="5" t="s">
        <v>183</v>
      </c>
      <c r="G51" s="5" t="s">
        <v>209</v>
      </c>
      <c r="H51" s="4" t="s">
        <v>223</v>
      </c>
      <c r="I51" s="8" t="s">
        <v>229</v>
      </c>
      <c r="J51" s="5">
        <v>2050</v>
      </c>
      <c r="K51" s="9">
        <v>1000000</v>
      </c>
      <c r="L51" s="9">
        <v>31985106</v>
      </c>
      <c r="M51" s="33">
        <f>Tableau1[[#This Row],[n_prev]]/Tableau1[[#This Row],[n_death]]</f>
        <v>3.1264551694779437E-2</v>
      </c>
      <c r="N51" s="33"/>
      <c r="O51" s="33"/>
      <c r="P51" s="33"/>
      <c r="Q51" s="33"/>
      <c r="R51" s="33"/>
      <c r="S51" s="33"/>
      <c r="T51" s="33"/>
      <c r="U51" s="33"/>
      <c r="V51" s="4" t="s">
        <v>311</v>
      </c>
      <c r="W51" s="4" t="s">
        <v>184</v>
      </c>
    </row>
    <row r="52" spans="1:23" s="34" customFormat="1" ht="129.6" customHeight="1" x14ac:dyDescent="0.3">
      <c r="A52" s="5" t="s">
        <v>99</v>
      </c>
      <c r="B52" s="46" t="s">
        <v>98</v>
      </c>
      <c r="C52" s="4" t="s">
        <v>27</v>
      </c>
      <c r="D52" s="7">
        <v>7405</v>
      </c>
      <c r="E52" s="4">
        <v>8</v>
      </c>
      <c r="F52" s="5" t="s">
        <v>166</v>
      </c>
      <c r="G52" s="5" t="s">
        <v>209</v>
      </c>
      <c r="H52" s="4" t="s">
        <v>214</v>
      </c>
      <c r="I52" s="8" t="s">
        <v>229</v>
      </c>
      <c r="J52" s="10">
        <v>2050</v>
      </c>
      <c r="K52" s="5">
        <v>130000</v>
      </c>
      <c r="L52" s="11">
        <v>91583402</v>
      </c>
      <c r="M52" s="5">
        <f>Tableau1[[#This Row],[n_prev]]/Tableau1[[#This Row],[n_death]]</f>
        <v>1.4194711832172385E-3</v>
      </c>
      <c r="N52" s="5"/>
      <c r="O52" s="5"/>
      <c r="P52" s="5"/>
      <c r="Q52" s="5"/>
      <c r="R52" s="5"/>
      <c r="S52" s="5"/>
      <c r="T52" s="5"/>
      <c r="U52" s="5"/>
      <c r="V52" s="4" t="s">
        <v>312</v>
      </c>
      <c r="W52" s="4" t="s">
        <v>260</v>
      </c>
    </row>
    <row r="53" spans="1:23" s="34" customFormat="1" ht="28.8" x14ac:dyDescent="0.3">
      <c r="A53" s="5" t="s">
        <v>99</v>
      </c>
      <c r="B53" s="46" t="s">
        <v>98</v>
      </c>
      <c r="C53" s="4" t="s">
        <v>27</v>
      </c>
      <c r="D53" s="7">
        <v>7405</v>
      </c>
      <c r="E53" s="4">
        <v>8</v>
      </c>
      <c r="F53" s="5" t="s">
        <v>138</v>
      </c>
      <c r="G53" s="5" t="s">
        <v>209</v>
      </c>
      <c r="H53" s="4" t="s">
        <v>214</v>
      </c>
      <c r="I53" s="8" t="s">
        <v>229</v>
      </c>
      <c r="J53" s="10">
        <v>2050</v>
      </c>
      <c r="K53" s="5">
        <v>1100000</v>
      </c>
      <c r="L53" s="11">
        <v>91583402</v>
      </c>
      <c r="M53" s="5">
        <f>Tableau1[[#This Row],[n_prev]]/Tableau1[[#This Row],[n_death]]</f>
        <v>1.2010910011838171E-2</v>
      </c>
      <c r="N53" s="5"/>
      <c r="O53" s="5"/>
      <c r="P53" s="5"/>
      <c r="Q53" s="5"/>
      <c r="R53" s="5"/>
      <c r="S53" s="5"/>
      <c r="T53" s="5"/>
      <c r="U53" s="5"/>
      <c r="V53" s="4"/>
      <c r="W53" s="4" t="s">
        <v>261</v>
      </c>
    </row>
    <row r="54" spans="1:23" s="31" customFormat="1" ht="117.6" customHeight="1" x14ac:dyDescent="0.3">
      <c r="A54" s="24" t="s">
        <v>50</v>
      </c>
      <c r="B54" s="25" t="s">
        <v>20</v>
      </c>
      <c r="C54" s="26" t="s">
        <v>27</v>
      </c>
      <c r="D54" s="27">
        <v>7405</v>
      </c>
      <c r="E54" s="26">
        <v>9</v>
      </c>
      <c r="F54" s="39" t="s">
        <v>168</v>
      </c>
      <c r="G54" s="39" t="s">
        <v>209</v>
      </c>
      <c r="H54" s="26" t="s">
        <v>214</v>
      </c>
      <c r="I54" s="70" t="s">
        <v>229</v>
      </c>
      <c r="J54" s="39">
        <v>2050</v>
      </c>
      <c r="K54" s="40">
        <v>470000</v>
      </c>
      <c r="L54" s="28">
        <v>91583402</v>
      </c>
      <c r="M54" s="39">
        <f>Tableau1[[#This Row],[n_prev]]/Tableau1[[#This Row],[n_death]]</f>
        <v>5.1319342777854E-3</v>
      </c>
      <c r="N54" s="39"/>
      <c r="O54" s="39"/>
      <c r="P54" s="39"/>
      <c r="Q54" s="39"/>
      <c r="R54" s="39"/>
      <c r="S54" s="39"/>
      <c r="T54" s="39"/>
      <c r="U54" s="39"/>
      <c r="V54" s="26" t="s">
        <v>313</v>
      </c>
      <c r="W54" s="26" t="s">
        <v>171</v>
      </c>
    </row>
    <row r="55" spans="1:23" s="31" customFormat="1" ht="225.6" customHeight="1" x14ac:dyDescent="0.3">
      <c r="A55" s="24" t="s">
        <v>50</v>
      </c>
      <c r="B55" s="39" t="s">
        <v>20</v>
      </c>
      <c r="C55" s="39" t="s">
        <v>27</v>
      </c>
      <c r="D55" s="40">
        <v>7405</v>
      </c>
      <c r="E55" s="26">
        <v>9</v>
      </c>
      <c r="F55" s="39" t="s">
        <v>169</v>
      </c>
      <c r="G55" s="39" t="s">
        <v>167</v>
      </c>
      <c r="H55" s="26" t="s">
        <v>214</v>
      </c>
      <c r="I55" s="39" t="s">
        <v>229</v>
      </c>
      <c r="J55" s="39">
        <v>2050</v>
      </c>
      <c r="K55" s="40">
        <v>1340000</v>
      </c>
      <c r="L55" s="28">
        <v>91583402</v>
      </c>
      <c r="M55" s="39">
        <f>Tableau1[[#This Row],[n_prev]]/Tableau1[[#This Row],[n_death]]</f>
        <v>1.4631472196239228E-2</v>
      </c>
      <c r="N55" s="39"/>
      <c r="O55" s="39"/>
      <c r="P55" s="39"/>
      <c r="Q55" s="39"/>
      <c r="R55" s="39"/>
      <c r="S55" s="39"/>
      <c r="T55" s="39"/>
      <c r="U55" s="39"/>
      <c r="V55" s="39" t="s">
        <v>314</v>
      </c>
      <c r="W55" s="45"/>
    </row>
    <row r="56" spans="1:23" s="31" customFormat="1" ht="43.2" x14ac:dyDescent="0.3">
      <c r="A56" s="24" t="s">
        <v>50</v>
      </c>
      <c r="B56" s="39" t="s">
        <v>20</v>
      </c>
      <c r="C56" s="26" t="s">
        <v>27</v>
      </c>
      <c r="D56" s="40">
        <v>7405</v>
      </c>
      <c r="E56" s="26">
        <v>9</v>
      </c>
      <c r="F56" s="39" t="s">
        <v>170</v>
      </c>
      <c r="G56" s="39" t="s">
        <v>167</v>
      </c>
      <c r="H56" s="26" t="s">
        <v>214</v>
      </c>
      <c r="I56" s="39" t="s">
        <v>229</v>
      </c>
      <c r="J56" s="39">
        <v>2050</v>
      </c>
      <c r="K56" s="40">
        <v>1620000</v>
      </c>
      <c r="L56" s="28">
        <v>91583402</v>
      </c>
      <c r="M56" s="39">
        <f>Tableau1[[#This Row],[n_prev]]/Tableau1[[#This Row],[n_death]]</f>
        <v>1.7688794744707127E-2</v>
      </c>
      <c r="N56" s="39"/>
      <c r="O56" s="39"/>
      <c r="P56" s="39"/>
      <c r="Q56" s="39"/>
      <c r="R56" s="39"/>
      <c r="S56" s="39"/>
      <c r="T56" s="39"/>
      <c r="U56" s="39"/>
      <c r="V56" s="26"/>
      <c r="W56" s="30"/>
    </row>
    <row r="57" spans="1:23" s="31" customFormat="1" ht="157.80000000000001" customHeight="1" x14ac:dyDescent="0.3">
      <c r="A57" s="24" t="s">
        <v>51</v>
      </c>
      <c r="B57" s="25" t="s">
        <v>21</v>
      </c>
      <c r="C57" s="26" t="s">
        <v>27</v>
      </c>
      <c r="D57" s="27">
        <v>7821</v>
      </c>
      <c r="E57" s="26">
        <v>2</v>
      </c>
      <c r="F57" s="28" t="s">
        <v>135</v>
      </c>
      <c r="G57" s="28" t="s">
        <v>132</v>
      </c>
      <c r="H57" s="26" t="s">
        <v>213</v>
      </c>
      <c r="I57" s="39" t="s">
        <v>229</v>
      </c>
      <c r="J57" s="28">
        <v>2050</v>
      </c>
      <c r="K57" s="28">
        <v>1100000</v>
      </c>
      <c r="L57" s="28">
        <v>91583402</v>
      </c>
      <c r="M57" s="28">
        <f>Tableau1[[#This Row],[n_prev]]/Tableau1[[#This Row],[n_death]]</f>
        <v>1.2010910011838171E-2</v>
      </c>
      <c r="N57" s="28"/>
      <c r="O57" s="28"/>
      <c r="P57" s="40"/>
      <c r="Q57" s="40"/>
      <c r="R57" s="40"/>
      <c r="S57" s="40"/>
      <c r="T57" s="40"/>
      <c r="U57" s="40"/>
      <c r="V57" s="26" t="s">
        <v>241</v>
      </c>
      <c r="W57" s="30"/>
    </row>
    <row r="58" spans="1:23" s="31" customFormat="1" ht="57.6" x14ac:dyDescent="0.3">
      <c r="A58" s="24" t="s">
        <v>51</v>
      </c>
      <c r="B58" s="25" t="s">
        <v>21</v>
      </c>
      <c r="C58" s="26" t="s">
        <v>27</v>
      </c>
      <c r="D58" s="27">
        <v>7821</v>
      </c>
      <c r="E58" s="26">
        <v>2</v>
      </c>
      <c r="F58" s="28" t="s">
        <v>131</v>
      </c>
      <c r="G58" s="28" t="s">
        <v>132</v>
      </c>
      <c r="H58" s="26" t="s">
        <v>213</v>
      </c>
      <c r="I58" s="39" t="s">
        <v>229</v>
      </c>
      <c r="J58" s="28">
        <v>2050</v>
      </c>
      <c r="K58" s="28">
        <v>1200000</v>
      </c>
      <c r="L58" s="28">
        <v>91583402</v>
      </c>
      <c r="M58" s="28">
        <f>Tableau1[[#This Row],[n_prev]]/Tableau1[[#This Row],[n_death]]</f>
        <v>1.3102810922005277E-2</v>
      </c>
      <c r="N58" s="28"/>
      <c r="O58" s="28"/>
      <c r="P58" s="40"/>
      <c r="Q58" s="40"/>
      <c r="R58" s="40"/>
      <c r="S58" s="40"/>
      <c r="T58" s="40"/>
      <c r="U58" s="40"/>
      <c r="V58" s="26" t="s">
        <v>315</v>
      </c>
      <c r="W58" s="30"/>
    </row>
    <row r="59" spans="1:23" s="31" customFormat="1" ht="100.8" x14ac:dyDescent="0.3">
      <c r="A59" s="24" t="s">
        <v>51</v>
      </c>
      <c r="B59" s="25" t="s">
        <v>21</v>
      </c>
      <c r="C59" s="26" t="s">
        <v>27</v>
      </c>
      <c r="D59" s="27">
        <v>7821</v>
      </c>
      <c r="E59" s="26">
        <v>2</v>
      </c>
      <c r="F59" s="28" t="s">
        <v>136</v>
      </c>
      <c r="G59" s="28" t="s">
        <v>132</v>
      </c>
      <c r="H59" s="26" t="s">
        <v>213</v>
      </c>
      <c r="I59" s="26" t="s">
        <v>229</v>
      </c>
      <c r="J59" s="28">
        <v>2050</v>
      </c>
      <c r="K59" s="28">
        <v>1200000</v>
      </c>
      <c r="L59" s="28">
        <v>91583402</v>
      </c>
      <c r="M59" s="28">
        <f>Tableau1[[#This Row],[n_prev]]/Tableau1[[#This Row],[n_death]]</f>
        <v>1.3102810922005277E-2</v>
      </c>
      <c r="N59" s="28"/>
      <c r="O59" s="28"/>
      <c r="P59" s="40"/>
      <c r="Q59" s="40"/>
      <c r="R59" s="40"/>
      <c r="S59" s="40"/>
      <c r="T59" s="40"/>
      <c r="U59" s="40"/>
      <c r="V59" s="26" t="s">
        <v>316</v>
      </c>
      <c r="W59" s="30"/>
    </row>
    <row r="60" spans="1:23" s="31" customFormat="1" ht="57.6" x14ac:dyDescent="0.3">
      <c r="A60" s="24" t="s">
        <v>51</v>
      </c>
      <c r="B60" s="25" t="s">
        <v>21</v>
      </c>
      <c r="C60" s="26" t="s">
        <v>27</v>
      </c>
      <c r="D60" s="27">
        <v>7821</v>
      </c>
      <c r="E60" s="26">
        <v>2</v>
      </c>
      <c r="F60" s="28" t="s">
        <v>133</v>
      </c>
      <c r="G60" s="28" t="s">
        <v>134</v>
      </c>
      <c r="H60" s="26" t="s">
        <v>213</v>
      </c>
      <c r="I60" s="70" t="s">
        <v>229</v>
      </c>
      <c r="J60" s="28">
        <v>2050</v>
      </c>
      <c r="K60" s="28">
        <v>1300000</v>
      </c>
      <c r="L60" s="28">
        <v>91583402</v>
      </c>
      <c r="M60" s="28">
        <f>Tableau1[[#This Row],[n_prev]]/Tableau1[[#This Row],[n_death]]</f>
        <v>1.4194711832172384E-2</v>
      </c>
      <c r="N60" s="28"/>
      <c r="O60" s="28"/>
      <c r="P60" s="40"/>
      <c r="Q60" s="40"/>
      <c r="R60" s="40"/>
      <c r="S60" s="40"/>
      <c r="T60" s="40"/>
      <c r="U60" s="40"/>
      <c r="V60" s="29"/>
      <c r="W60" s="30"/>
    </row>
    <row r="61" spans="1:23" s="21" customFormat="1" ht="43.2" x14ac:dyDescent="0.3">
      <c r="A61" s="15" t="s">
        <v>48</v>
      </c>
      <c r="B61" s="16" t="s">
        <v>18</v>
      </c>
      <c r="C61" s="17" t="s">
        <v>27</v>
      </c>
      <c r="D61" s="18">
        <v>7821</v>
      </c>
      <c r="E61" s="17">
        <v>3</v>
      </c>
      <c r="F61" s="19" t="s">
        <v>139</v>
      </c>
      <c r="G61" s="19" t="s">
        <v>209</v>
      </c>
      <c r="H61" s="17" t="s">
        <v>213</v>
      </c>
      <c r="I61" s="81" t="s">
        <v>229</v>
      </c>
      <c r="J61" s="20">
        <v>2050</v>
      </c>
      <c r="K61" s="19">
        <v>3337286</v>
      </c>
      <c r="L61" s="20">
        <v>91583402</v>
      </c>
      <c r="M61" s="20">
        <f>Tableau1[[#This Row],[n_prev]]/Tableau1[[#This Row],[n_death]]</f>
        <v>3.643985620887942E-2</v>
      </c>
      <c r="N61" s="20"/>
      <c r="O61" s="20"/>
      <c r="P61" s="20"/>
      <c r="Q61" s="20"/>
      <c r="R61" s="20"/>
      <c r="S61" s="20"/>
      <c r="T61" s="20"/>
      <c r="U61" s="20"/>
      <c r="V61" s="17"/>
      <c r="W61" s="82"/>
    </row>
    <row r="62" spans="1:23" s="21" customFormat="1" ht="115.2" x14ac:dyDescent="0.3">
      <c r="A62" s="15" t="s">
        <v>48</v>
      </c>
      <c r="B62" s="16" t="s">
        <v>18</v>
      </c>
      <c r="C62" s="17" t="s">
        <v>27</v>
      </c>
      <c r="D62" s="18">
        <v>7821</v>
      </c>
      <c r="E62" s="17">
        <v>3</v>
      </c>
      <c r="F62" s="19" t="s">
        <v>141</v>
      </c>
      <c r="G62" s="19" t="s">
        <v>142</v>
      </c>
      <c r="H62" s="19" t="s">
        <v>213</v>
      </c>
      <c r="I62" s="81" t="s">
        <v>229</v>
      </c>
      <c r="J62" s="20">
        <v>2050</v>
      </c>
      <c r="K62" s="15">
        <f xml:space="preserve"> 1854 + 3337286</f>
        <v>3339140</v>
      </c>
      <c r="L62" s="20">
        <v>91583402</v>
      </c>
      <c r="M62" s="20">
        <f>Tableau1[[#This Row],[n_prev]]/Tableau1[[#This Row],[n_death]]</f>
        <v>3.6460100051753916E-2</v>
      </c>
      <c r="N62" s="20"/>
      <c r="O62" s="20"/>
      <c r="P62" s="20"/>
      <c r="Q62" s="20"/>
      <c r="R62" s="20"/>
      <c r="S62" s="20"/>
      <c r="T62" s="20"/>
      <c r="U62" s="20"/>
      <c r="V62" s="17" t="s">
        <v>317</v>
      </c>
      <c r="W62" s="19" t="s">
        <v>172</v>
      </c>
    </row>
    <row r="63" spans="1:23" s="21" customFormat="1" ht="43.2" x14ac:dyDescent="0.3">
      <c r="A63" s="15" t="s">
        <v>48</v>
      </c>
      <c r="B63" s="16" t="s">
        <v>18</v>
      </c>
      <c r="C63" s="17" t="s">
        <v>27</v>
      </c>
      <c r="D63" s="18">
        <v>7821</v>
      </c>
      <c r="E63" s="17">
        <v>3</v>
      </c>
      <c r="F63" s="19" t="s">
        <v>138</v>
      </c>
      <c r="G63" s="19" t="s">
        <v>209</v>
      </c>
      <c r="H63" s="19" t="s">
        <v>213</v>
      </c>
      <c r="I63" s="81" t="s">
        <v>229</v>
      </c>
      <c r="J63" s="20">
        <v>2050</v>
      </c>
      <c r="K63" s="19">
        <v>3671573</v>
      </c>
      <c r="L63" s="20">
        <v>91583402</v>
      </c>
      <c r="M63" s="20">
        <f>Tableau1[[#This Row],[n_prev]]/Tableau1[[#This Row],[n_death]]</f>
        <v>4.0089939004449737E-2</v>
      </c>
      <c r="N63" s="20"/>
      <c r="O63" s="20"/>
      <c r="P63" s="20"/>
      <c r="Q63" s="20"/>
      <c r="R63" s="20"/>
      <c r="S63" s="20"/>
      <c r="T63" s="20"/>
      <c r="U63" s="20"/>
      <c r="V63" s="17"/>
      <c r="W63" s="90"/>
    </row>
    <row r="64" spans="1:23" s="21" customFormat="1" ht="43.2" x14ac:dyDescent="0.3">
      <c r="A64" s="15" t="s">
        <v>48</v>
      </c>
      <c r="B64" s="16" t="s">
        <v>18</v>
      </c>
      <c r="C64" s="17" t="s">
        <v>27</v>
      </c>
      <c r="D64" s="18">
        <v>7821</v>
      </c>
      <c r="E64" s="17">
        <v>3</v>
      </c>
      <c r="F64" s="19" t="s">
        <v>140</v>
      </c>
      <c r="G64" s="19" t="s">
        <v>142</v>
      </c>
      <c r="H64" s="19" t="s">
        <v>213</v>
      </c>
      <c r="I64" s="81" t="s">
        <v>229</v>
      </c>
      <c r="J64" s="20">
        <v>2050</v>
      </c>
      <c r="K64" s="19">
        <f xml:space="preserve"> 6261 +3671573</f>
        <v>3677834</v>
      </c>
      <c r="L64" s="20">
        <v>91583402</v>
      </c>
      <c r="M64" s="20">
        <f>Tableau1[[#This Row],[n_prev]]/Tableau1[[#This Row],[n_death]]</f>
        <v>4.0158302920435297E-2</v>
      </c>
      <c r="N64" s="20"/>
      <c r="O64" s="20"/>
      <c r="P64" s="20"/>
      <c r="Q64" s="20"/>
      <c r="R64" s="20"/>
      <c r="S64" s="20"/>
      <c r="T64" s="20"/>
      <c r="U64" s="20"/>
      <c r="V64" s="17"/>
      <c r="W64" s="19" t="s">
        <v>262</v>
      </c>
    </row>
    <row r="65" spans="1:23" s="31" customFormat="1" ht="115.2" x14ac:dyDescent="0.3">
      <c r="A65" s="39" t="s">
        <v>113</v>
      </c>
      <c r="B65" s="44" t="s">
        <v>112</v>
      </c>
      <c r="C65" s="87" t="s">
        <v>114</v>
      </c>
      <c r="D65" s="26">
        <v>528</v>
      </c>
      <c r="E65" s="26">
        <v>17</v>
      </c>
      <c r="F65" s="39"/>
      <c r="G65" s="55" t="s">
        <v>209</v>
      </c>
      <c r="H65" s="26" t="s">
        <v>213</v>
      </c>
      <c r="I65" s="70" t="s">
        <v>229</v>
      </c>
      <c r="J65" s="39"/>
      <c r="K65" s="39"/>
      <c r="L65" s="39"/>
      <c r="M65" s="39"/>
      <c r="N65" s="39"/>
      <c r="O65" s="39"/>
      <c r="P65" s="39"/>
      <c r="Q65" s="39"/>
      <c r="R65" s="39"/>
      <c r="S65" s="39"/>
      <c r="T65" s="39"/>
      <c r="U65" s="39"/>
      <c r="V65" s="26" t="s">
        <v>340</v>
      </c>
      <c r="W65" s="30"/>
    </row>
    <row r="66" spans="1:23" s="31" customFormat="1" ht="57.6" x14ac:dyDescent="0.3">
      <c r="A66" s="39" t="s">
        <v>87</v>
      </c>
      <c r="B66" s="44" t="s">
        <v>86</v>
      </c>
      <c r="C66" s="26" t="s">
        <v>29</v>
      </c>
      <c r="D66" s="27">
        <v>1411</v>
      </c>
      <c r="E66" s="26">
        <v>19</v>
      </c>
      <c r="F66" s="39" t="s">
        <v>187</v>
      </c>
      <c r="G66" s="39" t="s">
        <v>209</v>
      </c>
      <c r="H66" s="26" t="s">
        <v>213</v>
      </c>
      <c r="I66" s="70" t="s">
        <v>229</v>
      </c>
      <c r="J66" s="39">
        <v>2060</v>
      </c>
      <c r="K66" s="56">
        <v>1300000</v>
      </c>
      <c r="L66" s="56">
        <v>18786882</v>
      </c>
      <c r="M66" s="39">
        <f>Tableau1[[#This Row],[n_prev]]/Tableau1[[#This Row],[n_death]]</f>
        <v>6.9197219634423643E-2</v>
      </c>
      <c r="N66" s="39"/>
      <c r="O66" s="39"/>
      <c r="P66" s="39" t="s">
        <v>344</v>
      </c>
      <c r="Q66" s="39">
        <v>380000000000</v>
      </c>
      <c r="R66" s="39">
        <v>1205020651</v>
      </c>
      <c r="S66" s="39"/>
      <c r="T66" s="39">
        <f>Tableau1[[#This Row],[monetary]]/Tableau1[[#This Row],[population_target]]</f>
        <v>315.34729274942526</v>
      </c>
      <c r="U66" s="39" t="s">
        <v>343</v>
      </c>
      <c r="V66" s="39"/>
      <c r="W66" s="37"/>
    </row>
    <row r="67" spans="1:23" s="31" customFormat="1" ht="57.6" x14ac:dyDescent="0.3">
      <c r="A67" s="39" t="s">
        <v>77</v>
      </c>
      <c r="B67" s="25" t="s">
        <v>76</v>
      </c>
      <c r="C67" s="65" t="s">
        <v>78</v>
      </c>
      <c r="D67" s="65">
        <v>330</v>
      </c>
      <c r="E67" s="26">
        <v>33</v>
      </c>
      <c r="F67" s="39" t="s">
        <v>207</v>
      </c>
      <c r="G67" s="39" t="s">
        <v>209</v>
      </c>
      <c r="H67" s="39" t="s">
        <v>214</v>
      </c>
      <c r="I67" s="70" t="s">
        <v>229</v>
      </c>
      <c r="J67" s="39">
        <v>2050</v>
      </c>
      <c r="K67" s="56">
        <f>(160000+40000)-(15000+0)</f>
        <v>185000</v>
      </c>
      <c r="L67" s="56">
        <v>4113152</v>
      </c>
      <c r="M67" s="24">
        <f>Tableau1[[#This Row],[n_prev]]/Tableau1[[#This Row],[n_death]]</f>
        <v>4.497767162507002E-2</v>
      </c>
      <c r="N67" s="24"/>
      <c r="O67" s="24"/>
      <c r="P67" s="24"/>
      <c r="Q67" s="24"/>
      <c r="R67" s="24"/>
      <c r="S67" s="24"/>
      <c r="T67" s="39"/>
      <c r="U67" s="24"/>
      <c r="V67" s="39" t="s">
        <v>318</v>
      </c>
      <c r="W67" s="45" t="s">
        <v>328</v>
      </c>
    </row>
    <row r="68" spans="1:23" s="31" customFormat="1" ht="57.6" x14ac:dyDescent="0.3">
      <c r="A68" s="39" t="s">
        <v>77</v>
      </c>
      <c r="B68" s="25" t="s">
        <v>76</v>
      </c>
      <c r="C68" s="65" t="s">
        <v>78</v>
      </c>
      <c r="D68" s="65">
        <v>330</v>
      </c>
      <c r="E68" s="26">
        <v>33</v>
      </c>
      <c r="F68" s="39" t="s">
        <v>329</v>
      </c>
      <c r="G68" s="39" t="s">
        <v>209</v>
      </c>
      <c r="H68" s="39" t="s">
        <v>214</v>
      </c>
      <c r="I68" s="70" t="s">
        <v>229</v>
      </c>
      <c r="J68" s="39">
        <v>2050</v>
      </c>
      <c r="K68" s="56">
        <f>(240000+115000)-(15000+0)</f>
        <v>340000</v>
      </c>
      <c r="L68" s="56">
        <v>4113152</v>
      </c>
      <c r="M68" s="24">
        <f>Tableau1[[#This Row],[n_prev]]/Tableau1[[#This Row],[n_death]]</f>
        <v>8.2661666770398948E-2</v>
      </c>
      <c r="N68" s="24"/>
      <c r="O68" s="24"/>
      <c r="P68" s="24">
        <v>1100</v>
      </c>
      <c r="Q68" s="24">
        <v>1100000000000</v>
      </c>
      <c r="R68" s="24">
        <v>375391963</v>
      </c>
      <c r="S68" s="24"/>
      <c r="T68" s="39">
        <f>Tableau1[[#This Row],[monetary]]/Tableau1[[#This Row],[population_target]]</f>
        <v>2930.2705130104237</v>
      </c>
      <c r="U68" s="24" t="s">
        <v>345</v>
      </c>
      <c r="V68" s="26"/>
      <c r="W68" s="45" t="s">
        <v>330</v>
      </c>
    </row>
    <row r="69" spans="1:23" s="31" customFormat="1" ht="72" x14ac:dyDescent="0.3">
      <c r="A69" s="39" t="s">
        <v>107</v>
      </c>
      <c r="B69" s="44" t="s">
        <v>106</v>
      </c>
      <c r="C69" s="26" t="s">
        <v>108</v>
      </c>
      <c r="D69" s="26">
        <v>9</v>
      </c>
      <c r="E69" s="26">
        <v>47</v>
      </c>
      <c r="F69" s="39"/>
      <c r="G69" s="39" t="s">
        <v>209</v>
      </c>
      <c r="H69" s="39" t="s">
        <v>224</v>
      </c>
      <c r="I69" s="70" t="s">
        <v>231</v>
      </c>
      <c r="J69" s="39"/>
      <c r="K69" s="39"/>
      <c r="L69" s="39"/>
      <c r="M69" s="24"/>
      <c r="N69" s="24"/>
      <c r="O69" s="24"/>
      <c r="P69" s="24"/>
      <c r="Q69" s="24"/>
      <c r="R69" s="24"/>
      <c r="S69" s="24"/>
      <c r="T69" s="39"/>
      <c r="U69" s="24"/>
      <c r="V69" s="26"/>
      <c r="W69" s="30"/>
    </row>
    <row r="70" spans="1:23" s="31" customFormat="1" ht="43.2" x14ac:dyDescent="0.3">
      <c r="A70" s="24" t="s">
        <v>52</v>
      </c>
      <c r="B70" s="25" t="s">
        <v>200</v>
      </c>
      <c r="C70" s="26" t="s">
        <v>29</v>
      </c>
      <c r="D70" s="27">
        <v>1338</v>
      </c>
      <c r="E70" s="26">
        <v>29</v>
      </c>
      <c r="F70" s="39" t="s">
        <v>202</v>
      </c>
      <c r="G70" s="39" t="s">
        <v>209</v>
      </c>
      <c r="H70" s="39" t="s">
        <v>214</v>
      </c>
      <c r="I70" s="70" t="s">
        <v>229</v>
      </c>
      <c r="J70" s="39">
        <v>2050</v>
      </c>
      <c r="K70" s="40">
        <f>7039600-6841400</f>
        <v>198200</v>
      </c>
      <c r="L70" s="66">
        <v>17360484</v>
      </c>
      <c r="M70" s="24">
        <f>Tableau1[[#This Row],[n_prev]]/Tableau1[[#This Row],[n_death]]</f>
        <v>1.1416732390640722E-2</v>
      </c>
      <c r="N70" s="24"/>
      <c r="O70" s="24"/>
      <c r="P70" s="24" t="s">
        <v>265</v>
      </c>
      <c r="Q70" s="24">
        <v>167910000000</v>
      </c>
      <c r="R70" s="24">
        <v>1312636325</v>
      </c>
      <c r="S70" s="24"/>
      <c r="T70" s="39">
        <f>Tableau1[[#This Row],[monetary]]/Tableau1[[#This Row],[population_target]]</f>
        <v>127.91814214039826</v>
      </c>
      <c r="U70" s="24"/>
      <c r="V70" s="26" t="s">
        <v>319</v>
      </c>
      <c r="W70" s="30" t="s">
        <v>199</v>
      </c>
    </row>
    <row r="71" spans="1:23" s="31" customFormat="1" ht="57.6" x14ac:dyDescent="0.3">
      <c r="A71" s="24" t="s">
        <v>52</v>
      </c>
      <c r="B71" s="25" t="s">
        <v>201</v>
      </c>
      <c r="C71" s="26" t="s">
        <v>29</v>
      </c>
      <c r="D71" s="27">
        <v>1338</v>
      </c>
      <c r="E71" s="26">
        <v>29</v>
      </c>
      <c r="F71" s="39" t="s">
        <v>203</v>
      </c>
      <c r="G71" s="39" t="s">
        <v>209</v>
      </c>
      <c r="H71" s="39" t="s">
        <v>214</v>
      </c>
      <c r="I71" s="70" t="s">
        <v>229</v>
      </c>
      <c r="J71" s="39">
        <v>2050</v>
      </c>
      <c r="K71" s="40">
        <f>7039600-6426000</f>
        <v>613600</v>
      </c>
      <c r="L71" s="66">
        <v>17360484</v>
      </c>
      <c r="M71" s="24">
        <f>Tableau1[[#This Row],[n_prev]]/Tableau1[[#This Row],[n_death]]</f>
        <v>3.5344636704829194E-2</v>
      </c>
      <c r="N71" s="24"/>
      <c r="O71" s="24"/>
      <c r="P71" s="24"/>
      <c r="Q71" s="24"/>
      <c r="R71" s="24"/>
      <c r="S71" s="24"/>
      <c r="T71" s="39"/>
      <c r="U71" s="24"/>
      <c r="V71" s="26" t="s">
        <v>320</v>
      </c>
      <c r="W71" s="30"/>
    </row>
    <row r="72" spans="1:23" s="31" customFormat="1" ht="43.2" x14ac:dyDescent="0.3">
      <c r="A72" s="24" t="s">
        <v>52</v>
      </c>
      <c r="B72" s="25" t="s">
        <v>13</v>
      </c>
      <c r="C72" s="26" t="s">
        <v>29</v>
      </c>
      <c r="D72" s="27">
        <v>1338</v>
      </c>
      <c r="E72" s="26">
        <v>29</v>
      </c>
      <c r="F72" s="39" t="s">
        <v>204</v>
      </c>
      <c r="G72" s="39" t="s">
        <v>209</v>
      </c>
      <c r="H72" s="39" t="s">
        <v>214</v>
      </c>
      <c r="I72" s="70" t="s">
        <v>229</v>
      </c>
      <c r="J72" s="39">
        <v>2050</v>
      </c>
      <c r="K72" s="40">
        <f>7525500-6380500</f>
        <v>1145000</v>
      </c>
      <c r="L72" s="66">
        <v>17360484</v>
      </c>
      <c r="M72" s="24">
        <f>Tableau1[[#This Row],[n_prev]]/Tableau1[[#This Row],[n_death]]</f>
        <v>6.5954382377818505E-2</v>
      </c>
      <c r="N72" s="24"/>
      <c r="O72" s="24"/>
      <c r="P72" s="24" t="s">
        <v>266</v>
      </c>
      <c r="Q72" s="24">
        <v>684030000000</v>
      </c>
      <c r="R72" s="24">
        <v>1312636325</v>
      </c>
      <c r="S72" s="24"/>
      <c r="T72" s="39">
        <f>Tableau1[[#This Row],[monetary]]/Tableau1[[#This Row],[population_target]]</f>
        <v>521.11158816209047</v>
      </c>
      <c r="U72" s="24"/>
      <c r="V72" s="26"/>
      <c r="W72" s="30"/>
    </row>
    <row r="73" spans="1:23" s="31" customFormat="1" ht="43.2" x14ac:dyDescent="0.3">
      <c r="A73" s="24" t="s">
        <v>42</v>
      </c>
      <c r="B73" s="32" t="s">
        <v>8</v>
      </c>
      <c r="C73" s="35" t="s">
        <v>27</v>
      </c>
      <c r="D73" s="36">
        <v>7821</v>
      </c>
      <c r="E73" s="26">
        <v>4</v>
      </c>
      <c r="F73" s="37" t="s">
        <v>147</v>
      </c>
      <c r="G73" s="37" t="s">
        <v>209</v>
      </c>
      <c r="H73" s="39" t="s">
        <v>214</v>
      </c>
      <c r="I73" s="70" t="s">
        <v>229</v>
      </c>
      <c r="J73" s="37">
        <v>2050</v>
      </c>
      <c r="K73" s="30">
        <f>(5582000-5333000)+(232000-176000)</f>
        <v>305000</v>
      </c>
      <c r="L73" s="28">
        <v>91583402</v>
      </c>
      <c r="M73" s="28">
        <f>Tableau1[[#This Row],[n_prev]]/Tableau1[[#This Row],[n_death]]</f>
        <v>3.3302977760096748E-3</v>
      </c>
      <c r="N73" s="28"/>
      <c r="O73" s="28"/>
      <c r="P73" s="28"/>
      <c r="Q73" s="28"/>
      <c r="R73" s="28"/>
      <c r="S73" s="28"/>
      <c r="T73" s="28"/>
      <c r="U73" s="28"/>
      <c r="V73" s="26" t="s">
        <v>321</v>
      </c>
      <c r="W73" s="26" t="s">
        <v>149</v>
      </c>
    </row>
    <row r="74" spans="1:23" s="31" customFormat="1" ht="43.2" x14ac:dyDescent="0.3">
      <c r="A74" s="24" t="s">
        <v>42</v>
      </c>
      <c r="B74" s="52" t="s">
        <v>8</v>
      </c>
      <c r="C74" s="75" t="s">
        <v>27</v>
      </c>
      <c r="D74" s="36">
        <v>7821</v>
      </c>
      <c r="E74" s="26">
        <v>4</v>
      </c>
      <c r="F74" s="37" t="s">
        <v>145</v>
      </c>
      <c r="G74" s="37" t="s">
        <v>209</v>
      </c>
      <c r="H74" s="39" t="s">
        <v>214</v>
      </c>
      <c r="I74" s="70" t="s">
        <v>229</v>
      </c>
      <c r="J74" s="37">
        <v>2050</v>
      </c>
      <c r="K74" s="30">
        <f>(6552000-6224000)+(400000-334000)</f>
        <v>394000</v>
      </c>
      <c r="L74" s="28">
        <v>91583402</v>
      </c>
      <c r="M74" s="28">
        <f>Tableau1[[#This Row],[n_prev]]/Tableau1[[#This Row],[n_death]]</f>
        <v>4.3020895860583991E-3</v>
      </c>
      <c r="N74" s="28"/>
      <c r="O74" s="28"/>
      <c r="P74" s="28"/>
      <c r="Q74" s="28"/>
      <c r="R74" s="28"/>
      <c r="S74" s="28"/>
      <c r="T74" s="28"/>
      <c r="U74" s="28"/>
      <c r="V74" s="26" t="s">
        <v>322</v>
      </c>
      <c r="W74" s="37"/>
    </row>
    <row r="75" spans="1:23" s="31" customFormat="1" ht="43.2" x14ac:dyDescent="0.3">
      <c r="A75" s="24" t="s">
        <v>42</v>
      </c>
      <c r="B75" s="52" t="s">
        <v>8</v>
      </c>
      <c r="C75" s="75" t="s">
        <v>27</v>
      </c>
      <c r="D75" s="36">
        <v>7821</v>
      </c>
      <c r="E75" s="26">
        <v>4</v>
      </c>
      <c r="F75" s="37" t="s">
        <v>143</v>
      </c>
      <c r="G75" s="37" t="s">
        <v>209</v>
      </c>
      <c r="H75" s="39" t="s">
        <v>214</v>
      </c>
      <c r="I75" s="70" t="s">
        <v>229</v>
      </c>
      <c r="J75" s="37">
        <v>2050</v>
      </c>
      <c r="K75" s="30">
        <f>(7846000-7372000)+(631000-539000)</f>
        <v>566000</v>
      </c>
      <c r="L75" s="28">
        <v>91583402</v>
      </c>
      <c r="M75" s="28">
        <f>Tableau1[[#This Row],[n_prev]]/Tableau1[[#This Row],[n_death]]</f>
        <v>6.1801591515458229E-3</v>
      </c>
      <c r="N75" s="28"/>
      <c r="O75" s="28"/>
      <c r="P75" s="28"/>
      <c r="Q75" s="28"/>
      <c r="R75" s="28"/>
      <c r="S75" s="28"/>
      <c r="T75" s="28"/>
      <c r="U75" s="28"/>
      <c r="V75" s="88"/>
      <c r="W75" s="30"/>
    </row>
    <row r="76" spans="1:23" s="71" customFormat="1" ht="43.2" x14ac:dyDescent="0.3">
      <c r="A76" s="24" t="s">
        <v>42</v>
      </c>
      <c r="B76" s="52" t="s">
        <v>8</v>
      </c>
      <c r="C76" s="52" t="s">
        <v>27</v>
      </c>
      <c r="D76" s="51">
        <v>7821</v>
      </c>
      <c r="E76" s="26">
        <v>4</v>
      </c>
      <c r="F76" s="39" t="s">
        <v>148</v>
      </c>
      <c r="G76" s="39" t="s">
        <v>209</v>
      </c>
      <c r="H76" s="39" t="s">
        <v>214</v>
      </c>
      <c r="I76" s="70" t="s">
        <v>229</v>
      </c>
      <c r="J76" s="37">
        <v>2050</v>
      </c>
      <c r="K76" s="40">
        <f>(5582000-5019000)+(232000-126000)</f>
        <v>669000</v>
      </c>
      <c r="L76" s="28">
        <v>91583402</v>
      </c>
      <c r="M76" s="24">
        <f>Tableau1[[#This Row],[n_prev]]/Tableau1[[#This Row],[n_death]]</f>
        <v>7.3048170890179422E-3</v>
      </c>
      <c r="N76" s="24"/>
      <c r="O76" s="24"/>
      <c r="P76" s="24"/>
      <c r="Q76" s="24"/>
      <c r="R76" s="24"/>
      <c r="S76" s="24"/>
      <c r="T76" s="24"/>
      <c r="U76" s="24"/>
      <c r="V76" s="88"/>
      <c r="W76" s="30"/>
    </row>
    <row r="77" spans="1:23" s="31" customFormat="1" ht="43.2" x14ac:dyDescent="0.3">
      <c r="A77" s="24" t="s">
        <v>42</v>
      </c>
      <c r="B77" s="52" t="s">
        <v>8</v>
      </c>
      <c r="C77" s="75" t="s">
        <v>27</v>
      </c>
      <c r="D77" s="51">
        <v>7821</v>
      </c>
      <c r="E77" s="26">
        <v>4</v>
      </c>
      <c r="F77" s="37" t="s">
        <v>146</v>
      </c>
      <c r="G77" s="37" t="s">
        <v>209</v>
      </c>
      <c r="H77" s="39" t="s">
        <v>214</v>
      </c>
      <c r="I77" s="70" t="s">
        <v>229</v>
      </c>
      <c r="J77" s="37">
        <v>2050</v>
      </c>
      <c r="K77" s="30">
        <f>(6552000-5701000)+(400000-237000)</f>
        <v>1014000</v>
      </c>
      <c r="L77" s="28">
        <v>91583402</v>
      </c>
      <c r="M77" s="28">
        <f>Tableau1[[#This Row],[n_prev]]/Tableau1[[#This Row],[n_death]]</f>
        <v>1.1071875229094461E-2</v>
      </c>
      <c r="N77" s="28"/>
      <c r="O77" s="28"/>
      <c r="P77" s="28"/>
      <c r="Q77" s="28"/>
      <c r="R77" s="28"/>
      <c r="S77" s="28"/>
      <c r="T77" s="28"/>
      <c r="U77" s="28"/>
      <c r="V77" s="88"/>
      <c r="W77" s="30"/>
    </row>
    <row r="78" spans="1:23" s="31" customFormat="1" ht="43.2" x14ac:dyDescent="0.3">
      <c r="A78" s="24" t="s">
        <v>42</v>
      </c>
      <c r="B78" s="52" t="s">
        <v>8</v>
      </c>
      <c r="C78" s="75" t="s">
        <v>27</v>
      </c>
      <c r="D78" s="51">
        <v>7821</v>
      </c>
      <c r="E78" s="26">
        <v>4</v>
      </c>
      <c r="F78" s="37" t="s">
        <v>144</v>
      </c>
      <c r="G78" s="37" t="s">
        <v>209</v>
      </c>
      <c r="H78" s="39" t="s">
        <v>214</v>
      </c>
      <c r="I78" s="70" t="s">
        <v>229</v>
      </c>
      <c r="J78" s="37">
        <v>2050</v>
      </c>
      <c r="K78" s="30">
        <f>(7846000-6598000)+(631000-382000)</f>
        <v>1497000</v>
      </c>
      <c r="L78" s="28">
        <v>91583402</v>
      </c>
      <c r="M78" s="28">
        <f>Tableau1[[#This Row],[n_prev]]/Tableau1[[#This Row],[n_death]]</f>
        <v>1.6345756625201584E-2</v>
      </c>
      <c r="N78" s="28"/>
      <c r="O78" s="28"/>
      <c r="P78" s="28"/>
      <c r="Q78" s="28"/>
      <c r="R78" s="28"/>
      <c r="S78" s="28"/>
      <c r="T78" s="28"/>
      <c r="U78" s="28"/>
      <c r="V78" s="88"/>
      <c r="W78" s="30"/>
    </row>
    <row r="79" spans="1:23" s="34" customFormat="1" ht="126" customHeight="1" x14ac:dyDescent="0.3">
      <c r="A79" s="5" t="s">
        <v>38</v>
      </c>
      <c r="B79" s="5" t="s">
        <v>4</v>
      </c>
      <c r="C79" s="8" t="s">
        <v>72</v>
      </c>
      <c r="D79" s="5">
        <v>37.299999999999997</v>
      </c>
      <c r="E79" s="4">
        <v>44</v>
      </c>
      <c r="F79" s="5"/>
      <c r="G79" s="5" t="s">
        <v>209</v>
      </c>
      <c r="H79" s="5" t="s">
        <v>213</v>
      </c>
      <c r="I79" s="8" t="s">
        <v>229</v>
      </c>
      <c r="J79" s="5"/>
      <c r="K79" s="9">
        <v>14400</v>
      </c>
      <c r="L79" s="9"/>
      <c r="M79" s="33"/>
      <c r="N79" s="33"/>
      <c r="O79" s="33"/>
      <c r="P79" s="33"/>
      <c r="Q79" s="33"/>
      <c r="R79" s="33"/>
      <c r="S79" s="33"/>
      <c r="T79" s="33"/>
      <c r="U79" s="33"/>
      <c r="V79" s="8" t="s">
        <v>323</v>
      </c>
      <c r="W79" s="12"/>
    </row>
    <row r="80" spans="1:23" s="34" customFormat="1" ht="144" customHeight="1" x14ac:dyDescent="0.3">
      <c r="A80" s="5" t="s">
        <v>97</v>
      </c>
      <c r="B80" s="64" t="s">
        <v>96</v>
      </c>
      <c r="C80" s="8" t="s">
        <v>27</v>
      </c>
      <c r="D80" s="9">
        <v>7405</v>
      </c>
      <c r="E80" s="4">
        <v>10</v>
      </c>
      <c r="F80" s="5" t="s">
        <v>173</v>
      </c>
      <c r="G80" s="5" t="s">
        <v>209</v>
      </c>
      <c r="H80" s="5" t="s">
        <v>214</v>
      </c>
      <c r="I80" s="8" t="s">
        <v>229</v>
      </c>
      <c r="J80" s="5">
        <v>2050</v>
      </c>
      <c r="K80" s="9">
        <v>35550</v>
      </c>
      <c r="L80" s="11">
        <v>91583402</v>
      </c>
      <c r="M80" s="33">
        <f>Tableau1[[#This Row],[n_prev]]/Tableau1[[#This Row],[n_death]]</f>
        <v>3.8817077356440634E-4</v>
      </c>
      <c r="N80" s="33"/>
      <c r="O80" s="33"/>
      <c r="P80" s="33">
        <v>10</v>
      </c>
      <c r="Q80" s="33">
        <v>10000000000</v>
      </c>
      <c r="R80" s="33">
        <v>9709491761</v>
      </c>
      <c r="S80" s="33"/>
      <c r="T80" s="33">
        <f>Tableau1[[#This Row],[monetary]]/Tableau1[[#This Row],[population_target]]</f>
        <v>1.0299200252856571</v>
      </c>
      <c r="U80" s="33"/>
      <c r="V80" s="8"/>
      <c r="W80" s="5" t="s">
        <v>186</v>
      </c>
    </row>
    <row r="81" spans="1:23" s="34" customFormat="1" ht="57.6" x14ac:dyDescent="0.3">
      <c r="A81" s="33" t="s">
        <v>46</v>
      </c>
      <c r="B81" s="5" t="s">
        <v>15</v>
      </c>
      <c r="C81" s="8" t="s">
        <v>27</v>
      </c>
      <c r="D81" s="9">
        <v>7821</v>
      </c>
      <c r="E81" s="4">
        <v>5</v>
      </c>
      <c r="F81" s="13" t="s">
        <v>151</v>
      </c>
      <c r="G81" s="13" t="s">
        <v>209</v>
      </c>
      <c r="H81" s="5" t="s">
        <v>214</v>
      </c>
      <c r="I81" s="8" t="s">
        <v>229</v>
      </c>
      <c r="J81" s="13">
        <v>2030</v>
      </c>
      <c r="K81" s="22">
        <v>619000</v>
      </c>
      <c r="L81" s="23">
        <v>67172551</v>
      </c>
      <c r="M81" s="33">
        <f>Tableau1[[#This Row],[n_prev]]/Tableau1[[#This Row],[n_death]]</f>
        <v>9.2150735796828684E-3</v>
      </c>
      <c r="N81" s="33"/>
      <c r="O81" s="33"/>
      <c r="P81" s="33">
        <v>1294</v>
      </c>
      <c r="Q81" s="33">
        <v>12940000000000</v>
      </c>
      <c r="R81" s="33">
        <v>9709491761</v>
      </c>
      <c r="S81" s="33"/>
      <c r="T81" s="33">
        <f>Tableau1[[#This Row],[monetary]]/Tableau1[[#This Row],[population_target]]</f>
        <v>1332.7165127196404</v>
      </c>
      <c r="U81" s="33"/>
      <c r="V81" s="89"/>
      <c r="W81" s="12"/>
    </row>
    <row r="82" spans="1:23" s="34" customFormat="1" ht="57.6" x14ac:dyDescent="0.3">
      <c r="A82" s="33" t="s">
        <v>46</v>
      </c>
      <c r="B82" s="5" t="s">
        <v>15</v>
      </c>
      <c r="C82" s="8" t="s">
        <v>27</v>
      </c>
      <c r="D82" s="9">
        <v>7821</v>
      </c>
      <c r="E82" s="4">
        <v>5</v>
      </c>
      <c r="F82" s="5" t="s">
        <v>152</v>
      </c>
      <c r="G82" s="5" t="s">
        <v>209</v>
      </c>
      <c r="H82" s="5" t="s">
        <v>214</v>
      </c>
      <c r="I82" s="8" t="s">
        <v>229</v>
      </c>
      <c r="J82" s="13">
        <v>2030</v>
      </c>
      <c r="K82" s="43">
        <v>731000</v>
      </c>
      <c r="L82" s="23">
        <v>67172551</v>
      </c>
      <c r="M82" s="33">
        <f>Tableau1[[#This Row],[n_prev]]/Tableau1[[#This Row],[n_death]]</f>
        <v>1.0882421303308847E-2</v>
      </c>
      <c r="N82" s="33"/>
      <c r="O82" s="33"/>
      <c r="P82" s="33">
        <v>1425</v>
      </c>
      <c r="Q82" s="33">
        <v>1425000000000</v>
      </c>
      <c r="R82" s="33">
        <v>9709491761</v>
      </c>
      <c r="S82" s="33"/>
      <c r="T82" s="33">
        <f>Tableau1[[#This Row],[monetary]]/Tableau1[[#This Row],[population_target]]</f>
        <v>146.76360360320615</v>
      </c>
      <c r="U82" s="33"/>
      <c r="V82" s="8"/>
      <c r="W82" s="12"/>
    </row>
    <row r="83" spans="1:23" s="31" customFormat="1" ht="172.8" x14ac:dyDescent="0.3">
      <c r="A83" s="39" t="s">
        <v>101</v>
      </c>
      <c r="B83" s="55" t="s">
        <v>100</v>
      </c>
      <c r="C83" s="26" t="s">
        <v>27</v>
      </c>
      <c r="D83" s="27">
        <v>7405</v>
      </c>
      <c r="E83" s="26">
        <v>11</v>
      </c>
      <c r="F83" s="39"/>
      <c r="G83" s="39" t="s">
        <v>209</v>
      </c>
      <c r="H83" s="39" t="s">
        <v>225</v>
      </c>
      <c r="I83" s="70" t="s">
        <v>232</v>
      </c>
      <c r="J83" s="39"/>
      <c r="K83" s="24"/>
      <c r="L83" s="24"/>
      <c r="M83" s="24"/>
      <c r="N83" s="24"/>
      <c r="O83" s="24"/>
      <c r="P83" s="24"/>
      <c r="Q83" s="24"/>
      <c r="R83" s="24"/>
      <c r="S83" s="24"/>
      <c r="T83" s="24"/>
      <c r="U83" s="24"/>
      <c r="V83" s="26" t="s">
        <v>324</v>
      </c>
      <c r="W83" s="30"/>
    </row>
    <row r="84" spans="1:23" s="80" customFormat="1" ht="57.6" x14ac:dyDescent="0.3">
      <c r="A84" s="39" t="s">
        <v>73</v>
      </c>
      <c r="B84" s="39" t="s">
        <v>11</v>
      </c>
      <c r="C84" s="72" t="s">
        <v>30</v>
      </c>
      <c r="D84" s="73">
        <v>63.26</v>
      </c>
      <c r="E84" s="26">
        <v>37</v>
      </c>
      <c r="F84" s="39" t="s">
        <v>351</v>
      </c>
      <c r="G84" s="39" t="s">
        <v>132</v>
      </c>
      <c r="H84" s="39" t="s">
        <v>214</v>
      </c>
      <c r="I84" s="70" t="s">
        <v>229</v>
      </c>
      <c r="J84" s="39"/>
      <c r="K84" s="39"/>
      <c r="L84" s="39"/>
      <c r="M84" s="39"/>
      <c r="N84" s="39"/>
      <c r="O84" s="39">
        <v>90000</v>
      </c>
      <c r="P84" s="39"/>
      <c r="Q84" s="39"/>
      <c r="R84" s="39">
        <v>71684966</v>
      </c>
      <c r="S84" s="39">
        <f>Tableau1[[#This Row],[yll]]/Tableau1[[#This Row],[population_target]]</f>
        <v>1.2554933763935941E-3</v>
      </c>
      <c r="T84" s="39"/>
      <c r="U84" s="39"/>
      <c r="V84" s="70" t="s">
        <v>325</v>
      </c>
      <c r="W84" s="30"/>
    </row>
    <row r="85" spans="1:23" s="80" customFormat="1" ht="57.6" x14ac:dyDescent="0.3">
      <c r="A85" s="39" t="s">
        <v>73</v>
      </c>
      <c r="B85" s="39" t="s">
        <v>11</v>
      </c>
      <c r="C85" s="72" t="s">
        <v>30</v>
      </c>
      <c r="D85" s="73">
        <v>63.26</v>
      </c>
      <c r="E85" s="26">
        <v>37</v>
      </c>
      <c r="F85" s="39" t="s">
        <v>352</v>
      </c>
      <c r="G85" s="39" t="s">
        <v>132</v>
      </c>
      <c r="H85" s="39" t="s">
        <v>214</v>
      </c>
      <c r="I85" s="70" t="s">
        <v>229</v>
      </c>
      <c r="J85" s="39"/>
      <c r="K85" s="39"/>
      <c r="L85" s="39"/>
      <c r="M85" s="39"/>
      <c r="N85" s="39"/>
      <c r="O85" s="39">
        <v>80000</v>
      </c>
      <c r="P85" s="39"/>
      <c r="Q85" s="39"/>
      <c r="R85" s="39">
        <v>71684966</v>
      </c>
      <c r="S85" s="39">
        <f>Tableau1[[#This Row],[yll]]/Tableau1[[#This Row],[population_target]]</f>
        <v>1.1159941123498615E-3</v>
      </c>
      <c r="T85" s="39"/>
      <c r="U85" s="39"/>
      <c r="V85" s="70" t="s">
        <v>325</v>
      </c>
      <c r="W85" s="30"/>
    </row>
    <row r="86" spans="1:23" s="31" customFormat="1" ht="57.6" x14ac:dyDescent="0.3">
      <c r="A86" s="24" t="s">
        <v>55</v>
      </c>
      <c r="B86" s="39" t="s">
        <v>24</v>
      </c>
      <c r="C86" s="70" t="s">
        <v>74</v>
      </c>
      <c r="D86" s="39">
        <v>61</v>
      </c>
      <c r="E86" s="26">
        <v>41</v>
      </c>
      <c r="F86" s="39"/>
      <c r="G86" s="39" t="s">
        <v>209</v>
      </c>
      <c r="H86" s="39" t="s">
        <v>213</v>
      </c>
      <c r="I86" s="70" t="s">
        <v>229</v>
      </c>
      <c r="J86" s="39"/>
      <c r="K86" s="40">
        <v>75000</v>
      </c>
      <c r="L86" s="40"/>
      <c r="M86" s="39"/>
      <c r="N86" s="39"/>
      <c r="O86" s="39">
        <v>8</v>
      </c>
      <c r="P86" s="39"/>
      <c r="Q86" s="39"/>
      <c r="R86" s="39"/>
      <c r="S86" s="39"/>
      <c r="T86" s="39"/>
      <c r="U86" s="39"/>
      <c r="V86" s="70" t="s">
        <v>326</v>
      </c>
      <c r="W86" s="30"/>
    </row>
    <row r="87" spans="1:23" s="31" customFormat="1" ht="72" x14ac:dyDescent="0.3">
      <c r="A87" s="68" t="s">
        <v>81</v>
      </c>
      <c r="B87" s="68" t="s">
        <v>84</v>
      </c>
      <c r="C87" s="86" t="s">
        <v>29</v>
      </c>
      <c r="D87" s="69">
        <v>1380</v>
      </c>
      <c r="E87" s="26">
        <v>27</v>
      </c>
      <c r="F87" s="39" t="s">
        <v>198</v>
      </c>
      <c r="G87" s="39" t="s">
        <v>142</v>
      </c>
      <c r="H87" s="39" t="s">
        <v>214</v>
      </c>
      <c r="I87" s="70" t="s">
        <v>229</v>
      </c>
      <c r="J87" s="39">
        <v>2035</v>
      </c>
      <c r="K87" s="69">
        <v>170000</v>
      </c>
      <c r="L87" s="39">
        <v>13571259</v>
      </c>
      <c r="M87" s="52">
        <f>Tableau1[[#This Row],[n_prev]]/Tableau1[[#This Row],[n_death]]</f>
        <v>1.2526472304448689E-2</v>
      </c>
      <c r="N87" s="52"/>
      <c r="O87" s="52"/>
      <c r="P87" s="52" t="s">
        <v>267</v>
      </c>
      <c r="Q87" s="52">
        <v>125350000000</v>
      </c>
      <c r="R87" s="52">
        <v>1399547500</v>
      </c>
      <c r="S87" s="52"/>
      <c r="T87" s="52">
        <f>Tableau1[[#This Row],[monetary]]/Tableau1[[#This Row],[population_target]]</f>
        <v>89.564662864247197</v>
      </c>
      <c r="U87" s="52"/>
      <c r="V87" s="86" t="s">
        <v>331</v>
      </c>
      <c r="W87" s="39" t="s">
        <v>327</v>
      </c>
    </row>
    <row r="88" spans="1:23" s="34" customFormat="1" ht="28.8" x14ac:dyDescent="0.3">
      <c r="A88" s="5" t="s">
        <v>93</v>
      </c>
      <c r="B88" s="64" t="s">
        <v>92</v>
      </c>
      <c r="C88" s="8" t="s">
        <v>29</v>
      </c>
      <c r="D88" s="9">
        <v>1338</v>
      </c>
      <c r="E88" s="4">
        <v>30</v>
      </c>
      <c r="F88" s="5" t="s">
        <v>205</v>
      </c>
      <c r="G88" s="5" t="s">
        <v>134</v>
      </c>
      <c r="H88" s="5" t="s">
        <v>214</v>
      </c>
      <c r="I88" s="8" t="s">
        <v>229</v>
      </c>
      <c r="J88" s="5">
        <v>2030</v>
      </c>
      <c r="K88" s="9">
        <f>1429940-(140510+17223+1174779)</f>
        <v>97428</v>
      </c>
      <c r="L88" s="59">
        <v>12224379</v>
      </c>
      <c r="M88" s="5">
        <f>Tableau1[[#This Row],[n_prev]]/Tableau1[[#This Row],[n_death]]</f>
        <v>7.9699754073397095E-3</v>
      </c>
      <c r="N88" s="5"/>
      <c r="O88" s="5"/>
      <c r="P88" s="5"/>
      <c r="Q88" s="5"/>
      <c r="R88" s="5"/>
      <c r="S88" s="5"/>
      <c r="T88" s="5"/>
      <c r="U88" s="5"/>
      <c r="V88" s="8"/>
      <c r="W88" s="10"/>
    </row>
    <row r="89" spans="1:23" s="34" customFormat="1" ht="28.8" x14ac:dyDescent="0.3">
      <c r="A89" s="5" t="s">
        <v>93</v>
      </c>
      <c r="B89" s="64" t="s">
        <v>92</v>
      </c>
      <c r="C89" s="5" t="s">
        <v>29</v>
      </c>
      <c r="D89" s="9">
        <v>1338</v>
      </c>
      <c r="E89" s="4">
        <v>30</v>
      </c>
      <c r="F89" s="5" t="s">
        <v>206</v>
      </c>
      <c r="G89" s="5" t="s">
        <v>209</v>
      </c>
      <c r="H89" s="5" t="s">
        <v>214</v>
      </c>
      <c r="I89" s="8" t="s">
        <v>229</v>
      </c>
      <c r="J89" s="5">
        <v>2030</v>
      </c>
      <c r="K89" s="9">
        <f>1429940-(17580+2717+177872)</f>
        <v>1231771</v>
      </c>
      <c r="L89" s="59">
        <v>12224379</v>
      </c>
      <c r="M89" s="5">
        <f>Tableau1[[#This Row],[n_prev]]/Tableau1[[#This Row],[n_death]]</f>
        <v>0.10076348254582093</v>
      </c>
      <c r="N89" s="5"/>
      <c r="O89" s="5"/>
      <c r="P89" s="5"/>
      <c r="Q89" s="5"/>
      <c r="R89" s="5"/>
      <c r="S89" s="5"/>
      <c r="T89" s="5"/>
      <c r="U89" s="5"/>
      <c r="V89" s="5"/>
      <c r="W89" s="13"/>
    </row>
    <row r="90" spans="1:23" s="31" customFormat="1" ht="43.2" x14ac:dyDescent="0.3">
      <c r="A90" s="39" t="s">
        <v>268</v>
      </c>
      <c r="B90" s="52" t="s">
        <v>14</v>
      </c>
      <c r="C90" s="52" t="s">
        <v>75</v>
      </c>
      <c r="D90" s="39">
        <v>80</v>
      </c>
      <c r="E90" s="26">
        <v>35</v>
      </c>
      <c r="F90" s="39"/>
      <c r="G90" s="39" t="s">
        <v>209</v>
      </c>
      <c r="H90" s="39" t="s">
        <v>213</v>
      </c>
      <c r="I90" s="70" t="s">
        <v>229</v>
      </c>
      <c r="J90" s="39"/>
      <c r="K90" s="40">
        <v>14000</v>
      </c>
      <c r="L90" s="40"/>
      <c r="M90" s="39"/>
      <c r="N90" s="39"/>
      <c r="O90" s="39"/>
      <c r="P90" s="39"/>
      <c r="Q90" s="39"/>
      <c r="R90" s="39"/>
      <c r="S90" s="39"/>
      <c r="T90" s="39"/>
      <c r="U90" s="39"/>
      <c r="V90" s="70"/>
      <c r="W90" s="30"/>
    </row>
    <row r="91" spans="1:23" s="34" customFormat="1" ht="57.6" x14ac:dyDescent="0.3">
      <c r="A91" s="5" t="s">
        <v>269</v>
      </c>
      <c r="B91" s="5" t="s">
        <v>2</v>
      </c>
      <c r="C91" s="85" t="s">
        <v>29</v>
      </c>
      <c r="D91" s="9">
        <v>1411</v>
      </c>
      <c r="E91" s="4">
        <v>21</v>
      </c>
      <c r="F91" s="10" t="s">
        <v>166</v>
      </c>
      <c r="G91" s="5" t="s">
        <v>209</v>
      </c>
      <c r="H91" s="5" t="s">
        <v>213</v>
      </c>
      <c r="I91" s="8" t="s">
        <v>229</v>
      </c>
      <c r="J91" s="5">
        <v>2060</v>
      </c>
      <c r="K91" s="5">
        <v>540000</v>
      </c>
      <c r="L91" s="43">
        <v>18786882</v>
      </c>
      <c r="M91" s="5">
        <f>Tableau1[[#This Row],[n_prev]]/Tableau1[[#This Row],[n_death]]</f>
        <v>2.8743460463529817E-2</v>
      </c>
      <c r="N91" s="5" t="s">
        <v>272</v>
      </c>
      <c r="O91" s="5"/>
      <c r="P91" s="5"/>
      <c r="Q91" s="5"/>
      <c r="R91" s="5"/>
      <c r="S91" s="5"/>
      <c r="T91" s="5"/>
      <c r="U91" s="5"/>
      <c r="V91" s="8" t="s">
        <v>275</v>
      </c>
      <c r="W91" s="12"/>
    </row>
    <row r="92" spans="1:23" s="34" customFormat="1" ht="72" x14ac:dyDescent="0.3">
      <c r="A92" s="5" t="s">
        <v>269</v>
      </c>
      <c r="B92" s="5" t="s">
        <v>2</v>
      </c>
      <c r="C92" s="85" t="s">
        <v>29</v>
      </c>
      <c r="D92" s="9">
        <v>1411</v>
      </c>
      <c r="E92" s="4">
        <v>21</v>
      </c>
      <c r="F92" s="10" t="s">
        <v>271</v>
      </c>
      <c r="G92" s="5" t="s">
        <v>132</v>
      </c>
      <c r="H92" s="5" t="s">
        <v>213</v>
      </c>
      <c r="I92" s="8" t="s">
        <v>229</v>
      </c>
      <c r="J92" s="5">
        <v>2060</v>
      </c>
      <c r="K92" s="5">
        <v>1160000</v>
      </c>
      <c r="L92" s="43">
        <v>18786882</v>
      </c>
      <c r="M92" s="5">
        <f>Tableau1[[#This Row],[n_prev]]/Tableau1[[#This Row],[n_death]]</f>
        <v>6.1745211366101088E-2</v>
      </c>
      <c r="N92" s="5" t="s">
        <v>273</v>
      </c>
      <c r="O92" s="5"/>
      <c r="P92" s="5"/>
      <c r="Q92" s="5"/>
      <c r="R92" s="5"/>
      <c r="S92" s="5"/>
      <c r="T92" s="5"/>
      <c r="U92" s="5"/>
      <c r="V92" s="8" t="s">
        <v>333</v>
      </c>
      <c r="W92" s="12"/>
    </row>
    <row r="93" spans="1:23" s="34" customFormat="1" ht="57.6" x14ac:dyDescent="0.3">
      <c r="A93" s="5" t="s">
        <v>269</v>
      </c>
      <c r="B93" s="5" t="s">
        <v>2</v>
      </c>
      <c r="C93" s="85" t="s">
        <v>29</v>
      </c>
      <c r="D93" s="9">
        <v>1411</v>
      </c>
      <c r="E93" s="4">
        <v>21</v>
      </c>
      <c r="F93" s="10" t="s">
        <v>270</v>
      </c>
      <c r="G93" s="5" t="s">
        <v>132</v>
      </c>
      <c r="H93" s="5" t="s">
        <v>213</v>
      </c>
      <c r="I93" s="8" t="s">
        <v>229</v>
      </c>
      <c r="J93" s="5">
        <v>2060</v>
      </c>
      <c r="K93" s="5">
        <v>2020000</v>
      </c>
      <c r="L93" s="43">
        <v>18786882</v>
      </c>
      <c r="M93" s="5">
        <f>Tableau1[[#This Row],[n_prev]]/Tableau1[[#This Row],[n_death]]</f>
        <v>0.10752183358579673</v>
      </c>
      <c r="N93" s="5" t="s">
        <v>274</v>
      </c>
      <c r="O93" s="5"/>
      <c r="P93" s="5"/>
      <c r="Q93" s="5"/>
      <c r="R93" s="5"/>
      <c r="S93" s="5"/>
      <c r="T93" s="5"/>
      <c r="U93" s="5"/>
      <c r="V93" s="8" t="s">
        <v>332</v>
      </c>
      <c r="W93" s="12"/>
    </row>
    <row r="94" spans="1:23" s="31" customFormat="1" ht="176.4" customHeight="1" x14ac:dyDescent="0.3">
      <c r="A94" s="24" t="s">
        <v>37</v>
      </c>
      <c r="B94" s="52" t="s">
        <v>3</v>
      </c>
      <c r="C94" s="70" t="s">
        <v>72</v>
      </c>
      <c r="D94" s="39">
        <v>37.299999999999997</v>
      </c>
      <c r="E94" s="26">
        <v>45</v>
      </c>
      <c r="F94" s="39"/>
      <c r="G94" s="39" t="s">
        <v>209</v>
      </c>
      <c r="H94" s="55" t="s">
        <v>226</v>
      </c>
      <c r="I94" s="70" t="s">
        <v>229</v>
      </c>
      <c r="J94" s="39"/>
      <c r="K94" s="39" t="s">
        <v>118</v>
      </c>
      <c r="L94" s="39"/>
      <c r="M94" s="39"/>
      <c r="N94" s="39"/>
      <c r="O94" s="39"/>
      <c r="P94" s="39"/>
      <c r="Q94" s="39"/>
      <c r="R94" s="39"/>
      <c r="S94" s="39"/>
      <c r="T94" s="39"/>
      <c r="U94" s="39"/>
      <c r="V94" s="70" t="s">
        <v>334</v>
      </c>
      <c r="W94" s="30"/>
    </row>
    <row r="95" spans="1:23" s="34" customFormat="1" ht="99" customHeight="1" x14ac:dyDescent="0.3">
      <c r="A95" s="5" t="s">
        <v>91</v>
      </c>
      <c r="B95" s="6" t="s">
        <v>90</v>
      </c>
      <c r="C95" s="4" t="s">
        <v>72</v>
      </c>
      <c r="D95" s="4">
        <v>39.4</v>
      </c>
      <c r="E95" s="4">
        <v>42</v>
      </c>
      <c r="F95" s="5"/>
      <c r="G95" s="5" t="s">
        <v>209</v>
      </c>
      <c r="H95" s="5" t="s">
        <v>214</v>
      </c>
      <c r="I95" s="8" t="s">
        <v>229</v>
      </c>
      <c r="J95" s="5"/>
      <c r="K95" s="5" t="s">
        <v>119</v>
      </c>
      <c r="L95" s="5"/>
      <c r="M95" s="5"/>
      <c r="N95" s="5"/>
      <c r="O95" s="5"/>
      <c r="P95" s="5"/>
      <c r="Q95" s="5"/>
      <c r="R95" s="5"/>
      <c r="S95" s="5"/>
      <c r="T95" s="5"/>
      <c r="U95" s="5"/>
      <c r="V95" s="8" t="s">
        <v>335</v>
      </c>
      <c r="W95" s="12"/>
    </row>
    <row r="96" spans="1:23" s="34" customFormat="1" ht="57.6" x14ac:dyDescent="0.3">
      <c r="A96" s="39" t="s">
        <v>47</v>
      </c>
      <c r="B96" s="83" t="s">
        <v>17</v>
      </c>
      <c r="C96" s="79" t="s">
        <v>31</v>
      </c>
      <c r="D96" s="79">
        <v>37.99</v>
      </c>
      <c r="E96" s="78">
        <v>39</v>
      </c>
      <c r="F96" s="77" t="s">
        <v>283</v>
      </c>
      <c r="G96" s="77" t="s">
        <v>132</v>
      </c>
      <c r="H96" s="79" t="s">
        <v>286</v>
      </c>
      <c r="I96" s="79" t="s">
        <v>229</v>
      </c>
      <c r="J96" s="77">
        <v>2050</v>
      </c>
      <c r="K96" s="77"/>
      <c r="L96" s="77"/>
      <c r="M96" s="77"/>
      <c r="N96" s="77"/>
      <c r="O96" s="77"/>
      <c r="P96" s="77" t="s">
        <v>287</v>
      </c>
      <c r="Q96" s="77">
        <v>2291000000</v>
      </c>
      <c r="R96" s="5">
        <v>34932339</v>
      </c>
      <c r="S96" s="77"/>
      <c r="T96" s="5">
        <f>Tableau1[[#This Row],[monetary]]/Tableau1[[#This Row],[population_target]]</f>
        <v>65.583927832602328</v>
      </c>
      <c r="U96" s="77"/>
      <c r="V96" s="77" t="s">
        <v>282</v>
      </c>
      <c r="W96" s="79"/>
    </row>
    <row r="97" spans="1:23" s="34" customFormat="1" ht="57.6" x14ac:dyDescent="0.3">
      <c r="A97" s="39" t="s">
        <v>47</v>
      </c>
      <c r="B97" s="83" t="s">
        <v>17</v>
      </c>
      <c r="C97" s="79" t="s">
        <v>31</v>
      </c>
      <c r="D97" s="79">
        <v>37.99</v>
      </c>
      <c r="E97" s="78">
        <v>39</v>
      </c>
      <c r="F97" s="77" t="s">
        <v>284</v>
      </c>
      <c r="G97" s="77" t="s">
        <v>132</v>
      </c>
      <c r="H97" s="79" t="s">
        <v>286</v>
      </c>
      <c r="I97" s="79" t="s">
        <v>229</v>
      </c>
      <c r="J97" s="77">
        <v>2050</v>
      </c>
      <c r="K97" s="77"/>
      <c r="L97" s="77"/>
      <c r="M97" s="77"/>
      <c r="N97" s="77"/>
      <c r="O97" s="77"/>
      <c r="P97" s="77" t="s">
        <v>288</v>
      </c>
      <c r="Q97" s="77">
        <v>2268000000</v>
      </c>
      <c r="R97" s="5">
        <v>34932339</v>
      </c>
      <c r="S97" s="77"/>
      <c r="T97" s="5">
        <f>Tableau1[[#This Row],[monetary]]/Tableau1[[#This Row],[population_target]]</f>
        <v>64.925512145064204</v>
      </c>
      <c r="U97" s="77"/>
      <c r="V97" s="70" t="s">
        <v>290</v>
      </c>
      <c r="W97" s="79"/>
    </row>
    <row r="98" spans="1:23" s="31" customFormat="1" ht="86.4" x14ac:dyDescent="0.3">
      <c r="A98" s="39" t="s">
        <v>47</v>
      </c>
      <c r="B98" s="52" t="s">
        <v>17</v>
      </c>
      <c r="C98" s="78" t="s">
        <v>31</v>
      </c>
      <c r="D98" s="77">
        <v>37.99</v>
      </c>
      <c r="E98" s="78">
        <v>39</v>
      </c>
      <c r="F98" s="77" t="s">
        <v>285</v>
      </c>
      <c r="G98" s="77" t="s">
        <v>132</v>
      </c>
      <c r="H98" s="77" t="s">
        <v>286</v>
      </c>
      <c r="I98" s="79" t="s">
        <v>229</v>
      </c>
      <c r="J98" s="77">
        <v>2050</v>
      </c>
      <c r="K98" s="77"/>
      <c r="L98" s="77"/>
      <c r="M98" s="77"/>
      <c r="N98" s="77"/>
      <c r="O98" s="77">
        <f>218415-184257</f>
        <v>34158</v>
      </c>
      <c r="P98" s="77" t="s">
        <v>289</v>
      </c>
      <c r="Q98" s="77">
        <v>2314000000</v>
      </c>
      <c r="R98" s="5">
        <v>34932339</v>
      </c>
      <c r="S98" s="77">
        <f>Tableau1[[#This Row],[yll]]/Tableau1[[#This Row],[population_target]]</f>
        <v>9.7783317630119196E-4</v>
      </c>
      <c r="T98" s="5">
        <f>Tableau1[[#This Row],[monetary]]/Tableau1[[#This Row],[population_target]]</f>
        <v>66.242343520140466</v>
      </c>
      <c r="U98" s="77"/>
      <c r="V98" s="26" t="s">
        <v>337</v>
      </c>
      <c r="W98" s="77"/>
    </row>
    <row r="99" spans="1:23" s="31" customFormat="1" ht="43.2" x14ac:dyDescent="0.3">
      <c r="A99" s="5" t="s">
        <v>80</v>
      </c>
      <c r="B99" s="84" t="s">
        <v>79</v>
      </c>
      <c r="C99" s="4" t="s">
        <v>31</v>
      </c>
      <c r="D99" s="5">
        <v>37.97</v>
      </c>
      <c r="E99" s="4">
        <v>40</v>
      </c>
      <c r="F99" s="5" t="s">
        <v>278</v>
      </c>
      <c r="G99" s="5" t="s">
        <v>209</v>
      </c>
      <c r="H99" s="64" t="s">
        <v>213</v>
      </c>
      <c r="I99" s="8" t="s">
        <v>229</v>
      </c>
      <c r="J99" s="5">
        <v>2050</v>
      </c>
      <c r="K99" s="5"/>
      <c r="L99" s="5"/>
      <c r="M99" s="5"/>
      <c r="N99" s="5"/>
      <c r="O99" s="5"/>
      <c r="P99" s="5" t="s">
        <v>280</v>
      </c>
      <c r="Q99" s="5">
        <v>1000000000</v>
      </c>
      <c r="R99" s="5">
        <v>34932339</v>
      </c>
      <c r="S99" s="5"/>
      <c r="T99" s="5">
        <f>Tableau1[[#This Row],[monetary]]/Tableau1[[#This Row],[population_target]]</f>
        <v>28.626769023396918</v>
      </c>
      <c r="U99" s="5"/>
      <c r="V99" s="4" t="s">
        <v>336</v>
      </c>
      <c r="W99" s="5" t="s">
        <v>279</v>
      </c>
    </row>
    <row r="100" spans="1:23" s="31" customFormat="1" ht="26.4" x14ac:dyDescent="0.3">
      <c r="A100" s="5" t="s">
        <v>80</v>
      </c>
      <c r="B100" s="84" t="s">
        <v>79</v>
      </c>
      <c r="C100" s="8" t="s">
        <v>31</v>
      </c>
      <c r="D100" s="5">
        <v>37.97</v>
      </c>
      <c r="E100" s="8">
        <v>40</v>
      </c>
      <c r="F100" s="5" t="s">
        <v>277</v>
      </c>
      <c r="G100" s="5" t="s">
        <v>209</v>
      </c>
      <c r="H100" s="64" t="s">
        <v>213</v>
      </c>
      <c r="I100" s="8" t="s">
        <v>229</v>
      </c>
      <c r="J100" s="5">
        <v>2050</v>
      </c>
      <c r="K100" s="5"/>
      <c r="L100" s="5"/>
      <c r="M100" s="5"/>
      <c r="N100" s="5"/>
      <c r="O100" s="5"/>
      <c r="P100" s="5" t="s">
        <v>281</v>
      </c>
      <c r="Q100" s="5">
        <v>1300000000</v>
      </c>
      <c r="R100" s="5">
        <v>34932339</v>
      </c>
      <c r="S100" s="5"/>
      <c r="T100" s="5">
        <f>Tableau1[[#This Row],[monetary]]/Tableau1[[#This Row],[population_target]]</f>
        <v>37.21479973041599</v>
      </c>
      <c r="U100" s="5"/>
      <c r="V100" s="8"/>
      <c r="W100" s="5" t="s">
        <v>276</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2024-02-20T16:53:33Z</dcterms:modified>
</cp:coreProperties>
</file>