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8328"/>
  </bookViews>
  <sheets>
    <sheet name="Feuil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R8" i="1" l="1"/>
  <c r="N19" i="1" l="1"/>
  <c r="M19" i="1"/>
  <c r="O19" i="1"/>
  <c r="N50" i="1"/>
  <c r="O50" i="1" l="1"/>
  <c r="N56" i="1"/>
  <c r="O56" i="1" s="1"/>
  <c r="N31" i="1"/>
  <c r="O31" i="1"/>
  <c r="N79" i="1"/>
  <c r="O79" i="1" s="1"/>
  <c r="N73" i="1"/>
  <c r="O73" i="1" s="1"/>
  <c r="R38" i="1"/>
  <c r="P38" i="1"/>
  <c r="O38" i="1" l="1"/>
  <c r="S97" i="1"/>
  <c r="O69" i="1"/>
  <c r="M53" i="1"/>
  <c r="O53" i="1" s="1"/>
  <c r="M52" i="1"/>
  <c r="O52" i="1" s="1"/>
  <c r="M28" i="1"/>
  <c r="O28" i="1" s="1"/>
  <c r="M77" i="1"/>
  <c r="O77" i="1" s="1"/>
  <c r="M75" i="1"/>
  <c r="O75" i="1" s="1"/>
  <c r="R15" i="1"/>
  <c r="P2" i="1"/>
  <c r="P5" i="1"/>
  <c r="P14" i="1"/>
  <c r="M14" i="1" s="1"/>
  <c r="O14" i="1" s="1"/>
  <c r="P13" i="1"/>
  <c r="P6" i="1"/>
  <c r="P12" i="1"/>
  <c r="M12" i="1" s="1"/>
  <c r="O12" i="1" s="1"/>
  <c r="P15" i="1"/>
  <c r="P8" i="1"/>
  <c r="R5" i="1"/>
  <c r="R13" i="1"/>
  <c r="R2" i="1"/>
  <c r="R6" i="1"/>
  <c r="R14" i="1"/>
  <c r="R12" i="1"/>
  <c r="M2" i="1" l="1"/>
  <c r="O2" i="1" s="1"/>
  <c r="M8" i="1"/>
  <c r="O8" i="1" s="1"/>
  <c r="M6" i="1"/>
  <c r="O6" i="1" s="1"/>
  <c r="M15" i="1"/>
  <c r="O15" i="1" s="1"/>
  <c r="M13" i="1"/>
  <c r="O13" i="1" s="1"/>
  <c r="M5" i="1"/>
  <c r="O5" i="1" s="1"/>
  <c r="M22" i="1"/>
  <c r="O22" i="1" s="1"/>
  <c r="M24" i="1"/>
  <c r="O24" i="1" s="1"/>
  <c r="M4" i="1"/>
  <c r="O4" i="1" s="1"/>
  <c r="O89" i="1"/>
  <c r="W24" i="1" l="1"/>
  <c r="W15" i="1"/>
  <c r="W12" i="1"/>
  <c r="W8" i="1"/>
  <c r="W6" i="1"/>
  <c r="W2" i="1"/>
  <c r="W5" i="1"/>
  <c r="W13" i="1"/>
  <c r="W14" i="1"/>
  <c r="X102" i="1"/>
  <c r="X100" i="1"/>
  <c r="X99" i="1"/>
  <c r="X17" i="1"/>
  <c r="X101" i="1"/>
  <c r="X37" i="1"/>
  <c r="W22" i="1"/>
  <c r="X29" i="1"/>
  <c r="X32" i="1"/>
  <c r="X3" i="1"/>
  <c r="X34" i="1"/>
  <c r="X83" i="1"/>
  <c r="X85" i="1"/>
  <c r="X84" i="1"/>
  <c r="X48" i="1"/>
  <c r="W4" i="1"/>
  <c r="X55" i="1"/>
  <c r="X30" i="1"/>
  <c r="X54" i="1"/>
  <c r="W39" i="1"/>
  <c r="X39" i="1"/>
  <c r="R17" i="1" l="1"/>
  <c r="O87" i="1"/>
  <c r="O82" i="1"/>
  <c r="O62" i="1"/>
  <c r="W17" i="1" l="1"/>
  <c r="M17" i="1"/>
  <c r="O17" i="1" s="1"/>
  <c r="M68" i="1"/>
  <c r="M72" i="1"/>
  <c r="M76" i="1" l="1"/>
  <c r="M85" i="1"/>
  <c r="O85" i="1" s="1"/>
  <c r="M86" i="1"/>
  <c r="O86" i="1" s="1"/>
  <c r="M26" i="1"/>
  <c r="O26" i="1" s="1"/>
  <c r="M83" i="1"/>
  <c r="M64" i="1"/>
  <c r="O64" i="1" s="1"/>
  <c r="M34" i="1"/>
  <c r="O34" i="1" s="1"/>
  <c r="O37" i="1"/>
  <c r="O45" i="1"/>
  <c r="O80" i="1"/>
  <c r="O81" i="1"/>
  <c r="O30" i="1"/>
  <c r="O48" i="1"/>
  <c r="O54" i="1"/>
  <c r="M66" i="1" l="1"/>
  <c r="M65" i="1"/>
  <c r="O84" i="1"/>
  <c r="O11" i="1"/>
  <c r="O63" i="1"/>
  <c r="O61" i="1"/>
  <c r="O70" i="1"/>
  <c r="O88" i="1"/>
  <c r="O60" i="1"/>
  <c r="O78" i="1"/>
  <c r="O23" i="1"/>
  <c r="O20" i="1" l="1"/>
  <c r="O43" i="1"/>
  <c r="O49" i="1"/>
  <c r="O7" i="1"/>
  <c r="O35" i="1"/>
  <c r="M59" i="1" l="1"/>
  <c r="O59" i="1" s="1"/>
  <c r="M47" i="1"/>
  <c r="O47" i="1" s="1"/>
  <c r="M51" i="1"/>
  <c r="O51" i="1" s="1"/>
  <c r="M27" i="1"/>
  <c r="O27" i="1" s="1"/>
  <c r="M44" i="1" l="1"/>
  <c r="O44" i="1" s="1"/>
  <c r="M10" i="1"/>
  <c r="O10" i="1" s="1"/>
  <c r="M9" i="1"/>
  <c r="O9" i="1" s="1"/>
  <c r="M74" i="1"/>
  <c r="O74" i="1" s="1"/>
  <c r="M58" i="1"/>
  <c r="O58" i="1" s="1"/>
  <c r="M57" i="1"/>
  <c r="O57" i="1" s="1"/>
  <c r="O29" i="1"/>
  <c r="O32" i="1"/>
  <c r="M33" i="1"/>
  <c r="O33" i="1" s="1"/>
  <c r="M25" i="1"/>
  <c r="O25" i="1" s="1"/>
  <c r="M16" i="1"/>
  <c r="O16" i="1" s="1"/>
  <c r="M18" i="1"/>
  <c r="O18" i="1" s="1"/>
  <c r="M21" i="1"/>
  <c r="O21" i="1" s="1"/>
  <c r="M46" i="1"/>
  <c r="O46" i="1" s="1"/>
  <c r="O71" i="1"/>
  <c r="O67" i="1"/>
  <c r="O72" i="1"/>
  <c r="O68" i="1"/>
  <c r="O42" i="1" l="1"/>
  <c r="O36" i="1"/>
  <c r="O41" i="1"/>
  <c r="O40" i="1"/>
  <c r="O66" i="1" l="1"/>
  <c r="O65" i="1" l="1"/>
  <c r="O83" i="1"/>
  <c r="O3" i="1"/>
  <c r="O76" i="1"/>
  <c r="O55" i="1"/>
  <c r="O39" i="1"/>
</calcChain>
</file>

<file path=xl/sharedStrings.xml><?xml version="1.0" encoding="utf-8"?>
<sst xmlns="http://schemas.openxmlformats.org/spreadsheetml/2006/main" count="1052" uniqueCount="286">
  <si>
    <t>The public health implications of the Paris Agreement: a modelling study</t>
  </si>
  <si>
    <t>Impact on mortality of pathways to net zero greenhouse gas emissions in England and Wales: a multisectoral modelling study</t>
  </si>
  <si>
    <t>Incorporating health co-benefits into technology pathways to achieve China's 2060 carbon neutrality goal: a modelling study</t>
  </si>
  <si>
    <t>Air Quality and Health Cobenefits of Different Deep Decarbonization Pathways in California</t>
  </si>
  <si>
    <t>Health co-benefits of achieving sustainable net-zero greenhouse gas emissions in California</t>
  </si>
  <si>
    <t>Assessing the Health Benefits of Physical Activity Due to Active Commuting in a French Energy Transition Scenario</t>
  </si>
  <si>
    <t>Role of climate goals and clean-air policies on reducing future air pollution deaths in China: a modelling study</t>
  </si>
  <si>
    <t>Health co-benefits from air pollution and mitigation costs of the Paris Agreement: a modelling study</t>
  </si>
  <si>
    <t>Air quality co-benefits for human health and agriculture counterbalance costs to meet Paris Agreement pledges</t>
  </si>
  <si>
    <t>Comprehensive impact assessment of carbon neutral pathways and air pollution control policies in Shaanxi Province of China</t>
  </si>
  <si>
    <t>Air quality and health implications of 1.5 °C–2 °C climate pathways under considerations of ageing population: a multi-model scenario analysis</t>
  </si>
  <si>
    <t>The Lancet Countdown on health benefits from the UK Climate Change Act: a modelling study for Great Britain</t>
  </si>
  <si>
    <t>Ambient Air Quality Synergies with a 2050 Carbon Neutrality Pathway in South Korea</t>
  </si>
  <si>
    <t>Air quality and health co-benefits of China’s carbon dioxide emissions peaking before 2030</t>
  </si>
  <si>
    <t>Co-benefits of deep carbon reduction on air quality and health improvement in Sichuan Province of China</t>
  </si>
  <si>
    <t>The Double Dividend of International Cooperation for Climate Mitigation Cost Effectiveness and Public Health Cobenefits</t>
  </si>
  <si>
    <t>Health impacts of fine particles under climate change mitigation, air quality control, and demographic change in India</t>
  </si>
  <si>
    <t>The Impact of Decarbonization Scenarios on Air Quality and Human Health in Poland—Analysis of Scenarios up to 2050</t>
  </si>
  <si>
    <t>Quantifying the reductions in mortality from air-pollution by cancelling new coal power plants</t>
  </si>
  <si>
    <t>Projecting the impact of air pollution on child stunting in India—synergies and trade-offs between climate change mitigation, ambient air quality control, and clean cooking access</t>
  </si>
  <si>
    <t>Internalising health-economic impacts of air pollution into climate policy: a global modelling study</t>
  </si>
  <si>
    <t>Health co-benefits and mitigation costs as per the Paris Agreement under different technological pathways for energy supply</t>
  </si>
  <si>
    <t>Estimating health co-benefits of climate policies in China: An application of the Regional Emissions-Air quality-Climate-Health (REACH) framework</t>
  </si>
  <si>
    <t>Estimating future PM2.5-attributed acute myocardial infarction incident cases under climate mitigation and population change scenarios in Shandong Province, China</t>
  </si>
  <si>
    <t>Environmental and Health Co-Benefits of Coal Regulation under the Carbon Neutral Target: A Case Study in Anhui Province, China</t>
  </si>
  <si>
    <t>title</t>
  </si>
  <si>
    <t>France</t>
  </si>
  <si>
    <t>World</t>
  </si>
  <si>
    <t>India</t>
  </si>
  <si>
    <t>China</t>
  </si>
  <si>
    <t>United Kingdom</t>
  </si>
  <si>
    <t>Poland</t>
  </si>
  <si>
    <t>South Korea</t>
  </si>
  <si>
    <t>100% Clean and Renewable Wind, Water, and Sunlight All-Sector Energy Roadmaps for 139 Countries of the World</t>
  </si>
  <si>
    <t>author_date</t>
  </si>
  <si>
    <t>Milner, 2023</t>
  </si>
  <si>
    <t>Hamilton, 2021</t>
  </si>
  <si>
    <t>Zhao, 2019</t>
  </si>
  <si>
    <t>Wang, 2020</t>
  </si>
  <si>
    <t>Barban, 2022</t>
  </si>
  <si>
    <t>Liu, 2022</t>
  </si>
  <si>
    <t>Markandya, 2018</t>
  </si>
  <si>
    <t>Vandyck, 2018</t>
  </si>
  <si>
    <t>Lin, 2023</t>
  </si>
  <si>
    <t>Rafaj, 2021</t>
  </si>
  <si>
    <t>Phillips, 2021</t>
  </si>
  <si>
    <t>Wang, 2023</t>
  </si>
  <si>
    <t>Zysk, 2020</t>
  </si>
  <si>
    <t>Sampedro, 2021</t>
  </si>
  <si>
    <t>Dimitrova, 2022</t>
  </si>
  <si>
    <t>Reis, 2022</t>
  </si>
  <si>
    <t>Sampedro, 2020</t>
  </si>
  <si>
    <t>Tang, 2022</t>
  </si>
  <si>
    <t>Qu, 2020</t>
  </si>
  <si>
    <t>Ma, 2023</t>
  </si>
  <si>
    <t>Xie, 2021</t>
  </si>
  <si>
    <t>Jacobson, 2017</t>
  </si>
  <si>
    <t>The Lancet Countdown on PM2·5 pollution-related health impacts of China’s projected carbon dioxide mitigation in the electric power generation sector under the Paris Agreement: a modelling study</t>
  </si>
  <si>
    <t>Cai, 2018</t>
  </si>
  <si>
    <t>Energy demand, emission reduction and health co-benefits evaluated in transitional China in a 2 _x0001_C warming world</t>
  </si>
  <si>
    <t>Chen, 2020</t>
  </si>
  <si>
    <t>Scenarios of demographic distributional aspects of health co-benefits from decarbonising urban transport</t>
  </si>
  <si>
    <t>Lu, 2022</t>
  </si>
  <si>
    <t>Brazil, China, Germany, India, Indonesia, Nigeria, South Africa, the UK, and the USA</t>
  </si>
  <si>
    <t>139 countries</t>
  </si>
  <si>
    <t>Shaanxi, China</t>
  </si>
  <si>
    <t>Beijing, China</t>
  </si>
  <si>
    <t>Shandong, China</t>
  </si>
  <si>
    <t>England and Wales</t>
  </si>
  <si>
    <t>Bangladesh, Cambodia, China, India, Indonesia, Iran, Japan, Laos, Malaysia, Mongolia, Nepal, Pakistan, Philippines, Korea, Thaïland, Vietnam</t>
  </si>
  <si>
    <t>World: China, EU-27, India, USA, rest of the world (ROW)</t>
  </si>
  <si>
    <t>Geographical scale</t>
  </si>
  <si>
    <t>California, USA</t>
  </si>
  <si>
    <t>Williams, 2018</t>
  </si>
  <si>
    <t>Anhui, China</t>
  </si>
  <si>
    <t>Sichuan, China</t>
  </si>
  <si>
    <t>Temporal and spatial distribution of health, labor,and crop benefits of climate change mitigation inthe United States</t>
  </si>
  <si>
    <t>Shindell, 2020</t>
  </si>
  <si>
    <t>USA</t>
  </si>
  <si>
    <t>The Health Impact and External Cost of Electricity Production</t>
  </si>
  <si>
    <t>Zysk, 2021</t>
  </si>
  <si>
    <t>Xing, 2020</t>
  </si>
  <si>
    <t>Nawaz, 2022</t>
  </si>
  <si>
    <t>A Source Apportionment and Emission Scenario Assessment of PM2.5- and O3-Related Health Impacts in G20 Countries</t>
  </si>
  <si>
    <t>The quest for improved air quality may push China tocontinue its CO2reduction beyond theParis Commitment</t>
  </si>
  <si>
    <t>41 countries: Argentina, Australia, Austria, Belgium, Bulgaria, Brazil, Canada, China, Cyprus, Czech Republic, Germany, Denmark, Spain, Estonia, Finland, France, United Kingdom, Greece, Croatia, Hungary, Indonesia, India, Ireland, Italy, Japan, South Korea, Lithuania, Luxembourg, Latvia, Mexico, Malta, Netherlands, Poland, Portugal, Romania, Russia, Saudi Arabia, Slovakia, Slovenia, Sweden, Turkey</t>
  </si>
  <si>
    <t>Synergies of carbon neutrality, air pollution control, and health improvement — a case study of China Energy Interconnection scenario</t>
  </si>
  <si>
    <t>Shen, 2022</t>
  </si>
  <si>
    <t>Paris Agreement's Ambiguity About Aerosols Drives Uncertain Health and Climate Outcomes</t>
  </si>
  <si>
    <t>Polonik, 2021</t>
  </si>
  <si>
    <t>Decarbonization will lead to more equitable air quality in California</t>
  </si>
  <si>
    <t>Zhu, 2022</t>
  </si>
  <si>
    <t>Effect of China’s energy conservation efforts on reducing health damage</t>
  </si>
  <si>
    <t>Yang, 2019</t>
  </si>
  <si>
    <t>McCollum, 2013</t>
  </si>
  <si>
    <t>Ozone-related Co-benefits of China’s Climate mitigation Policy</t>
  </si>
  <si>
    <t>Wang, 2022</t>
  </si>
  <si>
    <t>Air quality co-benefits of ratcheting up the NDCs</t>
  </si>
  <si>
    <t>Rauner, 2020</t>
  </si>
  <si>
    <t>Anticipated burden and mitigation of carbondioxide-induced nutritional deficiencies and related diseases</t>
  </si>
  <si>
    <t>Weyant, 2018</t>
  </si>
  <si>
    <t>Population included at baseline (million), banque mondiale</t>
  </si>
  <si>
    <t>rank_pop</t>
  </si>
  <si>
    <t>The contribution of emission sources to the future air pollution disease burden in China</t>
  </si>
  <si>
    <t>Conibear, 2022</t>
  </si>
  <si>
    <t>A tale of two cities: Comparison of impacts on CO2 emissions, the indoor environment and health of home energy efficiency strategies in London and Milton Keynes</t>
  </si>
  <si>
    <t>Shrubsole, 2015</t>
  </si>
  <si>
    <t>London &amp; Milton keynes, UK</t>
  </si>
  <si>
    <t>Decarbonizing urban transport in European cities: four cases show possibly high co-benefits</t>
  </si>
  <si>
    <t>Creutzig, 2012</t>
  </si>
  <si>
    <t>Barcelona, Freiburg, Malmö, Sofia</t>
  </si>
  <si>
    <t>Analyzing transformation pathways to a sustainable European energy system—Internalization of health damage costs caused by air pollution</t>
  </si>
  <si>
    <t>Schmid, 2019</t>
  </si>
  <si>
    <t>Austria, France, Italy, Portugal, Spain, United Kingdom Belgium, Germany, Luxembourg,Netherlands Denmark, Finland, Ireland, Sweden Czech Republic, Poland Bulgaria, Croatia, Cyprus, Estonia, Greece, Hungary, Latvia, Lithuania,Malta, Romania, Slovakia, Slovenia</t>
  </si>
  <si>
    <t>1 432 (2040)</t>
  </si>
  <si>
    <t>n_death</t>
  </si>
  <si>
    <t>mortality_proj</t>
  </si>
  <si>
    <t>Li, 2019</t>
  </si>
  <si>
    <t>Air Quality Improvement Co-benefits of Low-Carbon Pathways toward Well Below the 2 °C Climate Target in China</t>
  </si>
  <si>
    <t>Co-benefits of post-2012 global climate mitigation policies</t>
  </si>
  <si>
    <t>EU-27: Austria, Belgium, Bulgaria, Cyprus, Czech Rep, Denmark,
Estonia, Finland, France, Germany, Greece, Hungary, Ireland,
Italy, Latvia, Lithuania, Malta, Netherlands, Poland, Portugal,
Romania, Slovakia, Slovenia, Spain, Sweden, United Kingdom
, China, India</t>
  </si>
  <si>
    <t>Rafaj, 2018</t>
  </si>
  <si>
    <t>Outlook for clean air in the context of sustainable development goals</t>
  </si>
  <si>
    <t>scenario</t>
  </si>
  <si>
    <t>scenario_cat</t>
  </si>
  <si>
    <t>energy decarbonation</t>
  </si>
  <si>
    <t>bioenergy limitation</t>
  </si>
  <si>
    <t>sufficiency</t>
  </si>
  <si>
    <t>low CCS</t>
  </si>
  <si>
    <t>nuclear phase-out</t>
  </si>
  <si>
    <t>scenario_yr</t>
  </si>
  <si>
    <t>2°C</t>
  </si>
  <si>
    <t>1.5°C</t>
  </si>
  <si>
    <t>2°C_coal_plant</t>
  </si>
  <si>
    <t>1.5°C_coal_plant</t>
  </si>
  <si>
    <t>health in climate policies</t>
  </si>
  <si>
    <t>FLE_NDC</t>
  </si>
  <si>
    <t>FLE_2C</t>
  </si>
  <si>
    <t>SLE_NDC</t>
  </si>
  <si>
    <t>SLE_2C</t>
  </si>
  <si>
    <t>BAT_NDC</t>
  </si>
  <si>
    <t>BAT_2C</t>
  </si>
  <si>
    <t>2C-domestic</t>
  </si>
  <si>
    <t>2C-trading</t>
  </si>
  <si>
    <t>SSP3_Equal-by-sector</t>
  </si>
  <si>
    <t>SSP3_Climate priority</t>
  </si>
  <si>
    <t>SSP3_AQ priority</t>
  </si>
  <si>
    <t>SSP5_Equal-by-sector</t>
  </si>
  <si>
    <t>SSP5_Climate priority</t>
  </si>
  <si>
    <t>SSP5_AQ priority</t>
  </si>
  <si>
    <t>CAS_outdoor</t>
  </si>
  <si>
    <t>SDS_outdoor</t>
  </si>
  <si>
    <t>CAS_indoor</t>
  </si>
  <si>
    <t>SDS_indoor</t>
  </si>
  <si>
    <t>NDC</t>
  </si>
  <si>
    <t>financial instrument</t>
  </si>
  <si>
    <t>TT</t>
  </si>
  <si>
    <t>CBAP</t>
  </si>
  <si>
    <t>TT + CBAP</t>
  </si>
  <si>
    <t>Ca</t>
  </si>
  <si>
    <t>WWS</t>
  </si>
  <si>
    <t>Net-zero</t>
  </si>
  <si>
    <t>SPS_Air_pollution</t>
  </si>
  <si>
    <t>HPS-Air_pollution</t>
  </si>
  <si>
    <t>SPS_Diet</t>
  </si>
  <si>
    <t>HPS_Diet</t>
  </si>
  <si>
    <t>SPS_Active_travel</t>
  </si>
  <si>
    <t>HPS_Active_travel</t>
  </si>
  <si>
    <t>1.5_MFR</t>
  </si>
  <si>
    <t>mitigation</t>
  </si>
  <si>
    <t>CEICN</t>
  </si>
  <si>
    <t>SDS-MFR</t>
  </si>
  <si>
    <t>WBD2-MFR</t>
  </si>
  <si>
    <t>CCS</t>
  </si>
  <si>
    <t>REN</t>
  </si>
  <si>
    <t>HIG</t>
  </si>
  <si>
    <t>Ambitious-pollution_1.5°C</t>
  </si>
  <si>
    <t>PES</t>
  </si>
  <si>
    <t>CBE-MFR</t>
  </si>
  <si>
    <t>Air quality and health co-benefits of China’s carbon dioxide emissions peaking before 2028</t>
  </si>
  <si>
    <t>Air quality and health co-benefits of China’s carbon dioxide emissions peaking before 2029</t>
  </si>
  <si>
    <t>SSP1_RCP2.6</t>
  </si>
  <si>
    <t>SSP1_RCP1.9</t>
  </si>
  <si>
    <t>SSP5_RCP2.6</t>
  </si>
  <si>
    <t>DDP</t>
  </si>
  <si>
    <t>COC</t>
  </si>
  <si>
    <t>SSP1_19</t>
  </si>
  <si>
    <t>negaWatt</t>
  </si>
  <si>
    <t>not detailed</t>
  </si>
  <si>
    <t>n_prev</t>
  </si>
  <si>
    <t>emission_sector</t>
  </si>
  <si>
    <t>Transport</t>
  </si>
  <si>
    <t>Energy</t>
  </si>
  <si>
    <t>Residential, industry, transport, agriculture, energy</t>
  </si>
  <si>
    <t>Energy, industry, transport, household</t>
  </si>
  <si>
    <t>Service, transport, construction, industry, energy</t>
  </si>
  <si>
    <t>Agriculture, energy, industry, residential, shipping, transport, waste</t>
  </si>
  <si>
    <t>Energy, industry, transport, agriculture, waste, building</t>
  </si>
  <si>
    <t>Agriculture, energy, industry, transportation, residential/commercial, solvents, waste, and shipping</t>
  </si>
  <si>
    <t>Agriculture, energy, industry, transport, services</t>
  </si>
  <si>
    <t>Energy, industry, transport, household, agriculture, waste</t>
  </si>
  <si>
    <t>Energy, industry, transport</t>
  </si>
  <si>
    <t>Housing</t>
  </si>
  <si>
    <t>Agriculture</t>
  </si>
  <si>
    <t>Energy, transport, residential, commercial, industry, agriculture</t>
  </si>
  <si>
    <t>pathway_co_benefits</t>
  </si>
  <si>
    <t>Physical activity</t>
  </si>
  <si>
    <t>Air pollution</t>
  </si>
  <si>
    <t>Air &amp; Indoor pollution</t>
  </si>
  <si>
    <t>Indoor pollution</t>
  </si>
  <si>
    <t>Diet</t>
  </si>
  <si>
    <t>Energie, housing transport, diet</t>
  </si>
  <si>
    <t xml:space="preserve">Energy &amp; Agriculture &amp; Transport </t>
  </si>
  <si>
    <t xml:space="preserve">Air pollution </t>
  </si>
  <si>
    <t>yll</t>
  </si>
  <si>
    <t>lifexp_months</t>
  </si>
  <si>
    <t>[53.79-171.93]</t>
  </si>
  <si>
    <t>102.67</t>
  </si>
  <si>
    <t>187.11</t>
  </si>
  <si>
    <t>222.84</t>
  </si>
  <si>
    <t>Dimitrova, 2021</t>
  </si>
  <si>
    <t>Balanced pathway</t>
  </si>
  <si>
    <t>Widespread engagement</t>
  </si>
  <si>
    <t>Unclear</t>
  </si>
  <si>
    <t>1.2 (EU)
19 (China)
30 (India)</t>
  </si>
  <si>
    <t>monetary_bilions ($)</t>
  </si>
  <si>
    <t>40.7 (37.6 Euro)</t>
  </si>
  <si>
    <t>167.91</t>
  </si>
  <si>
    <t>684.03</t>
  </si>
  <si>
    <t>125.35 (980)</t>
  </si>
  <si>
    <t>Zhang, 2021a</t>
  </si>
  <si>
    <t>Zhang, 2021b</t>
  </si>
  <si>
    <t>RE</t>
  </si>
  <si>
    <t>NET (negative tech)</t>
  </si>
  <si>
    <t>7.4</t>
  </si>
  <si>
    <t>15.8</t>
  </si>
  <si>
    <t>27.7</t>
  </si>
  <si>
    <t>Nuclear</t>
  </si>
  <si>
    <t>Non-nuclear</t>
  </si>
  <si>
    <t>0.7-1.0</t>
  </si>
  <si>
    <t>0.7-1.3</t>
  </si>
  <si>
    <t>Mod-RES</t>
  </si>
  <si>
    <t>High-res decentralized</t>
  </si>
  <si>
    <t>High-res centralized</t>
  </si>
  <si>
    <t>Energy,  household</t>
  </si>
  <si>
    <t>2.291</t>
  </si>
  <si>
    <t>2.268</t>
  </si>
  <si>
    <t>2.314</t>
  </si>
  <si>
    <t>monetary_per_capita</t>
  </si>
  <si>
    <t>population_target</t>
  </si>
  <si>
    <t>0.7</t>
  </si>
  <si>
    <t xml:space="preserve">SSP1_19 </t>
  </si>
  <si>
    <t>yll_per_capita</t>
  </si>
  <si>
    <t>monetary</t>
  </si>
  <si>
    <t>0,72 (5,1) billion</t>
  </si>
  <si>
    <t>0,38 (2,7 CNY) = 380 ?</t>
  </si>
  <si>
    <t>10.6 Million</t>
  </si>
  <si>
    <t>VSL</t>
  </si>
  <si>
    <t xml:space="preserve">Milner, 2023 </t>
  </si>
  <si>
    <t xml:space="preserve">Physical activity </t>
  </si>
  <si>
    <t>LGHG</t>
  </si>
  <si>
    <t>NRPO</t>
  </si>
  <si>
    <t>emission_sector_cat</t>
  </si>
  <si>
    <t>Multi</t>
  </si>
  <si>
    <t>Food system</t>
  </si>
  <si>
    <t>conversion_factor</t>
  </si>
  <si>
    <t>1.5 CAP</t>
  </si>
  <si>
    <t>1.5°C+MFR</t>
  </si>
  <si>
    <t>2°C+MFR</t>
  </si>
  <si>
    <t>Climate mitigation</t>
  </si>
  <si>
    <t>DALYs</t>
  </si>
  <si>
    <t>With PPV</t>
  </si>
  <si>
    <t>DD1</t>
  </si>
  <si>
    <t>DD2</t>
  </si>
  <si>
    <t>ADC</t>
  </si>
  <si>
    <t>Building electrification</t>
  </si>
  <si>
    <t>Truck electrification</t>
  </si>
  <si>
    <t>Rafaj, 2013</t>
  </si>
  <si>
    <t>CRA</t>
  </si>
  <si>
    <t>Life tables</t>
  </si>
  <si>
    <t>Microsimulation</t>
  </si>
  <si>
    <t>HIA_type</t>
  </si>
  <si>
    <t>pathway_co_benefits2</t>
  </si>
  <si>
    <t>All</t>
  </si>
  <si>
    <t>All available</t>
  </si>
  <si>
    <t>Climate policies can help resolve energy security and air pollution chAllenges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</si>
</sst>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color theme="1"/>
      <name val="Calibri"/>
      <family val="2"/>
      <scheme val="minor"/>
    </font>
    <font>
      <sz val="10"/>
      <color rgb="FF2A2A2A"/>
      <name val="Arial"/>
      <family val="2"/>
    </font>
    <font>
      <sz val="10"/>
      <name val="Segoe UI"/>
      <family val="2"/>
    </font>
    <font>
      <sz val="11"/>
      <color theme="1"/>
      <name val="Calibri"/>
      <family val="2"/>
      <scheme val="minor"/>
    </font>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s>
  <fills count="10">
    <fill>
      <patternFill patternType="none"/>
    </fill>
    <fill>
      <patternFill patternType="gray125"/>
    </fill>
    <fill>
      <patternFill patternType="solid">
        <fgColor theme="4" tint="0.79998168889431442"/>
        <bgColor theme="4" tint="0.79998168889431442"/>
      </patternFill>
    </fill>
    <fill>
      <patternFill patternType="solid">
        <fgColor theme="2"/>
        <bgColor indexed="64"/>
      </patternFill>
    </fill>
    <fill>
      <patternFill patternType="solid">
        <fgColor theme="2"/>
        <bgColor theme="4" tint="0.79998168889431442"/>
      </patternFill>
    </fill>
    <fill>
      <patternFill patternType="solid">
        <fgColor theme="4" tint="0.59999389629810485"/>
        <bgColor indexed="64"/>
      </patternFill>
    </fill>
    <fill>
      <patternFill patternType="solid">
        <fgColor theme="4" tint="0.59999389629810485"/>
        <bgColor theme="4" tint="0.79998168889431442"/>
      </patternFill>
    </fill>
    <fill>
      <patternFill patternType="solid">
        <fgColor theme="4" tint="0.79998168889431442"/>
        <bgColor indexed="64"/>
      </patternFill>
    </fill>
    <fill>
      <patternFill patternType="solid">
        <fgColor theme="0"/>
        <bgColor theme="4" tint="0.79998168889431442"/>
      </patternFill>
    </fill>
    <fill>
      <patternFill patternType="solid">
        <fgColor theme="0"/>
        <bgColor indexed="64"/>
      </patternFill>
    </fill>
  </fills>
  <borders count="5">
    <border>
      <left/>
      <right/>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style="thin">
        <color theme="4" tint="0.39997558519241921"/>
      </left>
      <right/>
      <top style="thin">
        <color theme="4" tint="0.39997558519241921"/>
      </top>
      <bottom/>
      <diagonal/>
    </border>
  </borders>
  <cellStyleXfs count="1">
    <xf numFmtId="0" fontId="0" fillId="0" borderId="0"/>
  </cellStyleXfs>
  <cellXfs count="103">
    <xf numFmtId="0" fontId="0" fillId="0" borderId="0" xfId="0"/>
    <xf numFmtId="0" fontId="0" fillId="0" borderId="0" xfId="0" applyAlignment="1">
      <alignment vertical="center"/>
    </xf>
    <xf numFmtId="0" fontId="0" fillId="0" borderId="0" xfId="0" applyAlignment="1">
      <alignment horizontal="left" vertical="center" wrapText="1"/>
    </xf>
    <xf numFmtId="0" fontId="0" fillId="0" borderId="0" xfId="0" applyAlignment="1">
      <alignment horizontal="left" vertical="center"/>
    </xf>
    <xf numFmtId="0" fontId="0" fillId="2" borderId="2" xfId="0" applyFont="1" applyFill="1" applyBorder="1" applyAlignment="1">
      <alignment horizontal="center" vertical="center" wrapText="1"/>
    </xf>
    <xf numFmtId="0" fontId="0" fillId="2" borderId="0" xfId="0" applyFont="1" applyFill="1" applyBorder="1" applyAlignment="1">
      <alignment horizontal="center" vertical="center" wrapText="1"/>
    </xf>
    <xf numFmtId="0" fontId="0" fillId="2" borderId="1" xfId="0" applyFont="1" applyFill="1" applyBorder="1" applyAlignment="1">
      <alignment horizontal="center" vertical="center" wrapText="1"/>
    </xf>
    <xf numFmtId="3" fontId="0" fillId="2" borderId="2" xfId="0" applyNumberFormat="1" applyFont="1" applyFill="1" applyBorder="1" applyAlignment="1">
      <alignment horizontal="center" vertical="center" wrapText="1"/>
    </xf>
    <xf numFmtId="0" fontId="0" fillId="2" borderId="3" xfId="0" applyFont="1" applyFill="1" applyBorder="1" applyAlignment="1">
      <alignment horizontal="center" vertical="center" wrapText="1"/>
    </xf>
    <xf numFmtId="3" fontId="0" fillId="2" borderId="0" xfId="0" applyNumberFormat="1" applyFont="1" applyFill="1" applyBorder="1" applyAlignment="1">
      <alignment horizontal="center" vertical="center" wrapText="1"/>
    </xf>
    <xf numFmtId="0" fontId="0" fillId="2" borderId="0" xfId="0" applyFont="1" applyFill="1" applyAlignment="1">
      <alignment horizontal="center" vertical="center" wrapText="1"/>
    </xf>
    <xf numFmtId="0" fontId="5" fillId="2" borderId="0"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0" fillId="3" borderId="0" xfId="0" applyFill="1" applyAlignment="1">
      <alignment horizontal="center" vertical="center" wrapText="1"/>
    </xf>
    <xf numFmtId="0" fontId="0" fillId="4" borderId="1" xfId="0" applyFont="1" applyFill="1" applyBorder="1" applyAlignment="1">
      <alignment horizontal="center" vertical="center" wrapText="1"/>
    </xf>
    <xf numFmtId="0" fontId="0" fillId="4" borderId="2" xfId="0" applyFont="1" applyFill="1" applyBorder="1" applyAlignment="1">
      <alignment horizontal="center" vertical="center" wrapText="1"/>
    </xf>
    <xf numFmtId="3" fontId="0" fillId="4" borderId="2" xfId="0" applyNumberFormat="1" applyFont="1" applyFill="1" applyBorder="1" applyAlignment="1">
      <alignment horizontal="center" vertical="center" wrapText="1"/>
    </xf>
    <xf numFmtId="0" fontId="0" fillId="4" borderId="0" xfId="0" applyFont="1" applyFill="1" applyBorder="1" applyAlignment="1">
      <alignment horizontal="center" vertical="center" wrapText="1"/>
    </xf>
    <xf numFmtId="0" fontId="5" fillId="4" borderId="0" xfId="0" applyFont="1" applyFill="1" applyBorder="1" applyAlignment="1">
      <alignment horizontal="center" vertical="center" wrapText="1"/>
    </xf>
    <xf numFmtId="0" fontId="0" fillId="3" borderId="0" xfId="0" applyFill="1"/>
    <xf numFmtId="3" fontId="6" fillId="2" borderId="0" xfId="0" applyNumberFormat="1" applyFont="1" applyFill="1" applyBorder="1" applyAlignment="1">
      <alignment horizontal="center" vertical="center" wrapText="1"/>
    </xf>
    <xf numFmtId="3" fontId="6" fillId="2" borderId="0" xfId="0" applyNumberFormat="1" applyFont="1" applyFill="1" applyAlignment="1">
      <alignment horizontal="center" vertical="center" wrapText="1"/>
    </xf>
    <xf numFmtId="0" fontId="0" fillId="5" borderId="0" xfId="0" applyFill="1" applyAlignment="1">
      <alignment horizontal="center" vertical="center" wrapText="1"/>
    </xf>
    <xf numFmtId="0" fontId="0" fillId="6" borderId="1" xfId="0" applyFont="1" applyFill="1" applyBorder="1" applyAlignment="1">
      <alignment horizontal="center" vertical="center" wrapText="1"/>
    </xf>
    <xf numFmtId="0" fontId="0" fillId="6" borderId="2" xfId="0" applyFont="1" applyFill="1" applyBorder="1" applyAlignment="1">
      <alignment horizontal="center" vertical="center" wrapText="1"/>
    </xf>
    <xf numFmtId="3" fontId="0" fillId="6" borderId="2" xfId="0" applyNumberFormat="1" applyFont="1" applyFill="1" applyBorder="1" applyAlignment="1">
      <alignment horizontal="center" vertical="center" wrapText="1"/>
    </xf>
    <xf numFmtId="0" fontId="5" fillId="6" borderId="0" xfId="0" applyFont="1" applyFill="1" applyBorder="1" applyAlignment="1">
      <alignment horizontal="center" vertical="center" wrapText="1"/>
    </xf>
    <xf numFmtId="0" fontId="6" fillId="6" borderId="0" xfId="0" applyFont="1" applyFill="1" applyAlignment="1">
      <alignment horizontal="center" vertical="center" wrapText="1"/>
    </xf>
    <xf numFmtId="0" fontId="0" fillId="5" borderId="0" xfId="0" applyFill="1"/>
    <xf numFmtId="0" fontId="0" fillId="5" borderId="1" xfId="0" applyFont="1" applyFill="1" applyBorder="1" applyAlignment="1">
      <alignment horizontal="center" vertical="center" wrapText="1"/>
    </xf>
    <xf numFmtId="0" fontId="0" fillId="7" borderId="0" xfId="0" applyFill="1" applyAlignment="1">
      <alignment horizontal="center" vertical="center" wrapText="1"/>
    </xf>
    <xf numFmtId="0" fontId="0" fillId="7" borderId="0" xfId="0" applyFill="1"/>
    <xf numFmtId="0" fontId="0" fillId="5" borderId="2" xfId="0" applyFont="1" applyFill="1" applyBorder="1" applyAlignment="1">
      <alignment horizontal="center" vertical="center" wrapText="1"/>
    </xf>
    <xf numFmtId="3" fontId="0" fillId="5" borderId="2" xfId="0" applyNumberFormat="1" applyFont="1" applyFill="1" applyBorder="1" applyAlignment="1">
      <alignment horizontal="center" vertical="center" wrapText="1"/>
    </xf>
    <xf numFmtId="0" fontId="6" fillId="6" borderId="0" xfId="0" applyFont="1" applyFill="1" applyBorder="1" applyAlignment="1">
      <alignment horizontal="center" vertical="center" wrapText="1"/>
    </xf>
    <xf numFmtId="0" fontId="0" fillId="6" borderId="0" xfId="0" applyFont="1" applyFill="1" applyBorder="1" applyAlignment="1">
      <alignment horizontal="center" vertical="center" wrapText="1"/>
    </xf>
    <xf numFmtId="3" fontId="0" fillId="6" borderId="0" xfId="0" applyNumberFormat="1" applyFont="1" applyFill="1" applyBorder="1" applyAlignment="1">
      <alignment horizontal="center" vertical="center" wrapText="1"/>
    </xf>
    <xf numFmtId="3" fontId="6" fillId="6" borderId="0" xfId="0" applyNumberFormat="1" applyFont="1" applyFill="1" applyAlignment="1">
      <alignment horizontal="center" vertical="center" wrapText="1"/>
    </xf>
    <xf numFmtId="0" fontId="0" fillId="5" borderId="0" xfId="0" applyFill="1" applyAlignment="1">
      <alignment vertical="center"/>
    </xf>
    <xf numFmtId="3" fontId="0" fillId="7" borderId="0" xfId="0" applyNumberFormat="1" applyFill="1" applyAlignment="1">
      <alignment horizontal="center" vertical="center" wrapText="1"/>
    </xf>
    <xf numFmtId="0" fontId="0" fillId="5" borderId="1" xfId="0" applyFill="1" applyBorder="1" applyAlignment="1">
      <alignment horizontal="center" vertical="center" wrapText="1"/>
    </xf>
    <xf numFmtId="0" fontId="0" fillId="6" borderId="0" xfId="0" applyFont="1" applyFill="1" applyAlignment="1">
      <alignment horizontal="center" vertical="center" wrapText="1"/>
    </xf>
    <xf numFmtId="0" fontId="0" fillId="7" borderId="1" xfId="0" applyFill="1" applyBorder="1" applyAlignment="1">
      <alignment horizontal="center" vertical="center" wrapText="1"/>
    </xf>
    <xf numFmtId="0" fontId="0" fillId="7" borderId="1" xfId="0" applyFont="1" applyFill="1" applyBorder="1" applyAlignment="1">
      <alignment horizontal="center" vertical="center" wrapText="1"/>
    </xf>
    <xf numFmtId="0" fontId="0" fillId="7" borderId="2" xfId="0" applyFont="1" applyFill="1" applyBorder="1" applyAlignment="1">
      <alignment horizontal="center" vertical="center" wrapText="1"/>
    </xf>
    <xf numFmtId="3" fontId="0" fillId="7" borderId="0" xfId="0" applyNumberFormat="1" applyFont="1" applyFill="1" applyBorder="1" applyAlignment="1">
      <alignment horizontal="center" vertical="center" wrapText="1"/>
    </xf>
    <xf numFmtId="0" fontId="0" fillId="7" borderId="0" xfId="0" applyFont="1" applyFill="1" applyBorder="1" applyAlignment="1">
      <alignment horizontal="center" vertical="center" wrapText="1"/>
    </xf>
    <xf numFmtId="3" fontId="0" fillId="5" borderId="0" xfId="0" applyNumberFormat="1" applyFont="1" applyFill="1" applyBorder="1" applyAlignment="1">
      <alignment horizontal="center" vertical="center" wrapText="1"/>
    </xf>
    <xf numFmtId="0" fontId="0" fillId="5" borderId="0" xfId="0" applyFont="1" applyFill="1" applyBorder="1" applyAlignment="1">
      <alignment horizontal="center" vertical="center" wrapText="1"/>
    </xf>
    <xf numFmtId="3" fontId="3" fillId="6" borderId="2" xfId="0" applyNumberFormat="1" applyFont="1" applyFill="1" applyBorder="1" applyAlignment="1">
      <alignment horizontal="center" vertical="center" wrapText="1"/>
    </xf>
    <xf numFmtId="3" fontId="0" fillId="6" borderId="0" xfId="0" applyNumberFormat="1" applyFont="1" applyFill="1" applyAlignment="1">
      <alignment horizontal="center" vertical="center" wrapText="1"/>
    </xf>
    <xf numFmtId="0" fontId="0" fillId="5" borderId="0" xfId="0" applyFill="1" applyBorder="1" applyAlignment="1">
      <alignment horizontal="center" vertical="center" wrapText="1"/>
    </xf>
    <xf numFmtId="3" fontId="0" fillId="5" borderId="0" xfId="0" applyNumberFormat="1" applyFill="1" applyAlignment="1">
      <alignment horizontal="center" vertical="center" wrapText="1"/>
    </xf>
    <xf numFmtId="0" fontId="0" fillId="7" borderId="2" xfId="0" applyFill="1" applyBorder="1" applyAlignment="1">
      <alignment horizontal="center" vertical="center" wrapText="1"/>
    </xf>
    <xf numFmtId="3" fontId="0" fillId="7" borderId="2" xfId="0" applyNumberFormat="1" applyFill="1" applyBorder="1" applyAlignment="1">
      <alignment horizontal="center" vertical="center" wrapText="1"/>
    </xf>
    <xf numFmtId="3" fontId="0" fillId="7" borderId="0" xfId="0" applyNumberFormat="1" applyFill="1" applyAlignment="1">
      <alignment horizontal="center" vertical="center"/>
    </xf>
    <xf numFmtId="3" fontId="3" fillId="6" borderId="0" xfId="0" applyNumberFormat="1" applyFont="1" applyFill="1" applyBorder="1" applyAlignment="1">
      <alignment horizontal="center" vertical="center" wrapText="1"/>
    </xf>
    <xf numFmtId="0" fontId="3" fillId="6" borderId="0" xfId="0" applyFont="1" applyFill="1" applyBorder="1" applyAlignment="1">
      <alignment horizontal="center" vertical="center" wrapText="1"/>
    </xf>
    <xf numFmtId="3" fontId="0" fillId="7" borderId="2" xfId="0" applyNumberFormat="1" applyFont="1" applyFill="1" applyBorder="1" applyAlignment="1">
      <alignment horizontal="center" vertical="center" wrapText="1"/>
    </xf>
    <xf numFmtId="0" fontId="0" fillId="7" borderId="0" xfId="0" applyFill="1" applyBorder="1" applyAlignment="1">
      <alignment horizontal="center" vertical="center" wrapText="1"/>
    </xf>
    <xf numFmtId="0" fontId="2" fillId="5" borderId="2" xfId="0" applyFont="1" applyFill="1" applyBorder="1" applyAlignment="1">
      <alignment horizontal="center" vertical="center" wrapText="1"/>
    </xf>
    <xf numFmtId="3" fontId="0" fillId="5" borderId="0" xfId="0" applyNumberFormat="1" applyFill="1" applyAlignment="1">
      <alignment horizontal="center" vertical="center"/>
    </xf>
    <xf numFmtId="0" fontId="3" fillId="2" borderId="0" xfId="0" applyFont="1" applyFill="1" applyBorder="1" applyAlignment="1">
      <alignment horizontal="center" vertical="center" wrapText="1"/>
    </xf>
    <xf numFmtId="0" fontId="4" fillId="6" borderId="0" xfId="0" applyFont="1" applyFill="1" applyBorder="1" applyAlignment="1">
      <alignment horizontal="center" vertical="center" wrapText="1"/>
    </xf>
    <xf numFmtId="3" fontId="4" fillId="6" borderId="0" xfId="0" applyNumberFormat="1" applyFont="1" applyFill="1" applyBorder="1" applyAlignment="1">
      <alignment horizontal="center" vertical="center" wrapText="1"/>
    </xf>
    <xf numFmtId="0" fontId="0" fillId="6" borderId="3" xfId="0" applyFont="1" applyFill="1" applyBorder="1" applyAlignment="1">
      <alignment horizontal="center" vertical="center" wrapText="1"/>
    </xf>
    <xf numFmtId="0" fontId="0" fillId="5" borderId="0" xfId="0" applyFill="1" applyAlignment="1">
      <alignment vertical="top"/>
    </xf>
    <xf numFmtId="0" fontId="0" fillId="5" borderId="3" xfId="0" applyFont="1" applyFill="1" applyBorder="1" applyAlignment="1">
      <alignment horizontal="center" vertical="center" wrapText="1"/>
    </xf>
    <xf numFmtId="0" fontId="7" fillId="6" borderId="0" xfId="0" applyFont="1" applyFill="1" applyBorder="1" applyAlignment="1">
      <alignment horizontal="center" vertical="center" wrapText="1"/>
    </xf>
    <xf numFmtId="0" fontId="7" fillId="6" borderId="2" xfId="0" applyFont="1" applyFill="1" applyBorder="1" applyAlignment="1">
      <alignment horizontal="center" vertical="center" wrapText="1"/>
    </xf>
    <xf numFmtId="0" fontId="4" fillId="5" borderId="0" xfId="0" applyFont="1" applyFill="1"/>
    <xf numFmtId="0" fontId="0" fillId="4" borderId="3" xfId="0" applyFont="1" applyFill="1" applyBorder="1" applyAlignment="1">
      <alignment horizontal="center" vertical="center" wrapText="1"/>
    </xf>
    <xf numFmtId="0" fontId="4" fillId="6" borderId="1"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4" fillId="6" borderId="2" xfId="0" applyFont="1" applyFill="1" applyBorder="1" applyAlignment="1">
      <alignment horizontal="center" vertical="center" wrapText="1"/>
    </xf>
    <xf numFmtId="3" fontId="4" fillId="6" borderId="2" xfId="0" applyNumberFormat="1" applyFont="1" applyFill="1" applyBorder="1" applyAlignment="1">
      <alignment horizontal="center" vertical="center" wrapText="1"/>
    </xf>
    <xf numFmtId="0" fontId="3" fillId="6" borderId="2" xfId="0" applyFont="1" applyFill="1" applyBorder="1" applyAlignment="1">
      <alignment horizontal="center" vertical="center" wrapText="1"/>
    </xf>
    <xf numFmtId="0" fontId="0" fillId="8" borderId="0" xfId="0" applyFont="1" applyFill="1" applyBorder="1" applyAlignment="1">
      <alignment horizontal="center" vertical="center" wrapText="1"/>
    </xf>
    <xf numFmtId="0" fontId="0" fillId="9" borderId="1" xfId="0" applyFont="1" applyFill="1" applyBorder="1" applyAlignment="1">
      <alignment horizontal="center" vertical="center" wrapText="1"/>
    </xf>
    <xf numFmtId="0" fontId="0" fillId="9" borderId="2" xfId="0" applyFont="1" applyFill="1" applyBorder="1" applyAlignment="1">
      <alignment horizontal="center" vertical="center" wrapText="1"/>
    </xf>
    <xf numFmtId="3" fontId="0" fillId="9" borderId="2" xfId="0" applyNumberFormat="1" applyFont="1" applyFill="1" applyBorder="1" applyAlignment="1">
      <alignment horizontal="center" vertical="center" wrapText="1"/>
    </xf>
    <xf numFmtId="0" fontId="0" fillId="8" borderId="2" xfId="0" applyFont="1" applyFill="1" applyBorder="1" applyAlignment="1">
      <alignment horizontal="center" vertical="center" wrapText="1"/>
    </xf>
    <xf numFmtId="3" fontId="0" fillId="8" borderId="0" xfId="0" applyNumberFormat="1" applyFont="1" applyFill="1" applyBorder="1" applyAlignment="1">
      <alignment horizontal="center" vertical="center" wrapText="1"/>
    </xf>
    <xf numFmtId="0" fontId="0" fillId="9" borderId="0" xfId="0" applyFill="1"/>
    <xf numFmtId="0" fontId="0" fillId="9" borderId="0" xfId="0" applyFont="1" applyFill="1" applyBorder="1" applyAlignment="1">
      <alignment horizontal="center" vertical="center" wrapText="1"/>
    </xf>
    <xf numFmtId="0" fontId="0" fillId="9" borderId="0" xfId="0" applyFill="1" applyAlignment="1">
      <alignment horizontal="center" vertical="center" wrapText="1"/>
    </xf>
    <xf numFmtId="3" fontId="0" fillId="9" borderId="0" xfId="0" applyNumberFormat="1" applyFont="1" applyFill="1" applyBorder="1" applyAlignment="1">
      <alignment horizontal="center" vertical="center" wrapText="1"/>
    </xf>
    <xf numFmtId="0" fontId="0" fillId="8" borderId="0" xfId="0" applyFont="1" applyFill="1" applyAlignment="1">
      <alignment horizontal="center" vertical="center" wrapText="1"/>
    </xf>
    <xf numFmtId="0" fontId="8" fillId="8" borderId="0" xfId="0" applyFont="1" applyFill="1" applyAlignment="1">
      <alignment horizontal="center" vertical="center" wrapText="1"/>
    </xf>
    <xf numFmtId="0" fontId="0" fillId="8" borderId="3" xfId="0" applyFont="1" applyFill="1" applyBorder="1" applyAlignment="1">
      <alignment horizontal="center" vertical="center" wrapText="1"/>
    </xf>
    <xf numFmtId="0" fontId="0" fillId="8" borderId="1"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1" fillId="7" borderId="0" xfId="0" applyFont="1" applyFill="1" applyBorder="1" applyAlignment="1">
      <alignment horizontal="center" vertical="center" wrapText="1"/>
    </xf>
    <xf numFmtId="0" fontId="1" fillId="6" borderId="0"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7" fillId="6" borderId="3" xfId="0" applyFont="1" applyFill="1" applyBorder="1" applyAlignment="1">
      <alignment horizontal="center" vertical="center" wrapText="1"/>
    </xf>
    <xf numFmtId="0" fontId="0" fillId="9" borderId="2" xfId="0" applyFill="1" applyBorder="1" applyAlignment="1">
      <alignment horizontal="center" vertical="center" wrapText="1"/>
    </xf>
    <xf numFmtId="0" fontId="0" fillId="7" borderId="3" xfId="0" applyFont="1" applyFill="1" applyBorder="1" applyAlignment="1">
      <alignment horizontal="center" vertical="center" wrapText="1"/>
    </xf>
    <xf numFmtId="0" fontId="0" fillId="9" borderId="3" xfId="0" applyFont="1" applyFill="1" applyBorder="1" applyAlignment="1">
      <alignment horizontal="center" vertical="center" wrapText="1"/>
    </xf>
    <xf numFmtId="3" fontId="0" fillId="9" borderId="2" xfId="0" applyNumberFormat="1" applyFill="1" applyBorder="1" applyAlignment="1">
      <alignment horizontal="center" vertical="center" wrapText="1"/>
    </xf>
    <xf numFmtId="0" fontId="0" fillId="7" borderId="3" xfId="0" applyFill="1" applyBorder="1" applyAlignment="1">
      <alignment horizontal="center" vertical="center" wrapText="1"/>
    </xf>
    <xf numFmtId="0" fontId="0" fillId="5" borderId="3" xfId="0" applyFill="1" applyBorder="1" applyAlignment="1">
      <alignment horizontal="center" vertical="center" wrapText="1"/>
    </xf>
  </cellXfs>
  <cellStyles count="1">
    <cellStyle name="Normal" xfId="0" builtinId="0"/>
  </cellStyles>
  <dxfs count="26">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numFmt numFmtId="0" formatCode="General"/>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59999389629810485"/>
        </patternFill>
      </fill>
      <alignment horizontal="center" vertical="center" textRotation="0" wrapText="1" indent="0" justifyLastLine="0" shrinkToFit="0" readingOrder="0"/>
      <border diagonalUp="0" diagonalDown="0">
        <left/>
        <right/>
        <top style="thin">
          <color theme="4" tint="0.39997558519241921"/>
        </top>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solid">
          <fgColor theme="4" tint="0.79998168889431442"/>
          <bgColor theme="4" tint="0.79998168889431442"/>
        </patternFill>
      </fill>
      <alignment horizontal="center" vertical="center" textRotation="0" wrapText="1" indent="0" justifyLastLine="0" shrinkToFit="0" readingOrder="0"/>
      <border diagonalUp="0" diagonalDown="0" outline="0">
        <left/>
        <right/>
        <top style="thin">
          <color theme="4" tint="0.39997558519241921"/>
        </top>
        <bottom style="thin">
          <color theme="4" tint="0.39997558519241921"/>
        </bottom>
      </border>
    </dxf>
    <dxf>
      <alignment horizontal="center" vertical="center" textRotation="0" wrapText="1" indent="0" justifyLastLine="0" shrinkToFit="0" readingOrder="0"/>
    </dxf>
    <dxf>
      <alignment horizontal="center" vertical="center" textRotation="0" wrapText="1" indent="0" justifyLastLine="0" shrinkToFit="0" readingOrder="0"/>
    </dxf>
    <dxf>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ables/table1.xml><?xml version="1.0" encoding="utf-8"?>
<table xmlns="http://schemas.openxmlformats.org/spreadsheetml/2006/main" id="1" name="Tableau1" displayName="Tableau1" ref="A1:Z102" totalsRowShown="0" dataDxfId="25">
  <autoFilter ref="A1:Z102"/>
  <sortState ref="A2:Z102">
    <sortCondition ref="O1:O102"/>
  </sortState>
  <tableColumns count="26">
    <tableColumn id="18" name="author_date" dataDxfId="24"/>
    <tableColumn id="1" name="title" dataDxfId="23"/>
    <tableColumn id="3" name="Geographical scale" dataDxfId="22"/>
    <tableColumn id="29" name="Population included at baseline (million), banque mondiale" dataDxfId="21"/>
    <tableColumn id="22" name="rank_pop" dataDxfId="20"/>
    <tableColumn id="4" name="scenario" dataDxfId="19"/>
    <tableColumn id="5" name="scenario_cat" dataDxfId="18"/>
    <tableColumn id="8" name="emission_sector" dataDxfId="17"/>
    <tableColumn id="20" name="emission_sector_cat"/>
    <tableColumn id="9" name="pathway_co_benefits" dataDxfId="16"/>
    <tableColumn id="7" name="pathway_co_benefits2" dataDxfId="15"/>
    <tableColumn id="6" name="scenario_yr" dataDxfId="14"/>
    <tableColumn id="2" name="n_prev" dataDxfId="13"/>
    <tableColumn id="17" name="n_death" dataDxfId="12"/>
    <tableColumn id="16" name="mortality_proj" dataDxfId="11"/>
    <tableColumn id="24" name="conversion_factor" dataDxfId="10"/>
    <tableColumn id="12" name="lifexp_months" dataDxfId="9"/>
    <tableColumn id="11" name="yll" dataDxfId="8"/>
    <tableColumn id="25" name="DALYs" dataDxfId="7"/>
    <tableColumn id="13" name="monetary_bilions ($)" dataDxfId="6"/>
    <tableColumn id="19" name="monetary" dataDxfId="5"/>
    <tableColumn id="14" name="population_target" dataDxfId="4"/>
    <tableColumn id="15" name="yll_per_capita" dataDxfId="3">
      <calculatedColumnFormula>Tableau1[[#This Row],[yll]]/Tableau1[[#This Row],[population_target]]</calculatedColumnFormula>
    </tableColumn>
    <tableColumn id="10" name="monetary_per_capita" dataDxfId="2"/>
    <tableColumn id="21" name="VSL" dataDxfId="1"/>
    <tableColumn id="23" name="HIA_type" dataDxfId="0"/>
  </tableColumns>
  <tableStyleInfo name="TableStyleMedium2"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2"/>
  <sheetViews>
    <sheetView tabSelected="1" topLeftCell="A86" zoomScale="55" zoomScaleNormal="55" workbookViewId="0">
      <pane xSplit="1" topLeftCell="B1" activePane="topRight" state="frozen"/>
      <selection pane="topRight" activeCell="K91" sqref="K91"/>
    </sheetView>
  </sheetViews>
  <sheetFormatPr baseColWidth="10" defaultColWidth="8.88671875" defaultRowHeight="14.4" x14ac:dyDescent="0.3"/>
  <cols>
    <col min="1" max="1" width="19.21875" customWidth="1"/>
    <col min="2" max="2" width="32.77734375" customWidth="1"/>
    <col min="3" max="3" width="30" customWidth="1"/>
    <col min="4" max="4" width="20" style="3" customWidth="1"/>
    <col min="5" max="12" width="22.6640625" customWidth="1"/>
    <col min="13" max="15" width="26.21875" style="1" customWidth="1"/>
    <col min="16" max="22" width="32.33203125" customWidth="1"/>
    <col min="23" max="23" width="54.21875" customWidth="1"/>
    <col min="24" max="24" width="47" customWidth="1"/>
    <col min="25" max="25" width="44.33203125" customWidth="1"/>
    <col min="26" max="26" width="17" customWidth="1"/>
  </cols>
  <sheetData>
    <row r="1" spans="1:26" ht="43.2" x14ac:dyDescent="0.3">
      <c r="A1" t="s">
        <v>34</v>
      </c>
      <c r="B1" t="s">
        <v>25</v>
      </c>
      <c r="C1" t="s">
        <v>71</v>
      </c>
      <c r="D1" s="2" t="s">
        <v>101</v>
      </c>
      <c r="E1" t="s">
        <v>102</v>
      </c>
      <c r="F1" t="s">
        <v>123</v>
      </c>
      <c r="G1" t="s">
        <v>124</v>
      </c>
      <c r="H1" t="s">
        <v>190</v>
      </c>
      <c r="I1" t="s">
        <v>262</v>
      </c>
      <c r="J1" t="s">
        <v>205</v>
      </c>
      <c r="K1" t="s">
        <v>282</v>
      </c>
      <c r="L1" t="s">
        <v>130</v>
      </c>
      <c r="M1" s="1" t="s">
        <v>189</v>
      </c>
      <c r="N1" s="1" t="s">
        <v>115</v>
      </c>
      <c r="O1" s="1" t="s">
        <v>116</v>
      </c>
      <c r="P1" s="1" t="s">
        <v>265</v>
      </c>
      <c r="Q1" s="1" t="s">
        <v>215</v>
      </c>
      <c r="R1" s="1" t="s">
        <v>214</v>
      </c>
      <c r="S1" s="1" t="s">
        <v>270</v>
      </c>
      <c r="T1" s="1" t="s">
        <v>225</v>
      </c>
      <c r="U1" s="1" t="s">
        <v>253</v>
      </c>
      <c r="V1" s="1" t="s">
        <v>249</v>
      </c>
      <c r="W1" s="1" t="s">
        <v>252</v>
      </c>
      <c r="X1" s="1" t="s">
        <v>248</v>
      </c>
      <c r="Y1" s="1" t="s">
        <v>257</v>
      </c>
      <c r="Z1" t="s">
        <v>281</v>
      </c>
    </row>
    <row r="2" spans="1:26" s="31" customFormat="1" ht="144.6" customHeight="1" x14ac:dyDescent="0.3">
      <c r="A2" s="85" t="s">
        <v>258</v>
      </c>
      <c r="B2" s="78" t="s">
        <v>1</v>
      </c>
      <c r="C2" s="81" t="s">
        <v>68</v>
      </c>
      <c r="D2" s="81">
        <v>70</v>
      </c>
      <c r="E2" s="81">
        <v>20</v>
      </c>
      <c r="F2" s="77" t="s">
        <v>221</v>
      </c>
      <c r="G2" s="77" t="s">
        <v>125</v>
      </c>
      <c r="H2" s="81" t="s">
        <v>211</v>
      </c>
      <c r="I2" s="81" t="s">
        <v>191</v>
      </c>
      <c r="J2" s="77" t="s">
        <v>259</v>
      </c>
      <c r="K2" s="77" t="s">
        <v>259</v>
      </c>
      <c r="L2" s="77">
        <v>2035</v>
      </c>
      <c r="M2" s="84">
        <f>Tableau1[[#This Row],[yll]]/Tableau1[[#This Row],[conversion_factor]]</f>
        <v>265.56736549993917</v>
      </c>
      <c r="N2" s="84">
        <v>694452</v>
      </c>
      <c r="O2" s="84">
        <f>Tableau1[[#This Row],[n_prev]]/Tableau1[[#This Row],[n_death]]</f>
        <v>3.8241284566815155E-4</v>
      </c>
      <c r="P2" s="84">
        <f>(7855483.5+50929.95+536666.34+3348.8)/(505239.97+714.01+34031.28+46.95)</f>
        <v>15.64060149301095</v>
      </c>
      <c r="Q2" s="84"/>
      <c r="R2" s="86">
        <f>124609/30</f>
        <v>4153.6333333333332</v>
      </c>
      <c r="S2" s="86"/>
      <c r="T2" s="84"/>
      <c r="U2" s="84"/>
      <c r="V2" s="84">
        <v>1889026192</v>
      </c>
      <c r="W2" s="84">
        <f>Tableau1[[#This Row],[yll]]/Tableau1[[#This Row],[population_target]]</f>
        <v>2.1988225207908251E-6</v>
      </c>
      <c r="X2" s="84"/>
      <c r="Y2" s="84"/>
      <c r="Z2" s="4" t="s">
        <v>279</v>
      </c>
    </row>
    <row r="3" spans="1:26" s="31" customFormat="1" ht="28.8" x14ac:dyDescent="0.3">
      <c r="A3" s="5" t="s">
        <v>96</v>
      </c>
      <c r="B3" s="42" t="s">
        <v>95</v>
      </c>
      <c r="C3" s="4" t="s">
        <v>27</v>
      </c>
      <c r="D3" s="7">
        <v>7405</v>
      </c>
      <c r="E3" s="4">
        <v>10</v>
      </c>
      <c r="F3" s="5" t="s">
        <v>159</v>
      </c>
      <c r="G3" s="5" t="s">
        <v>188</v>
      </c>
      <c r="H3" s="5" t="s">
        <v>283</v>
      </c>
      <c r="I3" s="5" t="s">
        <v>283</v>
      </c>
      <c r="J3" s="5" t="s">
        <v>207</v>
      </c>
      <c r="K3" s="5" t="s">
        <v>207</v>
      </c>
      <c r="L3" s="5">
        <v>2050</v>
      </c>
      <c r="M3" s="9">
        <v>35550</v>
      </c>
      <c r="N3" s="11">
        <v>91583402</v>
      </c>
      <c r="O3" s="30">
        <f>Tableau1[[#This Row],[n_prev]]/Tableau1[[#This Row],[n_death]]</f>
        <v>3.8817077356440634E-4</v>
      </c>
      <c r="P3" s="30"/>
      <c r="Q3" s="30"/>
      <c r="R3" s="30"/>
      <c r="S3" s="30"/>
      <c r="T3" s="30">
        <v>10</v>
      </c>
      <c r="U3" s="30">
        <v>10000000000</v>
      </c>
      <c r="V3" s="30">
        <v>9709491761</v>
      </c>
      <c r="W3" s="30"/>
      <c r="X3" s="30">
        <f>Tableau1[[#This Row],[monetary]]/Tableau1[[#This Row],[population_target]]</f>
        <v>1.0299200252856571</v>
      </c>
      <c r="Y3" s="30"/>
      <c r="Z3" s="4" t="s">
        <v>278</v>
      </c>
    </row>
    <row r="4" spans="1:26" s="31" customFormat="1" ht="43.2" x14ac:dyDescent="0.3">
      <c r="A4" s="30" t="s">
        <v>45</v>
      </c>
      <c r="B4" s="43" t="s">
        <v>12</v>
      </c>
      <c r="C4" s="44" t="s">
        <v>32</v>
      </c>
      <c r="D4" s="44">
        <v>51</v>
      </c>
      <c r="E4" s="4">
        <v>38</v>
      </c>
      <c r="F4" s="5"/>
      <c r="G4" s="5" t="s">
        <v>188</v>
      </c>
      <c r="H4" s="5" t="s">
        <v>197</v>
      </c>
      <c r="I4" s="5" t="s">
        <v>263</v>
      </c>
      <c r="J4" s="5" t="s">
        <v>207</v>
      </c>
      <c r="K4" s="5" t="s">
        <v>207</v>
      </c>
      <c r="L4" s="5">
        <v>2050</v>
      </c>
      <c r="M4" s="5">
        <f>Tableau1[[#This Row],[yll]]/Tableau1[[#This Row],[conversion_factor]]</f>
        <v>147.34782608695653</v>
      </c>
      <c r="N4" s="5">
        <v>346171</v>
      </c>
      <c r="O4" s="5">
        <f>Tableau1[[#This Row],[n_prev]]/Tableau1[[#This Row],[n_death]]</f>
        <v>4.2565040424228642E-4</v>
      </c>
      <c r="P4" s="5">
        <v>23</v>
      </c>
      <c r="Q4" s="5"/>
      <c r="R4" s="5">
        <v>3389</v>
      </c>
      <c r="S4" s="5"/>
      <c r="T4" s="5"/>
      <c r="U4" s="5"/>
      <c r="V4" s="5">
        <v>25807197</v>
      </c>
      <c r="W4" s="46">
        <f>Tableau1[[#This Row],[yll]]/Tableau1[[#This Row],[population_target]]</f>
        <v>1.3131995698719237E-4</v>
      </c>
      <c r="X4" s="5"/>
      <c r="Y4" s="5"/>
      <c r="Z4" s="4" t="s">
        <v>279</v>
      </c>
    </row>
    <row r="5" spans="1:26" s="31" customFormat="1" ht="250.2" customHeight="1" x14ac:dyDescent="0.3">
      <c r="A5" s="85" t="s">
        <v>35</v>
      </c>
      <c r="B5" s="78" t="s">
        <v>1</v>
      </c>
      <c r="C5" s="81" t="s">
        <v>68</v>
      </c>
      <c r="D5" s="81">
        <v>70</v>
      </c>
      <c r="E5" s="81">
        <v>20</v>
      </c>
      <c r="F5" s="77" t="s">
        <v>222</v>
      </c>
      <c r="G5" s="77" t="s">
        <v>127</v>
      </c>
      <c r="H5" s="81" t="s">
        <v>211</v>
      </c>
      <c r="I5" s="81" t="s">
        <v>191</v>
      </c>
      <c r="J5" s="81" t="s">
        <v>206</v>
      </c>
      <c r="K5" s="81" t="s">
        <v>206</v>
      </c>
      <c r="L5" s="77">
        <v>2035</v>
      </c>
      <c r="M5" s="84">
        <f>Tableau1[[#This Row],[yll]]/Tableau1[[#This Row],[conversion_factor]]</f>
        <v>610.79279277945466</v>
      </c>
      <c r="N5" s="84">
        <v>694452</v>
      </c>
      <c r="O5" s="84">
        <f>Tableau1[[#This Row],[n_prev]]/Tableau1[[#This Row],[n_death]]</f>
        <v>8.795320522936858E-4</v>
      </c>
      <c r="P5" s="84">
        <f>(7855483.5+50929.95+536666.34+3348.8)/(505239.97+714.01+34031.28+46.95)</f>
        <v>15.64060149301095</v>
      </c>
      <c r="Q5" s="84"/>
      <c r="R5" s="86">
        <f>286595/30</f>
        <v>9553.1666666666661</v>
      </c>
      <c r="S5" s="86"/>
      <c r="T5" s="84"/>
      <c r="U5" s="84"/>
      <c r="V5" s="84">
        <v>1889026192</v>
      </c>
      <c r="W5" s="84">
        <f>Tableau1[[#This Row],[yll]]/Tableau1[[#This Row],[population_target]]</f>
        <v>5.0571912168948191E-6</v>
      </c>
      <c r="X5" s="84"/>
      <c r="Y5" s="84"/>
      <c r="Z5" s="4" t="s">
        <v>279</v>
      </c>
    </row>
    <row r="6" spans="1:26" s="31" customFormat="1" ht="218.4" customHeight="1" x14ac:dyDescent="0.3">
      <c r="A6" s="85" t="s">
        <v>258</v>
      </c>
      <c r="B6" s="78" t="s">
        <v>1</v>
      </c>
      <c r="C6" s="81" t="s">
        <v>68</v>
      </c>
      <c r="D6" s="81">
        <v>70</v>
      </c>
      <c r="E6" s="81">
        <v>20</v>
      </c>
      <c r="F6" s="77" t="s">
        <v>221</v>
      </c>
      <c r="G6" s="77" t="s">
        <v>125</v>
      </c>
      <c r="H6" s="81" t="s">
        <v>211</v>
      </c>
      <c r="I6" s="81" t="s">
        <v>264</v>
      </c>
      <c r="J6" s="81" t="s">
        <v>210</v>
      </c>
      <c r="K6" s="81" t="s">
        <v>210</v>
      </c>
      <c r="L6" s="77">
        <v>2035</v>
      </c>
      <c r="M6" s="84">
        <f>Tableau1[[#This Row],[yll]]/Tableau1[[#This Row],[conversion_factor]]</f>
        <v>854.24866817271823</v>
      </c>
      <c r="N6" s="84">
        <v>694452</v>
      </c>
      <c r="O6" s="84">
        <f>Tableau1[[#This Row],[n_prev]]/Tableau1[[#This Row],[n_death]]</f>
        <v>1.2301046986295931E-3</v>
      </c>
      <c r="P6" s="84">
        <f>(8193985.95+553138.14)/(509267.39+34229.97)</f>
        <v>16.094142738798215</v>
      </c>
      <c r="Q6" s="84"/>
      <c r="R6" s="86">
        <f>412452/30</f>
        <v>13748.4</v>
      </c>
      <c r="S6" s="86"/>
      <c r="T6" s="84"/>
      <c r="U6" s="84"/>
      <c r="V6" s="84">
        <v>1889026192</v>
      </c>
      <c r="W6" s="84">
        <f>Tableau1[[#This Row],[yll]]/Tableau1[[#This Row],[population_target]]</f>
        <v>7.2780356663260069E-6</v>
      </c>
      <c r="X6" s="84"/>
      <c r="Y6" s="84"/>
      <c r="Z6" s="4" t="s">
        <v>279</v>
      </c>
    </row>
    <row r="7" spans="1:26" s="31" customFormat="1" ht="102.6" customHeight="1" x14ac:dyDescent="0.3">
      <c r="A7" s="5" t="s">
        <v>98</v>
      </c>
      <c r="B7" s="42" t="s">
        <v>97</v>
      </c>
      <c r="C7" s="4" t="s">
        <v>27</v>
      </c>
      <c r="D7" s="7">
        <v>7405</v>
      </c>
      <c r="E7" s="4">
        <v>8</v>
      </c>
      <c r="F7" s="5" t="s">
        <v>154</v>
      </c>
      <c r="G7" s="5" t="s">
        <v>188</v>
      </c>
      <c r="H7" s="4" t="s">
        <v>283</v>
      </c>
      <c r="I7" s="4" t="s">
        <v>283</v>
      </c>
      <c r="J7" s="4" t="s">
        <v>207</v>
      </c>
      <c r="K7" s="4" t="s">
        <v>207</v>
      </c>
      <c r="L7" s="10">
        <v>2050</v>
      </c>
      <c r="M7" s="5">
        <v>130000</v>
      </c>
      <c r="N7" s="11">
        <v>91583402</v>
      </c>
      <c r="O7" s="5">
        <f>Tableau1[[#This Row],[n_prev]]/Tableau1[[#This Row],[n_death]]</f>
        <v>1.4194711832172385E-3</v>
      </c>
      <c r="P7" s="5"/>
      <c r="Q7" s="5"/>
      <c r="R7" s="5"/>
      <c r="S7" s="5"/>
      <c r="T7" s="5"/>
      <c r="U7" s="5"/>
      <c r="V7" s="5"/>
      <c r="W7" s="5"/>
      <c r="X7" s="5"/>
      <c r="Y7" s="5"/>
      <c r="Z7" s="4" t="s">
        <v>278</v>
      </c>
    </row>
    <row r="8" spans="1:26" s="28" customFormat="1" ht="220.2" customHeight="1" x14ac:dyDescent="0.3">
      <c r="A8" s="85" t="s">
        <v>35</v>
      </c>
      <c r="B8" s="78" t="s">
        <v>1</v>
      </c>
      <c r="C8" s="81" t="s">
        <v>68</v>
      </c>
      <c r="D8" s="81">
        <v>70</v>
      </c>
      <c r="E8" s="81">
        <v>20</v>
      </c>
      <c r="F8" s="77" t="s">
        <v>222</v>
      </c>
      <c r="G8" s="77" t="s">
        <v>127</v>
      </c>
      <c r="H8" s="81" t="s">
        <v>211</v>
      </c>
      <c r="I8" s="81" t="s">
        <v>264</v>
      </c>
      <c r="J8" s="81" t="s">
        <v>210</v>
      </c>
      <c r="K8" s="81" t="s">
        <v>210</v>
      </c>
      <c r="L8" s="77">
        <v>2035</v>
      </c>
      <c r="M8" s="84">
        <f>Tableau1[[#This Row],[yll]]/Tableau1[[#This Row],[conversion_factor]]</f>
        <v>1012.8218858594014</v>
      </c>
      <c r="N8" s="84">
        <v>694452</v>
      </c>
      <c r="O8" s="84">
        <f>Tableau1[[#This Row],[n_prev]]/Tableau1[[#This Row],[n_death]]</f>
        <v>1.4584476477271307E-3</v>
      </c>
      <c r="P8" s="84">
        <f>(8193985.95+553138.14)/(509267.39+34229.97)</f>
        <v>16.094142738798215</v>
      </c>
      <c r="Q8" s="84"/>
      <c r="R8" s="86">
        <f>489015/30</f>
        <v>16300.5</v>
      </c>
      <c r="S8" s="86"/>
      <c r="T8" s="84"/>
      <c r="U8" s="84"/>
      <c r="V8" s="84">
        <v>1889026192</v>
      </c>
      <c r="W8" s="84">
        <f>Tableau1[[#This Row],[yll]]/Tableau1[[#This Row],[population_target]]</f>
        <v>8.6290492260151792E-6</v>
      </c>
      <c r="X8" s="84"/>
      <c r="Y8" s="84"/>
      <c r="Z8" s="4" t="s">
        <v>279</v>
      </c>
    </row>
    <row r="9" spans="1:26" s="83" customFormat="1" ht="289.2" customHeight="1" x14ac:dyDescent="0.3">
      <c r="A9" s="35" t="s">
        <v>89</v>
      </c>
      <c r="B9" s="23" t="s">
        <v>88</v>
      </c>
      <c r="C9" s="24" t="s">
        <v>27</v>
      </c>
      <c r="D9" s="25">
        <v>7662</v>
      </c>
      <c r="E9" s="24">
        <v>6</v>
      </c>
      <c r="F9" s="34" t="s">
        <v>147</v>
      </c>
      <c r="G9" s="34" t="s">
        <v>188</v>
      </c>
      <c r="H9" s="35" t="s">
        <v>198</v>
      </c>
      <c r="I9" s="35" t="s">
        <v>263</v>
      </c>
      <c r="J9" s="24" t="s">
        <v>207</v>
      </c>
      <c r="K9" s="24" t="s">
        <v>207</v>
      </c>
      <c r="L9" s="34">
        <v>2030</v>
      </c>
      <c r="M9" s="27">
        <f>6500000-6400000</f>
        <v>100000</v>
      </c>
      <c r="N9" s="37">
        <v>67172551</v>
      </c>
      <c r="O9" s="22">
        <f>Tableau1[[#This Row],[n_prev]]/Tableau1[[#This Row],[n_death]]</f>
        <v>1.488703324666053E-3</v>
      </c>
      <c r="P9" s="22"/>
      <c r="Q9" s="22"/>
      <c r="R9" s="22"/>
      <c r="S9" s="22"/>
      <c r="T9" s="22"/>
      <c r="U9" s="22"/>
      <c r="V9" s="22"/>
      <c r="W9" s="22"/>
      <c r="X9" s="22"/>
      <c r="Y9" s="22"/>
      <c r="Z9" s="4" t="s">
        <v>278</v>
      </c>
    </row>
    <row r="10" spans="1:26" s="83" customFormat="1" ht="289.2" customHeight="1" x14ac:dyDescent="0.3">
      <c r="A10" s="35" t="s">
        <v>89</v>
      </c>
      <c r="B10" s="23" t="s">
        <v>88</v>
      </c>
      <c r="C10" s="24" t="s">
        <v>27</v>
      </c>
      <c r="D10" s="25">
        <v>7662</v>
      </c>
      <c r="E10" s="24">
        <v>6</v>
      </c>
      <c r="F10" s="34" t="s">
        <v>148</v>
      </c>
      <c r="G10" s="35" t="s">
        <v>188</v>
      </c>
      <c r="H10" s="35" t="s">
        <v>198</v>
      </c>
      <c r="I10" s="35" t="s">
        <v>263</v>
      </c>
      <c r="J10" s="24" t="s">
        <v>207</v>
      </c>
      <c r="K10" s="24" t="s">
        <v>207</v>
      </c>
      <c r="L10" s="34">
        <v>2030</v>
      </c>
      <c r="M10" s="27">
        <f>6500000-6400000</f>
        <v>100000</v>
      </c>
      <c r="N10" s="37">
        <v>67172551</v>
      </c>
      <c r="O10" s="22">
        <f>Tableau1[[#This Row],[n_prev]]/Tableau1[[#This Row],[n_death]]</f>
        <v>1.488703324666053E-3</v>
      </c>
      <c r="P10" s="22"/>
      <c r="Q10" s="22"/>
      <c r="R10" s="22"/>
      <c r="S10" s="22"/>
      <c r="T10" s="22"/>
      <c r="U10" s="22"/>
      <c r="V10" s="22"/>
      <c r="W10" s="22"/>
      <c r="X10" s="22"/>
      <c r="Y10" s="22"/>
      <c r="Z10" s="4" t="s">
        <v>278</v>
      </c>
    </row>
    <row r="11" spans="1:26" s="83" customFormat="1" ht="129.6" x14ac:dyDescent="0.3">
      <c r="A11" s="5" t="s">
        <v>277</v>
      </c>
      <c r="B11" s="42" t="s">
        <v>119</v>
      </c>
      <c r="C11" s="4" t="s">
        <v>120</v>
      </c>
      <c r="D11" s="4">
        <v>503</v>
      </c>
      <c r="E11" s="4">
        <v>18</v>
      </c>
      <c r="F11" s="5" t="s">
        <v>169</v>
      </c>
      <c r="G11" s="5" t="s">
        <v>188</v>
      </c>
      <c r="H11" s="5" t="s">
        <v>194</v>
      </c>
      <c r="I11" s="5" t="s">
        <v>263</v>
      </c>
      <c r="J11" s="4" t="s">
        <v>207</v>
      </c>
      <c r="K11" s="4" t="s">
        <v>207</v>
      </c>
      <c r="L11" s="5">
        <v>2050</v>
      </c>
      <c r="M11" s="5">
        <v>80000</v>
      </c>
      <c r="N11" s="5">
        <v>38337222</v>
      </c>
      <c r="O11" s="5">
        <f>Tableau1[[#This Row],[n_prev]]/Tableau1[[#This Row],[n_death]]</f>
        <v>2.0867448350848166E-3</v>
      </c>
      <c r="P11" s="5"/>
      <c r="Q11" s="5" t="s">
        <v>224</v>
      </c>
      <c r="R11" s="5"/>
      <c r="S11" s="5"/>
      <c r="T11" s="5"/>
      <c r="U11" s="5"/>
      <c r="V11" s="5"/>
      <c r="W11" s="5"/>
      <c r="X11" s="5"/>
      <c r="Y11" s="5"/>
      <c r="Z11" s="4" t="s">
        <v>279</v>
      </c>
    </row>
    <row r="12" spans="1:26" s="83" customFormat="1" ht="57.6" x14ac:dyDescent="0.3">
      <c r="A12" s="85" t="s">
        <v>258</v>
      </c>
      <c r="B12" s="78" t="s">
        <v>1</v>
      </c>
      <c r="C12" s="81" t="s">
        <v>68</v>
      </c>
      <c r="D12" s="81">
        <v>70</v>
      </c>
      <c r="E12" s="81">
        <v>20</v>
      </c>
      <c r="F12" s="77" t="s">
        <v>221</v>
      </c>
      <c r="G12" s="77" t="s">
        <v>125</v>
      </c>
      <c r="H12" s="77" t="s">
        <v>211</v>
      </c>
      <c r="I12" s="77" t="s">
        <v>263</v>
      </c>
      <c r="J12" s="81" t="s">
        <v>207</v>
      </c>
      <c r="K12" s="81" t="s">
        <v>207</v>
      </c>
      <c r="L12" s="77">
        <v>2035</v>
      </c>
      <c r="M12" s="84">
        <f>Tableau1[[#This Row],[yll]]/Tableau1[[#This Row],[conversion_factor]]</f>
        <v>1585.3565670654373</v>
      </c>
      <c r="N12" s="84">
        <v>694452</v>
      </c>
      <c r="O12" s="84">
        <f>Tableau1[[#This Row],[n_prev]]/Tableau1[[#This Row],[n_death]]</f>
        <v>2.2828886187460577E-3</v>
      </c>
      <c r="P12" s="88">
        <f>(7772884.34+530967.97)/(503998.5+33945.55)</f>
        <v>15.436275036409453</v>
      </c>
      <c r="Q12" s="84"/>
      <c r="R12" s="86">
        <f>734160/30</f>
        <v>24472</v>
      </c>
      <c r="S12" s="86"/>
      <c r="T12" s="84"/>
      <c r="U12" s="84"/>
      <c r="V12" s="84">
        <v>1889026192</v>
      </c>
      <c r="W12" s="84">
        <f>Tableau1[[#This Row],[yll]]/Tableau1[[#This Row],[population_target]]</f>
        <v>1.295482302132103E-5</v>
      </c>
      <c r="X12" s="84"/>
      <c r="Y12" s="84"/>
      <c r="Z12" s="4" t="s">
        <v>279</v>
      </c>
    </row>
    <row r="13" spans="1:26" s="83" customFormat="1" ht="57.6" x14ac:dyDescent="0.3">
      <c r="A13" s="85" t="s">
        <v>35</v>
      </c>
      <c r="B13" s="78" t="s">
        <v>1</v>
      </c>
      <c r="C13" s="81" t="s">
        <v>68</v>
      </c>
      <c r="D13" s="81">
        <v>70</v>
      </c>
      <c r="E13" s="81">
        <v>20</v>
      </c>
      <c r="F13" s="77" t="s">
        <v>221</v>
      </c>
      <c r="G13" s="77" t="s">
        <v>125</v>
      </c>
      <c r="H13" s="77" t="s">
        <v>211</v>
      </c>
      <c r="I13" s="77" t="s">
        <v>202</v>
      </c>
      <c r="J13" s="81" t="s">
        <v>209</v>
      </c>
      <c r="K13" s="81" t="s">
        <v>207</v>
      </c>
      <c r="L13" s="77">
        <v>2035</v>
      </c>
      <c r="M13" s="84">
        <f>Tableau1[[#This Row],[yll]]/Tableau1[[#This Row],[conversion_factor]]</f>
        <v>1731.2343866669287</v>
      </c>
      <c r="N13" s="84">
        <v>694452</v>
      </c>
      <c r="O13" s="84">
        <f>Tableau1[[#This Row],[n_prev]]/Tableau1[[#This Row],[n_death]]</f>
        <v>2.4929503935000961E-3</v>
      </c>
      <c r="P13" s="84">
        <f>(8193985.95+553138.14)/(509267.39+34229.97)</f>
        <v>16.094142738798215</v>
      </c>
      <c r="Q13" s="84"/>
      <c r="R13" s="86">
        <f>835882/30</f>
        <v>27862.733333333334</v>
      </c>
      <c r="S13" s="86"/>
      <c r="T13" s="84"/>
      <c r="U13" s="84"/>
      <c r="V13" s="84">
        <v>1889026192</v>
      </c>
      <c r="W13" s="84">
        <f>Tableau1[[#This Row],[yll]]/Tableau1[[#This Row],[population_target]]</f>
        <v>1.4749786663272128E-5</v>
      </c>
      <c r="X13" s="84"/>
      <c r="Y13" s="84"/>
      <c r="Z13" s="4" t="s">
        <v>279</v>
      </c>
    </row>
    <row r="14" spans="1:26" s="28" customFormat="1" ht="57.6" x14ac:dyDescent="0.3">
      <c r="A14" s="85" t="s">
        <v>35</v>
      </c>
      <c r="B14" s="78" t="s">
        <v>1</v>
      </c>
      <c r="C14" s="81" t="s">
        <v>68</v>
      </c>
      <c r="D14" s="81">
        <v>70</v>
      </c>
      <c r="E14" s="81">
        <v>20</v>
      </c>
      <c r="F14" s="77" t="s">
        <v>222</v>
      </c>
      <c r="G14" s="77" t="s">
        <v>127</v>
      </c>
      <c r="H14" s="77" t="s">
        <v>211</v>
      </c>
      <c r="I14" s="77" t="s">
        <v>202</v>
      </c>
      <c r="J14" s="81" t="s">
        <v>209</v>
      </c>
      <c r="K14" s="81" t="s">
        <v>207</v>
      </c>
      <c r="L14" s="77">
        <v>2035</v>
      </c>
      <c r="M14" s="84">
        <f>Tableau1[[#This Row],[yll]]/Tableau1[[#This Row],[conversion_factor]]</f>
        <v>1883.5548119578582</v>
      </c>
      <c r="N14" s="84">
        <v>694452</v>
      </c>
      <c r="O14" s="84">
        <f>Tableau1[[#This Row],[n_prev]]/Tableau1[[#This Row],[n_death]]</f>
        <v>2.7122894195104317E-3</v>
      </c>
      <c r="P14" s="84">
        <f>(8193985.95+553138.14)/(509267.39+34229.97)</f>
        <v>16.094142738798215</v>
      </c>
      <c r="Q14" s="84"/>
      <c r="R14" s="86">
        <f>909426/30</f>
        <v>30314.2</v>
      </c>
      <c r="S14" s="86"/>
      <c r="T14" s="84"/>
      <c r="U14" s="84"/>
      <c r="V14" s="84">
        <v>1889026192</v>
      </c>
      <c r="W14" s="84">
        <f>Tableau1[[#This Row],[yll]]/Tableau1[[#This Row],[population_target]]</f>
        <v>1.6047527624751961E-5</v>
      </c>
      <c r="X14" s="84"/>
      <c r="Y14" s="84"/>
      <c r="Z14" s="4" t="s">
        <v>279</v>
      </c>
    </row>
    <row r="15" spans="1:26" s="28" customFormat="1" ht="57.6" x14ac:dyDescent="0.3">
      <c r="A15" s="85" t="s">
        <v>35</v>
      </c>
      <c r="B15" s="78" t="s">
        <v>1</v>
      </c>
      <c r="C15" s="81" t="s">
        <v>68</v>
      </c>
      <c r="D15" s="81">
        <v>70</v>
      </c>
      <c r="E15" s="81">
        <v>20</v>
      </c>
      <c r="F15" s="77" t="s">
        <v>222</v>
      </c>
      <c r="G15" s="77" t="s">
        <v>127</v>
      </c>
      <c r="H15" s="77" t="s">
        <v>211</v>
      </c>
      <c r="I15" s="77" t="s">
        <v>263</v>
      </c>
      <c r="J15" s="81" t="s">
        <v>207</v>
      </c>
      <c r="K15" s="81" t="s">
        <v>207</v>
      </c>
      <c r="L15" s="77">
        <v>2035</v>
      </c>
      <c r="M15" s="84">
        <f>Tableau1[[#This Row],[yll]]/Tableau1[[#This Row],[conversion_factor]]</f>
        <v>1924.7843103287325</v>
      </c>
      <c r="N15" s="84">
        <v>694452</v>
      </c>
      <c r="O15" s="84">
        <f>Tableau1[[#This Row],[n_prev]]/Tableau1[[#This Row],[n_death]]</f>
        <v>2.7716592512207214E-3</v>
      </c>
      <c r="P15" s="87">
        <f>(7772884.34+530967.97)/(503998.5+33945.55)</f>
        <v>15.436275036409453</v>
      </c>
      <c r="Q15" s="84"/>
      <c r="R15" s="86">
        <f>891345/30</f>
        <v>29711.5</v>
      </c>
      <c r="S15" s="86"/>
      <c r="T15" s="84"/>
      <c r="U15" s="84"/>
      <c r="V15" s="84">
        <v>1889026192</v>
      </c>
      <c r="W15" s="84">
        <f>Tableau1[[#This Row],[yll]]/Tableau1[[#This Row],[population_target]]</f>
        <v>1.5728474346109015E-5</v>
      </c>
      <c r="X15" s="84"/>
      <c r="Y15" s="84"/>
      <c r="Z15" s="4" t="s">
        <v>279</v>
      </c>
    </row>
    <row r="16" spans="1:26" s="28" customFormat="1" ht="43.2" x14ac:dyDescent="0.3">
      <c r="A16" s="22" t="s">
        <v>42</v>
      </c>
      <c r="B16" s="29" t="s">
        <v>8</v>
      </c>
      <c r="C16" s="32" t="s">
        <v>27</v>
      </c>
      <c r="D16" s="33">
        <v>7821</v>
      </c>
      <c r="E16" s="24">
        <v>4</v>
      </c>
      <c r="F16" s="34" t="s">
        <v>140</v>
      </c>
      <c r="G16" s="34" t="s">
        <v>188</v>
      </c>
      <c r="H16" s="35" t="s">
        <v>283</v>
      </c>
      <c r="I16" s="35" t="s">
        <v>283</v>
      </c>
      <c r="J16" s="24" t="s">
        <v>207</v>
      </c>
      <c r="K16" s="24" t="s">
        <v>207</v>
      </c>
      <c r="L16" s="34">
        <v>2050</v>
      </c>
      <c r="M16" s="27">
        <f>(5582000-5333000)+(232000-176000)</f>
        <v>305000</v>
      </c>
      <c r="N16" s="26">
        <v>91583402</v>
      </c>
      <c r="O16" s="26">
        <f>Tableau1[[#This Row],[n_prev]]/Tableau1[[#This Row],[n_death]]</f>
        <v>3.3302977760096748E-3</v>
      </c>
      <c r="P16" s="26"/>
      <c r="Q16" s="26"/>
      <c r="R16" s="26"/>
      <c r="S16" s="26"/>
      <c r="T16" s="26"/>
      <c r="U16" s="26"/>
      <c r="V16" s="26"/>
      <c r="W16" s="26"/>
      <c r="X16" s="26"/>
      <c r="Y16" s="26"/>
      <c r="Z16" s="4" t="s">
        <v>278</v>
      </c>
    </row>
    <row r="17" spans="1:26" s="28" customFormat="1" ht="57.6" x14ac:dyDescent="0.3">
      <c r="A17" s="35" t="s">
        <v>47</v>
      </c>
      <c r="B17" s="29" t="s">
        <v>17</v>
      </c>
      <c r="C17" s="69" t="s">
        <v>31</v>
      </c>
      <c r="D17" s="69">
        <v>37.99</v>
      </c>
      <c r="E17" s="69">
        <v>39</v>
      </c>
      <c r="F17" s="68" t="s">
        <v>243</v>
      </c>
      <c r="G17" s="68" t="s">
        <v>125</v>
      </c>
      <c r="H17" s="68" t="s">
        <v>244</v>
      </c>
      <c r="I17" s="35" t="s">
        <v>263</v>
      </c>
      <c r="J17" s="69" t="s">
        <v>207</v>
      </c>
      <c r="K17" s="69" t="s">
        <v>207</v>
      </c>
      <c r="L17" s="68">
        <v>2050</v>
      </c>
      <c r="M17" s="68">
        <f>Tableau1[[#This Row],[yll]]/Tableau1[[#This Row],[conversion_factor]]</f>
        <v>1807.3015873015875</v>
      </c>
      <c r="N17" s="35">
        <v>489530</v>
      </c>
      <c r="O17" s="35">
        <f>Tableau1[[#This Row],[n_prev]]/Tableau1[[#This Row],[n_death]]</f>
        <v>3.6919118078597582E-3</v>
      </c>
      <c r="P17" s="35">
        <v>18.899999999999999</v>
      </c>
      <c r="Q17" s="68"/>
      <c r="R17" s="68">
        <f>218415-184257</f>
        <v>34158</v>
      </c>
      <c r="S17" s="68"/>
      <c r="T17" s="68" t="s">
        <v>247</v>
      </c>
      <c r="U17" s="68">
        <v>2314000000</v>
      </c>
      <c r="V17" s="5">
        <v>34932339</v>
      </c>
      <c r="W17" s="68">
        <f>Tableau1[[#This Row],[yll]]/Tableau1[[#This Row],[population_target]]</f>
        <v>9.7783317630119196E-4</v>
      </c>
      <c r="X17" s="5">
        <f>Tableau1[[#This Row],[monetary]]/Tableau1[[#This Row],[population_target]]</f>
        <v>66.242343520140466</v>
      </c>
      <c r="Y17" s="68"/>
      <c r="Z17" s="4" t="s">
        <v>278</v>
      </c>
    </row>
    <row r="18" spans="1:26" s="28" customFormat="1" ht="43.2" x14ac:dyDescent="0.3">
      <c r="A18" s="22" t="s">
        <v>42</v>
      </c>
      <c r="B18" s="29" t="s">
        <v>8</v>
      </c>
      <c r="C18" s="32" t="s">
        <v>27</v>
      </c>
      <c r="D18" s="33">
        <v>7821</v>
      </c>
      <c r="E18" s="24">
        <v>4</v>
      </c>
      <c r="F18" s="34" t="s">
        <v>138</v>
      </c>
      <c r="G18" s="34" t="s">
        <v>188</v>
      </c>
      <c r="H18" s="35" t="s">
        <v>283</v>
      </c>
      <c r="I18" s="35" t="s">
        <v>283</v>
      </c>
      <c r="J18" s="24" t="s">
        <v>207</v>
      </c>
      <c r="K18" s="24" t="s">
        <v>207</v>
      </c>
      <c r="L18" s="34">
        <v>2050</v>
      </c>
      <c r="M18" s="27">
        <f>(6552000-6224000)+(400000-334000)</f>
        <v>394000</v>
      </c>
      <c r="N18" s="26">
        <v>91583402</v>
      </c>
      <c r="O18" s="26">
        <f>Tableau1[[#This Row],[n_prev]]/Tableau1[[#This Row],[n_death]]</f>
        <v>4.3020895860583991E-3</v>
      </c>
      <c r="P18" s="26"/>
      <c r="Q18" s="26"/>
      <c r="R18" s="26"/>
      <c r="S18" s="26"/>
      <c r="T18" s="26"/>
      <c r="U18" s="26"/>
      <c r="V18" s="26"/>
      <c r="W18" s="26"/>
      <c r="X18" s="26"/>
      <c r="Y18" s="26"/>
      <c r="Z18" s="4" t="s">
        <v>278</v>
      </c>
    </row>
    <row r="19" spans="1:26" s="28" customFormat="1" ht="57.6" x14ac:dyDescent="0.3">
      <c r="A19" s="22" t="s">
        <v>55</v>
      </c>
      <c r="B19" s="23" t="s">
        <v>24</v>
      </c>
      <c r="C19" s="24" t="s">
        <v>74</v>
      </c>
      <c r="D19" s="24">
        <v>61</v>
      </c>
      <c r="E19" s="24">
        <v>41</v>
      </c>
      <c r="F19" s="35"/>
      <c r="G19" s="35" t="s">
        <v>188</v>
      </c>
      <c r="H19" s="24" t="s">
        <v>192</v>
      </c>
      <c r="I19" s="24" t="s">
        <v>192</v>
      </c>
      <c r="J19" s="24" t="s">
        <v>207</v>
      </c>
      <c r="K19" s="24" t="s">
        <v>207</v>
      </c>
      <c r="L19" s="35">
        <v>2060</v>
      </c>
      <c r="M19" s="36">
        <f>(230000*0.2752)/40</f>
        <v>1582.4</v>
      </c>
      <c r="N19" s="36">
        <f>(51815888*7.09)/1000</f>
        <v>367374.64592000004</v>
      </c>
      <c r="O19" s="35">
        <f>Tableau1[[#This Row],[n_prev]]/Tableau1[[#This Row],[n_death]]</f>
        <v>4.3073195648471218E-3</v>
      </c>
      <c r="P19" s="35"/>
      <c r="Q19" s="35"/>
      <c r="R19" s="35">
        <v>8</v>
      </c>
      <c r="S19" s="35"/>
      <c r="T19" s="35"/>
      <c r="U19" s="35"/>
      <c r="V19" s="35"/>
      <c r="W19" s="35"/>
      <c r="X19" s="35"/>
      <c r="Y19" s="35"/>
      <c r="Z19" s="4" t="s">
        <v>278</v>
      </c>
    </row>
    <row r="20" spans="1:26" s="38" customFormat="1" ht="76.2" customHeight="1" x14ac:dyDescent="0.3">
      <c r="A20" s="22" t="s">
        <v>50</v>
      </c>
      <c r="B20" s="23" t="s">
        <v>20</v>
      </c>
      <c r="C20" s="24" t="s">
        <v>27</v>
      </c>
      <c r="D20" s="25">
        <v>7405</v>
      </c>
      <c r="E20" s="24">
        <v>9</v>
      </c>
      <c r="F20" s="35" t="s">
        <v>156</v>
      </c>
      <c r="G20" s="35" t="s">
        <v>188</v>
      </c>
      <c r="H20" s="35" t="s">
        <v>283</v>
      </c>
      <c r="I20" s="35" t="s">
        <v>283</v>
      </c>
      <c r="J20" s="35" t="s">
        <v>207</v>
      </c>
      <c r="K20" s="35" t="s">
        <v>207</v>
      </c>
      <c r="L20" s="35">
        <v>2050</v>
      </c>
      <c r="M20" s="36">
        <v>470000</v>
      </c>
      <c r="N20" s="26">
        <v>91583402</v>
      </c>
      <c r="O20" s="35">
        <f>Tableau1[[#This Row],[n_prev]]/Tableau1[[#This Row],[n_death]]</f>
        <v>5.1319342777854E-3</v>
      </c>
      <c r="P20" s="35"/>
      <c r="Q20" s="35"/>
      <c r="R20" s="35"/>
      <c r="S20" s="35"/>
      <c r="T20" s="35"/>
      <c r="U20" s="35"/>
      <c r="V20" s="35"/>
      <c r="W20" s="35"/>
      <c r="X20" s="35"/>
      <c r="Y20" s="35"/>
      <c r="Z20" s="4" t="s">
        <v>278</v>
      </c>
    </row>
    <row r="21" spans="1:26" s="38" customFormat="1" ht="76.2" customHeight="1" x14ac:dyDescent="0.3">
      <c r="A21" s="22" t="s">
        <v>42</v>
      </c>
      <c r="B21" s="29" t="s">
        <v>8</v>
      </c>
      <c r="C21" s="32" t="s">
        <v>27</v>
      </c>
      <c r="D21" s="33">
        <v>7821</v>
      </c>
      <c r="E21" s="24">
        <v>4</v>
      </c>
      <c r="F21" s="34" t="s">
        <v>136</v>
      </c>
      <c r="G21" s="34" t="s">
        <v>188</v>
      </c>
      <c r="H21" s="35" t="s">
        <v>283</v>
      </c>
      <c r="I21" s="35" t="s">
        <v>283</v>
      </c>
      <c r="J21" s="35" t="s">
        <v>207</v>
      </c>
      <c r="K21" s="35" t="s">
        <v>207</v>
      </c>
      <c r="L21" s="34">
        <v>2050</v>
      </c>
      <c r="M21" s="27">
        <f>(7846000-7372000)+(631000-539000)</f>
        <v>566000</v>
      </c>
      <c r="N21" s="26">
        <v>91583402</v>
      </c>
      <c r="O21" s="26">
        <f>Tableau1[[#This Row],[n_prev]]/Tableau1[[#This Row],[n_death]]</f>
        <v>6.1801591515458229E-3</v>
      </c>
      <c r="P21" s="26"/>
      <c r="Q21" s="26"/>
      <c r="R21" s="26"/>
      <c r="S21" s="26"/>
      <c r="T21" s="26"/>
      <c r="U21" s="26"/>
      <c r="V21" s="26"/>
      <c r="W21" s="26"/>
      <c r="X21" s="26"/>
      <c r="Y21" s="26"/>
      <c r="Z21" s="4" t="s">
        <v>278</v>
      </c>
    </row>
    <row r="22" spans="1:26" s="38" customFormat="1" ht="76.2" customHeight="1" x14ac:dyDescent="0.3">
      <c r="A22" s="35" t="s">
        <v>73</v>
      </c>
      <c r="B22" s="23" t="s">
        <v>11</v>
      </c>
      <c r="C22" s="60" t="s">
        <v>30</v>
      </c>
      <c r="D22" s="60">
        <v>63.26</v>
      </c>
      <c r="E22" s="24">
        <v>37</v>
      </c>
      <c r="F22" s="35" t="s">
        <v>261</v>
      </c>
      <c r="G22" s="35" t="s">
        <v>125</v>
      </c>
      <c r="H22" s="35" t="s">
        <v>283</v>
      </c>
      <c r="I22" s="35" t="s">
        <v>283</v>
      </c>
      <c r="J22" s="24" t="s">
        <v>207</v>
      </c>
      <c r="K22" s="24" t="s">
        <v>207</v>
      </c>
      <c r="L22" s="35"/>
      <c r="M22" s="35">
        <f>Tableau1[[#This Row],[yll]]/Tableau1[[#This Row],[conversion_factor]]</f>
        <v>4938.2716049382716</v>
      </c>
      <c r="N22" s="35">
        <v>786330</v>
      </c>
      <c r="O22" s="35">
        <f>Tableau1[[#This Row],[n_prev]]/Tableau1[[#This Row],[n_death]]</f>
        <v>6.2801515965793895E-3</v>
      </c>
      <c r="P22" s="35">
        <v>16.2</v>
      </c>
      <c r="Q22" s="35"/>
      <c r="R22" s="35">
        <v>80000</v>
      </c>
      <c r="S22" s="35"/>
      <c r="T22" s="35"/>
      <c r="U22" s="35"/>
      <c r="V22" s="35">
        <v>71684966</v>
      </c>
      <c r="W22" s="35">
        <f>Tableau1[[#This Row],[yll]]/Tableau1[[#This Row],[population_target]]</f>
        <v>1.1159941123498615E-3</v>
      </c>
      <c r="X22" s="35"/>
      <c r="Y22" s="35"/>
      <c r="Z22" s="4" t="s">
        <v>279</v>
      </c>
    </row>
    <row r="23" spans="1:26" s="28" customFormat="1" ht="187.2" x14ac:dyDescent="0.3">
      <c r="A23" s="5" t="s">
        <v>82</v>
      </c>
      <c r="B23" s="6" t="s">
        <v>83</v>
      </c>
      <c r="C23" s="53" t="s">
        <v>85</v>
      </c>
      <c r="D23" s="54">
        <v>4680</v>
      </c>
      <c r="E23" s="4">
        <v>14</v>
      </c>
      <c r="F23" s="5" t="s">
        <v>161</v>
      </c>
      <c r="G23" s="5" t="s">
        <v>188</v>
      </c>
      <c r="H23" s="5" t="s">
        <v>196</v>
      </c>
      <c r="I23" s="5" t="s">
        <v>263</v>
      </c>
      <c r="J23" s="4" t="s">
        <v>207</v>
      </c>
      <c r="K23" s="4" t="s">
        <v>207</v>
      </c>
      <c r="L23" s="5">
        <v>2040</v>
      </c>
      <c r="M23" s="39">
        <v>290000</v>
      </c>
      <c r="N23" s="30">
        <v>45405745</v>
      </c>
      <c r="O23" s="30">
        <f>Tableau1[[#This Row],[n_prev]]/Tableau1[[#This Row],[n_death]]</f>
        <v>6.3868569935368307E-3</v>
      </c>
      <c r="P23" s="30"/>
      <c r="Q23" s="30"/>
      <c r="R23" s="30"/>
      <c r="S23" s="30"/>
      <c r="T23" s="30"/>
      <c r="U23" s="30"/>
      <c r="V23" s="30"/>
      <c r="W23" s="46"/>
      <c r="X23" s="30"/>
      <c r="Y23" s="30"/>
      <c r="Z23" s="4" t="s">
        <v>278</v>
      </c>
    </row>
    <row r="24" spans="1:26" s="31" customFormat="1" ht="57.6" x14ac:dyDescent="0.3">
      <c r="A24" s="35" t="s">
        <v>73</v>
      </c>
      <c r="B24" s="23" t="s">
        <v>11</v>
      </c>
      <c r="C24" s="60" t="s">
        <v>30</v>
      </c>
      <c r="D24" s="60">
        <v>63.26</v>
      </c>
      <c r="E24" s="24">
        <v>37</v>
      </c>
      <c r="F24" s="35" t="s">
        <v>260</v>
      </c>
      <c r="G24" s="35" t="s">
        <v>125</v>
      </c>
      <c r="H24" s="24" t="s">
        <v>283</v>
      </c>
      <c r="I24" s="24" t="s">
        <v>283</v>
      </c>
      <c r="J24" s="35" t="s">
        <v>207</v>
      </c>
      <c r="K24" s="35" t="s">
        <v>207</v>
      </c>
      <c r="L24" s="35"/>
      <c r="M24" s="35">
        <f>Tableau1[[#This Row],[yll]]/Tableau1[[#This Row],[conversion_factor]]</f>
        <v>5555.5555555555557</v>
      </c>
      <c r="N24" s="35">
        <v>786330</v>
      </c>
      <c r="O24" s="35">
        <f>Tableau1[[#This Row],[n_prev]]/Tableau1[[#This Row],[n_death]]</f>
        <v>7.0651705461518138E-3</v>
      </c>
      <c r="P24" s="35">
        <v>16.2</v>
      </c>
      <c r="Q24" s="35"/>
      <c r="R24" s="35">
        <v>90000</v>
      </c>
      <c r="S24" s="35"/>
      <c r="T24" s="35"/>
      <c r="U24" s="35"/>
      <c r="V24" s="35">
        <v>71684966</v>
      </c>
      <c r="W24" s="35">
        <f>Tableau1[[#This Row],[yll]]/Tableau1[[#This Row],[population_target]]</f>
        <v>1.2554933763935941E-3</v>
      </c>
      <c r="X24" s="35"/>
      <c r="Y24" s="35"/>
      <c r="Z24" s="4" t="s">
        <v>279</v>
      </c>
    </row>
    <row r="25" spans="1:26" s="31" customFormat="1" ht="43.2" x14ac:dyDescent="0.3">
      <c r="A25" s="22" t="s">
        <v>42</v>
      </c>
      <c r="B25" s="29" t="s">
        <v>8</v>
      </c>
      <c r="C25" s="32" t="s">
        <v>27</v>
      </c>
      <c r="D25" s="33">
        <v>7821</v>
      </c>
      <c r="E25" s="24">
        <v>4</v>
      </c>
      <c r="F25" s="35" t="s">
        <v>141</v>
      </c>
      <c r="G25" s="35" t="s">
        <v>188</v>
      </c>
      <c r="H25" s="24" t="s">
        <v>283</v>
      </c>
      <c r="I25" s="24" t="s">
        <v>283</v>
      </c>
      <c r="J25" s="35" t="s">
        <v>207</v>
      </c>
      <c r="K25" s="35" t="s">
        <v>207</v>
      </c>
      <c r="L25" s="34">
        <v>2050</v>
      </c>
      <c r="M25" s="36">
        <f>(5582000-5019000)+(232000-126000)</f>
        <v>669000</v>
      </c>
      <c r="N25" s="26">
        <v>91583402</v>
      </c>
      <c r="O25" s="22">
        <f>Tableau1[[#This Row],[n_prev]]/Tableau1[[#This Row],[n_death]]</f>
        <v>7.3048170890179422E-3</v>
      </c>
      <c r="P25" s="22"/>
      <c r="Q25" s="22"/>
      <c r="R25" s="22"/>
      <c r="S25" s="22"/>
      <c r="T25" s="22"/>
      <c r="U25" s="22"/>
      <c r="V25" s="22"/>
      <c r="W25" s="22"/>
      <c r="X25" s="22"/>
      <c r="Y25" s="22"/>
      <c r="Z25" s="4" t="s">
        <v>278</v>
      </c>
    </row>
    <row r="26" spans="1:26" s="31" customFormat="1" ht="28.8" x14ac:dyDescent="0.3">
      <c r="A26" s="5" t="s">
        <v>93</v>
      </c>
      <c r="B26" s="42" t="s">
        <v>92</v>
      </c>
      <c r="C26" s="4" t="s">
        <v>29</v>
      </c>
      <c r="D26" s="7">
        <v>1338</v>
      </c>
      <c r="E26" s="4">
        <v>30</v>
      </c>
      <c r="F26" s="5" t="s">
        <v>184</v>
      </c>
      <c r="G26" s="5" t="s">
        <v>127</v>
      </c>
      <c r="H26" s="4" t="s">
        <v>283</v>
      </c>
      <c r="I26" s="4" t="s">
        <v>283</v>
      </c>
      <c r="J26" s="4" t="s">
        <v>207</v>
      </c>
      <c r="K26" s="4" t="s">
        <v>207</v>
      </c>
      <c r="L26" s="5">
        <v>2030</v>
      </c>
      <c r="M26" s="9">
        <f>1429940-(140510+17223+1174779)</f>
        <v>97428</v>
      </c>
      <c r="N26" s="55">
        <v>12224379</v>
      </c>
      <c r="O26" s="5">
        <f>Tableau1[[#This Row],[n_prev]]/Tableau1[[#This Row],[n_death]]</f>
        <v>7.9699754073397095E-3</v>
      </c>
      <c r="P26" s="5"/>
      <c r="Q26" s="5"/>
      <c r="R26" s="5"/>
      <c r="S26" s="5"/>
      <c r="T26" s="5"/>
      <c r="U26" s="5"/>
      <c r="V26" s="5"/>
      <c r="W26" s="5"/>
      <c r="X26" s="5"/>
      <c r="Y26" s="5"/>
      <c r="Z26" s="4" t="s">
        <v>278</v>
      </c>
    </row>
    <row r="27" spans="1:26" s="31" customFormat="1" ht="216" customHeight="1" x14ac:dyDescent="0.3">
      <c r="A27" s="35" t="s">
        <v>121</v>
      </c>
      <c r="B27" s="40" t="s">
        <v>122</v>
      </c>
      <c r="C27" s="24" t="s">
        <v>27</v>
      </c>
      <c r="D27" s="25">
        <v>7662</v>
      </c>
      <c r="E27" s="24">
        <v>7</v>
      </c>
      <c r="F27" s="35" t="s">
        <v>150</v>
      </c>
      <c r="G27" s="35" t="s">
        <v>135</v>
      </c>
      <c r="H27" s="35" t="s">
        <v>200</v>
      </c>
      <c r="I27" s="35" t="s">
        <v>263</v>
      </c>
      <c r="J27" s="24" t="s">
        <v>208</v>
      </c>
      <c r="K27" s="24" t="s">
        <v>207</v>
      </c>
      <c r="L27" s="35">
        <v>2040</v>
      </c>
      <c r="M27" s="41">
        <f>2550000-2200000</f>
        <v>350000</v>
      </c>
      <c r="N27" s="35">
        <v>40109096</v>
      </c>
      <c r="O27" s="35">
        <f>Tableau1[[#This Row],[n_prev]]/Tableau1[[#This Row],[n_death]]</f>
        <v>8.7262001616790364E-3</v>
      </c>
      <c r="P27" s="35"/>
      <c r="Q27" s="35"/>
      <c r="R27" s="35"/>
      <c r="S27" s="35"/>
      <c r="T27" s="35"/>
      <c r="U27" s="35"/>
      <c r="V27" s="35"/>
      <c r="W27" s="35"/>
      <c r="X27" s="35"/>
      <c r="Y27" s="35"/>
      <c r="Z27" s="4" t="s">
        <v>278</v>
      </c>
    </row>
    <row r="28" spans="1:26" s="31" customFormat="1" ht="57.6" x14ac:dyDescent="0.3">
      <c r="A28" s="77" t="s">
        <v>220</v>
      </c>
      <c r="B28" s="78" t="s">
        <v>16</v>
      </c>
      <c r="C28" s="79" t="s">
        <v>28</v>
      </c>
      <c r="D28" s="80">
        <v>1241</v>
      </c>
      <c r="E28" s="81">
        <v>32</v>
      </c>
      <c r="F28" s="77" t="s">
        <v>131</v>
      </c>
      <c r="G28" s="77" t="s">
        <v>188</v>
      </c>
      <c r="H28" s="81" t="s">
        <v>283</v>
      </c>
      <c r="I28" s="81" t="s">
        <v>283</v>
      </c>
      <c r="J28" s="77" t="s">
        <v>207</v>
      </c>
      <c r="K28" s="77" t="s">
        <v>207</v>
      </c>
      <c r="L28" s="77">
        <v>2030</v>
      </c>
      <c r="M28" s="82">
        <f>3800000/40</f>
        <v>95000</v>
      </c>
      <c r="N28" s="82">
        <v>10593963</v>
      </c>
      <c r="O28" s="77">
        <f>Tableau1[[#This Row],[n_prev]]/Tableau1[[#This Row],[n_death]]</f>
        <v>8.9673713227052046E-3</v>
      </c>
      <c r="P28" s="77"/>
      <c r="Q28" s="77" t="s">
        <v>250</v>
      </c>
      <c r="R28" s="77"/>
      <c r="S28" s="77"/>
      <c r="T28" s="77"/>
      <c r="U28" s="77"/>
      <c r="V28" s="77"/>
      <c r="W28" s="77"/>
      <c r="X28" s="77"/>
      <c r="Y28" s="77"/>
      <c r="Z28" s="4" t="s">
        <v>278</v>
      </c>
    </row>
    <row r="29" spans="1:26" s="83" customFormat="1" ht="80.400000000000006" customHeight="1" x14ac:dyDescent="0.3">
      <c r="A29" s="30" t="s">
        <v>46</v>
      </c>
      <c r="B29" s="6" t="s">
        <v>15</v>
      </c>
      <c r="C29" s="4" t="s">
        <v>27</v>
      </c>
      <c r="D29" s="7">
        <v>7821</v>
      </c>
      <c r="E29" s="4">
        <v>5</v>
      </c>
      <c r="F29" s="12" t="s">
        <v>142</v>
      </c>
      <c r="G29" s="12" t="s">
        <v>188</v>
      </c>
      <c r="H29" s="5" t="s">
        <v>283</v>
      </c>
      <c r="I29" s="5" t="s">
        <v>283</v>
      </c>
      <c r="J29" s="4" t="s">
        <v>207</v>
      </c>
      <c r="K29" s="4" t="s">
        <v>207</v>
      </c>
      <c r="L29" s="12">
        <v>2030</v>
      </c>
      <c r="M29" s="20">
        <v>619000</v>
      </c>
      <c r="N29" s="21">
        <v>67172551</v>
      </c>
      <c r="O29" s="30">
        <f>Tableau1[[#This Row],[n_prev]]/Tableau1[[#This Row],[n_death]]</f>
        <v>9.2150735796828684E-3</v>
      </c>
      <c r="P29" s="30"/>
      <c r="Q29" s="30"/>
      <c r="R29" s="30"/>
      <c r="S29" s="30"/>
      <c r="T29" s="30">
        <v>1294</v>
      </c>
      <c r="U29" s="30">
        <v>12940000000000</v>
      </c>
      <c r="V29" s="30">
        <v>9709491761</v>
      </c>
      <c r="W29" s="30"/>
      <c r="X29" s="30">
        <f>Tableau1[[#This Row],[monetary]]/Tableau1[[#This Row],[population_target]]</f>
        <v>1332.7165127196404</v>
      </c>
      <c r="Y29" s="30"/>
      <c r="Z29" s="4" t="s">
        <v>278</v>
      </c>
    </row>
    <row r="30" spans="1:26" s="31" customFormat="1" ht="80.400000000000006" customHeight="1" x14ac:dyDescent="0.3">
      <c r="A30" s="59" t="s">
        <v>60</v>
      </c>
      <c r="B30" s="42" t="s">
        <v>59</v>
      </c>
      <c r="C30" s="4" t="s">
        <v>29</v>
      </c>
      <c r="D30" s="58">
        <v>1380</v>
      </c>
      <c r="E30" s="4">
        <v>24</v>
      </c>
      <c r="F30" s="5" t="s">
        <v>173</v>
      </c>
      <c r="G30" s="5" t="s">
        <v>125</v>
      </c>
      <c r="H30" s="5" t="s">
        <v>283</v>
      </c>
      <c r="I30" s="5" t="s">
        <v>283</v>
      </c>
      <c r="J30" s="4" t="s">
        <v>207</v>
      </c>
      <c r="K30" s="4" t="s">
        <v>207</v>
      </c>
      <c r="L30" s="5">
        <v>2050</v>
      </c>
      <c r="M30" s="30">
        <v>160000</v>
      </c>
      <c r="N30" s="55">
        <v>17360482</v>
      </c>
      <c r="O30" s="62">
        <f>Tableau1[[#This Row],[n_prev]]/Tableau1[[#This Row],[n_death]]</f>
        <v>9.2163339704508206E-3</v>
      </c>
      <c r="P30" s="62"/>
      <c r="Q30" s="62"/>
      <c r="R30" s="62"/>
      <c r="S30" s="62"/>
      <c r="T30" s="5" t="s">
        <v>217</v>
      </c>
      <c r="U30" s="5">
        <v>102670000000</v>
      </c>
      <c r="V30" s="30">
        <v>1312636325</v>
      </c>
      <c r="W30" s="5"/>
      <c r="X30" s="46">
        <f>Tableau1[[#This Row],[monetary]]/Tableau1[[#This Row],[population_target]]</f>
        <v>78.216637803315407</v>
      </c>
      <c r="Y30" s="46"/>
      <c r="Z30" s="4" t="s">
        <v>278</v>
      </c>
    </row>
    <row r="31" spans="1:26" s="83" customFormat="1" ht="80.400000000000006" customHeight="1" x14ac:dyDescent="0.3">
      <c r="A31" s="22" t="s">
        <v>37</v>
      </c>
      <c r="B31" s="29" t="s">
        <v>3</v>
      </c>
      <c r="C31" s="24" t="s">
        <v>72</v>
      </c>
      <c r="D31" s="24">
        <v>37.299999999999997</v>
      </c>
      <c r="E31" s="24">
        <v>45</v>
      </c>
      <c r="F31" s="35" t="s">
        <v>273</v>
      </c>
      <c r="G31" s="35" t="s">
        <v>188</v>
      </c>
      <c r="H31" s="51" t="s">
        <v>204</v>
      </c>
      <c r="I31" s="51" t="s">
        <v>263</v>
      </c>
      <c r="J31" s="24" t="s">
        <v>207</v>
      </c>
      <c r="K31" s="24" t="s">
        <v>207</v>
      </c>
      <c r="L31" s="35">
        <v>2050</v>
      </c>
      <c r="M31" s="36">
        <v>2800</v>
      </c>
      <c r="N31" s="35">
        <f>(281800.94/39440000)*40049519</f>
        <v>286155.98632727843</v>
      </c>
      <c r="O31" s="35">
        <f>Tableau1[[#This Row],[n_prev]]/Tableau1[[#This Row],[n_death]]</f>
        <v>9.7848730545081874E-3</v>
      </c>
      <c r="P31" s="35"/>
      <c r="Q31" s="35"/>
      <c r="R31" s="35"/>
      <c r="S31" s="35"/>
      <c r="T31" s="35"/>
      <c r="U31" s="35"/>
      <c r="V31" s="35"/>
      <c r="W31" s="35"/>
      <c r="X31" s="35"/>
      <c r="Y31" s="35"/>
      <c r="Z31" s="4" t="s">
        <v>279</v>
      </c>
    </row>
    <row r="32" spans="1:26" s="83" customFormat="1" ht="80.400000000000006" customHeight="1" x14ac:dyDescent="0.3">
      <c r="A32" s="30" t="s">
        <v>46</v>
      </c>
      <c r="B32" s="6" t="s">
        <v>15</v>
      </c>
      <c r="C32" s="4" t="s">
        <v>27</v>
      </c>
      <c r="D32" s="7">
        <v>7821</v>
      </c>
      <c r="E32" s="4">
        <v>5</v>
      </c>
      <c r="F32" s="5" t="s">
        <v>143</v>
      </c>
      <c r="G32" s="5" t="s">
        <v>188</v>
      </c>
      <c r="H32" s="5" t="s">
        <v>283</v>
      </c>
      <c r="I32" s="5" t="s">
        <v>283</v>
      </c>
      <c r="J32" s="4" t="s">
        <v>207</v>
      </c>
      <c r="K32" s="4" t="s">
        <v>207</v>
      </c>
      <c r="L32" s="12">
        <v>2030</v>
      </c>
      <c r="M32" s="39">
        <v>731000</v>
      </c>
      <c r="N32" s="21">
        <v>67172551</v>
      </c>
      <c r="O32" s="30">
        <f>Tableau1[[#This Row],[n_prev]]/Tableau1[[#This Row],[n_death]]</f>
        <v>1.0882421303308847E-2</v>
      </c>
      <c r="P32" s="30"/>
      <c r="Q32" s="30"/>
      <c r="R32" s="30"/>
      <c r="S32" s="30"/>
      <c r="T32" s="30">
        <v>1425</v>
      </c>
      <c r="U32" s="30">
        <v>1425000000000</v>
      </c>
      <c r="V32" s="30">
        <v>9709491761</v>
      </c>
      <c r="W32" s="30"/>
      <c r="X32" s="30">
        <f>Tableau1[[#This Row],[monetary]]/Tableau1[[#This Row],[population_target]]</f>
        <v>146.76360360320615</v>
      </c>
      <c r="Y32" s="30"/>
      <c r="Z32" s="4" t="s">
        <v>278</v>
      </c>
    </row>
    <row r="33" spans="1:26" s="83" customFormat="1" ht="80.400000000000006" customHeight="1" x14ac:dyDescent="0.3">
      <c r="A33" s="22" t="s">
        <v>42</v>
      </c>
      <c r="B33" s="29" t="s">
        <v>8</v>
      </c>
      <c r="C33" s="32" t="s">
        <v>27</v>
      </c>
      <c r="D33" s="33">
        <v>7821</v>
      </c>
      <c r="E33" s="24">
        <v>4</v>
      </c>
      <c r="F33" s="34" t="s">
        <v>139</v>
      </c>
      <c r="G33" s="34" t="s">
        <v>188</v>
      </c>
      <c r="H33" s="35" t="s">
        <v>283</v>
      </c>
      <c r="I33" s="35" t="s">
        <v>283</v>
      </c>
      <c r="J33" s="24" t="s">
        <v>207</v>
      </c>
      <c r="K33" s="24" t="s">
        <v>207</v>
      </c>
      <c r="L33" s="34">
        <v>2050</v>
      </c>
      <c r="M33" s="27">
        <f>(6552000-5701000)+(400000-237000)</f>
        <v>1014000</v>
      </c>
      <c r="N33" s="26">
        <v>91583402</v>
      </c>
      <c r="O33" s="26">
        <f>Tableau1[[#This Row],[n_prev]]/Tableau1[[#This Row],[n_death]]</f>
        <v>1.1071875229094461E-2</v>
      </c>
      <c r="P33" s="26"/>
      <c r="Q33" s="26"/>
      <c r="R33" s="26"/>
      <c r="S33" s="26"/>
      <c r="T33" s="26"/>
      <c r="U33" s="26"/>
      <c r="V33" s="26"/>
      <c r="W33" s="26"/>
      <c r="X33" s="26"/>
      <c r="Y33" s="26"/>
      <c r="Z33" s="4" t="s">
        <v>278</v>
      </c>
    </row>
    <row r="34" spans="1:26" s="83" customFormat="1" ht="80.400000000000006" customHeight="1" x14ac:dyDescent="0.3">
      <c r="A34" s="22" t="s">
        <v>52</v>
      </c>
      <c r="B34" s="23" t="s">
        <v>179</v>
      </c>
      <c r="C34" s="24" t="s">
        <v>29</v>
      </c>
      <c r="D34" s="25">
        <v>1338</v>
      </c>
      <c r="E34" s="24">
        <v>29</v>
      </c>
      <c r="F34" s="35" t="s">
        <v>181</v>
      </c>
      <c r="G34" s="35" t="s">
        <v>188</v>
      </c>
      <c r="H34" s="35" t="s">
        <v>283</v>
      </c>
      <c r="I34" s="35" t="s">
        <v>283</v>
      </c>
      <c r="J34" s="24" t="s">
        <v>207</v>
      </c>
      <c r="K34" s="24" t="s">
        <v>207</v>
      </c>
      <c r="L34" s="35">
        <v>2050</v>
      </c>
      <c r="M34" s="36">
        <f>7039600-6841400</f>
        <v>198200</v>
      </c>
      <c r="N34" s="61">
        <v>17360484</v>
      </c>
      <c r="O34" s="22">
        <f>Tableau1[[#This Row],[n_prev]]/Tableau1[[#This Row],[n_death]]</f>
        <v>1.1416732390640722E-2</v>
      </c>
      <c r="P34" s="22"/>
      <c r="Q34" s="22"/>
      <c r="R34" s="22"/>
      <c r="S34" s="22"/>
      <c r="T34" s="22" t="s">
        <v>227</v>
      </c>
      <c r="U34" s="22">
        <v>167910000000</v>
      </c>
      <c r="V34" s="22">
        <v>1312636325</v>
      </c>
      <c r="W34" s="22"/>
      <c r="X34" s="35">
        <f>Tableau1[[#This Row],[monetary]]/Tableau1[[#This Row],[population_target]]</f>
        <v>127.91814214039826</v>
      </c>
      <c r="Y34" s="22"/>
      <c r="Z34" s="4" t="s">
        <v>278</v>
      </c>
    </row>
    <row r="35" spans="1:26" s="83" customFormat="1" ht="80.400000000000006" customHeight="1" x14ac:dyDescent="0.3">
      <c r="A35" s="5" t="s">
        <v>98</v>
      </c>
      <c r="B35" s="42" t="s">
        <v>97</v>
      </c>
      <c r="C35" s="4" t="s">
        <v>27</v>
      </c>
      <c r="D35" s="7">
        <v>7405</v>
      </c>
      <c r="E35" s="4">
        <v>8</v>
      </c>
      <c r="F35" s="5" t="s">
        <v>131</v>
      </c>
      <c r="G35" s="5" t="s">
        <v>188</v>
      </c>
      <c r="H35" s="5" t="s">
        <v>283</v>
      </c>
      <c r="I35" s="5" t="s">
        <v>283</v>
      </c>
      <c r="J35" s="4" t="s">
        <v>207</v>
      </c>
      <c r="K35" s="4" t="s">
        <v>207</v>
      </c>
      <c r="L35" s="10">
        <v>2050</v>
      </c>
      <c r="M35" s="5">
        <v>1100000</v>
      </c>
      <c r="N35" s="11">
        <v>91583402</v>
      </c>
      <c r="O35" s="5">
        <f>Tableau1[[#This Row],[n_prev]]/Tableau1[[#This Row],[n_death]]</f>
        <v>1.2010910011838171E-2</v>
      </c>
      <c r="P35" s="5"/>
      <c r="Q35" s="5"/>
      <c r="R35" s="5"/>
      <c r="S35" s="5"/>
      <c r="T35" s="5"/>
      <c r="U35" s="5"/>
      <c r="V35" s="5"/>
      <c r="W35" s="5"/>
      <c r="X35" s="5"/>
      <c r="Y35" s="5"/>
      <c r="Z35" s="4" t="s">
        <v>278</v>
      </c>
    </row>
    <row r="36" spans="1:26" s="83" customFormat="1" ht="80.400000000000006" customHeight="1" x14ac:dyDescent="0.3">
      <c r="A36" s="22" t="s">
        <v>51</v>
      </c>
      <c r="B36" s="23" t="s">
        <v>21</v>
      </c>
      <c r="C36" s="24" t="s">
        <v>27</v>
      </c>
      <c r="D36" s="25">
        <v>7821</v>
      </c>
      <c r="E36" s="24">
        <v>2</v>
      </c>
      <c r="F36" s="26" t="s">
        <v>128</v>
      </c>
      <c r="G36" s="26" t="s">
        <v>125</v>
      </c>
      <c r="H36" s="35" t="s">
        <v>192</v>
      </c>
      <c r="I36" s="35" t="s">
        <v>192</v>
      </c>
      <c r="J36" s="24" t="s">
        <v>207</v>
      </c>
      <c r="K36" s="24" t="s">
        <v>207</v>
      </c>
      <c r="L36" s="26">
        <v>2050</v>
      </c>
      <c r="M36" s="26">
        <v>1100000</v>
      </c>
      <c r="N36" s="26">
        <v>91583402</v>
      </c>
      <c r="O36" s="26">
        <f>Tableau1[[#This Row],[n_prev]]/Tableau1[[#This Row],[n_death]]</f>
        <v>1.2010910011838171E-2</v>
      </c>
      <c r="P36" s="26"/>
      <c r="Q36" s="26"/>
      <c r="R36" s="26"/>
      <c r="S36" s="26"/>
      <c r="T36" s="36"/>
      <c r="U36" s="36"/>
      <c r="V36" s="36"/>
      <c r="W36" s="36"/>
      <c r="X36" s="36"/>
      <c r="Y36" s="36"/>
      <c r="Z36" s="4" t="s">
        <v>278</v>
      </c>
    </row>
    <row r="37" spans="1:26" s="83" customFormat="1" ht="80.400000000000006" customHeight="1" x14ac:dyDescent="0.3">
      <c r="A37" s="63" t="s">
        <v>81</v>
      </c>
      <c r="B37" s="72" t="s">
        <v>84</v>
      </c>
      <c r="C37" s="74" t="s">
        <v>29</v>
      </c>
      <c r="D37" s="75">
        <v>1380</v>
      </c>
      <c r="E37" s="24">
        <v>27</v>
      </c>
      <c r="F37" s="35" t="s">
        <v>178</v>
      </c>
      <c r="G37" s="35" t="s">
        <v>135</v>
      </c>
      <c r="H37" s="35" t="s">
        <v>283</v>
      </c>
      <c r="I37" s="35" t="s">
        <v>283</v>
      </c>
      <c r="J37" s="24" t="s">
        <v>207</v>
      </c>
      <c r="K37" s="24" t="s">
        <v>207</v>
      </c>
      <c r="L37" s="35">
        <v>2035</v>
      </c>
      <c r="M37" s="64">
        <v>170000</v>
      </c>
      <c r="N37" s="35">
        <v>13571259</v>
      </c>
      <c r="O37" s="48">
        <f>Tableau1[[#This Row],[n_prev]]/Tableau1[[#This Row],[n_death]]</f>
        <v>1.2526472304448689E-2</v>
      </c>
      <c r="P37" s="48"/>
      <c r="Q37" s="48"/>
      <c r="R37" s="48"/>
      <c r="S37" s="48"/>
      <c r="T37" s="48" t="s">
        <v>229</v>
      </c>
      <c r="U37" s="48">
        <v>125350000000</v>
      </c>
      <c r="V37" s="48">
        <v>1399547500</v>
      </c>
      <c r="W37" s="48"/>
      <c r="X37" s="48">
        <f>Tableau1[[#This Row],[monetary]]/Tableau1[[#This Row],[population_target]]</f>
        <v>89.564662864247197</v>
      </c>
      <c r="Y37" s="48"/>
      <c r="Z37" s="4" t="s">
        <v>278</v>
      </c>
    </row>
    <row r="38" spans="1:26" s="83" customFormat="1" ht="72" x14ac:dyDescent="0.3">
      <c r="A38" s="35" t="s">
        <v>106</v>
      </c>
      <c r="B38" s="40" t="s">
        <v>105</v>
      </c>
      <c r="C38" s="24" t="s">
        <v>107</v>
      </c>
      <c r="D38" s="24">
        <v>9</v>
      </c>
      <c r="E38" s="24">
        <v>47</v>
      </c>
      <c r="F38" s="35" t="s">
        <v>271</v>
      </c>
      <c r="G38" s="35" t="s">
        <v>188</v>
      </c>
      <c r="H38" s="35" t="s">
        <v>202</v>
      </c>
      <c r="I38" s="35" t="s">
        <v>202</v>
      </c>
      <c r="J38" s="24" t="s">
        <v>209</v>
      </c>
      <c r="K38" s="24" t="s">
        <v>207</v>
      </c>
      <c r="L38" s="35"/>
      <c r="M38" s="35"/>
      <c r="N38" s="35"/>
      <c r="O38" s="22">
        <f>Tableau1[[#This Row],[yll]]/Tableau1[[#This Row],[conversion_factor]]</f>
        <v>1.2679489687562004E-2</v>
      </c>
      <c r="P38" s="22">
        <f>(31973.01+43454.19+59287.41+638302.61+1192.18+1504.09+1935.48+22535.72)/(684.86+1038.91+1597.41+46594.26+25.52+35.92+52.15+1551.72)</f>
        <v>15.513242634122225</v>
      </c>
      <c r="Q38" s="22"/>
      <c r="R38" s="22">
        <f>0.1095+0.0872</f>
        <v>0.19669999999999999</v>
      </c>
      <c r="S38" s="22"/>
      <c r="T38" s="22"/>
      <c r="U38" s="22"/>
      <c r="V38" s="22"/>
      <c r="W38" s="22"/>
      <c r="X38" s="35"/>
      <c r="Y38" s="22"/>
      <c r="Z38" s="4" t="s">
        <v>279</v>
      </c>
    </row>
    <row r="39" spans="1:26" s="31" customFormat="1" ht="57.6" x14ac:dyDescent="0.3">
      <c r="A39" s="30" t="s">
        <v>39</v>
      </c>
      <c r="B39" s="43" t="s">
        <v>5</v>
      </c>
      <c r="C39" s="44" t="s">
        <v>26</v>
      </c>
      <c r="D39" s="44">
        <v>67.5</v>
      </c>
      <c r="E39" s="4">
        <v>36</v>
      </c>
      <c r="F39" s="5" t="s">
        <v>187</v>
      </c>
      <c r="G39" s="5" t="s">
        <v>127</v>
      </c>
      <c r="H39" s="59" t="s">
        <v>191</v>
      </c>
      <c r="I39" s="59" t="s">
        <v>191</v>
      </c>
      <c r="J39" s="44" t="s">
        <v>206</v>
      </c>
      <c r="K39" s="44" t="s">
        <v>206</v>
      </c>
      <c r="L39" s="5">
        <v>2045</v>
      </c>
      <c r="M39" s="45">
        <v>9825</v>
      </c>
      <c r="N39" s="45">
        <v>758805</v>
      </c>
      <c r="O39" s="46">
        <f>9825/757000</f>
        <v>1.297886393659181E-2</v>
      </c>
      <c r="P39" s="46"/>
      <c r="Q39" s="46">
        <v>3.39</v>
      </c>
      <c r="R39" s="46">
        <v>204000</v>
      </c>
      <c r="S39" s="46"/>
      <c r="T39" s="46" t="s">
        <v>226</v>
      </c>
      <c r="U39" s="46">
        <v>40700000000</v>
      </c>
      <c r="V39" s="46">
        <v>66099100</v>
      </c>
      <c r="W39" s="46">
        <f>Tableau1[[#This Row],[yll]]/Tableau1[[#This Row],[population_target]]</f>
        <v>3.0862750022314978E-3</v>
      </c>
      <c r="X39" s="46">
        <f>Tableau1[[#This Row],[monetary]]/Tableau1[[#This Row],[population_target]]</f>
        <v>615.74212054324494</v>
      </c>
      <c r="Y39" s="46"/>
      <c r="Z39" s="4" t="s">
        <v>279</v>
      </c>
    </row>
    <row r="40" spans="1:26" s="31" customFormat="1" ht="57.6" x14ac:dyDescent="0.3">
      <c r="A40" s="22" t="s">
        <v>51</v>
      </c>
      <c r="B40" s="23" t="s">
        <v>21</v>
      </c>
      <c r="C40" s="24" t="s">
        <v>27</v>
      </c>
      <c r="D40" s="25">
        <v>7821</v>
      </c>
      <c r="E40" s="24">
        <v>2</v>
      </c>
      <c r="F40" s="26" t="s">
        <v>284</v>
      </c>
      <c r="G40" s="26" t="s">
        <v>125</v>
      </c>
      <c r="H40" s="35" t="s">
        <v>192</v>
      </c>
      <c r="I40" s="35" t="s">
        <v>192</v>
      </c>
      <c r="J40" s="24" t="s">
        <v>207</v>
      </c>
      <c r="K40" s="24" t="s">
        <v>207</v>
      </c>
      <c r="L40" s="26">
        <v>2050</v>
      </c>
      <c r="M40" s="26">
        <v>1200000</v>
      </c>
      <c r="N40" s="26">
        <v>91583402</v>
      </c>
      <c r="O40" s="26">
        <f>Tableau1[[#This Row],[n_prev]]/Tableau1[[#This Row],[n_death]]</f>
        <v>1.3102810922005277E-2</v>
      </c>
      <c r="P40" s="26"/>
      <c r="Q40" s="26"/>
      <c r="R40" s="26"/>
      <c r="S40" s="26"/>
      <c r="T40" s="36"/>
      <c r="U40" s="36"/>
      <c r="V40" s="36"/>
      <c r="W40" s="36"/>
      <c r="X40" s="36"/>
      <c r="Y40" s="36"/>
      <c r="Z40" s="4" t="s">
        <v>278</v>
      </c>
    </row>
    <row r="41" spans="1:26" s="28" customFormat="1" ht="57.6" x14ac:dyDescent="0.3">
      <c r="A41" s="22" t="s">
        <v>51</v>
      </c>
      <c r="B41" s="23" t="s">
        <v>21</v>
      </c>
      <c r="C41" s="24" t="s">
        <v>27</v>
      </c>
      <c r="D41" s="25">
        <v>7821</v>
      </c>
      <c r="E41" s="24">
        <v>2</v>
      </c>
      <c r="F41" s="26" t="s">
        <v>129</v>
      </c>
      <c r="G41" s="26" t="s">
        <v>125</v>
      </c>
      <c r="H41" s="24" t="s">
        <v>192</v>
      </c>
      <c r="I41" s="24" t="s">
        <v>192</v>
      </c>
      <c r="J41" s="35" t="s">
        <v>207</v>
      </c>
      <c r="K41" s="35" t="s">
        <v>207</v>
      </c>
      <c r="L41" s="26">
        <v>2050</v>
      </c>
      <c r="M41" s="26">
        <v>1200000</v>
      </c>
      <c r="N41" s="26">
        <v>91583402</v>
      </c>
      <c r="O41" s="26">
        <f>Tableau1[[#This Row],[n_prev]]/Tableau1[[#This Row],[n_death]]</f>
        <v>1.3102810922005277E-2</v>
      </c>
      <c r="P41" s="26"/>
      <c r="Q41" s="26"/>
      <c r="R41" s="26"/>
      <c r="S41" s="26"/>
      <c r="T41" s="36"/>
      <c r="U41" s="36"/>
      <c r="V41" s="36"/>
      <c r="W41" s="36"/>
      <c r="X41" s="36"/>
      <c r="Y41" s="36"/>
      <c r="Z41" s="4" t="s">
        <v>278</v>
      </c>
    </row>
    <row r="42" spans="1:26" s="28" customFormat="1" ht="60.6" customHeight="1" x14ac:dyDescent="0.3">
      <c r="A42" s="22" t="s">
        <v>51</v>
      </c>
      <c r="B42" s="23" t="s">
        <v>21</v>
      </c>
      <c r="C42" s="24" t="s">
        <v>27</v>
      </c>
      <c r="D42" s="25">
        <v>7821</v>
      </c>
      <c r="E42" s="24">
        <v>2</v>
      </c>
      <c r="F42" s="26" t="s">
        <v>126</v>
      </c>
      <c r="G42" s="26" t="s">
        <v>127</v>
      </c>
      <c r="H42" s="24" t="s">
        <v>192</v>
      </c>
      <c r="I42" s="24" t="s">
        <v>192</v>
      </c>
      <c r="J42" s="35" t="s">
        <v>207</v>
      </c>
      <c r="K42" s="35" t="s">
        <v>207</v>
      </c>
      <c r="L42" s="26">
        <v>2050</v>
      </c>
      <c r="M42" s="26">
        <v>1300000</v>
      </c>
      <c r="N42" s="26">
        <v>91583402</v>
      </c>
      <c r="O42" s="26">
        <f>Tableau1[[#This Row],[n_prev]]/Tableau1[[#This Row],[n_death]]</f>
        <v>1.4194711832172384E-2</v>
      </c>
      <c r="P42" s="26"/>
      <c r="Q42" s="26"/>
      <c r="R42" s="26"/>
      <c r="S42" s="26"/>
      <c r="T42" s="36"/>
      <c r="U42" s="36"/>
      <c r="V42" s="36"/>
      <c r="W42" s="36"/>
      <c r="X42" s="36"/>
      <c r="Y42" s="36"/>
      <c r="Z42" s="4" t="s">
        <v>278</v>
      </c>
    </row>
    <row r="43" spans="1:26" s="28" customFormat="1" ht="60.6" customHeight="1" x14ac:dyDescent="0.3">
      <c r="A43" s="22" t="s">
        <v>50</v>
      </c>
      <c r="B43" s="23" t="s">
        <v>20</v>
      </c>
      <c r="C43" s="24" t="s">
        <v>27</v>
      </c>
      <c r="D43" s="25">
        <v>7405</v>
      </c>
      <c r="E43" s="24">
        <v>9</v>
      </c>
      <c r="F43" s="35" t="s">
        <v>157</v>
      </c>
      <c r="G43" s="35" t="s">
        <v>155</v>
      </c>
      <c r="H43" s="24" t="s">
        <v>283</v>
      </c>
      <c r="I43" s="24" t="s">
        <v>283</v>
      </c>
      <c r="J43" s="24" t="s">
        <v>207</v>
      </c>
      <c r="K43" s="24" t="s">
        <v>207</v>
      </c>
      <c r="L43" s="35">
        <v>2050</v>
      </c>
      <c r="M43" s="36">
        <v>1340000</v>
      </c>
      <c r="N43" s="26">
        <v>91583402</v>
      </c>
      <c r="O43" s="35">
        <f>Tableau1[[#This Row],[n_prev]]/Tableau1[[#This Row],[n_death]]</f>
        <v>1.4631472196239228E-2</v>
      </c>
      <c r="P43" s="35"/>
      <c r="Q43" s="35"/>
      <c r="R43" s="35"/>
      <c r="S43" s="35"/>
      <c r="T43" s="35"/>
      <c r="U43" s="35"/>
      <c r="V43" s="35"/>
      <c r="W43" s="35"/>
      <c r="X43" s="35"/>
      <c r="Y43" s="35"/>
      <c r="Z43" s="4" t="s">
        <v>278</v>
      </c>
    </row>
    <row r="44" spans="1:26" s="28" customFormat="1" ht="60.6" customHeight="1" x14ac:dyDescent="0.3">
      <c r="A44" s="35" t="s">
        <v>89</v>
      </c>
      <c r="B44" s="23" t="s">
        <v>88</v>
      </c>
      <c r="C44" s="24" t="s">
        <v>27</v>
      </c>
      <c r="D44" s="25">
        <v>7662</v>
      </c>
      <c r="E44" s="24">
        <v>6</v>
      </c>
      <c r="F44" s="35" t="s">
        <v>149</v>
      </c>
      <c r="G44" s="35" t="s">
        <v>135</v>
      </c>
      <c r="H44" s="24" t="s">
        <v>198</v>
      </c>
      <c r="I44" s="24" t="s">
        <v>263</v>
      </c>
      <c r="J44" s="24" t="s">
        <v>207</v>
      </c>
      <c r="K44" s="24" t="s">
        <v>207</v>
      </c>
      <c r="L44" s="34">
        <v>2030</v>
      </c>
      <c r="M44" s="27">
        <f>6500000-5500000</f>
        <v>1000000</v>
      </c>
      <c r="N44" s="37">
        <v>67172551</v>
      </c>
      <c r="O44" s="22">
        <f>Tableau1[[#This Row],[n_prev]]/Tableau1[[#This Row],[n_death]]</f>
        <v>1.488703324666053E-2</v>
      </c>
      <c r="P44" s="22"/>
      <c r="Q44" s="22"/>
      <c r="R44" s="22"/>
      <c r="S44" s="22"/>
      <c r="T44" s="22"/>
      <c r="U44" s="22"/>
      <c r="V44" s="22"/>
      <c r="W44" s="22"/>
      <c r="X44" s="22"/>
      <c r="Y44" s="22"/>
      <c r="Z44" s="4" t="s">
        <v>278</v>
      </c>
    </row>
    <row r="45" spans="1:26" s="28" customFormat="1" ht="90" customHeight="1" x14ac:dyDescent="0.3">
      <c r="A45" s="30" t="s">
        <v>53</v>
      </c>
      <c r="B45" s="6" t="s">
        <v>22</v>
      </c>
      <c r="C45" s="4" t="s">
        <v>29</v>
      </c>
      <c r="D45" s="7">
        <v>1380</v>
      </c>
      <c r="E45" s="4">
        <v>26</v>
      </c>
      <c r="F45" s="5" t="s">
        <v>177</v>
      </c>
      <c r="G45" s="5" t="s">
        <v>188</v>
      </c>
      <c r="H45" s="4" t="s">
        <v>199</v>
      </c>
      <c r="I45" s="4" t="s">
        <v>263</v>
      </c>
      <c r="J45" s="5" t="s">
        <v>207</v>
      </c>
      <c r="K45" s="5" t="s">
        <v>207</v>
      </c>
      <c r="L45" s="5">
        <v>2030</v>
      </c>
      <c r="M45" s="9">
        <v>190000</v>
      </c>
      <c r="N45" s="9">
        <v>12224379</v>
      </c>
      <c r="O45" s="46">
        <f>Tableau1[[#This Row],[n_prev]]/Tableau1[[#This Row],[n_death]]</f>
        <v>1.5542711822007482E-2</v>
      </c>
      <c r="P45" s="46"/>
      <c r="Q45" s="46"/>
      <c r="R45" s="46"/>
      <c r="S45" s="46"/>
      <c r="T45" s="46" t="s">
        <v>223</v>
      </c>
      <c r="U45" s="46"/>
      <c r="V45" s="46"/>
      <c r="W45" s="46"/>
      <c r="X45" s="46"/>
      <c r="Y45" s="46"/>
      <c r="Z45" s="4" t="s">
        <v>278</v>
      </c>
    </row>
    <row r="46" spans="1:26" s="28" customFormat="1" ht="43.2" x14ac:dyDescent="0.3">
      <c r="A46" s="22" t="s">
        <v>42</v>
      </c>
      <c r="B46" s="29" t="s">
        <v>8</v>
      </c>
      <c r="C46" s="32" t="s">
        <v>27</v>
      </c>
      <c r="D46" s="33">
        <v>7821</v>
      </c>
      <c r="E46" s="24">
        <v>4</v>
      </c>
      <c r="F46" s="34" t="s">
        <v>137</v>
      </c>
      <c r="G46" s="34" t="s">
        <v>188</v>
      </c>
      <c r="H46" s="24" t="s">
        <v>283</v>
      </c>
      <c r="I46" s="24" t="s">
        <v>283</v>
      </c>
      <c r="J46" s="65" t="s">
        <v>207</v>
      </c>
      <c r="K46" s="65" t="s">
        <v>207</v>
      </c>
      <c r="L46" s="34">
        <v>2050</v>
      </c>
      <c r="M46" s="27">
        <f>(7846000-6598000)+(631000-382000)</f>
        <v>1497000</v>
      </c>
      <c r="N46" s="26">
        <v>91583402</v>
      </c>
      <c r="O46" s="26">
        <f>Tableau1[[#This Row],[n_prev]]/Tableau1[[#This Row],[n_death]]</f>
        <v>1.6345756625201584E-2</v>
      </c>
      <c r="P46" s="26"/>
      <c r="Q46" s="26"/>
      <c r="R46" s="26"/>
      <c r="S46" s="26"/>
      <c r="T46" s="26"/>
      <c r="U46" s="26"/>
      <c r="V46" s="26"/>
      <c r="W46" s="26"/>
      <c r="X46" s="26"/>
      <c r="Y46" s="26"/>
      <c r="Z46" s="4" t="s">
        <v>278</v>
      </c>
    </row>
    <row r="47" spans="1:26" s="31" customFormat="1" ht="43.2" x14ac:dyDescent="0.3">
      <c r="A47" s="35" t="s">
        <v>121</v>
      </c>
      <c r="B47" s="40" t="s">
        <v>122</v>
      </c>
      <c r="C47" s="24" t="s">
        <v>27</v>
      </c>
      <c r="D47" s="25">
        <v>7662</v>
      </c>
      <c r="E47" s="24">
        <v>7</v>
      </c>
      <c r="F47" s="35" t="s">
        <v>152</v>
      </c>
      <c r="G47" s="35" t="s">
        <v>135</v>
      </c>
      <c r="H47" s="24" t="s">
        <v>200</v>
      </c>
      <c r="I47" s="24" t="s">
        <v>263</v>
      </c>
      <c r="J47" s="65" t="s">
        <v>208</v>
      </c>
      <c r="K47" s="65" t="s">
        <v>207</v>
      </c>
      <c r="L47" s="35">
        <v>2040</v>
      </c>
      <c r="M47" s="35">
        <f>1200000-650000</f>
        <v>550000</v>
      </c>
      <c r="N47" s="35">
        <v>33179734</v>
      </c>
      <c r="O47" s="35">
        <f>Tableau1[[#This Row],[n_prev]]/Tableau1[[#This Row],[n_death]]</f>
        <v>1.6576383644305286E-2</v>
      </c>
      <c r="P47" s="35"/>
      <c r="Q47" s="35"/>
      <c r="R47" s="35"/>
      <c r="S47" s="35"/>
      <c r="T47" s="35"/>
      <c r="U47" s="35"/>
      <c r="V47" s="35"/>
      <c r="W47" s="35"/>
      <c r="X47" s="35"/>
      <c r="Y47" s="35"/>
      <c r="Z47" s="4" t="s">
        <v>278</v>
      </c>
    </row>
    <row r="48" spans="1:26" s="31" customFormat="1" ht="57.6" x14ac:dyDescent="0.3">
      <c r="A48" s="59" t="s">
        <v>60</v>
      </c>
      <c r="B48" s="42" t="s">
        <v>59</v>
      </c>
      <c r="C48" s="5" t="s">
        <v>29</v>
      </c>
      <c r="D48" s="45">
        <v>1380</v>
      </c>
      <c r="E48" s="4">
        <v>24</v>
      </c>
      <c r="F48" s="5" t="s">
        <v>175</v>
      </c>
      <c r="G48" s="5" t="s">
        <v>125</v>
      </c>
      <c r="H48" s="5" t="s">
        <v>283</v>
      </c>
      <c r="I48" s="5" t="s">
        <v>283</v>
      </c>
      <c r="J48" s="8" t="s">
        <v>207</v>
      </c>
      <c r="K48" s="8" t="s">
        <v>207</v>
      </c>
      <c r="L48" s="5">
        <v>2050</v>
      </c>
      <c r="M48" s="30">
        <v>292000</v>
      </c>
      <c r="N48" s="55">
        <v>17360483</v>
      </c>
      <c r="O48" s="62">
        <f>Tableau1[[#This Row],[n_prev]]/Tableau1[[#This Row],[n_death]]</f>
        <v>1.6819808527216668E-2</v>
      </c>
      <c r="P48" s="62"/>
      <c r="Q48" s="62"/>
      <c r="R48" s="62"/>
      <c r="S48" s="62"/>
      <c r="T48" s="5" t="s">
        <v>218</v>
      </c>
      <c r="U48" s="5">
        <v>187110000000</v>
      </c>
      <c r="V48" s="30">
        <v>1312636325</v>
      </c>
      <c r="W48" s="5"/>
      <c r="X48" s="46">
        <f>Tableau1[[#This Row],[monetary]]/Tableau1[[#This Row],[population_target]]</f>
        <v>142.54519430581811</v>
      </c>
      <c r="Y48" s="46"/>
      <c r="Z48" s="4" t="s">
        <v>278</v>
      </c>
    </row>
    <row r="49" spans="1:26" s="28" customFormat="1" ht="43.2" x14ac:dyDescent="0.3">
      <c r="A49" s="22" t="s">
        <v>50</v>
      </c>
      <c r="B49" s="23" t="s">
        <v>20</v>
      </c>
      <c r="C49" s="24" t="s">
        <v>27</v>
      </c>
      <c r="D49" s="25">
        <v>7405</v>
      </c>
      <c r="E49" s="24">
        <v>9</v>
      </c>
      <c r="F49" s="35" t="s">
        <v>158</v>
      </c>
      <c r="G49" s="35" t="s">
        <v>155</v>
      </c>
      <c r="H49" s="24" t="s">
        <v>283</v>
      </c>
      <c r="I49" s="24" t="s">
        <v>283</v>
      </c>
      <c r="J49" s="24" t="s">
        <v>207</v>
      </c>
      <c r="K49" s="24" t="s">
        <v>207</v>
      </c>
      <c r="L49" s="35">
        <v>2050</v>
      </c>
      <c r="M49" s="36">
        <v>1620000</v>
      </c>
      <c r="N49" s="26">
        <v>91583402</v>
      </c>
      <c r="O49" s="35">
        <f>Tableau1[[#This Row],[n_prev]]/Tableau1[[#This Row],[n_death]]</f>
        <v>1.7688794744707127E-2</v>
      </c>
      <c r="P49" s="35"/>
      <c r="Q49" s="35"/>
      <c r="R49" s="35"/>
      <c r="S49" s="35"/>
      <c r="T49" s="35"/>
      <c r="U49" s="35"/>
      <c r="V49" s="35"/>
      <c r="W49" s="35"/>
      <c r="X49" s="35"/>
      <c r="Y49" s="35"/>
      <c r="Z49" s="4" t="s">
        <v>278</v>
      </c>
    </row>
    <row r="50" spans="1:26" s="28" customFormat="1" ht="28.8" x14ac:dyDescent="0.3">
      <c r="A50" s="5" t="s">
        <v>91</v>
      </c>
      <c r="B50" s="6" t="s">
        <v>90</v>
      </c>
      <c r="C50" s="4" t="s">
        <v>72</v>
      </c>
      <c r="D50" s="4">
        <v>39.4</v>
      </c>
      <c r="E50" s="4">
        <v>42</v>
      </c>
      <c r="F50" s="5" t="s">
        <v>276</v>
      </c>
      <c r="G50" s="5" t="s">
        <v>188</v>
      </c>
      <c r="H50" s="4" t="s">
        <v>283</v>
      </c>
      <c r="I50" s="4" t="s">
        <v>283</v>
      </c>
      <c r="J50" s="4" t="s">
        <v>207</v>
      </c>
      <c r="K50" s="4" t="s">
        <v>207</v>
      </c>
      <c r="L50" s="5">
        <v>2050</v>
      </c>
      <c r="M50" s="5">
        <v>5300</v>
      </c>
      <c r="N50" s="5">
        <f>(281800.94/39440000)*40049519</f>
        <v>286155.98632727843</v>
      </c>
      <c r="O50" s="5">
        <f>Tableau1[[#This Row],[n_prev]]/Tableau1[[#This Row],[n_death]]</f>
        <v>1.8521366853176211E-2</v>
      </c>
      <c r="P50" s="5"/>
      <c r="Q50" s="5"/>
      <c r="R50" s="5"/>
      <c r="S50" s="5"/>
      <c r="T50" s="5"/>
      <c r="U50" s="5"/>
      <c r="V50" s="5"/>
      <c r="W50" s="5"/>
      <c r="X50" s="5"/>
      <c r="Y50" s="5"/>
      <c r="Z50" s="4" t="s">
        <v>279</v>
      </c>
    </row>
    <row r="51" spans="1:26" s="28" customFormat="1" ht="43.2" x14ac:dyDescent="0.3">
      <c r="A51" s="35" t="s">
        <v>121</v>
      </c>
      <c r="B51" s="40" t="s">
        <v>122</v>
      </c>
      <c r="C51" s="24" t="s">
        <v>27</v>
      </c>
      <c r="D51" s="25">
        <v>7662</v>
      </c>
      <c r="E51" s="24">
        <v>7</v>
      </c>
      <c r="F51" s="35" t="s">
        <v>151</v>
      </c>
      <c r="G51" s="35" t="s">
        <v>135</v>
      </c>
      <c r="H51" s="24" t="s">
        <v>200</v>
      </c>
      <c r="I51" s="24" t="s">
        <v>263</v>
      </c>
      <c r="J51" s="24" t="s">
        <v>208</v>
      </c>
      <c r="K51" s="24" t="s">
        <v>207</v>
      </c>
      <c r="L51" s="35">
        <v>2040</v>
      </c>
      <c r="M51" s="41">
        <f>2550000-1800000</f>
        <v>750000</v>
      </c>
      <c r="N51" s="35">
        <v>40109096</v>
      </c>
      <c r="O51" s="35">
        <f>Tableau1[[#This Row],[n_prev]]/Tableau1[[#This Row],[n_death]]</f>
        <v>1.8699000346455077E-2</v>
      </c>
      <c r="P51" s="35"/>
      <c r="Q51" s="35"/>
      <c r="R51" s="35"/>
      <c r="S51" s="35"/>
      <c r="T51" s="35"/>
      <c r="U51" s="35"/>
      <c r="V51" s="35"/>
      <c r="W51" s="35"/>
      <c r="X51" s="35"/>
      <c r="Y51" s="35"/>
      <c r="Z51" s="4" t="s">
        <v>278</v>
      </c>
    </row>
    <row r="52" spans="1:26" s="28" customFormat="1" ht="57.6" x14ac:dyDescent="0.3">
      <c r="A52" s="77" t="s">
        <v>220</v>
      </c>
      <c r="B52" s="78" t="s">
        <v>16</v>
      </c>
      <c r="C52" s="79" t="s">
        <v>28</v>
      </c>
      <c r="D52" s="80">
        <v>1241</v>
      </c>
      <c r="E52" s="81">
        <v>32</v>
      </c>
      <c r="F52" s="77" t="s">
        <v>132</v>
      </c>
      <c r="G52" s="77" t="s">
        <v>188</v>
      </c>
      <c r="H52" s="81" t="s">
        <v>283</v>
      </c>
      <c r="I52" s="81" t="s">
        <v>283</v>
      </c>
      <c r="J52" s="81" t="s">
        <v>207</v>
      </c>
      <c r="K52" s="81" t="s">
        <v>207</v>
      </c>
      <c r="L52" s="77">
        <v>2030</v>
      </c>
      <c r="M52" s="82">
        <f>8000000/40</f>
        <v>200000</v>
      </c>
      <c r="N52" s="82">
        <v>10593963</v>
      </c>
      <c r="O52" s="77">
        <f>Tableau1[[#This Row],[n_prev]]/Tableau1[[#This Row],[n_death]]</f>
        <v>1.8878676468853064E-2</v>
      </c>
      <c r="P52" s="77"/>
      <c r="Q52" s="77" t="s">
        <v>250</v>
      </c>
      <c r="R52" s="77"/>
      <c r="S52" s="77"/>
      <c r="T52" s="77"/>
      <c r="U52" s="77"/>
      <c r="V52" s="77"/>
      <c r="W52" s="77"/>
      <c r="X52" s="77"/>
      <c r="Y52" s="77"/>
      <c r="Z52" s="4" t="s">
        <v>278</v>
      </c>
    </row>
    <row r="53" spans="1:26" s="31" customFormat="1" ht="91.8" customHeight="1" x14ac:dyDescent="0.3">
      <c r="A53" s="77" t="s">
        <v>41</v>
      </c>
      <c r="B53" s="90" t="s">
        <v>7</v>
      </c>
      <c r="C53" s="97" t="s">
        <v>70</v>
      </c>
      <c r="D53" s="100">
        <v>7821</v>
      </c>
      <c r="E53" s="81">
        <v>1</v>
      </c>
      <c r="F53" s="77" t="s">
        <v>266</v>
      </c>
      <c r="G53" s="77" t="s">
        <v>188</v>
      </c>
      <c r="H53" s="81" t="s">
        <v>283</v>
      </c>
      <c r="I53" s="81" t="s">
        <v>283</v>
      </c>
      <c r="J53" s="89" t="s">
        <v>207</v>
      </c>
      <c r="K53" s="89" t="s">
        <v>207</v>
      </c>
      <c r="L53" s="77">
        <v>2035</v>
      </c>
      <c r="M53" s="84">
        <f>40000000/30</f>
        <v>1333333.3333333333</v>
      </c>
      <c r="N53" s="84">
        <v>67172551</v>
      </c>
      <c r="O53" s="84">
        <f>Tableau1[[#This Row],[n_prev]]/Tableau1[[#This Row],[n_death]]</f>
        <v>1.9849377662214038E-2</v>
      </c>
      <c r="P53" s="84"/>
      <c r="Q53" s="84"/>
      <c r="R53" s="84"/>
      <c r="S53" s="84"/>
      <c r="T53" s="84"/>
      <c r="U53" s="84"/>
      <c r="V53" s="84"/>
      <c r="W53" s="84"/>
      <c r="X53" s="84"/>
      <c r="Y53" s="84"/>
      <c r="Z53" s="4" t="s">
        <v>278</v>
      </c>
    </row>
    <row r="54" spans="1:26" s="31" customFormat="1" ht="129.6" customHeight="1" x14ac:dyDescent="0.3">
      <c r="A54" s="59" t="s">
        <v>60</v>
      </c>
      <c r="B54" s="42" t="s">
        <v>59</v>
      </c>
      <c r="C54" s="4" t="s">
        <v>29</v>
      </c>
      <c r="D54" s="58">
        <v>1380</v>
      </c>
      <c r="E54" s="4">
        <v>24</v>
      </c>
      <c r="F54" s="5" t="s">
        <v>174</v>
      </c>
      <c r="G54" s="5" t="s">
        <v>125</v>
      </c>
      <c r="H54" s="4" t="s">
        <v>283</v>
      </c>
      <c r="I54" s="4" t="s">
        <v>283</v>
      </c>
      <c r="J54" s="8" t="s">
        <v>207</v>
      </c>
      <c r="K54" s="8" t="s">
        <v>207</v>
      </c>
      <c r="L54" s="5">
        <v>2050</v>
      </c>
      <c r="M54" s="39">
        <v>345000</v>
      </c>
      <c r="N54" s="55">
        <v>17360484</v>
      </c>
      <c r="O54" s="62">
        <f>Tableau1[[#This Row],[n_prev]]/Tableau1[[#This Row],[n_death]]</f>
        <v>1.9872717834364527E-2</v>
      </c>
      <c r="P54" s="62"/>
      <c r="Q54" s="62"/>
      <c r="R54" s="62"/>
      <c r="S54" s="62"/>
      <c r="T54" s="5" t="s">
        <v>219</v>
      </c>
      <c r="U54" s="5">
        <v>222840000000</v>
      </c>
      <c r="V54" s="30">
        <v>1312636325</v>
      </c>
      <c r="W54" s="5"/>
      <c r="X54" s="46">
        <f>Tableau1[[#This Row],[monetary]]/Tableau1[[#This Row],[population_target]]</f>
        <v>169.76522419490411</v>
      </c>
      <c r="Y54" s="46"/>
      <c r="Z54" s="4" t="s">
        <v>278</v>
      </c>
    </row>
    <row r="55" spans="1:26" s="31" customFormat="1" ht="86.4" x14ac:dyDescent="0.3">
      <c r="A55" s="5" t="s">
        <v>58</v>
      </c>
      <c r="B55" s="42" t="s">
        <v>57</v>
      </c>
      <c r="C55" s="44" t="s">
        <v>29</v>
      </c>
      <c r="D55" s="58">
        <v>1338</v>
      </c>
      <c r="E55" s="4">
        <v>28</v>
      </c>
      <c r="F55" s="5" t="s">
        <v>154</v>
      </c>
      <c r="G55" s="5" t="s">
        <v>188</v>
      </c>
      <c r="H55" s="53" t="s">
        <v>192</v>
      </c>
      <c r="I55" s="53" t="s">
        <v>192</v>
      </c>
      <c r="J55" s="101" t="s">
        <v>207</v>
      </c>
      <c r="K55" s="101" t="s">
        <v>207</v>
      </c>
      <c r="L55" s="5">
        <v>2050</v>
      </c>
      <c r="M55" s="55">
        <v>368568</v>
      </c>
      <c r="N55" s="55">
        <v>17360484</v>
      </c>
      <c r="O55" s="30">
        <f>Tableau1[[#This Row],[n_prev]]/Tableau1[[#This Row],[n_death]]</f>
        <v>2.1230283671814679E-2</v>
      </c>
      <c r="P55" s="30"/>
      <c r="Q55" s="30"/>
      <c r="R55" s="30"/>
      <c r="S55" s="30"/>
      <c r="T55" s="30" t="s">
        <v>216</v>
      </c>
      <c r="U55" s="30">
        <v>171930000000</v>
      </c>
      <c r="V55" s="30">
        <v>1312636325</v>
      </c>
      <c r="W55" s="30"/>
      <c r="X55" s="46">
        <f>Tableau1[[#This Row],[monetary]]/Tableau1[[#This Row],[population_target]]</f>
        <v>130.98068118753304</v>
      </c>
      <c r="Y55" s="46"/>
      <c r="Z55" s="44" t="s">
        <v>279</v>
      </c>
    </row>
    <row r="56" spans="1:26" s="28" customFormat="1" ht="117.6" customHeight="1" x14ac:dyDescent="0.3">
      <c r="A56" s="5" t="s">
        <v>91</v>
      </c>
      <c r="B56" s="6" t="s">
        <v>90</v>
      </c>
      <c r="C56" s="4" t="s">
        <v>72</v>
      </c>
      <c r="D56" s="4">
        <v>39.4</v>
      </c>
      <c r="E56" s="4">
        <v>42</v>
      </c>
      <c r="F56" s="5" t="s">
        <v>275</v>
      </c>
      <c r="G56" s="5" t="s">
        <v>188</v>
      </c>
      <c r="H56" s="4" t="s">
        <v>283</v>
      </c>
      <c r="I56" s="4" t="s">
        <v>283</v>
      </c>
      <c r="J56" s="8" t="s">
        <v>207</v>
      </c>
      <c r="K56" s="8" t="s">
        <v>207</v>
      </c>
      <c r="L56" s="5">
        <v>2050</v>
      </c>
      <c r="M56" s="5">
        <v>6100</v>
      </c>
      <c r="N56" s="5">
        <f>(281800.94/39440000)*40049519</f>
        <v>286155.98632727843</v>
      </c>
      <c r="O56" s="5">
        <f>Tableau1[[#This Row],[n_prev]]/Tableau1[[#This Row],[n_death]]</f>
        <v>2.1317044868749978E-2</v>
      </c>
      <c r="P56" s="5"/>
      <c r="Q56" s="5"/>
      <c r="R56" s="5"/>
      <c r="S56" s="5"/>
      <c r="T56" s="5"/>
      <c r="U56" s="5"/>
      <c r="V56" s="5"/>
      <c r="W56" s="5"/>
      <c r="X56" s="5"/>
      <c r="Y56" s="5"/>
      <c r="Z56" s="4" t="s">
        <v>279</v>
      </c>
    </row>
    <row r="57" spans="1:26" s="28" customFormat="1" ht="225.6" customHeight="1" x14ac:dyDescent="0.3">
      <c r="A57" s="35" t="s">
        <v>89</v>
      </c>
      <c r="B57" s="35" t="s">
        <v>88</v>
      </c>
      <c r="C57" s="35" t="s">
        <v>27</v>
      </c>
      <c r="D57" s="36">
        <v>7662</v>
      </c>
      <c r="E57" s="24">
        <v>6</v>
      </c>
      <c r="F57" s="34" t="s">
        <v>144</v>
      </c>
      <c r="G57" s="34" t="s">
        <v>188</v>
      </c>
      <c r="H57" s="24" t="s">
        <v>198</v>
      </c>
      <c r="I57" s="24" t="s">
        <v>263</v>
      </c>
      <c r="J57" s="35" t="s">
        <v>207</v>
      </c>
      <c r="K57" s="35" t="s">
        <v>207</v>
      </c>
      <c r="L57" s="34">
        <v>2030</v>
      </c>
      <c r="M57" s="37">
        <f>8500000-7000000</f>
        <v>1500000</v>
      </c>
      <c r="N57" s="37">
        <v>67172551</v>
      </c>
      <c r="O57" s="22">
        <f>Tableau1[[#This Row],[n_prev]]/Tableau1[[#This Row],[n_death]]</f>
        <v>2.2330549869990793E-2</v>
      </c>
      <c r="P57" s="22"/>
      <c r="Q57" s="22"/>
      <c r="R57" s="22"/>
      <c r="S57" s="22"/>
      <c r="T57" s="22"/>
      <c r="U57" s="22"/>
      <c r="V57" s="22"/>
      <c r="W57" s="22"/>
      <c r="X57" s="22"/>
      <c r="Y57" s="22"/>
      <c r="Z57" s="4" t="s">
        <v>278</v>
      </c>
    </row>
    <row r="58" spans="1:26" s="28" customFormat="1" ht="72" x14ac:dyDescent="0.3">
      <c r="A58" s="35" t="s">
        <v>89</v>
      </c>
      <c r="B58" s="35" t="s">
        <v>88</v>
      </c>
      <c r="C58" s="24" t="s">
        <v>27</v>
      </c>
      <c r="D58" s="36">
        <v>7662</v>
      </c>
      <c r="E58" s="24">
        <v>6</v>
      </c>
      <c r="F58" s="34" t="s">
        <v>145</v>
      </c>
      <c r="G58" s="34" t="s">
        <v>188</v>
      </c>
      <c r="H58" s="24" t="s">
        <v>198</v>
      </c>
      <c r="I58" s="24" t="s">
        <v>263</v>
      </c>
      <c r="J58" s="35" t="s">
        <v>207</v>
      </c>
      <c r="K58" s="35" t="s">
        <v>207</v>
      </c>
      <c r="L58" s="34">
        <v>2030</v>
      </c>
      <c r="M58" s="37">
        <f>8500000-7000000</f>
        <v>1500000</v>
      </c>
      <c r="N58" s="37">
        <v>67172551</v>
      </c>
      <c r="O58" s="22">
        <f>Tableau1[[#This Row],[n_prev]]/Tableau1[[#This Row],[n_death]]</f>
        <v>2.2330549869990793E-2</v>
      </c>
      <c r="P58" s="22"/>
      <c r="Q58" s="22"/>
      <c r="R58" s="22"/>
      <c r="S58" s="22"/>
      <c r="T58" s="22"/>
      <c r="U58" s="22"/>
      <c r="V58" s="22"/>
      <c r="W58" s="22"/>
      <c r="X58" s="22"/>
      <c r="Y58" s="22"/>
      <c r="Z58" s="4" t="s">
        <v>278</v>
      </c>
    </row>
    <row r="59" spans="1:26" s="28" customFormat="1" ht="157.80000000000001" customHeight="1" x14ac:dyDescent="0.3">
      <c r="A59" s="35" t="s">
        <v>121</v>
      </c>
      <c r="B59" s="40" t="s">
        <v>122</v>
      </c>
      <c r="C59" s="24" t="s">
        <v>27</v>
      </c>
      <c r="D59" s="25">
        <v>7662</v>
      </c>
      <c r="E59" s="24">
        <v>7</v>
      </c>
      <c r="F59" s="35" t="s">
        <v>153</v>
      </c>
      <c r="G59" s="35" t="s">
        <v>135</v>
      </c>
      <c r="H59" s="24" t="s">
        <v>200</v>
      </c>
      <c r="I59" s="24" t="s">
        <v>263</v>
      </c>
      <c r="J59" s="35" t="s">
        <v>208</v>
      </c>
      <c r="K59" s="35" t="s">
        <v>207</v>
      </c>
      <c r="L59" s="35">
        <v>2040</v>
      </c>
      <c r="M59" s="35">
        <f>1200000-400000</f>
        <v>800000</v>
      </c>
      <c r="N59" s="35">
        <v>33179734</v>
      </c>
      <c r="O59" s="35">
        <f>Tableau1[[#This Row],[n_prev]]/Tableau1[[#This Row],[n_death]]</f>
        <v>2.4111103482625872E-2</v>
      </c>
      <c r="P59" s="35"/>
      <c r="Q59" s="35"/>
      <c r="R59" s="35"/>
      <c r="S59" s="35"/>
      <c r="T59" s="35"/>
      <c r="U59" s="35"/>
      <c r="V59" s="35"/>
      <c r="W59" s="35"/>
      <c r="X59" s="35"/>
      <c r="Y59" s="35"/>
      <c r="Z59" s="4" t="s">
        <v>278</v>
      </c>
    </row>
    <row r="60" spans="1:26" s="28" customFormat="1" ht="43.2" x14ac:dyDescent="0.3">
      <c r="A60" s="35" t="s">
        <v>36</v>
      </c>
      <c r="B60" s="23" t="s">
        <v>0</v>
      </c>
      <c r="C60" s="24" t="s">
        <v>63</v>
      </c>
      <c r="D60" s="49">
        <v>3870</v>
      </c>
      <c r="E60" s="24">
        <v>15</v>
      </c>
      <c r="F60" s="35" t="s">
        <v>166</v>
      </c>
      <c r="G60" s="35" t="s">
        <v>188</v>
      </c>
      <c r="H60" s="24" t="s">
        <v>191</v>
      </c>
      <c r="I60" s="24" t="s">
        <v>191</v>
      </c>
      <c r="J60" s="35" t="s">
        <v>206</v>
      </c>
      <c r="K60" s="35" t="s">
        <v>206</v>
      </c>
      <c r="L60" s="35">
        <v>2040</v>
      </c>
      <c r="M60" s="50">
        <v>1145365</v>
      </c>
      <c r="N60" s="48">
        <v>41991720</v>
      </c>
      <c r="O60" s="22">
        <f>Tableau1[[#This Row],[n_prev]]/Tableau1[[#This Row],[n_death]]</f>
        <v>2.7275972501245485E-2</v>
      </c>
      <c r="P60" s="22"/>
      <c r="Q60" s="22"/>
      <c r="R60" s="22"/>
      <c r="S60" s="22"/>
      <c r="T60" s="22"/>
      <c r="U60" s="22"/>
      <c r="V60" s="22"/>
      <c r="W60" s="22"/>
      <c r="X60" s="22"/>
      <c r="Y60" s="22"/>
      <c r="Z60" s="4" t="s">
        <v>278</v>
      </c>
    </row>
    <row r="61" spans="1:26" s="28" customFormat="1" ht="43.2" x14ac:dyDescent="0.3">
      <c r="A61" s="35" t="s">
        <v>36</v>
      </c>
      <c r="B61" s="23" t="s">
        <v>0</v>
      </c>
      <c r="C61" s="24" t="s">
        <v>63</v>
      </c>
      <c r="D61" s="49">
        <v>3870</v>
      </c>
      <c r="E61" s="24">
        <v>15</v>
      </c>
      <c r="F61" s="35" t="s">
        <v>162</v>
      </c>
      <c r="G61" s="35" t="s">
        <v>188</v>
      </c>
      <c r="H61" s="24" t="s">
        <v>212</v>
      </c>
      <c r="I61" s="24" t="s">
        <v>263</v>
      </c>
      <c r="J61" s="24" t="s">
        <v>213</v>
      </c>
      <c r="K61" s="24" t="s">
        <v>213</v>
      </c>
      <c r="L61" s="35">
        <v>2040</v>
      </c>
      <c r="M61" s="50">
        <v>1183662</v>
      </c>
      <c r="N61" s="48">
        <v>41991720</v>
      </c>
      <c r="O61" s="22">
        <f>Tableau1[[#This Row],[n_prev]]/Tableau1[[#This Row],[n_death]]</f>
        <v>2.8187985631453059E-2</v>
      </c>
      <c r="P61" s="22"/>
      <c r="Q61" s="22"/>
      <c r="R61" s="22"/>
      <c r="S61" s="22"/>
      <c r="T61" s="22"/>
      <c r="U61" s="22"/>
      <c r="V61" s="22"/>
      <c r="W61" s="22"/>
      <c r="X61" s="22"/>
      <c r="Y61" s="22"/>
      <c r="Z61" s="4" t="s">
        <v>278</v>
      </c>
    </row>
    <row r="62" spans="1:26" s="28" customFormat="1" ht="57.6" x14ac:dyDescent="0.3">
      <c r="A62" s="5" t="s">
        <v>231</v>
      </c>
      <c r="B62" s="6" t="s">
        <v>2</v>
      </c>
      <c r="C62" s="73" t="s">
        <v>29</v>
      </c>
      <c r="D62" s="7">
        <v>1411</v>
      </c>
      <c r="E62" s="4">
        <v>21</v>
      </c>
      <c r="F62" s="10" t="s">
        <v>154</v>
      </c>
      <c r="G62" s="5" t="s">
        <v>188</v>
      </c>
      <c r="H62" s="4" t="s">
        <v>192</v>
      </c>
      <c r="I62" s="4" t="s">
        <v>192</v>
      </c>
      <c r="J62" s="8" t="s">
        <v>207</v>
      </c>
      <c r="K62" s="8" t="s">
        <v>207</v>
      </c>
      <c r="L62" s="5">
        <v>2060</v>
      </c>
      <c r="M62" s="5">
        <v>540000</v>
      </c>
      <c r="N62" s="39">
        <v>18786882</v>
      </c>
      <c r="O62" s="5">
        <f>Tableau1[[#This Row],[n_prev]]/Tableau1[[#This Row],[n_death]]</f>
        <v>2.8743460463529817E-2</v>
      </c>
      <c r="P62" s="5"/>
      <c r="Q62" s="5" t="s">
        <v>234</v>
      </c>
      <c r="R62" s="5"/>
      <c r="S62" s="5"/>
      <c r="T62" s="5"/>
      <c r="U62" s="5"/>
      <c r="V62" s="5"/>
      <c r="W62" s="5"/>
      <c r="X62" s="5"/>
      <c r="Y62" s="5"/>
      <c r="Z62" s="4" t="s">
        <v>278</v>
      </c>
    </row>
    <row r="63" spans="1:26" s="19" customFormat="1" ht="72" x14ac:dyDescent="0.3">
      <c r="A63" s="30" t="s">
        <v>44</v>
      </c>
      <c r="B63" s="43" t="s">
        <v>10</v>
      </c>
      <c r="C63" s="44" t="s">
        <v>69</v>
      </c>
      <c r="D63" s="58">
        <v>3820</v>
      </c>
      <c r="E63" s="4">
        <v>16</v>
      </c>
      <c r="F63" s="5" t="s">
        <v>168</v>
      </c>
      <c r="G63" s="5" t="s">
        <v>188</v>
      </c>
      <c r="H63" s="4" t="s">
        <v>201</v>
      </c>
      <c r="I63" s="4" t="s">
        <v>263</v>
      </c>
      <c r="J63" s="8" t="s">
        <v>207</v>
      </c>
      <c r="K63" s="8" t="s">
        <v>207</v>
      </c>
      <c r="L63" s="5">
        <v>2050</v>
      </c>
      <c r="M63" s="9">
        <v>1000000</v>
      </c>
      <c r="N63" s="9">
        <v>31985106</v>
      </c>
      <c r="O63" s="30">
        <f>Tableau1[[#This Row],[n_prev]]/Tableau1[[#This Row],[n_death]]</f>
        <v>3.1264551694779437E-2</v>
      </c>
      <c r="P63" s="30"/>
      <c r="Q63" s="30"/>
      <c r="R63" s="30"/>
      <c r="S63" s="30"/>
      <c r="T63" s="30"/>
      <c r="U63" s="30"/>
      <c r="V63" s="30"/>
      <c r="W63" s="30"/>
      <c r="X63" s="30"/>
      <c r="Y63" s="30"/>
      <c r="Z63" s="4" t="s">
        <v>278</v>
      </c>
    </row>
    <row r="64" spans="1:26" s="19" customFormat="1" ht="43.2" x14ac:dyDescent="0.3">
      <c r="A64" s="22" t="s">
        <v>52</v>
      </c>
      <c r="B64" s="23" t="s">
        <v>180</v>
      </c>
      <c r="C64" s="24" t="s">
        <v>29</v>
      </c>
      <c r="D64" s="25">
        <v>1338</v>
      </c>
      <c r="E64" s="24">
        <v>29</v>
      </c>
      <c r="F64" s="35" t="s">
        <v>182</v>
      </c>
      <c r="G64" s="35" t="s">
        <v>188</v>
      </c>
      <c r="H64" s="35" t="s">
        <v>283</v>
      </c>
      <c r="I64" s="35" t="s">
        <v>283</v>
      </c>
      <c r="J64" s="65" t="s">
        <v>207</v>
      </c>
      <c r="K64" s="65" t="s">
        <v>207</v>
      </c>
      <c r="L64" s="35">
        <v>2050</v>
      </c>
      <c r="M64" s="36">
        <f>7039600-6426000</f>
        <v>613600</v>
      </c>
      <c r="N64" s="61">
        <v>17360484</v>
      </c>
      <c r="O64" s="22">
        <f>Tableau1[[#This Row],[n_prev]]/Tableau1[[#This Row],[n_death]]</f>
        <v>3.5344636704829194E-2</v>
      </c>
      <c r="P64" s="22"/>
      <c r="Q64" s="22"/>
      <c r="R64" s="22"/>
      <c r="S64" s="22"/>
      <c r="T64" s="22"/>
      <c r="U64" s="22"/>
      <c r="V64" s="22"/>
      <c r="W64" s="22"/>
      <c r="X64" s="35"/>
      <c r="Y64" s="22"/>
      <c r="Z64" s="4" t="s">
        <v>278</v>
      </c>
    </row>
    <row r="65" spans="1:26" s="19" customFormat="1" ht="43.2" x14ac:dyDescent="0.3">
      <c r="A65" s="30" t="s">
        <v>104</v>
      </c>
      <c r="B65" s="42" t="s">
        <v>103</v>
      </c>
      <c r="C65" s="53" t="s">
        <v>29</v>
      </c>
      <c r="D65" s="54">
        <v>1410</v>
      </c>
      <c r="E65" s="4">
        <v>22</v>
      </c>
      <c r="F65" s="5" t="s">
        <v>171</v>
      </c>
      <c r="G65" s="5" t="s">
        <v>188</v>
      </c>
      <c r="H65" s="5" t="s">
        <v>193</v>
      </c>
      <c r="I65" s="5" t="s">
        <v>263</v>
      </c>
      <c r="J65" s="8" t="s">
        <v>207</v>
      </c>
      <c r="K65" s="8" t="s">
        <v>207</v>
      </c>
      <c r="L65" s="5">
        <v>2050</v>
      </c>
      <c r="M65" s="39">
        <f>3500000-2880000</f>
        <v>620000</v>
      </c>
      <c r="N65" s="55">
        <v>17360484</v>
      </c>
      <c r="O65" s="30">
        <f>Tableau1[[#This Row],[n_prev]]/Tableau1[[#This Row],[n_death]]</f>
        <v>3.5713290021176826E-2</v>
      </c>
      <c r="P65" s="30"/>
      <c r="Q65" s="30"/>
      <c r="R65" s="30"/>
      <c r="S65" s="30"/>
      <c r="T65" s="30"/>
      <c r="U65" s="30"/>
      <c r="V65" s="30"/>
      <c r="W65" s="30"/>
      <c r="X65" s="30"/>
      <c r="Y65" s="30"/>
      <c r="Z65" s="4" t="s">
        <v>278</v>
      </c>
    </row>
    <row r="66" spans="1:26" s="19" customFormat="1" ht="43.2" x14ac:dyDescent="0.3">
      <c r="A66" s="35" t="s">
        <v>117</v>
      </c>
      <c r="B66" s="23" t="s">
        <v>118</v>
      </c>
      <c r="C66" s="76" t="s">
        <v>29</v>
      </c>
      <c r="D66" s="76">
        <v>1408</v>
      </c>
      <c r="E66" s="24">
        <v>23</v>
      </c>
      <c r="F66" s="35" t="s">
        <v>172</v>
      </c>
      <c r="G66" s="35" t="s">
        <v>188</v>
      </c>
      <c r="H66" s="35" t="s">
        <v>194</v>
      </c>
      <c r="I66" s="35" t="s">
        <v>263</v>
      </c>
      <c r="J66" s="65" t="s">
        <v>207</v>
      </c>
      <c r="K66" s="65" t="s">
        <v>207</v>
      </c>
      <c r="L66" s="35">
        <v>2050</v>
      </c>
      <c r="M66" s="56">
        <f>1610000-980000</f>
        <v>630000</v>
      </c>
      <c r="N66" s="61">
        <v>17360484</v>
      </c>
      <c r="O66" s="57">
        <f>Tableau1[[#This Row],[n_prev]]/Tableau1[[#This Row],[n_death]]</f>
        <v>3.6289310827970003E-2</v>
      </c>
      <c r="P66" s="57"/>
      <c r="Q66" s="57"/>
      <c r="R66" s="57"/>
      <c r="S66" s="57"/>
      <c r="T66" s="57"/>
      <c r="U66" s="57"/>
      <c r="V66" s="57"/>
      <c r="W66" s="57"/>
      <c r="X66" s="57"/>
      <c r="Y66" s="57"/>
      <c r="Z66" s="4" t="s">
        <v>278</v>
      </c>
    </row>
    <row r="67" spans="1:26" s="28" customFormat="1" ht="43.2" x14ac:dyDescent="0.3">
      <c r="A67" s="13" t="s">
        <v>48</v>
      </c>
      <c r="B67" s="14" t="s">
        <v>18</v>
      </c>
      <c r="C67" s="15" t="s">
        <v>27</v>
      </c>
      <c r="D67" s="16">
        <v>7821</v>
      </c>
      <c r="E67" s="15">
        <v>3</v>
      </c>
      <c r="F67" s="17" t="s">
        <v>132</v>
      </c>
      <c r="G67" s="17" t="s">
        <v>188</v>
      </c>
      <c r="H67" s="15" t="s">
        <v>192</v>
      </c>
      <c r="I67" s="17" t="s">
        <v>192</v>
      </c>
      <c r="J67" s="71" t="s">
        <v>207</v>
      </c>
      <c r="K67" s="71" t="s">
        <v>207</v>
      </c>
      <c r="L67" s="18">
        <v>2050</v>
      </c>
      <c r="M67" s="17">
        <v>3337286</v>
      </c>
      <c r="N67" s="18">
        <v>91583402</v>
      </c>
      <c r="O67" s="18">
        <f>Tableau1[[#This Row],[n_prev]]/Tableau1[[#This Row],[n_death]]</f>
        <v>3.643985620887942E-2</v>
      </c>
      <c r="P67" s="18"/>
      <c r="Q67" s="18"/>
      <c r="R67" s="18"/>
      <c r="S67" s="18"/>
      <c r="T67" s="18"/>
      <c r="U67" s="18"/>
      <c r="V67" s="18"/>
      <c r="W67" s="18"/>
      <c r="X67" s="18"/>
      <c r="Y67" s="18"/>
      <c r="Z67" s="4" t="s">
        <v>278</v>
      </c>
    </row>
    <row r="68" spans="1:26" s="28" customFormat="1" ht="43.2" x14ac:dyDescent="0.3">
      <c r="A68" s="13" t="s">
        <v>48</v>
      </c>
      <c r="B68" s="14" t="s">
        <v>18</v>
      </c>
      <c r="C68" s="15" t="s">
        <v>27</v>
      </c>
      <c r="D68" s="16">
        <v>7821</v>
      </c>
      <c r="E68" s="15">
        <v>3</v>
      </c>
      <c r="F68" s="17" t="s">
        <v>134</v>
      </c>
      <c r="G68" s="17" t="s">
        <v>135</v>
      </c>
      <c r="H68" s="15" t="s">
        <v>192</v>
      </c>
      <c r="I68" s="15" t="s">
        <v>192</v>
      </c>
      <c r="J68" s="71" t="s">
        <v>207</v>
      </c>
      <c r="K68" s="71" t="s">
        <v>207</v>
      </c>
      <c r="L68" s="18">
        <v>2050</v>
      </c>
      <c r="M68" s="13">
        <f xml:space="preserve"> 1854 + 3337286</f>
        <v>3339140</v>
      </c>
      <c r="N68" s="18">
        <v>91583402</v>
      </c>
      <c r="O68" s="18">
        <f>Tableau1[[#This Row],[n_prev]]/Tableau1[[#This Row],[n_death]]</f>
        <v>3.6460100051753916E-2</v>
      </c>
      <c r="P68" s="18"/>
      <c r="Q68" s="18"/>
      <c r="R68" s="18"/>
      <c r="S68" s="18"/>
      <c r="T68" s="18"/>
      <c r="U68" s="18"/>
      <c r="V68" s="18"/>
      <c r="W68" s="18"/>
      <c r="X68" s="18"/>
      <c r="Y68" s="18"/>
      <c r="Z68" s="4" t="s">
        <v>278</v>
      </c>
    </row>
    <row r="69" spans="1:26" s="28" customFormat="1" ht="57.6" x14ac:dyDescent="0.3">
      <c r="A69" s="22" t="s">
        <v>56</v>
      </c>
      <c r="B69" s="40" t="s">
        <v>33</v>
      </c>
      <c r="C69" s="24" t="s">
        <v>64</v>
      </c>
      <c r="D69" s="25">
        <v>6000</v>
      </c>
      <c r="E69" s="24">
        <v>13</v>
      </c>
      <c r="F69" s="35" t="s">
        <v>160</v>
      </c>
      <c r="G69" s="26" t="s">
        <v>125</v>
      </c>
      <c r="H69" s="35" t="s">
        <v>192</v>
      </c>
      <c r="I69" s="35" t="s">
        <v>192</v>
      </c>
      <c r="J69" s="65" t="s">
        <v>208</v>
      </c>
      <c r="K69" s="65" t="s">
        <v>207</v>
      </c>
      <c r="L69" s="35">
        <v>2050</v>
      </c>
      <c r="M69" s="47">
        <v>3487163</v>
      </c>
      <c r="N69" s="26">
        <v>91583402</v>
      </c>
      <c r="O69" s="48">
        <f>Tableau1[[#This Row],[n_prev]]/N69</f>
        <v>3.8076364536010578E-2</v>
      </c>
      <c r="P69" s="48"/>
      <c r="Q69" s="48"/>
      <c r="R69" s="48"/>
      <c r="S69" s="48"/>
      <c r="T69" s="47">
        <v>23000</v>
      </c>
      <c r="U69" s="47"/>
      <c r="V69" s="47"/>
      <c r="W69" s="47"/>
      <c r="X69" s="47"/>
      <c r="Y69" s="47"/>
      <c r="Z69" s="4" t="s">
        <v>278</v>
      </c>
    </row>
    <row r="70" spans="1:26" s="28" customFormat="1" ht="43.2" x14ac:dyDescent="0.3">
      <c r="A70" s="35" t="s">
        <v>36</v>
      </c>
      <c r="B70" s="23" t="s">
        <v>0</v>
      </c>
      <c r="C70" s="24" t="s">
        <v>63</v>
      </c>
      <c r="D70" s="49">
        <v>3870</v>
      </c>
      <c r="E70" s="24">
        <v>15</v>
      </c>
      <c r="F70" s="35" t="s">
        <v>163</v>
      </c>
      <c r="G70" s="35" t="s">
        <v>135</v>
      </c>
      <c r="H70" s="35" t="s">
        <v>212</v>
      </c>
      <c r="I70" s="35" t="s">
        <v>263</v>
      </c>
      <c r="J70" s="65" t="s">
        <v>213</v>
      </c>
      <c r="K70" s="65" t="s">
        <v>213</v>
      </c>
      <c r="L70" s="35">
        <v>2040</v>
      </c>
      <c r="M70" s="48">
        <v>1645276</v>
      </c>
      <c r="N70" s="48">
        <v>41991720</v>
      </c>
      <c r="O70" s="22">
        <f>Tableau1[[#This Row],[n_prev]]/Tableau1[[#This Row],[n_death]]</f>
        <v>3.918096234209982E-2</v>
      </c>
      <c r="P70" s="22"/>
      <c r="Q70" s="22"/>
      <c r="R70" s="22"/>
      <c r="S70" s="22"/>
      <c r="T70" s="22"/>
      <c r="U70" s="22"/>
      <c r="V70" s="22"/>
      <c r="W70" s="22"/>
      <c r="X70" s="22"/>
      <c r="Y70" s="22"/>
      <c r="Z70" s="4" t="s">
        <v>278</v>
      </c>
    </row>
    <row r="71" spans="1:26" s="28" customFormat="1" ht="43.2" x14ac:dyDescent="0.3">
      <c r="A71" s="13" t="s">
        <v>48</v>
      </c>
      <c r="B71" s="14" t="s">
        <v>18</v>
      </c>
      <c r="C71" s="15" t="s">
        <v>27</v>
      </c>
      <c r="D71" s="16">
        <v>7821</v>
      </c>
      <c r="E71" s="15">
        <v>3</v>
      </c>
      <c r="F71" s="17" t="s">
        <v>131</v>
      </c>
      <c r="G71" s="17" t="s">
        <v>188</v>
      </c>
      <c r="H71" s="17" t="s">
        <v>192</v>
      </c>
      <c r="I71" s="17" t="s">
        <v>192</v>
      </c>
      <c r="J71" s="71" t="s">
        <v>207</v>
      </c>
      <c r="K71" s="71" t="s">
        <v>207</v>
      </c>
      <c r="L71" s="18">
        <v>2050</v>
      </c>
      <c r="M71" s="17">
        <v>3671573</v>
      </c>
      <c r="N71" s="18">
        <v>91583402</v>
      </c>
      <c r="O71" s="18">
        <f>Tableau1[[#This Row],[n_prev]]/Tableau1[[#This Row],[n_death]]</f>
        <v>4.0089939004449737E-2</v>
      </c>
      <c r="P71" s="18"/>
      <c r="Q71" s="18"/>
      <c r="R71" s="18"/>
      <c r="S71" s="18"/>
      <c r="T71" s="18"/>
      <c r="U71" s="18"/>
      <c r="V71" s="18"/>
      <c r="W71" s="18"/>
      <c r="X71" s="18"/>
      <c r="Y71" s="18"/>
      <c r="Z71" s="4" t="s">
        <v>278</v>
      </c>
    </row>
    <row r="72" spans="1:26" s="28" customFormat="1" ht="43.2" x14ac:dyDescent="0.3">
      <c r="A72" s="13" t="s">
        <v>48</v>
      </c>
      <c r="B72" s="14" t="s">
        <v>18</v>
      </c>
      <c r="C72" s="15" t="s">
        <v>27</v>
      </c>
      <c r="D72" s="16">
        <v>7821</v>
      </c>
      <c r="E72" s="15">
        <v>3</v>
      </c>
      <c r="F72" s="17" t="s">
        <v>133</v>
      </c>
      <c r="G72" s="17" t="s">
        <v>135</v>
      </c>
      <c r="H72" s="17" t="s">
        <v>192</v>
      </c>
      <c r="I72" s="17" t="s">
        <v>192</v>
      </c>
      <c r="J72" s="71" t="s">
        <v>207</v>
      </c>
      <c r="K72" s="71" t="s">
        <v>207</v>
      </c>
      <c r="L72" s="18">
        <v>2050</v>
      </c>
      <c r="M72" s="17">
        <f xml:space="preserve"> 6261 +3671573</f>
        <v>3677834</v>
      </c>
      <c r="N72" s="18">
        <v>91583402</v>
      </c>
      <c r="O72" s="18">
        <f>Tableau1[[#This Row],[n_prev]]/Tableau1[[#This Row],[n_death]]</f>
        <v>4.0158302920435297E-2</v>
      </c>
      <c r="P72" s="18"/>
      <c r="Q72" s="18"/>
      <c r="R72" s="18"/>
      <c r="S72" s="18"/>
      <c r="T72" s="18"/>
      <c r="U72" s="18"/>
      <c r="V72" s="18"/>
      <c r="W72" s="18"/>
      <c r="X72" s="18"/>
      <c r="Y72" s="18"/>
      <c r="Z72" s="4" t="s">
        <v>278</v>
      </c>
    </row>
    <row r="73" spans="1:26" s="28" customFormat="1" ht="43.2" x14ac:dyDescent="0.3">
      <c r="A73" s="22" t="s">
        <v>37</v>
      </c>
      <c r="B73" s="29" t="s">
        <v>3</v>
      </c>
      <c r="C73" s="24" t="s">
        <v>72</v>
      </c>
      <c r="D73" s="24">
        <v>37.299999999999997</v>
      </c>
      <c r="E73" s="24">
        <v>45</v>
      </c>
      <c r="F73" s="35" t="s">
        <v>272</v>
      </c>
      <c r="G73" s="35" t="s">
        <v>188</v>
      </c>
      <c r="H73" s="51" t="s">
        <v>204</v>
      </c>
      <c r="I73" s="51" t="s">
        <v>263</v>
      </c>
      <c r="J73" s="65" t="s">
        <v>207</v>
      </c>
      <c r="K73" s="65" t="s">
        <v>207</v>
      </c>
      <c r="L73" s="35">
        <v>2050</v>
      </c>
      <c r="M73" s="36">
        <v>12100</v>
      </c>
      <c r="N73" s="35">
        <f>(281800.94/39440000)*40049519</f>
        <v>286155.98632727843</v>
      </c>
      <c r="O73" s="35">
        <f>Tableau1[[#This Row],[n_prev]]/Tableau1[[#This Row],[n_death]]</f>
        <v>4.228462998555324E-2</v>
      </c>
      <c r="P73" s="35"/>
      <c r="Q73" s="35"/>
      <c r="R73" s="35"/>
      <c r="S73" s="35"/>
      <c r="T73" s="35"/>
      <c r="U73" s="35"/>
      <c r="V73" s="35"/>
      <c r="W73" s="35"/>
      <c r="X73" s="35"/>
      <c r="Y73" s="35"/>
      <c r="Z73" s="4" t="s">
        <v>279</v>
      </c>
    </row>
    <row r="74" spans="1:26" s="28" customFormat="1" ht="72" x14ac:dyDescent="0.3">
      <c r="A74" s="35" t="s">
        <v>89</v>
      </c>
      <c r="B74" s="23" t="s">
        <v>88</v>
      </c>
      <c r="C74" s="24" t="s">
        <v>27</v>
      </c>
      <c r="D74" s="25">
        <v>7662</v>
      </c>
      <c r="E74" s="24">
        <v>6</v>
      </c>
      <c r="F74" s="35" t="s">
        <v>146</v>
      </c>
      <c r="G74" s="35" t="s">
        <v>135</v>
      </c>
      <c r="H74" s="35" t="s">
        <v>198</v>
      </c>
      <c r="I74" s="35" t="s">
        <v>263</v>
      </c>
      <c r="J74" s="65" t="s">
        <v>207</v>
      </c>
      <c r="K74" s="65" t="s">
        <v>207</v>
      </c>
      <c r="L74" s="34">
        <v>2030</v>
      </c>
      <c r="M74" s="22">
        <f>8500000-5600000</f>
        <v>2900000</v>
      </c>
      <c r="N74" s="37">
        <v>67172551</v>
      </c>
      <c r="O74" s="22">
        <f>Tableau1[[#This Row],[n_prev]]/Tableau1[[#This Row],[n_death]]</f>
        <v>4.3172396415315534E-2</v>
      </c>
      <c r="P74" s="22"/>
      <c r="Q74" s="22"/>
      <c r="R74" s="22"/>
      <c r="S74" s="22"/>
      <c r="T74" s="22"/>
      <c r="U74" s="22"/>
      <c r="V74" s="22"/>
      <c r="W74" s="22"/>
      <c r="X74" s="22"/>
      <c r="Y74" s="22"/>
      <c r="Z74" s="4" t="s">
        <v>278</v>
      </c>
    </row>
    <row r="75" spans="1:26" s="28" customFormat="1" ht="57.6" x14ac:dyDescent="0.3">
      <c r="A75" s="77" t="s">
        <v>220</v>
      </c>
      <c r="B75" s="78" t="s">
        <v>16</v>
      </c>
      <c r="C75" s="79" t="s">
        <v>28</v>
      </c>
      <c r="D75" s="80">
        <v>1241</v>
      </c>
      <c r="E75" s="81">
        <v>32</v>
      </c>
      <c r="F75" s="77" t="s">
        <v>268</v>
      </c>
      <c r="G75" s="77" t="s">
        <v>188</v>
      </c>
      <c r="H75" s="77" t="s">
        <v>283</v>
      </c>
      <c r="I75" s="77" t="s">
        <v>283</v>
      </c>
      <c r="J75" s="89" t="s">
        <v>207</v>
      </c>
      <c r="K75" s="89" t="s">
        <v>207</v>
      </c>
      <c r="L75" s="77">
        <v>2030</v>
      </c>
      <c r="M75" s="82">
        <f>18900000/40</f>
        <v>472500</v>
      </c>
      <c r="N75" s="82">
        <v>10593963</v>
      </c>
      <c r="O75" s="77">
        <f>Tableau1[[#This Row],[n_prev]]/Tableau1[[#This Row],[n_death]]</f>
        <v>4.4600873157665359E-2</v>
      </c>
      <c r="P75" s="77"/>
      <c r="Q75" s="77" t="s">
        <v>250</v>
      </c>
      <c r="R75" s="77"/>
      <c r="S75" s="77"/>
      <c r="T75" s="77"/>
      <c r="U75" s="77"/>
      <c r="V75" s="77"/>
      <c r="W75" s="77"/>
      <c r="X75" s="77"/>
      <c r="Y75" s="77"/>
      <c r="Z75" s="4" t="s">
        <v>278</v>
      </c>
    </row>
    <row r="76" spans="1:26" s="28" customFormat="1" ht="57.6" x14ac:dyDescent="0.3">
      <c r="A76" s="35" t="s">
        <v>77</v>
      </c>
      <c r="B76" s="35" t="s">
        <v>76</v>
      </c>
      <c r="C76" s="94" t="s">
        <v>78</v>
      </c>
      <c r="D76" s="60">
        <v>330</v>
      </c>
      <c r="E76" s="24">
        <v>33</v>
      </c>
      <c r="F76" s="35" t="s">
        <v>186</v>
      </c>
      <c r="G76" s="35" t="s">
        <v>188</v>
      </c>
      <c r="H76" s="35" t="s">
        <v>283</v>
      </c>
      <c r="I76" s="35" t="s">
        <v>283</v>
      </c>
      <c r="J76" s="65" t="s">
        <v>207</v>
      </c>
      <c r="K76" s="65" t="s">
        <v>207</v>
      </c>
      <c r="L76" s="35">
        <v>2050</v>
      </c>
      <c r="M76" s="52">
        <f>(160000+40000)-(15000+0)</f>
        <v>185000</v>
      </c>
      <c r="N76" s="52">
        <v>4113152</v>
      </c>
      <c r="O76" s="22">
        <f>Tableau1[[#This Row],[n_prev]]/Tableau1[[#This Row],[n_death]]</f>
        <v>4.497767162507002E-2</v>
      </c>
      <c r="P76" s="22"/>
      <c r="Q76" s="22"/>
      <c r="R76" s="22"/>
      <c r="S76" s="22"/>
      <c r="T76" s="22"/>
      <c r="U76" s="22"/>
      <c r="V76" s="22"/>
      <c r="W76" s="22"/>
      <c r="X76" s="35"/>
      <c r="Y76" s="22"/>
      <c r="Z76" s="4" t="s">
        <v>278</v>
      </c>
    </row>
    <row r="77" spans="1:26" s="28" customFormat="1" ht="57.6" x14ac:dyDescent="0.3">
      <c r="A77" s="77" t="s">
        <v>220</v>
      </c>
      <c r="B77" s="84" t="s">
        <v>16</v>
      </c>
      <c r="C77" s="99" t="s">
        <v>28</v>
      </c>
      <c r="D77" s="80">
        <v>1241</v>
      </c>
      <c r="E77" s="81">
        <v>32</v>
      </c>
      <c r="F77" s="77" t="s">
        <v>267</v>
      </c>
      <c r="G77" s="77" t="s">
        <v>188</v>
      </c>
      <c r="H77" s="77" t="s">
        <v>283</v>
      </c>
      <c r="I77" s="77" t="s">
        <v>283</v>
      </c>
      <c r="J77" s="89" t="s">
        <v>207</v>
      </c>
      <c r="K77" s="89" t="s">
        <v>207</v>
      </c>
      <c r="L77" s="77">
        <v>2030</v>
      </c>
      <c r="M77" s="82">
        <f>20800000/40</f>
        <v>520000</v>
      </c>
      <c r="N77" s="82">
        <v>10593963</v>
      </c>
      <c r="O77" s="77">
        <f>Tableau1[[#This Row],[n_prev]]/Tableau1[[#This Row],[n_death]]</f>
        <v>4.9084558819017965E-2</v>
      </c>
      <c r="P77" s="77"/>
      <c r="Q77" s="77" t="s">
        <v>250</v>
      </c>
      <c r="R77" s="77"/>
      <c r="S77" s="77"/>
      <c r="T77" s="77"/>
      <c r="U77" s="77"/>
      <c r="V77" s="77"/>
      <c r="W77" s="77"/>
      <c r="X77" s="77"/>
      <c r="Y77" s="77"/>
      <c r="Z77" s="4" t="s">
        <v>278</v>
      </c>
    </row>
    <row r="78" spans="1:26" s="66" customFormat="1" ht="43.2" x14ac:dyDescent="0.3">
      <c r="A78" s="35" t="s">
        <v>36</v>
      </c>
      <c r="B78" s="35" t="s">
        <v>0</v>
      </c>
      <c r="C78" s="35" t="s">
        <v>63</v>
      </c>
      <c r="D78" s="56">
        <v>3870</v>
      </c>
      <c r="E78" s="24">
        <v>15</v>
      </c>
      <c r="F78" s="35" t="s">
        <v>167</v>
      </c>
      <c r="G78" s="35" t="s">
        <v>135</v>
      </c>
      <c r="H78" s="35" t="s">
        <v>191</v>
      </c>
      <c r="I78" s="35" t="s">
        <v>191</v>
      </c>
      <c r="J78" s="65" t="s">
        <v>206</v>
      </c>
      <c r="K78" s="65" t="s">
        <v>206</v>
      </c>
      <c r="L78" s="35">
        <v>2040</v>
      </c>
      <c r="M78" s="48">
        <v>2088298</v>
      </c>
      <c r="N78" s="48">
        <v>41991720</v>
      </c>
      <c r="O78" s="22">
        <f>Tableau1[[#This Row],[n_prev]]/Tableau1[[#This Row],[n_death]]</f>
        <v>4.9731185100300723E-2</v>
      </c>
      <c r="P78" s="22"/>
      <c r="Q78" s="22"/>
      <c r="R78" s="22"/>
      <c r="S78" s="22"/>
      <c r="T78" s="22"/>
      <c r="U78" s="22"/>
      <c r="V78" s="22"/>
      <c r="W78" s="22"/>
      <c r="X78" s="22"/>
      <c r="Y78" s="22"/>
      <c r="Z78" s="4" t="s">
        <v>278</v>
      </c>
    </row>
    <row r="79" spans="1:26" s="28" customFormat="1" ht="43.2" x14ac:dyDescent="0.3">
      <c r="A79" s="5" t="s">
        <v>38</v>
      </c>
      <c r="B79" s="5" t="s">
        <v>4</v>
      </c>
      <c r="C79" s="8" t="s">
        <v>72</v>
      </c>
      <c r="D79" s="5">
        <v>37.299999999999997</v>
      </c>
      <c r="E79" s="4">
        <v>44</v>
      </c>
      <c r="F79" s="5" t="s">
        <v>274</v>
      </c>
      <c r="G79" s="5" t="s">
        <v>125</v>
      </c>
      <c r="H79" s="5" t="s">
        <v>192</v>
      </c>
      <c r="I79" s="5" t="s">
        <v>192</v>
      </c>
      <c r="J79" s="8" t="s">
        <v>207</v>
      </c>
      <c r="K79" s="8" t="s">
        <v>207</v>
      </c>
      <c r="L79" s="5">
        <v>2050</v>
      </c>
      <c r="M79" s="9">
        <v>14400</v>
      </c>
      <c r="N79" s="35">
        <f>(281800.94/39440000)*40049519</f>
        <v>286155.98632727843</v>
      </c>
      <c r="O79" s="35">
        <f>Tableau1[[#This Row],[n_prev]]/Tableau1[[#This Row],[n_death]]</f>
        <v>5.0322204280327819E-2</v>
      </c>
      <c r="P79" s="30"/>
      <c r="Q79" s="30"/>
      <c r="R79" s="30"/>
      <c r="S79" s="30"/>
      <c r="T79" s="30"/>
      <c r="U79" s="30"/>
      <c r="V79" s="30"/>
      <c r="W79" s="30"/>
      <c r="X79" s="30"/>
      <c r="Y79" s="30"/>
      <c r="Z79" s="4" t="s">
        <v>279</v>
      </c>
    </row>
    <row r="80" spans="1:26" s="28" customFormat="1" ht="57.6" x14ac:dyDescent="0.3">
      <c r="A80" s="22" t="s">
        <v>40</v>
      </c>
      <c r="B80" s="48" t="s">
        <v>6</v>
      </c>
      <c r="C80" s="94" t="s">
        <v>29</v>
      </c>
      <c r="D80" s="47">
        <v>1380</v>
      </c>
      <c r="E80" s="24">
        <v>25</v>
      </c>
      <c r="F80" s="35" t="s">
        <v>176</v>
      </c>
      <c r="G80" s="35" t="s">
        <v>125</v>
      </c>
      <c r="H80" s="35" t="s">
        <v>283</v>
      </c>
      <c r="I80" s="35" t="s">
        <v>283</v>
      </c>
      <c r="J80" s="65" t="s">
        <v>207</v>
      </c>
      <c r="K80" s="65" t="s">
        <v>207</v>
      </c>
      <c r="L80" s="35">
        <v>2050</v>
      </c>
      <c r="M80" s="47">
        <v>960000</v>
      </c>
      <c r="N80" s="61">
        <v>17360484</v>
      </c>
      <c r="O80" s="48">
        <f>Tableau1[[#This Row],[n_prev]]/Tableau1[[#This Row],[n_death]]</f>
        <v>5.5297997452144768E-2</v>
      </c>
      <c r="P80" s="48"/>
      <c r="Q80" s="48"/>
      <c r="R80" s="48"/>
      <c r="S80" s="48"/>
      <c r="T80" s="48"/>
      <c r="U80" s="48"/>
      <c r="V80" s="48"/>
      <c r="W80" s="48"/>
      <c r="X80" s="48"/>
      <c r="Y80" s="48"/>
      <c r="Z80" s="4" t="s">
        <v>278</v>
      </c>
    </row>
    <row r="81" spans="1:26" s="31" customFormat="1" ht="126" customHeight="1" x14ac:dyDescent="0.3">
      <c r="A81" s="22" t="s">
        <v>40</v>
      </c>
      <c r="B81" s="48" t="s">
        <v>6</v>
      </c>
      <c r="C81" s="94" t="s">
        <v>29</v>
      </c>
      <c r="D81" s="47">
        <v>1380</v>
      </c>
      <c r="E81" s="24">
        <v>25</v>
      </c>
      <c r="F81" s="35" t="s">
        <v>176</v>
      </c>
      <c r="G81" s="35" t="s">
        <v>125</v>
      </c>
      <c r="H81" s="35" t="s">
        <v>283</v>
      </c>
      <c r="I81" s="35" t="s">
        <v>283</v>
      </c>
      <c r="J81" s="65" t="s">
        <v>207</v>
      </c>
      <c r="K81" s="65" t="s">
        <v>207</v>
      </c>
      <c r="L81" s="35">
        <v>2050</v>
      </c>
      <c r="M81" s="47">
        <v>1060000</v>
      </c>
      <c r="N81" s="61">
        <v>17360484</v>
      </c>
      <c r="O81" s="48">
        <f>Tableau1[[#This Row],[n_prev]]/Tableau1[[#This Row],[n_death]]</f>
        <v>6.1058205520076514E-2</v>
      </c>
      <c r="P81" s="48"/>
      <c r="Q81" s="48"/>
      <c r="R81" s="48"/>
      <c r="S81" s="48"/>
      <c r="T81" s="48"/>
      <c r="U81" s="48"/>
      <c r="V81" s="48"/>
      <c r="W81" s="48"/>
      <c r="X81" s="48"/>
      <c r="Y81" s="48"/>
      <c r="Z81" s="4" t="s">
        <v>278</v>
      </c>
    </row>
    <row r="82" spans="1:26" s="31" customFormat="1" ht="144" customHeight="1" x14ac:dyDescent="0.3">
      <c r="A82" s="5" t="s">
        <v>231</v>
      </c>
      <c r="B82" s="5" t="s">
        <v>2</v>
      </c>
      <c r="C82" s="95" t="s">
        <v>29</v>
      </c>
      <c r="D82" s="9">
        <v>1411</v>
      </c>
      <c r="E82" s="4">
        <v>21</v>
      </c>
      <c r="F82" s="10" t="s">
        <v>233</v>
      </c>
      <c r="G82" s="5" t="s">
        <v>125</v>
      </c>
      <c r="H82" s="5" t="s">
        <v>192</v>
      </c>
      <c r="I82" s="5" t="s">
        <v>192</v>
      </c>
      <c r="J82" s="8" t="s">
        <v>207</v>
      </c>
      <c r="K82" s="8" t="s">
        <v>207</v>
      </c>
      <c r="L82" s="5">
        <v>2060</v>
      </c>
      <c r="M82" s="5">
        <v>1160000</v>
      </c>
      <c r="N82" s="39">
        <v>18786882</v>
      </c>
      <c r="O82" s="5">
        <f>Tableau1[[#This Row],[n_prev]]/Tableau1[[#This Row],[n_death]]</f>
        <v>6.1745211366101088E-2</v>
      </c>
      <c r="P82" s="5"/>
      <c r="Q82" s="5" t="s">
        <v>235</v>
      </c>
      <c r="R82" s="5"/>
      <c r="S82" s="5"/>
      <c r="T82" s="5"/>
      <c r="U82" s="5"/>
      <c r="V82" s="5"/>
      <c r="W82" s="5"/>
      <c r="X82" s="5"/>
      <c r="Y82" s="5"/>
      <c r="Z82" s="4" t="s">
        <v>278</v>
      </c>
    </row>
    <row r="83" spans="1:26" s="31" customFormat="1" ht="43.2" x14ac:dyDescent="0.3">
      <c r="A83" s="22" t="s">
        <v>52</v>
      </c>
      <c r="B83" s="35" t="s">
        <v>13</v>
      </c>
      <c r="C83" s="65" t="s">
        <v>29</v>
      </c>
      <c r="D83" s="36">
        <v>1338</v>
      </c>
      <c r="E83" s="24">
        <v>29</v>
      </c>
      <c r="F83" s="35" t="s">
        <v>183</v>
      </c>
      <c r="G83" s="35" t="s">
        <v>188</v>
      </c>
      <c r="H83" s="35" t="s">
        <v>283</v>
      </c>
      <c r="I83" s="35" t="s">
        <v>283</v>
      </c>
      <c r="J83" s="65" t="s">
        <v>207</v>
      </c>
      <c r="K83" s="65" t="s">
        <v>207</v>
      </c>
      <c r="L83" s="35">
        <v>2050</v>
      </c>
      <c r="M83" s="36">
        <f>7525500-6380500</f>
        <v>1145000</v>
      </c>
      <c r="N83" s="61">
        <v>17360484</v>
      </c>
      <c r="O83" s="22">
        <f>Tableau1[[#This Row],[n_prev]]/Tableau1[[#This Row],[n_death]]</f>
        <v>6.5954382377818505E-2</v>
      </c>
      <c r="P83" s="22"/>
      <c r="Q83" s="22"/>
      <c r="R83" s="22"/>
      <c r="S83" s="22"/>
      <c r="T83" s="22" t="s">
        <v>228</v>
      </c>
      <c r="U83" s="22">
        <v>684030000000</v>
      </c>
      <c r="V83" s="22">
        <v>1312636325</v>
      </c>
      <c r="W83" s="22"/>
      <c r="X83" s="35">
        <f>Tableau1[[#This Row],[monetary]]/Tableau1[[#This Row],[population_target]]</f>
        <v>521.11158816209047</v>
      </c>
      <c r="Y83" s="22"/>
      <c r="Z83" s="4" t="s">
        <v>278</v>
      </c>
    </row>
    <row r="84" spans="1:26" s="31" customFormat="1" ht="222.6" customHeight="1" x14ac:dyDescent="0.3">
      <c r="A84" s="35" t="s">
        <v>87</v>
      </c>
      <c r="B84" s="51" t="s">
        <v>86</v>
      </c>
      <c r="C84" s="65" t="s">
        <v>29</v>
      </c>
      <c r="D84" s="36">
        <v>1411</v>
      </c>
      <c r="E84" s="24">
        <v>19</v>
      </c>
      <c r="F84" s="35" t="s">
        <v>170</v>
      </c>
      <c r="G84" s="35" t="s">
        <v>188</v>
      </c>
      <c r="H84" s="35" t="s">
        <v>192</v>
      </c>
      <c r="I84" s="35" t="s">
        <v>192</v>
      </c>
      <c r="J84" s="65" t="s">
        <v>207</v>
      </c>
      <c r="K84" s="65" t="s">
        <v>207</v>
      </c>
      <c r="L84" s="35">
        <v>2060</v>
      </c>
      <c r="M84" s="52">
        <v>1300000</v>
      </c>
      <c r="N84" s="52">
        <v>18786882</v>
      </c>
      <c r="O84" s="35">
        <f>Tableau1[[#This Row],[n_prev]]/Tableau1[[#This Row],[n_death]]</f>
        <v>6.9197219634423643E-2</v>
      </c>
      <c r="P84" s="35"/>
      <c r="Q84" s="35"/>
      <c r="R84" s="35"/>
      <c r="S84" s="35"/>
      <c r="T84" s="35" t="s">
        <v>255</v>
      </c>
      <c r="U84" s="35">
        <v>380000000000</v>
      </c>
      <c r="V84" s="35">
        <v>1205020651</v>
      </c>
      <c r="W84" s="35"/>
      <c r="X84" s="35">
        <f>Tableau1[[#This Row],[monetary]]/Tableau1[[#This Row],[population_target]]</f>
        <v>315.34729274942526</v>
      </c>
      <c r="Y84" s="35" t="s">
        <v>254</v>
      </c>
      <c r="Z84" s="4" t="s">
        <v>278</v>
      </c>
    </row>
    <row r="85" spans="1:26" s="28" customFormat="1" ht="223.8" customHeight="1" x14ac:dyDescent="0.3">
      <c r="A85" s="35" t="s">
        <v>77</v>
      </c>
      <c r="B85" s="35" t="s">
        <v>76</v>
      </c>
      <c r="C85" s="60" t="s">
        <v>78</v>
      </c>
      <c r="D85" s="60">
        <v>330</v>
      </c>
      <c r="E85" s="24">
        <v>33</v>
      </c>
      <c r="F85" s="35" t="s">
        <v>251</v>
      </c>
      <c r="G85" s="35" t="s">
        <v>188</v>
      </c>
      <c r="H85" s="35" t="s">
        <v>283</v>
      </c>
      <c r="I85" s="35" t="s">
        <v>283</v>
      </c>
      <c r="J85" s="65" t="s">
        <v>207</v>
      </c>
      <c r="K85" s="65" t="s">
        <v>207</v>
      </c>
      <c r="L85" s="35">
        <v>2050</v>
      </c>
      <c r="M85" s="52">
        <f>(240000+115000)-(15000+0)</f>
        <v>340000</v>
      </c>
      <c r="N85" s="52">
        <v>4113152</v>
      </c>
      <c r="O85" s="22">
        <f>Tableau1[[#This Row],[n_prev]]/Tableau1[[#This Row],[n_death]]</f>
        <v>8.2661666770398948E-2</v>
      </c>
      <c r="P85" s="22"/>
      <c r="Q85" s="22"/>
      <c r="R85" s="22"/>
      <c r="S85" s="22"/>
      <c r="T85" s="22">
        <v>1100</v>
      </c>
      <c r="U85" s="22">
        <v>1100000000000</v>
      </c>
      <c r="V85" s="22">
        <v>375391963</v>
      </c>
      <c r="W85" s="22"/>
      <c r="X85" s="35">
        <f>Tableau1[[#This Row],[monetary]]/Tableau1[[#This Row],[population_target]]</f>
        <v>2930.2705130104237</v>
      </c>
      <c r="Y85" s="22" t="s">
        <v>256</v>
      </c>
      <c r="Z85" s="4" t="s">
        <v>278</v>
      </c>
    </row>
    <row r="86" spans="1:26" s="70" customFormat="1" ht="28.8" x14ac:dyDescent="0.3">
      <c r="A86" s="5" t="s">
        <v>93</v>
      </c>
      <c r="B86" s="59" t="s">
        <v>92</v>
      </c>
      <c r="C86" s="8" t="s">
        <v>29</v>
      </c>
      <c r="D86" s="9">
        <v>1338</v>
      </c>
      <c r="E86" s="4">
        <v>30</v>
      </c>
      <c r="F86" s="5" t="s">
        <v>185</v>
      </c>
      <c r="G86" s="5" t="s">
        <v>188</v>
      </c>
      <c r="H86" s="5" t="s">
        <v>283</v>
      </c>
      <c r="I86" s="5" t="s">
        <v>283</v>
      </c>
      <c r="J86" s="8" t="s">
        <v>207</v>
      </c>
      <c r="K86" s="8" t="s">
        <v>207</v>
      </c>
      <c r="L86" s="5">
        <v>2030</v>
      </c>
      <c r="M86" s="9">
        <f>1429940-(17580+2717+177872)</f>
        <v>1231771</v>
      </c>
      <c r="N86" s="55">
        <v>12224379</v>
      </c>
      <c r="O86" s="5">
        <f>Tableau1[[#This Row],[n_prev]]/Tableau1[[#This Row],[n_death]]</f>
        <v>0.10076348254582093</v>
      </c>
      <c r="P86" s="5"/>
      <c r="Q86" s="5"/>
      <c r="R86" s="5"/>
      <c r="S86" s="5"/>
      <c r="T86" s="5"/>
      <c r="U86" s="5"/>
      <c r="V86" s="5"/>
      <c r="W86" s="5"/>
      <c r="X86" s="5"/>
      <c r="Y86" s="5"/>
      <c r="Z86" s="4" t="s">
        <v>278</v>
      </c>
    </row>
    <row r="87" spans="1:26" s="70" customFormat="1" ht="57.6" x14ac:dyDescent="0.3">
      <c r="A87" s="5" t="s">
        <v>231</v>
      </c>
      <c r="B87" s="5" t="s">
        <v>2</v>
      </c>
      <c r="C87" s="95" t="s">
        <v>29</v>
      </c>
      <c r="D87" s="9">
        <v>1411</v>
      </c>
      <c r="E87" s="4">
        <v>21</v>
      </c>
      <c r="F87" s="10" t="s">
        <v>232</v>
      </c>
      <c r="G87" s="5" t="s">
        <v>125</v>
      </c>
      <c r="H87" s="5" t="s">
        <v>192</v>
      </c>
      <c r="I87" s="5" t="s">
        <v>192</v>
      </c>
      <c r="J87" s="8" t="s">
        <v>207</v>
      </c>
      <c r="K87" s="8" t="s">
        <v>207</v>
      </c>
      <c r="L87" s="5">
        <v>2060</v>
      </c>
      <c r="M87" s="5">
        <v>2020000</v>
      </c>
      <c r="N87" s="39">
        <v>18786882</v>
      </c>
      <c r="O87" s="5">
        <f>Tableau1[[#This Row],[n_prev]]/Tableau1[[#This Row],[n_death]]</f>
        <v>0.10752183358579673</v>
      </c>
      <c r="P87" s="5"/>
      <c r="Q87" s="5" t="s">
        <v>236</v>
      </c>
      <c r="R87" s="5"/>
      <c r="S87" s="5"/>
      <c r="T87" s="5"/>
      <c r="U87" s="5"/>
      <c r="V87" s="5"/>
      <c r="W87" s="5"/>
      <c r="X87" s="5"/>
      <c r="Y87" s="5"/>
      <c r="Z87" s="4" t="s">
        <v>278</v>
      </c>
    </row>
    <row r="88" spans="1:26" s="28" customFormat="1" ht="43.2" x14ac:dyDescent="0.3">
      <c r="A88" s="35" t="s">
        <v>36</v>
      </c>
      <c r="B88" s="35" t="s">
        <v>0</v>
      </c>
      <c r="C88" s="65" t="s">
        <v>63</v>
      </c>
      <c r="D88" s="56">
        <v>3870</v>
      </c>
      <c r="E88" s="24">
        <v>15</v>
      </c>
      <c r="F88" s="35" t="s">
        <v>164</v>
      </c>
      <c r="G88" s="35" t="s">
        <v>188</v>
      </c>
      <c r="H88" s="35" t="s">
        <v>210</v>
      </c>
      <c r="I88" s="35" t="s">
        <v>264</v>
      </c>
      <c r="J88" s="65" t="s">
        <v>210</v>
      </c>
      <c r="K88" s="65" t="s">
        <v>210</v>
      </c>
      <c r="L88" s="35">
        <v>2040</v>
      </c>
      <c r="M88" s="50">
        <v>5863930</v>
      </c>
      <c r="N88" s="48">
        <v>41991720</v>
      </c>
      <c r="O88" s="22">
        <f>Tableau1[[#This Row],[n_prev]]/Tableau1[[#This Row],[n_death]]</f>
        <v>0.13964491094911091</v>
      </c>
      <c r="P88" s="22"/>
      <c r="Q88" s="22"/>
      <c r="R88" s="22"/>
      <c r="S88" s="22"/>
      <c r="T88" s="22"/>
      <c r="U88" s="22"/>
      <c r="V88" s="22"/>
      <c r="W88" s="22"/>
      <c r="X88" s="22"/>
      <c r="Y88" s="22"/>
      <c r="Z88" s="4" t="s">
        <v>278</v>
      </c>
    </row>
    <row r="89" spans="1:26" s="28" customFormat="1" ht="43.2" x14ac:dyDescent="0.3">
      <c r="A89" s="35" t="s">
        <v>36</v>
      </c>
      <c r="B89" s="35" t="s">
        <v>0</v>
      </c>
      <c r="C89" s="65" t="s">
        <v>63</v>
      </c>
      <c r="D89" s="56">
        <v>3870</v>
      </c>
      <c r="E89" s="24">
        <v>15</v>
      </c>
      <c r="F89" s="35" t="s">
        <v>165</v>
      </c>
      <c r="G89" s="35" t="s">
        <v>135</v>
      </c>
      <c r="H89" s="35" t="s">
        <v>210</v>
      </c>
      <c r="I89" s="35" t="s">
        <v>264</v>
      </c>
      <c r="J89" s="65" t="s">
        <v>210</v>
      </c>
      <c r="K89" s="65" t="s">
        <v>210</v>
      </c>
      <c r="L89" s="35">
        <v>2040</v>
      </c>
      <c r="M89" s="48">
        <v>6435910</v>
      </c>
      <c r="N89" s="48">
        <v>41991720</v>
      </c>
      <c r="O89" s="22">
        <f>Tableau1[[#This Row],[n_prev]]/Tableau1[[#This Row],[n_death]]</f>
        <v>0.15326616771115831</v>
      </c>
      <c r="P89" s="22"/>
      <c r="Q89" s="22"/>
      <c r="R89" s="22"/>
      <c r="S89" s="22"/>
      <c r="T89" s="22"/>
      <c r="U89" s="22"/>
      <c r="V89" s="22"/>
      <c r="W89" s="22"/>
      <c r="X89" s="22"/>
      <c r="Y89" s="22"/>
      <c r="Z89" s="4" t="s">
        <v>278</v>
      </c>
    </row>
    <row r="90" spans="1:26" s="31" customFormat="1" ht="43.2" x14ac:dyDescent="0.3">
      <c r="A90" s="5" t="s">
        <v>109</v>
      </c>
      <c r="B90" s="59" t="s">
        <v>108</v>
      </c>
      <c r="C90" s="8" t="s">
        <v>110</v>
      </c>
      <c r="D90" s="5">
        <v>3</v>
      </c>
      <c r="E90" s="4">
        <v>48</v>
      </c>
      <c r="F90" s="5"/>
      <c r="G90" s="5" t="s">
        <v>188</v>
      </c>
      <c r="H90" s="5" t="s">
        <v>191</v>
      </c>
      <c r="I90" s="5" t="s">
        <v>191</v>
      </c>
      <c r="J90" s="8" t="s">
        <v>206</v>
      </c>
      <c r="K90" s="8" t="s">
        <v>206</v>
      </c>
      <c r="L90" s="5"/>
      <c r="M90" s="5" t="s">
        <v>114</v>
      </c>
      <c r="N90" s="5"/>
      <c r="O90" s="5"/>
      <c r="P90" s="5"/>
      <c r="Q90" s="5"/>
      <c r="R90" s="5"/>
      <c r="S90" s="5"/>
      <c r="T90" s="5"/>
      <c r="U90" s="5"/>
      <c r="V90" s="5"/>
      <c r="W90" s="5"/>
      <c r="X90" s="5"/>
      <c r="Y90" s="5"/>
      <c r="Z90" s="4" t="s">
        <v>278</v>
      </c>
    </row>
    <row r="91" spans="1:26" s="31" customFormat="1" ht="72" x14ac:dyDescent="0.3">
      <c r="A91" s="22" t="s">
        <v>49</v>
      </c>
      <c r="B91" s="35" t="s">
        <v>19</v>
      </c>
      <c r="C91" s="35" t="s">
        <v>28</v>
      </c>
      <c r="D91" s="36">
        <v>1241</v>
      </c>
      <c r="E91" s="24">
        <v>31</v>
      </c>
      <c r="F91" s="35"/>
      <c r="G91" s="35" t="s">
        <v>188</v>
      </c>
      <c r="H91" s="35" t="s">
        <v>283</v>
      </c>
      <c r="I91" s="35" t="s">
        <v>283</v>
      </c>
      <c r="J91" s="65" t="s">
        <v>208</v>
      </c>
      <c r="K91" s="65" t="s">
        <v>207</v>
      </c>
      <c r="L91" s="35"/>
      <c r="M91" s="48"/>
      <c r="N91" s="48"/>
      <c r="O91" s="48"/>
      <c r="P91" s="48"/>
      <c r="Q91" s="48"/>
      <c r="R91" s="48"/>
      <c r="S91" s="48"/>
      <c r="T91" s="48"/>
      <c r="U91" s="48"/>
      <c r="V91" s="48"/>
      <c r="W91" s="48"/>
      <c r="X91" s="48"/>
      <c r="Y91" s="48"/>
      <c r="Z91" s="4" t="s">
        <v>280</v>
      </c>
    </row>
    <row r="92" spans="1:26" s="28" customFormat="1" ht="52.8" x14ac:dyDescent="0.3">
      <c r="A92" s="35" t="s">
        <v>43</v>
      </c>
      <c r="B92" s="93" t="s">
        <v>9</v>
      </c>
      <c r="C92" s="35" t="s">
        <v>65</v>
      </c>
      <c r="D92" s="48">
        <v>38.6</v>
      </c>
      <c r="E92" s="24">
        <v>43</v>
      </c>
      <c r="F92" s="35"/>
      <c r="G92" s="35" t="s">
        <v>188</v>
      </c>
      <c r="H92" s="35" t="s">
        <v>195</v>
      </c>
      <c r="I92" s="35" t="s">
        <v>263</v>
      </c>
      <c r="J92" s="65" t="s">
        <v>207</v>
      </c>
      <c r="K92" s="65" t="s">
        <v>207</v>
      </c>
      <c r="L92" s="35"/>
      <c r="M92" s="48"/>
      <c r="N92" s="48"/>
      <c r="O92" s="48"/>
      <c r="P92" s="48"/>
      <c r="Q92" s="48"/>
      <c r="R92" s="48"/>
      <c r="S92" s="48"/>
      <c r="T92" s="48"/>
      <c r="U92" s="48"/>
      <c r="V92" s="48"/>
      <c r="W92" s="48"/>
      <c r="X92" s="48"/>
      <c r="Y92" s="48"/>
      <c r="Z92" s="4" t="s">
        <v>278</v>
      </c>
    </row>
    <row r="93" spans="1:26" s="31" customFormat="1" ht="57.6" x14ac:dyDescent="0.3">
      <c r="A93" s="59" t="s">
        <v>62</v>
      </c>
      <c r="B93" s="59" t="s">
        <v>61</v>
      </c>
      <c r="C93" s="8" t="s">
        <v>66</v>
      </c>
      <c r="D93" s="46">
        <v>21</v>
      </c>
      <c r="E93" s="4">
        <v>46</v>
      </c>
      <c r="F93" s="5"/>
      <c r="G93" s="5" t="s">
        <v>125</v>
      </c>
      <c r="H93" s="5" t="s">
        <v>191</v>
      </c>
      <c r="I93" s="5" t="s">
        <v>191</v>
      </c>
      <c r="J93" s="8" t="s">
        <v>207</v>
      </c>
      <c r="K93" s="8" t="s">
        <v>207</v>
      </c>
      <c r="L93" s="5"/>
      <c r="M93" s="30">
        <v>300</v>
      </c>
      <c r="N93" s="30"/>
      <c r="O93" s="30"/>
      <c r="P93" s="30"/>
      <c r="Q93" s="30"/>
      <c r="R93" s="30"/>
      <c r="S93" s="30"/>
      <c r="T93" s="30"/>
      <c r="U93" s="30"/>
      <c r="V93" s="30"/>
      <c r="W93" s="30"/>
      <c r="X93" s="30"/>
      <c r="Y93" s="30"/>
      <c r="Z93" s="4" t="s">
        <v>278</v>
      </c>
    </row>
    <row r="94" spans="1:26" s="31" customFormat="1" ht="72" x14ac:dyDescent="0.3">
      <c r="A94" s="5" t="s">
        <v>54</v>
      </c>
      <c r="B94" s="46" t="s">
        <v>23</v>
      </c>
      <c r="C94" s="98" t="s">
        <v>67</v>
      </c>
      <c r="D94" s="46">
        <v>100</v>
      </c>
      <c r="E94" s="4">
        <v>34</v>
      </c>
      <c r="F94" s="5"/>
      <c r="G94" s="5" t="s">
        <v>188</v>
      </c>
      <c r="H94" s="5" t="s">
        <v>283</v>
      </c>
      <c r="I94" s="5" t="s">
        <v>283</v>
      </c>
      <c r="J94" s="8" t="s">
        <v>207</v>
      </c>
      <c r="K94" s="8" t="s">
        <v>207</v>
      </c>
      <c r="L94" s="5"/>
      <c r="M94" s="5"/>
      <c r="N94" s="5"/>
      <c r="O94" s="5"/>
      <c r="P94" s="5"/>
      <c r="Q94" s="5"/>
      <c r="R94" s="5"/>
      <c r="S94" s="5"/>
      <c r="T94" s="5"/>
      <c r="U94" s="5"/>
      <c r="V94" s="5"/>
      <c r="W94" s="5"/>
      <c r="X94" s="5"/>
      <c r="Y94" s="5"/>
      <c r="Z94" s="4" t="s">
        <v>278</v>
      </c>
    </row>
    <row r="95" spans="1:26" s="31" customFormat="1" ht="43.2" x14ac:dyDescent="0.3">
      <c r="A95" s="5" t="s">
        <v>94</v>
      </c>
      <c r="B95" s="59" t="s">
        <v>285</v>
      </c>
      <c r="C95" s="8" t="s">
        <v>27</v>
      </c>
      <c r="D95" s="9">
        <v>6970</v>
      </c>
      <c r="E95" s="4">
        <v>12</v>
      </c>
      <c r="F95" s="5"/>
      <c r="G95" s="5" t="s">
        <v>188</v>
      </c>
      <c r="H95" s="5" t="s">
        <v>192</v>
      </c>
      <c r="I95" s="5" t="s">
        <v>192</v>
      </c>
      <c r="J95" s="8" t="s">
        <v>207</v>
      </c>
      <c r="K95" s="8" t="s">
        <v>207</v>
      </c>
      <c r="L95" s="5"/>
      <c r="M95" s="30"/>
      <c r="N95" s="30"/>
      <c r="O95" s="30"/>
      <c r="P95" s="30"/>
      <c r="Q95" s="30"/>
      <c r="R95" s="30"/>
      <c r="S95" s="30"/>
      <c r="T95" s="30"/>
      <c r="U95" s="30"/>
      <c r="V95" s="30"/>
      <c r="W95" s="30"/>
      <c r="X95" s="30"/>
      <c r="Y95" s="30"/>
      <c r="Z95" s="4" t="s">
        <v>278</v>
      </c>
    </row>
    <row r="96" spans="1:26" s="28" customFormat="1" ht="176.4" customHeight="1" x14ac:dyDescent="0.3">
      <c r="A96" s="35" t="s">
        <v>112</v>
      </c>
      <c r="B96" s="51" t="s">
        <v>111</v>
      </c>
      <c r="C96" s="102" t="s">
        <v>113</v>
      </c>
      <c r="D96" s="35">
        <v>528</v>
      </c>
      <c r="E96" s="24">
        <v>17</v>
      </c>
      <c r="F96" s="35"/>
      <c r="G96" s="51" t="s">
        <v>188</v>
      </c>
      <c r="H96" s="35" t="s">
        <v>192</v>
      </c>
      <c r="I96" s="35" t="s">
        <v>192</v>
      </c>
      <c r="J96" s="65" t="s">
        <v>207</v>
      </c>
      <c r="K96" s="65" t="s">
        <v>207</v>
      </c>
      <c r="L96" s="35"/>
      <c r="M96" s="35"/>
      <c r="N96" s="35"/>
      <c r="O96" s="35"/>
      <c r="P96" s="35"/>
      <c r="Q96" s="35"/>
      <c r="R96" s="35"/>
      <c r="S96" s="35"/>
      <c r="T96" s="35"/>
      <c r="U96" s="35"/>
      <c r="V96" s="35"/>
      <c r="W96" s="35"/>
      <c r="X96" s="35"/>
      <c r="Y96" s="35"/>
      <c r="Z96" s="4" t="s">
        <v>278</v>
      </c>
    </row>
    <row r="97" spans="1:26" s="31" customFormat="1" ht="99" customHeight="1" x14ac:dyDescent="0.3">
      <c r="A97" s="35" t="s">
        <v>100</v>
      </c>
      <c r="B97" s="40" t="s">
        <v>99</v>
      </c>
      <c r="C97" s="24" t="s">
        <v>27</v>
      </c>
      <c r="D97" s="25">
        <v>7405</v>
      </c>
      <c r="E97" s="24">
        <v>11</v>
      </c>
      <c r="F97" s="35" t="s">
        <v>269</v>
      </c>
      <c r="G97" s="35" t="s">
        <v>188</v>
      </c>
      <c r="H97" s="35" t="s">
        <v>203</v>
      </c>
      <c r="I97" s="35" t="s">
        <v>264</v>
      </c>
      <c r="J97" s="65" t="s">
        <v>210</v>
      </c>
      <c r="K97" s="65" t="s">
        <v>210</v>
      </c>
      <c r="L97" s="35"/>
      <c r="M97" s="22"/>
      <c r="N97" s="22"/>
      <c r="O97" s="22"/>
      <c r="P97" s="22"/>
      <c r="Q97" s="22"/>
      <c r="R97" s="22"/>
      <c r="S97" s="22">
        <f>125900000/35</f>
        <v>3597142.8571428573</v>
      </c>
      <c r="T97" s="22"/>
      <c r="U97" s="22"/>
      <c r="V97" s="22"/>
      <c r="W97" s="22"/>
      <c r="X97" s="22"/>
      <c r="Y97" s="22"/>
      <c r="Z97" s="4" t="s">
        <v>278</v>
      </c>
    </row>
    <row r="98" spans="1:26" s="31" customFormat="1" ht="43.2" x14ac:dyDescent="0.3">
      <c r="A98" s="35" t="s">
        <v>230</v>
      </c>
      <c r="B98" s="91" t="s">
        <v>14</v>
      </c>
      <c r="C98" s="67" t="s">
        <v>75</v>
      </c>
      <c r="D98" s="65">
        <v>80</v>
      </c>
      <c r="E98" s="24">
        <v>35</v>
      </c>
      <c r="F98" s="35"/>
      <c r="G98" s="35" t="s">
        <v>188</v>
      </c>
      <c r="H98" s="65" t="s">
        <v>192</v>
      </c>
      <c r="I98" s="65" t="s">
        <v>192</v>
      </c>
      <c r="J98" s="65" t="s">
        <v>207</v>
      </c>
      <c r="K98" s="65" t="s">
        <v>207</v>
      </c>
      <c r="L98" s="35"/>
      <c r="M98" s="36">
        <v>14000</v>
      </c>
      <c r="N98" s="36"/>
      <c r="O98" s="35"/>
      <c r="P98" s="35"/>
      <c r="Q98" s="35"/>
      <c r="R98" s="35"/>
      <c r="S98" s="35"/>
      <c r="T98" s="35"/>
      <c r="U98" s="35"/>
      <c r="V98" s="35"/>
      <c r="W98" s="35"/>
      <c r="X98" s="35"/>
      <c r="Y98" s="35"/>
      <c r="Z98" s="4" t="s">
        <v>278</v>
      </c>
    </row>
    <row r="99" spans="1:26" s="31" customFormat="1" ht="57.6" x14ac:dyDescent="0.3">
      <c r="A99" s="35" t="s">
        <v>47</v>
      </c>
      <c r="B99" s="91" t="s">
        <v>17</v>
      </c>
      <c r="C99" s="96" t="s">
        <v>31</v>
      </c>
      <c r="D99" s="96">
        <v>37.99</v>
      </c>
      <c r="E99" s="69">
        <v>39</v>
      </c>
      <c r="F99" s="68" t="s">
        <v>242</v>
      </c>
      <c r="G99" s="68" t="s">
        <v>125</v>
      </c>
      <c r="H99" s="96" t="s">
        <v>244</v>
      </c>
      <c r="I99" s="96" t="s">
        <v>263</v>
      </c>
      <c r="J99" s="96" t="s">
        <v>207</v>
      </c>
      <c r="K99" s="96" t="s">
        <v>207</v>
      </c>
      <c r="L99" s="68">
        <v>2050</v>
      </c>
      <c r="M99" s="68"/>
      <c r="N99" s="68"/>
      <c r="O99" s="68"/>
      <c r="P99" s="68"/>
      <c r="Q99" s="68"/>
      <c r="R99" s="68"/>
      <c r="S99" s="68"/>
      <c r="T99" s="68" t="s">
        <v>246</v>
      </c>
      <c r="U99" s="68">
        <v>2268000000</v>
      </c>
      <c r="V99" s="5">
        <v>34932339</v>
      </c>
      <c r="W99" s="68"/>
      <c r="X99" s="5">
        <f>Tableau1[[#This Row],[monetary]]/Tableau1[[#This Row],[population_target]]</f>
        <v>64.925512145064204</v>
      </c>
      <c r="Y99" s="68"/>
      <c r="Z99" s="4" t="s">
        <v>278</v>
      </c>
    </row>
    <row r="100" spans="1:26" s="28" customFormat="1" ht="57.6" x14ac:dyDescent="0.3">
      <c r="A100" s="35" t="s">
        <v>47</v>
      </c>
      <c r="B100" s="48" t="s">
        <v>17</v>
      </c>
      <c r="C100" s="69" t="s">
        <v>31</v>
      </c>
      <c r="D100" s="68">
        <v>37.99</v>
      </c>
      <c r="E100" s="69">
        <v>39</v>
      </c>
      <c r="F100" s="68" t="s">
        <v>241</v>
      </c>
      <c r="G100" s="68" t="s">
        <v>125</v>
      </c>
      <c r="H100" s="68" t="s">
        <v>244</v>
      </c>
      <c r="I100" s="68" t="s">
        <v>263</v>
      </c>
      <c r="J100" s="96" t="s">
        <v>207</v>
      </c>
      <c r="K100" s="96" t="s">
        <v>207</v>
      </c>
      <c r="L100" s="68">
        <v>2050</v>
      </c>
      <c r="M100" s="68"/>
      <c r="N100" s="68"/>
      <c r="O100" s="68"/>
      <c r="P100" s="68"/>
      <c r="Q100" s="68"/>
      <c r="R100" s="68"/>
      <c r="S100" s="68"/>
      <c r="T100" s="68" t="s">
        <v>245</v>
      </c>
      <c r="U100" s="68">
        <v>2291000000</v>
      </c>
      <c r="V100" s="5">
        <v>34932339</v>
      </c>
      <c r="W100" s="68"/>
      <c r="X100" s="5">
        <f>Tableau1[[#This Row],[monetary]]/Tableau1[[#This Row],[population_target]]</f>
        <v>65.583927832602328</v>
      </c>
      <c r="Y100" s="68"/>
      <c r="Z100" s="4" t="s">
        <v>278</v>
      </c>
    </row>
    <row r="101" spans="1:26" s="28" customFormat="1" ht="26.4" x14ac:dyDescent="0.3">
      <c r="A101" s="5" t="s">
        <v>80</v>
      </c>
      <c r="B101" s="92" t="s">
        <v>79</v>
      </c>
      <c r="C101" s="4" t="s">
        <v>31</v>
      </c>
      <c r="D101" s="5">
        <v>37.97</v>
      </c>
      <c r="E101" s="4">
        <v>40</v>
      </c>
      <c r="F101" s="5" t="s">
        <v>238</v>
      </c>
      <c r="G101" s="5" t="s">
        <v>188</v>
      </c>
      <c r="H101" s="59" t="s">
        <v>192</v>
      </c>
      <c r="I101" s="59" t="s">
        <v>192</v>
      </c>
      <c r="J101" s="8" t="s">
        <v>207</v>
      </c>
      <c r="K101" s="8" t="s">
        <v>207</v>
      </c>
      <c r="L101" s="5">
        <v>2050</v>
      </c>
      <c r="M101" s="5"/>
      <c r="N101" s="5"/>
      <c r="O101" s="5"/>
      <c r="P101" s="5"/>
      <c r="Q101" s="5"/>
      <c r="R101" s="5"/>
      <c r="S101" s="5"/>
      <c r="T101" s="5" t="s">
        <v>239</v>
      </c>
      <c r="U101" s="5">
        <v>1000000000</v>
      </c>
      <c r="V101" s="5">
        <v>34932339</v>
      </c>
      <c r="W101" s="5"/>
      <c r="X101" s="5">
        <f>Tableau1[[#This Row],[monetary]]/Tableau1[[#This Row],[population_target]]</f>
        <v>28.626769023396918</v>
      </c>
      <c r="Y101" s="5"/>
      <c r="Z101" s="4" t="s">
        <v>278</v>
      </c>
    </row>
    <row r="102" spans="1:26" s="28" customFormat="1" ht="26.4" x14ac:dyDescent="0.3">
      <c r="A102" s="5" t="s">
        <v>80</v>
      </c>
      <c r="B102" s="92" t="s">
        <v>79</v>
      </c>
      <c r="C102" s="8" t="s">
        <v>31</v>
      </c>
      <c r="D102" s="5">
        <v>37.97</v>
      </c>
      <c r="E102" s="8">
        <v>40</v>
      </c>
      <c r="F102" s="5" t="s">
        <v>237</v>
      </c>
      <c r="G102" s="5" t="s">
        <v>188</v>
      </c>
      <c r="H102" s="59" t="s">
        <v>192</v>
      </c>
      <c r="I102" s="59" t="s">
        <v>192</v>
      </c>
      <c r="J102" s="8" t="s">
        <v>207</v>
      </c>
      <c r="K102" s="8" t="s">
        <v>207</v>
      </c>
      <c r="L102" s="5">
        <v>2050</v>
      </c>
      <c r="M102" s="5"/>
      <c r="N102" s="5"/>
      <c r="O102" s="5"/>
      <c r="P102" s="5"/>
      <c r="Q102" s="5"/>
      <c r="R102" s="5"/>
      <c r="S102" s="5"/>
      <c r="T102" s="5" t="s">
        <v>240</v>
      </c>
      <c r="U102" s="5">
        <v>1300000000</v>
      </c>
      <c r="V102" s="5">
        <v>34932339</v>
      </c>
      <c r="W102" s="5"/>
      <c r="X102" s="5">
        <f>Tableau1[[#This Row],[monetary]]/Tableau1[[#This Row],[population_target]]</f>
        <v>37.21479973041599</v>
      </c>
      <c r="Y102" s="5"/>
      <c r="Z102" s="4" t="s">
        <v>278</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2024-03-11T13:25:29Z</dcterms:modified>
</cp:coreProperties>
</file>