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90" i="1" l="1"/>
  <c r="T98" i="1"/>
  <c r="T75" i="1"/>
  <c r="T82" i="1"/>
  <c r="T76" i="1"/>
  <c r="T83" i="1"/>
  <c r="T84" i="1"/>
  <c r="T77" i="1"/>
  <c r="T78" i="1"/>
  <c r="T79" i="1"/>
  <c r="U100" i="1"/>
  <c r="U96" i="1"/>
  <c r="U97" i="1"/>
  <c r="U98" i="1"/>
  <c r="U99" i="1"/>
  <c r="U22" i="1"/>
  <c r="T91" i="1"/>
  <c r="U15" i="1"/>
  <c r="U17" i="1"/>
  <c r="U2" i="1"/>
  <c r="U19" i="1"/>
  <c r="U59" i="1"/>
  <c r="U61" i="1"/>
  <c r="U60" i="1"/>
  <c r="U32" i="1"/>
  <c r="T85" i="1"/>
  <c r="T81" i="1"/>
  <c r="T80" i="1"/>
  <c r="U36" i="1"/>
  <c r="U16" i="1"/>
  <c r="U35" i="1"/>
  <c r="T23" i="1"/>
  <c r="U23" i="1"/>
  <c r="P98" i="1" l="1"/>
  <c r="N63" i="1"/>
  <c r="N58" i="1"/>
  <c r="N42" i="1"/>
  <c r="L48" i="1" l="1"/>
  <c r="L52" i="1"/>
  <c r="L54" i="1" l="1"/>
  <c r="L61" i="1"/>
  <c r="N61" i="1"/>
  <c r="L62" i="1"/>
  <c r="N62" i="1" s="1"/>
  <c r="L13" i="1"/>
  <c r="N13" i="1" s="1"/>
  <c r="L59" i="1"/>
  <c r="L44" i="1"/>
  <c r="N44" i="1" s="1"/>
  <c r="L19" i="1"/>
  <c r="N19" i="1" s="1"/>
  <c r="N22" i="1"/>
  <c r="N29" i="1"/>
  <c r="N56" i="1"/>
  <c r="N57" i="1"/>
  <c r="N16" i="1"/>
  <c r="N32" i="1"/>
  <c r="N35" i="1"/>
  <c r="L46" i="1" l="1"/>
  <c r="L45" i="1"/>
  <c r="N60" i="1"/>
  <c r="N6" i="1"/>
  <c r="N43" i="1"/>
  <c r="N41" i="1"/>
  <c r="N50" i="1"/>
  <c r="N64" i="1"/>
  <c r="N65" i="1"/>
  <c r="N40" i="1"/>
  <c r="N55" i="1"/>
  <c r="N11" i="1"/>
  <c r="N49" i="1"/>
  <c r="N9" i="1" l="1"/>
  <c r="N27" i="1"/>
  <c r="N33" i="1"/>
  <c r="N3" i="1"/>
  <c r="N20" i="1"/>
  <c r="L39" i="1" l="1"/>
  <c r="N39" i="1" s="1"/>
  <c r="L31" i="1"/>
  <c r="N31" i="1" s="1"/>
  <c r="L34" i="1"/>
  <c r="N34" i="1" s="1"/>
  <c r="L14" i="1"/>
  <c r="N14" i="1" s="1"/>
  <c r="L28" i="1" l="1"/>
  <c r="N28" i="1" s="1"/>
  <c r="L5" i="1"/>
  <c r="N5" i="1" s="1"/>
  <c r="L4" i="1"/>
  <c r="N4" i="1" s="1"/>
  <c r="L53" i="1"/>
  <c r="N53" i="1" s="1"/>
  <c r="L38" i="1"/>
  <c r="N38" i="1" s="1"/>
  <c r="L37" i="1"/>
  <c r="N37" i="1" s="1"/>
  <c r="N15" i="1"/>
  <c r="N17" i="1"/>
  <c r="L18" i="1"/>
  <c r="N18" i="1" s="1"/>
  <c r="L12" i="1"/>
  <c r="N12" i="1" s="1"/>
  <c r="L7" i="1"/>
  <c r="N7" i="1" s="1"/>
  <c r="L8" i="1"/>
  <c r="N8" i="1" s="1"/>
  <c r="L10" i="1"/>
  <c r="N10" i="1" s="1"/>
  <c r="L30" i="1"/>
  <c r="N30" i="1" s="1"/>
  <c r="N51" i="1"/>
  <c r="N47" i="1"/>
  <c r="N52" i="1"/>
  <c r="N48" i="1"/>
  <c r="N26" i="1" l="1"/>
  <c r="N21" i="1"/>
  <c r="N25" i="1"/>
  <c r="N24" i="1"/>
  <c r="N46" i="1" l="1"/>
  <c r="N45" i="1" l="1"/>
  <c r="N59" i="1"/>
  <c r="N2" i="1"/>
  <c r="N54" i="1"/>
  <c r="N36" i="1"/>
  <c r="N23" i="1"/>
</calcChain>
</file>

<file path=xl/sharedStrings.xml><?xml version="1.0" encoding="utf-8"?>
<sst xmlns="http://schemas.openxmlformats.org/spreadsheetml/2006/main" count="926" uniqueCount="356">
  <si>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</si>
  <si>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</si>
  <si>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</si>
  <si>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</si>
  <si>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</si>
  <si>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</si>
  <si>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</si>
  <si>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</si>
  <si>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</si>
  <si>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</si>
  <si>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</si>
  <si>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</si>
  <si>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</si>
  <si>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</si>
  <si>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</si>
  <si>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</si>
  <si>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</si>
  <si>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</si>
  <si>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</si>
  <si>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</si>
  <si>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</si>
  <si>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</si>
  <si>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</si>
  <si>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</si>
  <si>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</si>
  <si>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</si>
  <si>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</si>
  <si>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</si>
  <si>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</si>
  <si>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</si>
  <si>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</si>
  <si>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</si>
  <si>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</si>
  <si>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</si>
  <si>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</si>
  <si>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</si>
  <si>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</si>
  <si>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</si>
  <si>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</si>
  <si>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</si>
  <si>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</si>
  <si>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</si>
  <si>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</si>
  <si>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</si>
  <si>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</si>
  <si>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</si>
  <si>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</si>
  <si>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</si>
  <si>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</si>
  <si>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</si>
  <si>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</si>
  <si>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</si>
  <si>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</si>
  <si>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</si>
  <si>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</si>
  <si>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</si>
  <si>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</si>
  <si>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</si>
  <si>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</si>
  <si>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</si>
  <si>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</si>
  <si>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</si>
  <si>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</si>
  <si>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</si>
  <si>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</si>
  <si>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</si>
  <si>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</si>
  <si>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</si>
  <si>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</si>
  <si>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</si>
  <si>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</si>
  <si>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</si>
  <si>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</si>
  <si>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</si>
  <si>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</si>
  <si>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</si>
  <si>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</si>
  <si>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</si>
  <si>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</si>
  <si>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</si>
  <si>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</si>
  <si>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</si>
  <si>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</si>
  <si>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</si>
  <si>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</si>
  <si>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</si>
  <si>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</si>
  <si>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</si>
  <si>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</si>
  <si>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</si>
  <si>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</si>
  <si>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</si>
  <si>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</si>
  <si>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</si>
  <si>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Climate policies can help resolve energy security and air pollution challenges</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</si>
  <si>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</si>
  <si>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</si>
  <si>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</si>
  <si>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</si>
  <si>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</si>
  <si>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</si>
  <si>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</si>
  <si>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</si>
  <si>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</si>
  <si>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</si>
  <si>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</si>
  <si>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</si>
  <si>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</si>
  <si>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</si>
  <si>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</si>
  <si>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</si>
  <si>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</si>
  <si>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</si>
  <si>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</si>
  <si>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</si>
  <si>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</si>
  <si>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Cumulatif 2010-2050</t>
  </si>
  <si>
    <t>Cumulatif 2020-2050</t>
  </si>
  <si>
    <t>12 100 / 2 800</t>
  </si>
  <si>
    <t>no data</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</si>
  <si>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</si>
  <si>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</si>
  <si>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</si>
  <si>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</si>
  <si>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</si>
  <si>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</si>
  <si>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2012</t>
  </si>
  <si>
    <t>Rafaj, 2018</t>
  </si>
  <si>
    <t>Outlook for clean air in the context of sustainable development goals</t>
  </si>
  <si>
    <t>scenario</t>
  </si>
  <si>
    <t>scenario_cat</t>
  </si>
  <si>
    <t>all available</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</si>
  <si>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</si>
  <si>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</si>
  <si>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</si>
  <si>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</si>
  <si>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</si>
  <si>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</si>
  <si>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</si>
  <si>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</si>
  <si>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</si>
  <si>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</si>
  <si>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</si>
  <si>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</si>
  <si>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</si>
  <si>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</si>
  <si>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</si>
  <si>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</si>
  <si>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</si>
  <si>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PM2,5+O3</t>
  </si>
  <si>
    <t>Comment</t>
  </si>
  <si>
    <t>2C-domestic</t>
  </si>
  <si>
    <t>2C-trading</t>
  </si>
  <si>
    <t>SSP3_Equal-by-sector</t>
  </si>
  <si>
    <t>SSP3_Climate priority</t>
  </si>
  <si>
    <t>SSP3_AQ priority</t>
  </si>
  <si>
    <t>SSP5_Equal-by-sector</t>
  </si>
  <si>
    <t>SSP5_Climate priority</t>
  </si>
  <si>
    <t>SSP5_AQ priority</t>
  </si>
  <si>
    <t>Comment2</t>
  </si>
  <si>
    <t>CAS_outdoor</t>
  </si>
  <si>
    <t>SDS_outdoor</t>
  </si>
  <si>
    <t>CAS_indoor</t>
  </si>
  <si>
    <t>SDS_indoor</t>
  </si>
  <si>
    <t>EUROPE China Indonesia India South Africa</t>
  </si>
  <si>
    <t>Brazil China Indonesia India South Africa</t>
  </si>
  <si>
    <t>NDC</t>
  </si>
  <si>
    <t>financial instrument</t>
  </si>
  <si>
    <t>TT</t>
  </si>
  <si>
    <t>CBAP</t>
  </si>
  <si>
    <t>TT + CBAP</t>
  </si>
  <si>
    <t>TT = Temperature target</t>
  </si>
  <si>
    <t>Impact on mortality (not a benefit)
no HIA for baseline year</t>
  </si>
  <si>
    <t>Ca</t>
  </si>
  <si>
    <t>WWS</t>
  </si>
  <si>
    <t>pm2,5+O3 / indoor+outdoor</t>
  </si>
  <si>
    <t>Net-zero</t>
  </si>
  <si>
    <t>SPS_Air_pollution</t>
  </si>
  <si>
    <t>HPS-Air_pollution</t>
  </si>
  <si>
    <t>SPS_Diet</t>
  </si>
  <si>
    <t>HPS_Diet</t>
  </si>
  <si>
    <t>SPS_Active_travel</t>
  </si>
  <si>
    <t>HPS_Active_travel</t>
  </si>
  <si>
    <t>1.5_MFR</t>
  </si>
  <si>
    <t>Only china and india</t>
  </si>
  <si>
    <t>mitigation</t>
  </si>
  <si>
    <t xml:space="preserve">Only O3 </t>
  </si>
  <si>
    <t>CEICN</t>
  </si>
  <si>
    <t>SDS-MFR</t>
  </si>
  <si>
    <t>WBD2-MFR</t>
  </si>
  <si>
    <t>NPI_CLE - WBD2-MFR</t>
  </si>
  <si>
    <t>CCS</t>
  </si>
  <si>
    <t>REN</t>
  </si>
  <si>
    <t>HIG</t>
  </si>
  <si>
    <t>Current-pollution_baseline</t>
  </si>
  <si>
    <t>Ambitious-pollution_1.5°C</t>
  </si>
  <si>
    <t>Current-pollution_ndc</t>
  </si>
  <si>
    <t>PES</t>
  </si>
  <si>
    <t>CBE-MFR</t>
  </si>
  <si>
    <t>GEMM - NCD &amp; LRI</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</si>
  <si>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</si>
  <si>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</si>
  <si>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</si>
  <si>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</si>
  <si>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</si>
  <si>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</si>
  <si>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</si>
  <si>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</si>
  <si>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</si>
  <si>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</si>
  <si>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</si>
  <si>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</si>
  <si>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</si>
  <si>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</si>
  <si>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all</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</si>
  <si>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</si>
  <si>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</si>
  <si>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</si>
  <si>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</si>
  <si>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</si>
  <si>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</si>
  <si>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</si>
  <si>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</si>
  <si>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</si>
  <si>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</si>
  <si>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</si>
  <si>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</si>
  <si>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</si>
  <si>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</si>
  <si>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</si>
  <si>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</si>
  <si>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</si>
  <si>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</si>
  <si>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r>
      <t xml:space="preserve">In the REN scenario in 2030, the </t>
    </r>
    <r>
      <rPr>
        <b/>
        <sz val="11"/>
        <color theme="1"/>
        <rFont val="Calibri"/>
        <family val="2"/>
        <scheme val="minor"/>
      </rPr>
      <t>transformation sector and the manufacturing sector</t>
    </r>
    <r>
      <rPr>
        <sz val="11"/>
        <color theme="1"/>
        <rFont val="Calibri"/>
        <family val="2"/>
        <scheme val="minor"/>
      </rPr>
      <t xml:space="preserve"> had the greatest potential for health co-benefits. 
</t>
    </r>
  </si>
  <si>
    <r>
      <t>In the HIG scenario transformation sector, health co-benefits are negative, mainly because in the HIG scenario,</t>
    </r>
    <r>
      <rPr>
        <b/>
        <sz val="11"/>
        <color theme="1"/>
        <rFont val="Calibri"/>
        <family val="2"/>
        <scheme val="minor"/>
      </rPr>
      <t xml:space="preserve"> industrial restructuring contributed to larger health gains,</t>
    </r>
    <r>
      <rPr>
        <sz val="11"/>
        <color theme="1"/>
        <rFont val="Calibri"/>
        <family val="2"/>
        <scheme val="minor"/>
      </rPr>
      <t xml:space="preserve"> but the energy restructuring of the industrial sector shifted health losses to the electricity generation sector, so the health gains of transformation sector are negative</t>
    </r>
  </si>
  <si>
    <r>
      <t xml:space="preserve">The health co-benefits of </t>
    </r>
    <r>
      <rPr>
        <b/>
        <sz val="11"/>
        <color theme="1"/>
        <rFont val="Calibri"/>
        <family val="2"/>
        <scheme val="minor"/>
      </rPr>
      <t>NOx emission reductions are the highest of all pollutants.</t>
    </r>
    <r>
      <rPr>
        <sz val="11"/>
        <color theme="1"/>
        <rFont val="Calibri"/>
        <family val="2"/>
        <scheme val="minor"/>
      </rPr>
      <t xml:space="preserve">
- greatest emission reduction potential among all pollutant emissions, especially in the REN scenario
-NOx has a high intake fractions value, almost eight times that of SO2
- concentration-response coefficient of NOx, which mortality concentration-response coefficient is 3.5 times than that of PM2.5</t>
    </r>
  </si>
  <si>
    <r>
      <t>additional air quality co-benefits from climate mitigation efforts are spread across :</t>
    </r>
    <r>
      <rPr>
        <b/>
        <sz val="11"/>
        <color theme="1"/>
        <rFont val="Calibri"/>
        <family val="2"/>
        <scheme val="minor"/>
      </rPr>
      <t xml:space="preserve"> industrial &gt; residential &gt; power generation &gt; land transport emissions</t>
    </r>
  </si>
  <si>
    <t>Energie, housing transport, diet</t>
  </si>
  <si>
    <t>Health benefits: Diet &gt;&gt;&gt;&gt;&gt; Active transport &lt;=&gt; Air pollution (depend on countries)</t>
  </si>
  <si>
    <t>Projected premature deaths : Industrie &gt; Transport &gt;&gt; Energy</t>
  </si>
  <si>
    <t>SSP5 &gt;&gt;&gt;&gt;&gt; SSP3</t>
  </si>
  <si>
    <t>Health benefits: sufficiency &gt; energy decarbonation (CCS / nuclear)</t>
  </si>
  <si>
    <t xml:space="preserve">Energy &amp; Agriculture &amp; Transport </t>
  </si>
  <si>
    <t xml:space="preserve">Air pollution </t>
  </si>
  <si>
    <t>yll</t>
  </si>
  <si>
    <t>lifexp_months</t>
  </si>
  <si>
    <t>[53.79-171.93]</t>
  </si>
  <si>
    <t>Health benefits: Stroke &gt;&gt; IHD &gt;  COPD &gt;&gt; Lung cancer</t>
  </si>
  <si>
    <t>Health benefits: Nox &gt;&gt;&gt; PM 10 &gt;SO2 &gt; PM 2.5</t>
  </si>
  <si>
    <t>Health benefits: REN &gt; HIG &gt; CCS</t>
  </si>
  <si>
    <t>Health benefits: Acute bronchitis &gt;&gt; Asthma attack &gt;&gt; Respiratory/cardiovascular hospital admission / Chronic bronchitis</t>
  </si>
  <si>
    <t>102.67</t>
  </si>
  <si>
    <t>187.11</t>
  </si>
  <si>
    <t>222.84</t>
  </si>
  <si>
    <t>Dimitrova, 2021</t>
  </si>
  <si>
    <t>Balanced pathway</t>
  </si>
  <si>
    <t>Widespread engagement</t>
  </si>
  <si>
    <t>Deaths: PM 2.5 = 8x O3</t>
  </si>
  <si>
    <t>Unclear</t>
  </si>
  <si>
    <t>1.2 (EU)
19 (China)
30 (India)</t>
  </si>
  <si>
    <t>Health valuation 0,05% of GDP</t>
  </si>
  <si>
    <t>Health valuation 0,75% of GDP</t>
  </si>
  <si>
    <t>Impact charbon + mitigation</t>
  </si>
  <si>
    <t>monetary_bilions ($)</t>
  </si>
  <si>
    <t>40.7 (37.6 Euro)</t>
  </si>
  <si>
    <t>167.91</t>
  </si>
  <si>
    <t>684.03</t>
  </si>
  <si>
    <t>125.35 (980)</t>
  </si>
  <si>
    <t>Zhang, 2021a</t>
  </si>
  <si>
    <t>Zhang, 2021b</t>
  </si>
  <si>
    <t>RE</t>
  </si>
  <si>
    <t>NET (negative tech)</t>
  </si>
  <si>
    <t>7.4</t>
  </si>
  <si>
    <t>15.8</t>
  </si>
  <si>
    <t>27.7</t>
  </si>
  <si>
    <t>Benefits: REN &gt; NEG tech</t>
  </si>
  <si>
    <t>PM10 + SO2 + NO2</t>
  </si>
  <si>
    <t>Nuclear</t>
  </si>
  <si>
    <t>Non-nuclear</t>
  </si>
  <si>
    <t>Benefits: Nuclear &gt; non-nuclear</t>
  </si>
  <si>
    <t>0.7-1.0</t>
  </si>
  <si>
    <t>0.7-1.3</t>
  </si>
  <si>
    <t>Reduction of external costs</t>
  </si>
  <si>
    <t>Mod-RES</t>
  </si>
  <si>
    <t>High-res decentralized</t>
  </si>
  <si>
    <t>High-res centralized</t>
  </si>
  <si>
    <t>Energy,  household</t>
  </si>
  <si>
    <t>2.291</t>
  </si>
  <si>
    <t>2.268</t>
  </si>
  <si>
    <t>2.314</t>
  </si>
  <si>
    <t>Benefits: Centralized &gt; decentralized</t>
  </si>
  <si>
    <t>Air pollution &gt; Active transport: China, Germany, Indonesia</t>
  </si>
  <si>
    <t>Active transport &gt; Air pollution: Brazil, South Africa, UK, USA</t>
  </si>
  <si>
    <t>monetary_per_capita</t>
  </si>
  <si>
    <t>population_target</t>
  </si>
  <si>
    <t>Air pollution benefit: China, India, Indonesia &gt;&gt;</t>
  </si>
  <si>
    <t>Diet benefit: Nigeria &lt;&lt;</t>
  </si>
  <si>
    <t>Active travel benefit: Germany &lt; Nigeria &lt;&lt;</t>
  </si>
  <si>
    <t>Benefit: Male &gt; female
Urban &gt; Rural</t>
  </si>
  <si>
    <t>0.7</t>
  </si>
  <si>
    <t>WWS requires no mining, transporting, or processing of fuels, and WWS end-use efficiency is assumed to exceed that of BAU (6.9%). Converting may create  24.3 million more permanent, full-time jobs than jobs lost.</t>
  </si>
  <si>
    <t>Developing green transport measures outperforms the electrification of passenger transport.</t>
  </si>
  <si>
    <r>
      <t>Health benefits: even with the lower bound of the VSL, the</t>
    </r>
    <r>
      <rPr>
        <b/>
        <sz val="11"/>
        <color theme="1"/>
        <rFont val="Calibri"/>
        <family val="2"/>
        <scheme val="minor"/>
      </rPr>
      <t xml:space="preserve"> value of the health co-benefits would cover 70–91% of the mitigation costs</t>
    </r>
    <r>
      <rPr>
        <sz val="11"/>
        <color theme="1"/>
        <rFont val="Calibri"/>
        <family val="2"/>
        <scheme val="minor"/>
      </rPr>
      <t>, depending on the chosen scenario. 
The results showed that in</t>
    </r>
    <r>
      <rPr>
        <b/>
        <sz val="11"/>
        <color theme="1"/>
        <rFont val="Calibri"/>
        <family val="2"/>
        <scheme val="minor"/>
      </rPr>
      <t xml:space="preserve"> China and India</t>
    </r>
    <r>
      <rPr>
        <sz val="11"/>
        <color theme="1"/>
        <rFont val="Calibri"/>
        <family val="2"/>
        <scheme val="minor"/>
      </rPr>
      <t xml:space="preserve">, the cost of setting </t>
    </r>
    <r>
      <rPr>
        <b/>
        <sz val="11"/>
        <color theme="1"/>
        <rFont val="Calibri"/>
        <family val="2"/>
        <scheme val="minor"/>
      </rPr>
      <t>any additional policy could be compensated</t>
    </r>
    <r>
      <rPr>
        <sz val="11"/>
        <color theme="1"/>
        <rFont val="Calibri"/>
        <family val="2"/>
        <scheme val="minor"/>
      </rPr>
      <t xml:space="preserve"> just with the health benefits in most cases. Other regions could not compensate the costs with the cobenefits alone, but the co-benefits would make a valuable contribution towards</t>
    </r>
    <r>
      <rPr>
        <b/>
        <sz val="11"/>
        <color theme="1"/>
        <rFont val="Calibri"/>
        <family val="2"/>
        <scheme val="minor"/>
      </rPr>
      <t xml:space="preserve"> covering the mitigation costs, from 7% to 84% in the EU-27 countries and from 10% to 41% in the USA</t>
    </r>
    <r>
      <rPr>
        <sz val="11"/>
        <color theme="1"/>
        <rFont val="Calibri"/>
        <family val="2"/>
        <scheme val="minor"/>
      </rPr>
      <t>.</t>
    </r>
  </si>
  <si>
    <t>Concerted decarbonization efforts can lead to improved air quality, thereby reducing energy-related health impacts worldwide, at the same time, low-carbon technologies and energy-efficiency improvements can help to further the energy security goals of individual countries and regions by promoting a more dependable, resilient, and diversified energy portfolio. The cost savings of these climate policy synergies are potentially enormous.</t>
  </si>
  <si>
    <t>Health benefits being correspondingly greater with a pathway that entails faster and more ambitious changes, especially in physical activity and diets.</t>
  </si>
  <si>
    <t>UK &amp; Wales health benefits: Housing &gt; Air pollution &gt;&gt; Diet &gt;&gt; Active transport.</t>
  </si>
  <si>
    <t>Premature deaths (PM2.5) at baseline: AGR &gt; RES &gt; IND &gt; ENE &gt; TRN &gt;&gt; SHP
Premature deaths (O3) at baseline: TRN &gt; RES &gt; IND &gt; AIR &gt; SHP
Action by India would result in the most benefits of any country and a majority of these avoided deaths would be attributable to reductions in PM2.5 exposure (68%)</t>
  </si>
  <si>
    <t>AQ &gt;&gt;&gt; climate &gt; equal by sector</t>
  </si>
  <si>
    <t>The health benefits couldpartially or fully cover the policy costs under different assumptions of the value of a statistical life</t>
  </si>
  <si>
    <t>Around one third of financial co-benefits estimated world-wide in this study by 2050 occur in China, while an annual cost saving of 35 billion Euros (€) is estimated for the EU if the current air pollution legislation and climate policies are adopted in parallel</t>
  </si>
  <si>
    <t>In comparison to costs needed for the decarbonization of global economy, additional investments in air pollution control and access to clean fuels are very modest against major societal gains.</t>
  </si>
  <si>
    <t>Emerging Asian countries, followed by Africa and Middle East, might benefit the most from air pollution cuts brought about through GHG mitigation. At the same time, the potential co-benefits depend on the rate of implementation and enforcement of AQ legislation and emission standards.</t>
  </si>
  <si>
    <t>2 ◦C pathway is therefore, from a social cost perspective, a “no-regret option” in the global aggregate, but in particular for China and India due to high air quality benefits, and also for developed regions due to net negative mitigation costs. Energy and resource exporting regions, on the other hand, face higher mitigation cost than benefits. Our analysis further shows that the result of higher health benefits than mitigation costs is robust across various air pollution control scenarios.</t>
  </si>
  <si>
    <t>Accounting for air pollution impacts reduces climate mitigation costs and inequality and increases global and regional welfare. Results are robust to a broad set of scenarios and assumptions, including debated normative choices on how to value improved health.</t>
  </si>
  <si>
    <t>China is the region where most of the avoided mortality is possible.</t>
  </si>
  <si>
    <t xml:space="preserve">Significant co-benefits can be found for a range of technological options. </t>
  </si>
  <si>
    <t xml:space="preserve">
The ratio of health co-benefits to mitigation costs varies substantially, ranging from 1.45 when a bioenergy limitation is set to 2.19 when all technologies are available. As for regional disaggregation, some regions, such as India and China, obtain far greater co-benefits than others.</t>
  </si>
  <si>
    <r>
      <t xml:space="preserve">In this research, we quantify the health co-benefits from cancelling new coal-fired power plants in the context of deep decarbonization. We find that that this measure would result in significant reductions of PM 2.5 concentrations at a global level, with largest reductions in China and India. </t>
    </r>
    <r>
      <rPr>
        <b/>
        <sz val="11"/>
        <color theme="1"/>
        <rFont val="Calibri"/>
        <family val="2"/>
        <scheme val="minor"/>
      </rPr>
      <t>These regions also present the largest health co-benefits due to high population density.</t>
    </r>
  </si>
  <si>
    <t>Monetized benefits are in the tens of trillions of dollars for avoided deaths and tens of billions for labor productivity and crop yield increases and reduced hospital expenditures.</t>
  </si>
  <si>
    <t>health co-benefits brought by CO2 emission reduction policies could fully offset the mitigation costs in the long-term</t>
  </si>
  <si>
    <t>Co-reductions in air pollutant emissions under climate policies could also induce significant cost savings in pollution control, an additional co-benefit of climate policies</t>
  </si>
  <si>
    <t>Air quality co-benefits on morbidity, mortality, and agriculture could globally offset the costs of climate policy.</t>
  </si>
  <si>
    <t xml:space="preserve">Health benefits: China/India &gt; EU &gt; USA </t>
  </si>
  <si>
    <t>Nevertheless, our analysis shows that ambitious GHG reduction efforts can provide substantial health co-benefits, especially for residents of disadvantaged communities.</t>
  </si>
  <si>
    <r>
      <t xml:space="preserve">In the presence of increasing CO2 concentrations, we estimated that decreasing zinc and iron concentrations of crops would induce an additional 125.8 million DALYs globally from 2015-2050. This CO2-induced disease burden is projected to disproportionately affect nations in the World Health Organization's </t>
    </r>
    <r>
      <rPr>
        <b/>
        <sz val="11"/>
        <color theme="1"/>
        <rFont val="Calibri"/>
        <family val="2"/>
        <scheme val="minor"/>
      </rPr>
      <t>South-East Asia and African Regions</t>
    </r>
    <r>
      <rPr>
        <sz val="11"/>
        <color theme="1"/>
        <rFont val="Calibri"/>
        <family val="2"/>
        <scheme val="minor"/>
      </rPr>
      <t>. A climate mitigation strategy such as the Paris Agreement would be expected to avert 48.2% of this burden, while traditional public health interventions including nutrient supplementation and disease control programs would be expected to avert 26.6% of the burden.</t>
    </r>
  </si>
  <si>
    <t>Health benefits: Low GHG &gt; nuclear</t>
  </si>
  <si>
    <t>optimization and implementation of coal regulation in the future is not only essential for the carbon neutrality target, but also a significant method to yield environmental and health co-benefits.</t>
  </si>
  <si>
    <t>PM 2.5 + O3
 vs NDC-MFR</t>
  </si>
  <si>
    <t>PM2.5+O3
 vs Current path</t>
  </si>
  <si>
    <t xml:space="preserve">SSP1_19 </t>
  </si>
  <si>
    <t>vs SSP5_85</t>
  </si>
  <si>
    <t>Results show that the incremental health benefit from improved air quality of CBE exceeds 8 times the additional costs of CO2 mitigation, attributed particularly to the cost-effective reduction in household PM2.5 exposure</t>
  </si>
  <si>
    <t>The health benefits are higher in the renewable energies-led scenarios, whereas the mitigation costs are smaller in the negative emission technologies-led scenarios</t>
  </si>
  <si>
    <t>if China incorporates health co-benefits into climate policy making and puts a high value on people’s health, it should choose a carbon neutrality pathway that relies more on developing renewable energies and avoid over-reliance on negative emission technologies.</t>
  </si>
  <si>
    <t>decarbonization pathway that focuses on electrification and clean renewable energy is estimated to bring 4x more health benefits than a pathway focusing more on combustible renewable fuels.
After subtracting the cost, the net monetized benefit of the electrification-focused pathway still exceeds that of the renewable fuel-focused pathway, indicating that a cleaner but more expensive decarbonization pathway may be more preferable in California.</t>
  </si>
  <si>
    <t>California: The building electrification focused decarbonization strategy achieves ~15% greater total health benefits than the truck electrification focused strategy which uses renewable fuels to meet building demands. Conversely, the enhanced electrification of the truck sector is shown to benefit disadvantaged communities more effectively.</t>
  </si>
  <si>
    <t>cumulative value of avoided external costs between 2018 and 2050 is significantly lower than the planned capital expenditures in the energy sector in Poland.</t>
  </si>
  <si>
    <t>The results showed that the largest reductions in both greenhouse gas and PM emissions—and consequently improvements of air quality resulting in a decrease of negative impacts on human health and a decrease of external costs—can be achieved by the transformation of heat production in the household and tertiary sector.</t>
  </si>
  <si>
    <t>Increased physical activity could generate substantial public health benefits, which are comparable to the gain expected by large scale health prevention interventions.</t>
  </si>
  <si>
    <r>
      <t>Opportunity to reduce inequalities in health and human capital early in life: Implementation of integrated climate, air quality, and energy access interventions has a synergistic impact, reducing  number of stunted children million with the</t>
    </r>
    <r>
      <rPr>
        <b/>
        <sz val="11"/>
        <color theme="1"/>
        <rFont val="Calibri"/>
        <family val="2"/>
        <scheme val="minor"/>
      </rPr>
      <t xml:space="preserve"> largest health benefits experienced by the most disadvantaged children</t>
    </r>
    <r>
      <rPr>
        <sz val="11"/>
        <color theme="1"/>
        <rFont val="Calibri"/>
        <family val="2"/>
        <scheme val="minor"/>
      </rPr>
      <t xml:space="preserve"> and geographic regions (lowest household income, maternal education and social status).</t>
    </r>
  </si>
  <si>
    <t>When costs of air pollution are considered in the decision making, cumulative damage costs due to health impacts are still reduced by approximately 20% while the energy system costs vary only marginally</t>
  </si>
  <si>
    <t>yll_per_capita</t>
  </si>
  <si>
    <t>monetary</t>
  </si>
  <si>
    <t>0,72 (5,1) billion</t>
  </si>
  <si>
    <t>0,38 (2,7 CNY) = 380 ?</t>
  </si>
  <si>
    <t>10.6 Million</t>
  </si>
  <si>
    <t>VSL</t>
  </si>
  <si>
    <t xml:space="preserve">Milner, 2023 </t>
  </si>
  <si>
    <t xml:space="preserve">Physical activity </t>
  </si>
  <si>
    <t>cumulative 2021-50</t>
  </si>
  <si>
    <t xml:space="preserve">Air &amp; Indoor pollution &amp; Diet &amp; Physical activity </t>
  </si>
  <si>
    <t>LGHG</t>
  </si>
  <si>
    <t>NRPO</t>
  </si>
  <si>
    <t>emission_sector_cat</t>
  </si>
  <si>
    <t>Multi</t>
  </si>
  <si>
    <t>Food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</si>
</sst>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90">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2" fillId="5" borderId="3"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5" borderId="3" xfId="0" applyFill="1" applyBorder="1" applyAlignment="1">
      <alignment horizontal="center" vertical="center" wrapText="1"/>
    </xf>
    <xf numFmtId="0" fontId="4" fillId="6" borderId="2" xfId="0" applyFont="1" applyFill="1" applyBorder="1" applyAlignment="1">
      <alignment horizontal="center" vertical="center" wrapText="1"/>
    </xf>
    <xf numFmtId="3" fontId="4" fillId="6" borderId="2" xfId="0" applyNumberFormat="1" applyFont="1" applyFill="1" applyBorder="1" applyAlignment="1">
      <alignment horizontal="center" vertical="center" wrapText="1"/>
    </xf>
  </cellXfs>
  <cellStyles count="1">
    <cellStyle name="Normal" xfId="0" builtinId="0"/>
  </cellStyles>
  <dxfs count="24">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X100" totalsRowShown="0" dataDxfId="23">
  <autoFilter ref="A1:X100"/>
  <sortState ref="A2:X100">
    <sortCondition ref="N1:N100"/>
  </sortState>
  <tableColumns count="24">
    <tableColumn id="18" name="author_date" dataDxfId="22"/>
    <tableColumn id="1" name="title" dataDxfId="21"/>
    <tableColumn id="3" name="Geographical scale" dataDxfId="20"/>
    <tableColumn id="29" name="Population included at baseline (million), banque mondiale" dataDxfId="19"/>
    <tableColumn id="22" name="rank_pop" dataDxfId="18"/>
    <tableColumn id="4" name="scenario" dataDxfId="17"/>
    <tableColumn id="5" name="scenario_cat" dataDxfId="16"/>
    <tableColumn id="8" name="emission_sector" dataDxfId="15"/>
    <tableColumn id="20" name="emission_sector_cat"/>
    <tableColumn id="9" name="pathway_co_benefits" dataDxfId="14"/>
    <tableColumn id="6" name="scenario_yr" dataDxfId="13"/>
    <tableColumn id="2" name="n_prev" dataDxfId="12"/>
    <tableColumn id="17" name="n_death" dataDxfId="11"/>
    <tableColumn id="16" name="mortality_proj" dataDxfId="10"/>
    <tableColumn id="12" name="lifexp_months" dataDxfId="9"/>
    <tableColumn id="11" name="yll"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Comment" dataDxfId="1"/>
    <tableColumn id="7" name="Comment2"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
  <sheetViews>
    <sheetView tabSelected="1" topLeftCell="A58" zoomScale="55" zoomScaleNormal="55" workbookViewId="0">
      <pane xSplit="1" topLeftCell="B1" activePane="topRight" state="frozen"/>
      <selection pane="topRight" activeCell="I68" sqref="I68"/>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1" width="22.6640625" customWidth="1"/>
    <col min="12" max="14" width="26.21875" style="1" customWidth="1"/>
    <col min="15" max="21" width="32.33203125" customWidth="1"/>
    <col min="22" max="22" width="54.21875" customWidth="1"/>
    <col min="23" max="23" width="47" customWidth="1"/>
    <col min="24" max="24" width="44.33203125" customWidth="1"/>
  </cols>
  <sheetData>
    <row r="1" spans="1:24" ht="43.2" x14ac:dyDescent="0.3">
      <c r="A1" t="s">
        <v>34</v>
      </c>
      <c r="B1" t="s">
        <v>25</v>
      </c>
      <c r="C1" t="s">
        <v>71</v>
      </c>
      <c r="D1" s="2" t="s">
        <v>102</v>
      </c>
      <c r="E1" t="s">
        <v>103</v>
      </c>
      <c r="F1" t="s">
        <v>129</v>
      </c>
      <c r="G1" t="s">
        <v>130</v>
      </c>
      <c r="H1" t="s">
        <v>211</v>
      </c>
      <c r="I1" t="s">
        <v>353</v>
      </c>
      <c r="J1" t="s">
        <v>227</v>
      </c>
      <c r="K1" t="s">
        <v>137</v>
      </c>
      <c r="L1" s="1" t="s">
        <v>210</v>
      </c>
      <c r="M1" s="1" t="s">
        <v>120</v>
      </c>
      <c r="N1" s="1" t="s">
        <v>121</v>
      </c>
      <c r="O1" s="1" t="s">
        <v>245</v>
      </c>
      <c r="P1" s="1" t="s">
        <v>244</v>
      </c>
      <c r="Q1" s="1" t="s">
        <v>263</v>
      </c>
      <c r="R1" s="1" t="s">
        <v>342</v>
      </c>
      <c r="S1" s="1" t="s">
        <v>294</v>
      </c>
      <c r="T1" s="1" t="s">
        <v>341</v>
      </c>
      <c r="U1" s="1" t="s">
        <v>293</v>
      </c>
      <c r="V1" s="1" t="s">
        <v>346</v>
      </c>
      <c r="W1" t="s">
        <v>150</v>
      </c>
      <c r="X1" t="s">
        <v>159</v>
      </c>
    </row>
    <row r="2" spans="1:24" s="34" customFormat="1" ht="28.8" x14ac:dyDescent="0.3">
      <c r="A2" s="5" t="s">
        <v>97</v>
      </c>
      <c r="B2" s="46" t="s">
        <v>96</v>
      </c>
      <c r="C2" s="4" t="s">
        <v>27</v>
      </c>
      <c r="D2" s="7">
        <v>7405</v>
      </c>
      <c r="E2" s="4">
        <v>10</v>
      </c>
      <c r="F2" s="5" t="s">
        <v>173</v>
      </c>
      <c r="G2" s="5" t="s">
        <v>209</v>
      </c>
      <c r="H2" s="5" t="s">
        <v>214</v>
      </c>
      <c r="I2" s="5" t="s">
        <v>214</v>
      </c>
      <c r="J2" s="4" t="s">
        <v>229</v>
      </c>
      <c r="K2" s="5">
        <v>2050</v>
      </c>
      <c r="L2" s="9">
        <v>35550</v>
      </c>
      <c r="M2" s="11">
        <v>91583402</v>
      </c>
      <c r="N2" s="33">
        <f>Tableau1[[#This Row],[n_prev]]/Tableau1[[#This Row],[n_death]]</f>
        <v>3.8817077356440634E-4</v>
      </c>
      <c r="O2" s="33"/>
      <c r="P2" s="33"/>
      <c r="Q2" s="33">
        <v>10</v>
      </c>
      <c r="R2" s="33">
        <v>10000000000</v>
      </c>
      <c r="S2" s="33">
        <v>9709491761</v>
      </c>
      <c r="T2" s="33"/>
      <c r="U2" s="33">
        <f>Tableau1[[#This Row],[monetary]]/Tableau1[[#This Row],[population_target]]</f>
        <v>1.0299200252856571</v>
      </c>
      <c r="V2" s="33"/>
      <c r="W2" s="75"/>
      <c r="X2" s="5" t="s">
        <v>186</v>
      </c>
    </row>
    <row r="3" spans="1:24" s="34" customFormat="1" ht="144" x14ac:dyDescent="0.3">
      <c r="A3" s="5" t="s">
        <v>99</v>
      </c>
      <c r="B3" s="46" t="s">
        <v>98</v>
      </c>
      <c r="C3" s="4" t="s">
        <v>27</v>
      </c>
      <c r="D3" s="7">
        <v>7405</v>
      </c>
      <c r="E3" s="4">
        <v>8</v>
      </c>
      <c r="F3" s="5" t="s">
        <v>166</v>
      </c>
      <c r="G3" s="5" t="s">
        <v>209</v>
      </c>
      <c r="H3" s="5" t="s">
        <v>214</v>
      </c>
      <c r="I3" s="5" t="s">
        <v>214</v>
      </c>
      <c r="J3" s="5" t="s">
        <v>229</v>
      </c>
      <c r="K3" s="10">
        <v>2050</v>
      </c>
      <c r="L3" s="5">
        <v>130000</v>
      </c>
      <c r="M3" s="11">
        <v>91583402</v>
      </c>
      <c r="N3" s="5">
        <f>Tableau1[[#This Row],[n_prev]]/Tableau1[[#This Row],[n_death]]</f>
        <v>1.4194711832172385E-3</v>
      </c>
      <c r="O3" s="5"/>
      <c r="P3" s="5"/>
      <c r="Q3" s="5"/>
      <c r="R3" s="5"/>
      <c r="S3" s="5"/>
      <c r="T3" s="5"/>
      <c r="U3" s="5"/>
      <c r="V3" s="5"/>
      <c r="W3" s="4" t="s">
        <v>312</v>
      </c>
      <c r="X3" s="5" t="s">
        <v>260</v>
      </c>
    </row>
    <row r="4" spans="1:24" s="34" customFormat="1" ht="144.6" customHeight="1" x14ac:dyDescent="0.3">
      <c r="A4" s="39" t="s">
        <v>89</v>
      </c>
      <c r="B4" s="25" t="s">
        <v>88</v>
      </c>
      <c r="C4" s="26" t="s">
        <v>27</v>
      </c>
      <c r="D4" s="27">
        <v>7662</v>
      </c>
      <c r="E4" s="26">
        <v>6</v>
      </c>
      <c r="F4" s="37" t="s">
        <v>156</v>
      </c>
      <c r="G4" s="37" t="s">
        <v>209</v>
      </c>
      <c r="H4" s="26" t="s">
        <v>220</v>
      </c>
      <c r="I4" s="26" t="s">
        <v>354</v>
      </c>
      <c r="J4" s="39" t="s">
        <v>229</v>
      </c>
      <c r="K4" s="37">
        <v>2030</v>
      </c>
      <c r="L4" s="30">
        <f>6500000-6400000</f>
        <v>100000</v>
      </c>
      <c r="M4" s="41">
        <v>67172551</v>
      </c>
      <c r="N4" s="24">
        <f>Tableau1[[#This Row],[n_prev]]/Tableau1[[#This Row],[n_death]]</f>
        <v>1.488703324666053E-3</v>
      </c>
      <c r="O4" s="24"/>
      <c r="P4" s="24"/>
      <c r="Q4" s="24"/>
      <c r="R4" s="24"/>
      <c r="S4" s="24"/>
      <c r="T4" s="24"/>
      <c r="U4" s="24"/>
      <c r="V4" s="24"/>
      <c r="W4" s="26" t="s">
        <v>240</v>
      </c>
      <c r="X4" s="37"/>
    </row>
    <row r="5" spans="1:24" s="34" customFormat="1" ht="72" x14ac:dyDescent="0.3">
      <c r="A5" s="39" t="s">
        <v>89</v>
      </c>
      <c r="B5" s="25" t="s">
        <v>88</v>
      </c>
      <c r="C5" s="26" t="s">
        <v>27</v>
      </c>
      <c r="D5" s="27">
        <v>7662</v>
      </c>
      <c r="E5" s="26">
        <v>6</v>
      </c>
      <c r="F5" s="37" t="s">
        <v>157</v>
      </c>
      <c r="G5" s="39" t="s">
        <v>209</v>
      </c>
      <c r="H5" s="39" t="s">
        <v>220</v>
      </c>
      <c r="I5" s="39" t="s">
        <v>354</v>
      </c>
      <c r="J5" s="39" t="s">
        <v>229</v>
      </c>
      <c r="K5" s="37">
        <v>2030</v>
      </c>
      <c r="L5" s="30">
        <f>6500000-6400000</f>
        <v>100000</v>
      </c>
      <c r="M5" s="41">
        <v>67172551</v>
      </c>
      <c r="N5" s="24">
        <f>Tableau1[[#This Row],[n_prev]]/Tableau1[[#This Row],[n_death]]</f>
        <v>1.488703324666053E-3</v>
      </c>
      <c r="O5" s="24"/>
      <c r="P5" s="24"/>
      <c r="Q5" s="24"/>
      <c r="R5" s="24"/>
      <c r="S5" s="24"/>
      <c r="T5" s="24"/>
      <c r="U5" s="24"/>
      <c r="V5" s="24"/>
      <c r="W5" s="26" t="s">
        <v>307</v>
      </c>
      <c r="X5" s="38"/>
    </row>
    <row r="6" spans="1:24" s="34" customFormat="1" ht="129.6" x14ac:dyDescent="0.3">
      <c r="A6" s="5" t="s">
        <v>126</v>
      </c>
      <c r="B6" s="46" t="s">
        <v>124</v>
      </c>
      <c r="C6" s="4" t="s">
        <v>125</v>
      </c>
      <c r="D6" s="4">
        <v>503</v>
      </c>
      <c r="E6" s="4">
        <v>18</v>
      </c>
      <c r="F6" s="5" t="s">
        <v>185</v>
      </c>
      <c r="G6" s="5" t="s">
        <v>209</v>
      </c>
      <c r="H6" s="5" t="s">
        <v>216</v>
      </c>
      <c r="I6" s="5" t="s">
        <v>354</v>
      </c>
      <c r="J6" s="5" t="s">
        <v>229</v>
      </c>
      <c r="K6" s="5">
        <v>2050</v>
      </c>
      <c r="L6" s="5">
        <v>80000</v>
      </c>
      <c r="M6" s="5">
        <v>38337222</v>
      </c>
      <c r="N6" s="5">
        <f>Tableau1[[#This Row],[n_prev]]/Tableau1[[#This Row],[n_death]]</f>
        <v>2.0867448350848166E-3</v>
      </c>
      <c r="O6" s="5" t="s">
        <v>259</v>
      </c>
      <c r="P6" s="5"/>
      <c r="Q6" s="5"/>
      <c r="R6" s="5"/>
      <c r="S6" s="5"/>
      <c r="T6" s="5"/>
      <c r="U6" s="5"/>
      <c r="V6" s="5"/>
      <c r="W6" s="4" t="s">
        <v>309</v>
      </c>
      <c r="X6" s="4" t="s">
        <v>186</v>
      </c>
    </row>
    <row r="7" spans="1:24" s="34" customFormat="1" ht="43.2" x14ac:dyDescent="0.3">
      <c r="A7" s="24" t="s">
        <v>42</v>
      </c>
      <c r="B7" s="32" t="s">
        <v>8</v>
      </c>
      <c r="C7" s="35" t="s">
        <v>27</v>
      </c>
      <c r="D7" s="36">
        <v>7821</v>
      </c>
      <c r="E7" s="26">
        <v>4</v>
      </c>
      <c r="F7" s="37" t="s">
        <v>147</v>
      </c>
      <c r="G7" s="37" t="s">
        <v>209</v>
      </c>
      <c r="H7" s="39" t="s">
        <v>214</v>
      </c>
      <c r="I7" s="39" t="s">
        <v>214</v>
      </c>
      <c r="J7" s="26" t="s">
        <v>229</v>
      </c>
      <c r="K7" s="37">
        <v>2050</v>
      </c>
      <c r="L7" s="30">
        <f>(5582000-5333000)+(232000-176000)</f>
        <v>305000</v>
      </c>
      <c r="M7" s="28">
        <v>91583402</v>
      </c>
      <c r="N7" s="28">
        <f>Tableau1[[#This Row],[n_prev]]/Tableau1[[#This Row],[n_death]]</f>
        <v>3.3302977760096748E-3</v>
      </c>
      <c r="O7" s="28"/>
      <c r="P7" s="28"/>
      <c r="Q7" s="28"/>
      <c r="R7" s="28"/>
      <c r="S7" s="28"/>
      <c r="T7" s="28"/>
      <c r="U7" s="28"/>
      <c r="V7" s="28"/>
      <c r="W7" s="26" t="s">
        <v>321</v>
      </c>
      <c r="X7" s="39" t="s">
        <v>149</v>
      </c>
    </row>
    <row r="8" spans="1:24" s="34" customFormat="1" ht="43.2" x14ac:dyDescent="0.3">
      <c r="A8" s="24" t="s">
        <v>42</v>
      </c>
      <c r="B8" s="32" t="s">
        <v>8</v>
      </c>
      <c r="C8" s="35" t="s">
        <v>27</v>
      </c>
      <c r="D8" s="36">
        <v>7821</v>
      </c>
      <c r="E8" s="26">
        <v>4</v>
      </c>
      <c r="F8" s="37" t="s">
        <v>145</v>
      </c>
      <c r="G8" s="37" t="s">
        <v>209</v>
      </c>
      <c r="H8" s="26" t="s">
        <v>214</v>
      </c>
      <c r="I8" s="26" t="s">
        <v>214</v>
      </c>
      <c r="J8" s="26" t="s">
        <v>229</v>
      </c>
      <c r="K8" s="37">
        <v>2050</v>
      </c>
      <c r="L8" s="30">
        <f>(6552000-6224000)+(400000-334000)</f>
        <v>394000</v>
      </c>
      <c r="M8" s="28">
        <v>91583402</v>
      </c>
      <c r="N8" s="28">
        <f>Tableau1[[#This Row],[n_prev]]/Tableau1[[#This Row],[n_death]]</f>
        <v>4.3020895860583991E-3</v>
      </c>
      <c r="O8" s="28"/>
      <c r="P8" s="28"/>
      <c r="Q8" s="28"/>
      <c r="R8" s="28"/>
      <c r="S8" s="28"/>
      <c r="T8" s="28"/>
      <c r="U8" s="28"/>
      <c r="V8" s="28"/>
      <c r="W8" s="26" t="s">
        <v>322</v>
      </c>
      <c r="X8" s="37"/>
    </row>
    <row r="9" spans="1:24" s="34" customFormat="1" ht="102.6" customHeight="1" x14ac:dyDescent="0.3">
      <c r="A9" s="24" t="s">
        <v>50</v>
      </c>
      <c r="B9" s="25" t="s">
        <v>20</v>
      </c>
      <c r="C9" s="26" t="s">
        <v>27</v>
      </c>
      <c r="D9" s="27">
        <v>7405</v>
      </c>
      <c r="E9" s="26">
        <v>9</v>
      </c>
      <c r="F9" s="39" t="s">
        <v>168</v>
      </c>
      <c r="G9" s="39" t="s">
        <v>209</v>
      </c>
      <c r="H9" s="26" t="s">
        <v>214</v>
      </c>
      <c r="I9" s="26" t="s">
        <v>214</v>
      </c>
      <c r="J9" s="26" t="s">
        <v>229</v>
      </c>
      <c r="K9" s="39">
        <v>2050</v>
      </c>
      <c r="L9" s="40">
        <v>470000</v>
      </c>
      <c r="M9" s="28">
        <v>91583402</v>
      </c>
      <c r="N9" s="39">
        <f>Tableau1[[#This Row],[n_prev]]/Tableau1[[#This Row],[n_death]]</f>
        <v>5.1319342777854E-3</v>
      </c>
      <c r="O9" s="39"/>
      <c r="P9" s="39"/>
      <c r="Q9" s="39"/>
      <c r="R9" s="39"/>
      <c r="S9" s="39"/>
      <c r="T9" s="39"/>
      <c r="U9" s="39"/>
      <c r="V9" s="39"/>
      <c r="W9" s="26" t="s">
        <v>313</v>
      </c>
      <c r="X9" s="39" t="s">
        <v>171</v>
      </c>
    </row>
    <row r="10" spans="1:24" s="31" customFormat="1" ht="220.2" customHeight="1" x14ac:dyDescent="0.3">
      <c r="A10" s="24" t="s">
        <v>42</v>
      </c>
      <c r="B10" s="32" t="s">
        <v>8</v>
      </c>
      <c r="C10" s="35" t="s">
        <v>27</v>
      </c>
      <c r="D10" s="36">
        <v>7821</v>
      </c>
      <c r="E10" s="26">
        <v>4</v>
      </c>
      <c r="F10" s="37" t="s">
        <v>143</v>
      </c>
      <c r="G10" s="37" t="s">
        <v>209</v>
      </c>
      <c r="H10" s="26" t="s">
        <v>214</v>
      </c>
      <c r="I10" s="26" t="s">
        <v>214</v>
      </c>
      <c r="J10" s="26" t="s">
        <v>229</v>
      </c>
      <c r="K10" s="37">
        <v>2050</v>
      </c>
      <c r="L10" s="30">
        <f>(7846000-7372000)+(631000-539000)</f>
        <v>566000</v>
      </c>
      <c r="M10" s="28">
        <v>91583402</v>
      </c>
      <c r="N10" s="28">
        <f>Tableau1[[#This Row],[n_prev]]/Tableau1[[#This Row],[n_death]]</f>
        <v>6.1801591515458229E-3</v>
      </c>
      <c r="O10" s="28"/>
      <c r="P10" s="28"/>
      <c r="Q10" s="28"/>
      <c r="R10" s="28"/>
      <c r="S10" s="28"/>
      <c r="T10" s="28"/>
      <c r="U10" s="28"/>
      <c r="V10" s="28"/>
      <c r="W10" s="38"/>
      <c r="X10" s="30"/>
    </row>
    <row r="11" spans="1:24" s="31" customFormat="1" ht="187.2" x14ac:dyDescent="0.3">
      <c r="A11" s="5" t="s">
        <v>82</v>
      </c>
      <c r="B11" s="6" t="s">
        <v>83</v>
      </c>
      <c r="C11" s="57" t="s">
        <v>85</v>
      </c>
      <c r="D11" s="58">
        <v>4680</v>
      </c>
      <c r="E11" s="4">
        <v>14</v>
      </c>
      <c r="F11" s="5" t="s">
        <v>176</v>
      </c>
      <c r="G11" s="5" t="s">
        <v>209</v>
      </c>
      <c r="H11" s="5" t="s">
        <v>218</v>
      </c>
      <c r="I11" s="5" t="s">
        <v>354</v>
      </c>
      <c r="J11" s="4" t="s">
        <v>229</v>
      </c>
      <c r="K11" s="5">
        <v>2040</v>
      </c>
      <c r="L11" s="43">
        <v>290000</v>
      </c>
      <c r="M11" s="33">
        <v>45405745</v>
      </c>
      <c r="N11" s="33">
        <f>Tableau1[[#This Row],[n_prev]]/Tableau1[[#This Row],[n_death]]</f>
        <v>6.3868569935368307E-3</v>
      </c>
      <c r="O11" s="33"/>
      <c r="P11" s="33"/>
      <c r="Q11" s="33"/>
      <c r="R11" s="33"/>
      <c r="S11" s="33"/>
      <c r="T11" s="50"/>
      <c r="U11" s="33"/>
      <c r="V11" s="33"/>
      <c r="W11" s="4" t="s">
        <v>306</v>
      </c>
      <c r="X11" s="5" t="s">
        <v>257</v>
      </c>
    </row>
    <row r="12" spans="1:24" s="31" customFormat="1" ht="43.2" x14ac:dyDescent="0.3">
      <c r="A12" s="24" t="s">
        <v>42</v>
      </c>
      <c r="B12" s="32" t="s">
        <v>8</v>
      </c>
      <c r="C12" s="35" t="s">
        <v>27</v>
      </c>
      <c r="D12" s="36">
        <v>7821</v>
      </c>
      <c r="E12" s="26">
        <v>4</v>
      </c>
      <c r="F12" s="39" t="s">
        <v>148</v>
      </c>
      <c r="G12" s="39" t="s">
        <v>209</v>
      </c>
      <c r="H12" s="39" t="s">
        <v>214</v>
      </c>
      <c r="I12" s="39" t="s">
        <v>214</v>
      </c>
      <c r="J12" s="26" t="s">
        <v>229</v>
      </c>
      <c r="K12" s="37">
        <v>2050</v>
      </c>
      <c r="L12" s="40">
        <f>(5582000-5019000)+(232000-126000)</f>
        <v>669000</v>
      </c>
      <c r="M12" s="28">
        <v>91583402</v>
      </c>
      <c r="N12" s="24">
        <f>Tableau1[[#This Row],[n_prev]]/Tableau1[[#This Row],[n_death]]</f>
        <v>7.3048170890179422E-3</v>
      </c>
      <c r="O12" s="24"/>
      <c r="P12" s="24"/>
      <c r="Q12" s="24"/>
      <c r="R12" s="24"/>
      <c r="S12" s="24"/>
      <c r="T12" s="24"/>
      <c r="U12" s="24"/>
      <c r="V12" s="24"/>
      <c r="W12" s="38"/>
      <c r="X12" s="30"/>
    </row>
    <row r="13" spans="1:24" s="31" customFormat="1" ht="28.8" x14ac:dyDescent="0.3">
      <c r="A13" s="5" t="s">
        <v>93</v>
      </c>
      <c r="B13" s="46" t="s">
        <v>92</v>
      </c>
      <c r="C13" s="4" t="s">
        <v>29</v>
      </c>
      <c r="D13" s="7">
        <v>1338</v>
      </c>
      <c r="E13" s="4">
        <v>30</v>
      </c>
      <c r="F13" s="5" t="s">
        <v>205</v>
      </c>
      <c r="G13" s="5" t="s">
        <v>134</v>
      </c>
      <c r="H13" s="5" t="s">
        <v>214</v>
      </c>
      <c r="I13" s="5" t="s">
        <v>214</v>
      </c>
      <c r="J13" s="4" t="s">
        <v>229</v>
      </c>
      <c r="K13" s="5">
        <v>2030</v>
      </c>
      <c r="L13" s="9">
        <f>1429940-(140510+17223+1174779)</f>
        <v>97428</v>
      </c>
      <c r="M13" s="59">
        <v>12224379</v>
      </c>
      <c r="N13" s="5">
        <f>Tableau1[[#This Row],[n_prev]]/Tableau1[[#This Row],[n_death]]</f>
        <v>7.9699754073397095E-3</v>
      </c>
      <c r="O13" s="5"/>
      <c r="P13" s="5"/>
      <c r="Q13" s="5"/>
      <c r="R13" s="5"/>
      <c r="S13" s="5"/>
      <c r="T13" s="5"/>
      <c r="U13" s="5"/>
      <c r="V13" s="5"/>
      <c r="W13" s="4"/>
      <c r="X13" s="10"/>
    </row>
    <row r="14" spans="1:24" s="31" customFormat="1" ht="57.6" x14ac:dyDescent="0.3">
      <c r="A14" s="39" t="s">
        <v>127</v>
      </c>
      <c r="B14" s="44" t="s">
        <v>128</v>
      </c>
      <c r="C14" s="26" t="s">
        <v>27</v>
      </c>
      <c r="D14" s="27">
        <v>7662</v>
      </c>
      <c r="E14" s="26">
        <v>7</v>
      </c>
      <c r="F14" s="39" t="s">
        <v>160</v>
      </c>
      <c r="G14" s="39" t="s">
        <v>142</v>
      </c>
      <c r="H14" s="39" t="s">
        <v>222</v>
      </c>
      <c r="I14" s="39" t="s">
        <v>354</v>
      </c>
      <c r="J14" s="26" t="s">
        <v>230</v>
      </c>
      <c r="K14" s="39">
        <v>2040</v>
      </c>
      <c r="L14" s="45">
        <f>2550000-2200000</f>
        <v>350000</v>
      </c>
      <c r="M14" s="39">
        <v>40109096</v>
      </c>
      <c r="N14" s="39">
        <f>Tableau1[[#This Row],[n_prev]]/Tableau1[[#This Row],[n_death]]</f>
        <v>8.7262001616790364E-3</v>
      </c>
      <c r="O14" s="39"/>
      <c r="P14" s="39"/>
      <c r="Q14" s="39"/>
      <c r="R14" s="39"/>
      <c r="S14" s="39"/>
      <c r="T14" s="39"/>
      <c r="U14" s="39"/>
      <c r="V14" s="39"/>
      <c r="W14" s="26" t="s">
        <v>310</v>
      </c>
      <c r="X14" s="39" t="s">
        <v>164</v>
      </c>
    </row>
    <row r="15" spans="1:24" s="31" customFormat="1" ht="57.6" x14ac:dyDescent="0.3">
      <c r="A15" s="33" t="s">
        <v>46</v>
      </c>
      <c r="B15" s="6" t="s">
        <v>15</v>
      </c>
      <c r="C15" s="4" t="s">
        <v>27</v>
      </c>
      <c r="D15" s="7">
        <v>7821</v>
      </c>
      <c r="E15" s="4">
        <v>5</v>
      </c>
      <c r="F15" s="13" t="s">
        <v>151</v>
      </c>
      <c r="G15" s="13" t="s">
        <v>209</v>
      </c>
      <c r="H15" s="5" t="s">
        <v>214</v>
      </c>
      <c r="I15" s="5" t="s">
        <v>214</v>
      </c>
      <c r="J15" s="4" t="s">
        <v>229</v>
      </c>
      <c r="K15" s="13">
        <v>2030</v>
      </c>
      <c r="L15" s="22">
        <v>619000</v>
      </c>
      <c r="M15" s="23">
        <v>67172551</v>
      </c>
      <c r="N15" s="33">
        <f>Tableau1[[#This Row],[n_prev]]/Tableau1[[#This Row],[n_death]]</f>
        <v>9.2150735796828684E-3</v>
      </c>
      <c r="O15" s="33"/>
      <c r="P15" s="33"/>
      <c r="Q15" s="33">
        <v>1294</v>
      </c>
      <c r="R15" s="33">
        <v>12940000000000</v>
      </c>
      <c r="S15" s="33">
        <v>9709491761</v>
      </c>
      <c r="T15" s="33"/>
      <c r="U15" s="33">
        <f>Tableau1[[#This Row],[monetary]]/Tableau1[[#This Row],[population_target]]</f>
        <v>1332.7165127196404</v>
      </c>
      <c r="V15" s="33"/>
      <c r="W15" s="14"/>
      <c r="X15" s="12"/>
    </row>
    <row r="16" spans="1:24" s="31" customFormat="1" ht="129.6" x14ac:dyDescent="0.3">
      <c r="A16" s="63" t="s">
        <v>60</v>
      </c>
      <c r="B16" s="46" t="s">
        <v>59</v>
      </c>
      <c r="C16" s="4" t="s">
        <v>29</v>
      </c>
      <c r="D16" s="62">
        <v>1380</v>
      </c>
      <c r="E16" s="4">
        <v>24</v>
      </c>
      <c r="F16" s="5" t="s">
        <v>191</v>
      </c>
      <c r="G16" s="5" t="s">
        <v>132</v>
      </c>
      <c r="H16" s="5" t="s">
        <v>214</v>
      </c>
      <c r="I16" s="5" t="s">
        <v>214</v>
      </c>
      <c r="J16" s="4" t="s">
        <v>229</v>
      </c>
      <c r="K16" s="5">
        <v>2050</v>
      </c>
      <c r="L16" s="33">
        <v>160000</v>
      </c>
      <c r="M16" s="59">
        <v>17360482</v>
      </c>
      <c r="N16" s="66">
        <f>Tableau1[[#This Row],[n_prev]]/Tableau1[[#This Row],[n_death]]</f>
        <v>9.2163339704508206E-3</v>
      </c>
      <c r="O16" s="66"/>
      <c r="P16" s="66"/>
      <c r="Q16" s="5" t="s">
        <v>251</v>
      </c>
      <c r="R16" s="5">
        <v>102670000000</v>
      </c>
      <c r="S16" s="33">
        <v>1312636325</v>
      </c>
      <c r="T16" s="5"/>
      <c r="U16" s="50">
        <f>Tableau1[[#This Row],[monetary]]/Tableau1[[#This Row],[population_target]]</f>
        <v>78.216637803315407</v>
      </c>
      <c r="V16" s="50"/>
      <c r="W16" s="4" t="s">
        <v>248</v>
      </c>
      <c r="X16" s="5" t="s">
        <v>235</v>
      </c>
    </row>
    <row r="17" spans="1:24" s="31" customFormat="1" ht="57.6" x14ac:dyDescent="0.3">
      <c r="A17" s="33" t="s">
        <v>46</v>
      </c>
      <c r="B17" s="6" t="s">
        <v>15</v>
      </c>
      <c r="C17" s="4" t="s">
        <v>27</v>
      </c>
      <c r="D17" s="7">
        <v>7821</v>
      </c>
      <c r="E17" s="4">
        <v>5</v>
      </c>
      <c r="F17" s="5" t="s">
        <v>152</v>
      </c>
      <c r="G17" s="5" t="s">
        <v>209</v>
      </c>
      <c r="H17" s="4" t="s">
        <v>214</v>
      </c>
      <c r="I17" s="4" t="s">
        <v>214</v>
      </c>
      <c r="J17" s="4" t="s">
        <v>229</v>
      </c>
      <c r="K17" s="13">
        <v>2030</v>
      </c>
      <c r="L17" s="43">
        <v>731000</v>
      </c>
      <c r="M17" s="23">
        <v>67172551</v>
      </c>
      <c r="N17" s="33">
        <f>Tableau1[[#This Row],[n_prev]]/Tableau1[[#This Row],[n_death]]</f>
        <v>1.0882421303308847E-2</v>
      </c>
      <c r="O17" s="33"/>
      <c r="P17" s="33"/>
      <c r="Q17" s="33">
        <v>1425</v>
      </c>
      <c r="R17" s="33">
        <v>1425000000000</v>
      </c>
      <c r="S17" s="33">
        <v>9709491761</v>
      </c>
      <c r="T17" s="33"/>
      <c r="U17" s="33">
        <f>Tableau1[[#This Row],[monetary]]/Tableau1[[#This Row],[population_target]]</f>
        <v>146.76360360320615</v>
      </c>
      <c r="V17" s="33"/>
      <c r="W17" s="4"/>
      <c r="X17" s="12"/>
    </row>
    <row r="18" spans="1:24" s="42" customFormat="1" ht="76.2" customHeight="1" x14ac:dyDescent="0.3">
      <c r="A18" s="24" t="s">
        <v>42</v>
      </c>
      <c r="B18" s="32" t="s">
        <v>8</v>
      </c>
      <c r="C18" s="35" t="s">
        <v>27</v>
      </c>
      <c r="D18" s="36">
        <v>7821</v>
      </c>
      <c r="E18" s="26">
        <v>4</v>
      </c>
      <c r="F18" s="37" t="s">
        <v>146</v>
      </c>
      <c r="G18" s="37" t="s">
        <v>209</v>
      </c>
      <c r="H18" s="39" t="s">
        <v>214</v>
      </c>
      <c r="I18" s="39" t="s">
        <v>214</v>
      </c>
      <c r="J18" s="39" t="s">
        <v>229</v>
      </c>
      <c r="K18" s="37">
        <v>2050</v>
      </c>
      <c r="L18" s="30">
        <f>(6552000-5701000)+(400000-237000)</f>
        <v>1014000</v>
      </c>
      <c r="M18" s="28">
        <v>91583402</v>
      </c>
      <c r="N18" s="28">
        <f>Tableau1[[#This Row],[n_prev]]/Tableau1[[#This Row],[n_death]]</f>
        <v>1.1071875229094461E-2</v>
      </c>
      <c r="O18" s="28"/>
      <c r="P18" s="28"/>
      <c r="Q18" s="28"/>
      <c r="R18" s="28"/>
      <c r="S18" s="28"/>
      <c r="T18" s="28"/>
      <c r="U18" s="28"/>
      <c r="V18" s="28"/>
      <c r="W18" s="38"/>
      <c r="X18" s="30"/>
    </row>
    <row r="19" spans="1:24" s="42" customFormat="1" ht="76.2" customHeight="1" x14ac:dyDescent="0.3">
      <c r="A19" s="24" t="s">
        <v>52</v>
      </c>
      <c r="B19" s="25" t="s">
        <v>200</v>
      </c>
      <c r="C19" s="26" t="s">
        <v>29</v>
      </c>
      <c r="D19" s="27">
        <v>1338</v>
      </c>
      <c r="E19" s="26">
        <v>29</v>
      </c>
      <c r="F19" s="39" t="s">
        <v>202</v>
      </c>
      <c r="G19" s="39" t="s">
        <v>209</v>
      </c>
      <c r="H19" s="39" t="s">
        <v>214</v>
      </c>
      <c r="I19" s="39" t="s">
        <v>214</v>
      </c>
      <c r="J19" s="39" t="s">
        <v>229</v>
      </c>
      <c r="K19" s="39">
        <v>2050</v>
      </c>
      <c r="L19" s="40">
        <f>7039600-6841400</f>
        <v>198200</v>
      </c>
      <c r="M19" s="65">
        <v>17360484</v>
      </c>
      <c r="N19" s="24">
        <f>Tableau1[[#This Row],[n_prev]]/Tableau1[[#This Row],[n_death]]</f>
        <v>1.1416732390640722E-2</v>
      </c>
      <c r="O19" s="24"/>
      <c r="P19" s="24"/>
      <c r="Q19" s="24" t="s">
        <v>265</v>
      </c>
      <c r="R19" s="24">
        <v>167910000000</v>
      </c>
      <c r="S19" s="24">
        <v>1312636325</v>
      </c>
      <c r="T19" s="24"/>
      <c r="U19" s="39">
        <f>Tableau1[[#This Row],[monetary]]/Tableau1[[#This Row],[population_target]]</f>
        <v>127.91814214039826</v>
      </c>
      <c r="V19" s="24"/>
      <c r="W19" s="26" t="s">
        <v>319</v>
      </c>
      <c r="X19" s="30" t="s">
        <v>199</v>
      </c>
    </row>
    <row r="20" spans="1:24" s="42" customFormat="1" ht="76.2" customHeight="1" x14ac:dyDescent="0.3">
      <c r="A20" s="5" t="s">
        <v>99</v>
      </c>
      <c r="B20" s="46" t="s">
        <v>98</v>
      </c>
      <c r="C20" s="4" t="s">
        <v>27</v>
      </c>
      <c r="D20" s="7">
        <v>7405</v>
      </c>
      <c r="E20" s="4">
        <v>8</v>
      </c>
      <c r="F20" s="5" t="s">
        <v>138</v>
      </c>
      <c r="G20" s="5" t="s">
        <v>209</v>
      </c>
      <c r="H20" s="5" t="s">
        <v>214</v>
      </c>
      <c r="I20" s="5" t="s">
        <v>214</v>
      </c>
      <c r="J20" s="4" t="s">
        <v>229</v>
      </c>
      <c r="K20" s="10">
        <v>2050</v>
      </c>
      <c r="L20" s="5">
        <v>1100000</v>
      </c>
      <c r="M20" s="11">
        <v>91583402</v>
      </c>
      <c r="N20" s="5">
        <f>Tableau1[[#This Row],[n_prev]]/Tableau1[[#This Row],[n_death]]</f>
        <v>1.2010910011838171E-2</v>
      </c>
      <c r="O20" s="5"/>
      <c r="P20" s="5"/>
      <c r="Q20" s="5"/>
      <c r="R20" s="5"/>
      <c r="S20" s="5"/>
      <c r="T20" s="5"/>
      <c r="U20" s="5"/>
      <c r="V20" s="5"/>
      <c r="W20" s="4"/>
      <c r="X20" s="5" t="s">
        <v>261</v>
      </c>
    </row>
    <row r="21" spans="1:24" s="31" customFormat="1" ht="57.6" x14ac:dyDescent="0.3">
      <c r="A21" s="24" t="s">
        <v>51</v>
      </c>
      <c r="B21" s="25" t="s">
        <v>21</v>
      </c>
      <c r="C21" s="26" t="s">
        <v>27</v>
      </c>
      <c r="D21" s="27">
        <v>7821</v>
      </c>
      <c r="E21" s="26">
        <v>2</v>
      </c>
      <c r="F21" s="28" t="s">
        <v>135</v>
      </c>
      <c r="G21" s="28" t="s">
        <v>132</v>
      </c>
      <c r="H21" s="39" t="s">
        <v>213</v>
      </c>
      <c r="I21" s="39" t="s">
        <v>213</v>
      </c>
      <c r="J21" s="26" t="s">
        <v>229</v>
      </c>
      <c r="K21" s="28">
        <v>2050</v>
      </c>
      <c r="L21" s="28">
        <v>1100000</v>
      </c>
      <c r="M21" s="28">
        <v>91583402</v>
      </c>
      <c r="N21" s="28">
        <f>Tableau1[[#This Row],[n_prev]]/Tableau1[[#This Row],[n_death]]</f>
        <v>1.2010910011838171E-2</v>
      </c>
      <c r="O21" s="28"/>
      <c r="P21" s="28"/>
      <c r="Q21" s="40"/>
      <c r="R21" s="40"/>
      <c r="S21" s="40"/>
      <c r="T21" s="40"/>
      <c r="U21" s="40"/>
      <c r="V21" s="40"/>
      <c r="W21" s="26" t="s">
        <v>241</v>
      </c>
      <c r="X21" s="30"/>
    </row>
    <row r="22" spans="1:24" s="34" customFormat="1" ht="72" x14ac:dyDescent="0.3">
      <c r="A22" s="67" t="s">
        <v>81</v>
      </c>
      <c r="B22" s="84" t="s">
        <v>84</v>
      </c>
      <c r="C22" s="88" t="s">
        <v>29</v>
      </c>
      <c r="D22" s="89">
        <v>1380</v>
      </c>
      <c r="E22" s="26">
        <v>27</v>
      </c>
      <c r="F22" s="39" t="s">
        <v>198</v>
      </c>
      <c r="G22" s="39" t="s">
        <v>142</v>
      </c>
      <c r="H22" s="26" t="s">
        <v>214</v>
      </c>
      <c r="I22" s="26" t="s">
        <v>214</v>
      </c>
      <c r="J22" s="39" t="s">
        <v>229</v>
      </c>
      <c r="K22" s="39">
        <v>2035</v>
      </c>
      <c r="L22" s="68">
        <v>170000</v>
      </c>
      <c r="M22" s="39">
        <v>13571259</v>
      </c>
      <c r="N22" s="52">
        <f>Tableau1[[#This Row],[n_prev]]/Tableau1[[#This Row],[n_death]]</f>
        <v>1.2526472304448689E-2</v>
      </c>
      <c r="O22" s="52"/>
      <c r="P22" s="52"/>
      <c r="Q22" s="52" t="s">
        <v>267</v>
      </c>
      <c r="R22" s="52">
        <v>125350000000</v>
      </c>
      <c r="S22" s="52">
        <v>1399547500</v>
      </c>
      <c r="T22" s="52"/>
      <c r="U22" s="52">
        <f>Tableau1[[#This Row],[monetary]]/Tableau1[[#This Row],[population_target]]</f>
        <v>89.564662864247197</v>
      </c>
      <c r="V22" s="52"/>
      <c r="W22" s="88" t="s">
        <v>331</v>
      </c>
      <c r="X22" s="39" t="s">
        <v>327</v>
      </c>
    </row>
    <row r="23" spans="1:24" s="34" customFormat="1" ht="57.6" x14ac:dyDescent="0.3">
      <c r="A23" s="33" t="s">
        <v>39</v>
      </c>
      <c r="B23" s="47" t="s">
        <v>5</v>
      </c>
      <c r="C23" s="48" t="s">
        <v>26</v>
      </c>
      <c r="D23" s="48">
        <v>67.5</v>
      </c>
      <c r="E23" s="4">
        <v>36</v>
      </c>
      <c r="F23" s="5" t="s">
        <v>208</v>
      </c>
      <c r="G23" s="5" t="s">
        <v>134</v>
      </c>
      <c r="H23" s="57" t="s">
        <v>212</v>
      </c>
      <c r="I23" s="57" t="s">
        <v>212</v>
      </c>
      <c r="J23" s="50" t="s">
        <v>228</v>
      </c>
      <c r="K23" s="5">
        <v>2045</v>
      </c>
      <c r="L23" s="49">
        <v>9825</v>
      </c>
      <c r="M23" s="49">
        <v>758805</v>
      </c>
      <c r="N23" s="50">
        <f>9825/757000</f>
        <v>1.297886393659181E-2</v>
      </c>
      <c r="O23" s="50">
        <v>3.39</v>
      </c>
      <c r="P23" s="50">
        <v>204000</v>
      </c>
      <c r="Q23" s="50" t="s">
        <v>264</v>
      </c>
      <c r="R23" s="50">
        <v>40700000000</v>
      </c>
      <c r="S23" s="50">
        <v>66099100</v>
      </c>
      <c r="T23" s="50">
        <f>Tableau1[[#This Row],[yll]]/Tableau1[[#This Row],[population_target]]</f>
        <v>3.0862750022314978E-3</v>
      </c>
      <c r="U23" s="50">
        <f>Tableau1[[#This Row],[monetary]]/Tableau1[[#This Row],[population_target]]</f>
        <v>615.74212054324494</v>
      </c>
      <c r="V23" s="50"/>
      <c r="W23" s="4" t="s">
        <v>338</v>
      </c>
      <c r="X23" s="13"/>
    </row>
    <row r="24" spans="1:24" s="34" customFormat="1" ht="57.6" x14ac:dyDescent="0.3">
      <c r="A24" s="24" t="s">
        <v>51</v>
      </c>
      <c r="B24" s="25" t="s">
        <v>21</v>
      </c>
      <c r="C24" s="26" t="s">
        <v>27</v>
      </c>
      <c r="D24" s="27">
        <v>7821</v>
      </c>
      <c r="E24" s="26">
        <v>2</v>
      </c>
      <c r="F24" s="28" t="s">
        <v>131</v>
      </c>
      <c r="G24" s="28" t="s">
        <v>132</v>
      </c>
      <c r="H24" s="26" t="s">
        <v>213</v>
      </c>
      <c r="I24" s="26" t="s">
        <v>213</v>
      </c>
      <c r="J24" s="26" t="s">
        <v>229</v>
      </c>
      <c r="K24" s="28">
        <v>2050</v>
      </c>
      <c r="L24" s="28">
        <v>1200000</v>
      </c>
      <c r="M24" s="28">
        <v>91583402</v>
      </c>
      <c r="N24" s="28">
        <f>Tableau1[[#This Row],[n_prev]]/Tableau1[[#This Row],[n_death]]</f>
        <v>1.3102810922005277E-2</v>
      </c>
      <c r="O24" s="28"/>
      <c r="P24" s="28"/>
      <c r="Q24" s="40"/>
      <c r="R24" s="40"/>
      <c r="S24" s="40"/>
      <c r="T24" s="40"/>
      <c r="U24" s="40"/>
      <c r="V24" s="40"/>
      <c r="W24" s="26" t="s">
        <v>315</v>
      </c>
      <c r="X24" s="30"/>
    </row>
    <row r="25" spans="1:24" s="34" customFormat="1" ht="216" customHeight="1" x14ac:dyDescent="0.3">
      <c r="A25" s="24" t="s">
        <v>51</v>
      </c>
      <c r="B25" s="25" t="s">
        <v>21</v>
      </c>
      <c r="C25" s="26" t="s">
        <v>27</v>
      </c>
      <c r="D25" s="27">
        <v>7821</v>
      </c>
      <c r="E25" s="26">
        <v>2</v>
      </c>
      <c r="F25" s="28" t="s">
        <v>136</v>
      </c>
      <c r="G25" s="28" t="s">
        <v>132</v>
      </c>
      <c r="H25" s="39" t="s">
        <v>213</v>
      </c>
      <c r="I25" s="39" t="s">
        <v>213</v>
      </c>
      <c r="J25" s="26" t="s">
        <v>229</v>
      </c>
      <c r="K25" s="28">
        <v>2050</v>
      </c>
      <c r="L25" s="28">
        <v>1200000</v>
      </c>
      <c r="M25" s="28">
        <v>91583402</v>
      </c>
      <c r="N25" s="28">
        <f>Tableau1[[#This Row],[n_prev]]/Tableau1[[#This Row],[n_death]]</f>
        <v>1.3102810922005277E-2</v>
      </c>
      <c r="O25" s="28"/>
      <c r="P25" s="28"/>
      <c r="Q25" s="40"/>
      <c r="R25" s="40"/>
      <c r="S25" s="40"/>
      <c r="T25" s="40"/>
      <c r="U25" s="40"/>
      <c r="V25" s="40"/>
      <c r="W25" s="26" t="s">
        <v>316</v>
      </c>
      <c r="X25" s="30"/>
    </row>
    <row r="26" spans="1:24" s="34" customFormat="1" ht="57.6" x14ac:dyDescent="0.3">
      <c r="A26" s="24" t="s">
        <v>51</v>
      </c>
      <c r="B26" s="25" t="s">
        <v>21</v>
      </c>
      <c r="C26" s="26" t="s">
        <v>27</v>
      </c>
      <c r="D26" s="27">
        <v>7821</v>
      </c>
      <c r="E26" s="26">
        <v>2</v>
      </c>
      <c r="F26" s="28" t="s">
        <v>133</v>
      </c>
      <c r="G26" s="28" t="s">
        <v>134</v>
      </c>
      <c r="H26" s="26" t="s">
        <v>213</v>
      </c>
      <c r="I26" s="26" t="s">
        <v>213</v>
      </c>
      <c r="J26" s="39" t="s">
        <v>229</v>
      </c>
      <c r="K26" s="28">
        <v>2050</v>
      </c>
      <c r="L26" s="28">
        <v>1300000</v>
      </c>
      <c r="M26" s="28">
        <v>91583402</v>
      </c>
      <c r="N26" s="28">
        <f>Tableau1[[#This Row],[n_prev]]/Tableau1[[#This Row],[n_death]]</f>
        <v>1.4194711832172384E-2</v>
      </c>
      <c r="O26" s="28"/>
      <c r="P26" s="28"/>
      <c r="Q26" s="40"/>
      <c r="R26" s="40"/>
      <c r="S26" s="40"/>
      <c r="T26" s="40"/>
      <c r="U26" s="40"/>
      <c r="V26" s="40"/>
      <c r="W26" s="29"/>
      <c r="X26" s="30"/>
    </row>
    <row r="27" spans="1:24" s="34" customFormat="1" ht="80.400000000000006" customHeight="1" x14ac:dyDescent="0.3">
      <c r="A27" s="24" t="s">
        <v>50</v>
      </c>
      <c r="B27" s="25" t="s">
        <v>20</v>
      </c>
      <c r="C27" s="26" t="s">
        <v>27</v>
      </c>
      <c r="D27" s="27">
        <v>7405</v>
      </c>
      <c r="E27" s="26">
        <v>9</v>
      </c>
      <c r="F27" s="39" t="s">
        <v>169</v>
      </c>
      <c r="G27" s="39" t="s">
        <v>167</v>
      </c>
      <c r="H27" s="39" t="s">
        <v>214</v>
      </c>
      <c r="I27" s="39" t="s">
        <v>214</v>
      </c>
      <c r="J27" s="26" t="s">
        <v>229</v>
      </c>
      <c r="K27" s="39">
        <v>2050</v>
      </c>
      <c r="L27" s="40">
        <v>1340000</v>
      </c>
      <c r="M27" s="28">
        <v>91583402</v>
      </c>
      <c r="N27" s="39">
        <f>Tableau1[[#This Row],[n_prev]]/Tableau1[[#This Row],[n_death]]</f>
        <v>1.4631472196239228E-2</v>
      </c>
      <c r="O27" s="39"/>
      <c r="P27" s="39"/>
      <c r="Q27" s="39"/>
      <c r="R27" s="39"/>
      <c r="S27" s="39"/>
      <c r="T27" s="39"/>
      <c r="U27" s="39"/>
      <c r="V27" s="39"/>
      <c r="W27" s="26" t="s">
        <v>314</v>
      </c>
      <c r="X27" s="45"/>
    </row>
    <row r="28" spans="1:24" s="34" customFormat="1" ht="80.400000000000006" customHeight="1" x14ac:dyDescent="0.3">
      <c r="A28" s="39" t="s">
        <v>89</v>
      </c>
      <c r="B28" s="25" t="s">
        <v>88</v>
      </c>
      <c r="C28" s="26" t="s">
        <v>27</v>
      </c>
      <c r="D28" s="27">
        <v>7662</v>
      </c>
      <c r="E28" s="26">
        <v>6</v>
      </c>
      <c r="F28" s="39" t="s">
        <v>158</v>
      </c>
      <c r="G28" s="39" t="s">
        <v>142</v>
      </c>
      <c r="H28" s="39" t="s">
        <v>220</v>
      </c>
      <c r="I28" s="39" t="s">
        <v>354</v>
      </c>
      <c r="J28" s="26" t="s">
        <v>229</v>
      </c>
      <c r="K28" s="37">
        <v>2030</v>
      </c>
      <c r="L28" s="30">
        <f>6500000-5500000</f>
        <v>1000000</v>
      </c>
      <c r="M28" s="41">
        <v>67172551</v>
      </c>
      <c r="N28" s="24">
        <f>Tableau1[[#This Row],[n_prev]]/Tableau1[[#This Row],[n_death]]</f>
        <v>1.488703324666053E-2</v>
      </c>
      <c r="O28" s="24"/>
      <c r="P28" s="24"/>
      <c r="Q28" s="24"/>
      <c r="R28" s="24"/>
      <c r="S28" s="24"/>
      <c r="T28" s="24"/>
      <c r="U28" s="24"/>
      <c r="V28" s="24"/>
      <c r="W28" s="38"/>
      <c r="X28" s="30"/>
    </row>
    <row r="29" spans="1:24" s="34" customFormat="1" ht="80.400000000000006" customHeight="1" x14ac:dyDescent="0.3">
      <c r="A29" s="33" t="s">
        <v>53</v>
      </c>
      <c r="B29" s="6" t="s">
        <v>22</v>
      </c>
      <c r="C29" s="4" t="s">
        <v>29</v>
      </c>
      <c r="D29" s="7">
        <v>1380</v>
      </c>
      <c r="E29" s="4">
        <v>26</v>
      </c>
      <c r="F29" s="5" t="s">
        <v>197</v>
      </c>
      <c r="G29" s="5" t="s">
        <v>209</v>
      </c>
      <c r="H29" s="5" t="s">
        <v>221</v>
      </c>
      <c r="I29" s="5" t="s">
        <v>354</v>
      </c>
      <c r="J29" s="4" t="s">
        <v>229</v>
      </c>
      <c r="K29" s="5">
        <v>2030</v>
      </c>
      <c r="L29" s="9">
        <v>190000</v>
      </c>
      <c r="M29" s="9">
        <v>12224379</v>
      </c>
      <c r="N29" s="50">
        <f>Tableau1[[#This Row],[n_prev]]/Tableau1[[#This Row],[n_death]]</f>
        <v>1.5542711822007482E-2</v>
      </c>
      <c r="O29" s="50"/>
      <c r="P29" s="50"/>
      <c r="Q29" s="50" t="s">
        <v>258</v>
      </c>
      <c r="R29" s="50"/>
      <c r="S29" s="50"/>
      <c r="T29" s="50"/>
      <c r="U29" s="50"/>
      <c r="V29" s="50"/>
      <c r="W29" s="4" t="s">
        <v>308</v>
      </c>
      <c r="X29" s="13"/>
    </row>
    <row r="30" spans="1:24" s="34" customFormat="1" ht="80.400000000000006" customHeight="1" x14ac:dyDescent="0.3">
      <c r="A30" s="24" t="s">
        <v>42</v>
      </c>
      <c r="B30" s="32" t="s">
        <v>8</v>
      </c>
      <c r="C30" s="35" t="s">
        <v>27</v>
      </c>
      <c r="D30" s="36">
        <v>7821</v>
      </c>
      <c r="E30" s="26">
        <v>4</v>
      </c>
      <c r="F30" s="37" t="s">
        <v>144</v>
      </c>
      <c r="G30" s="37" t="s">
        <v>209</v>
      </c>
      <c r="H30" s="39" t="s">
        <v>214</v>
      </c>
      <c r="I30" s="39" t="s">
        <v>214</v>
      </c>
      <c r="J30" s="26" t="s">
        <v>229</v>
      </c>
      <c r="K30" s="37">
        <v>2050</v>
      </c>
      <c r="L30" s="30">
        <f>(7846000-6598000)+(631000-382000)</f>
        <v>1497000</v>
      </c>
      <c r="M30" s="28">
        <v>91583402</v>
      </c>
      <c r="N30" s="28">
        <f>Tableau1[[#This Row],[n_prev]]/Tableau1[[#This Row],[n_death]]</f>
        <v>1.6345756625201584E-2</v>
      </c>
      <c r="O30" s="28"/>
      <c r="P30" s="28"/>
      <c r="Q30" s="28"/>
      <c r="R30" s="28"/>
      <c r="S30" s="28"/>
      <c r="T30" s="28"/>
      <c r="U30" s="28"/>
      <c r="V30" s="28"/>
      <c r="W30" s="38"/>
      <c r="X30" s="30"/>
    </row>
    <row r="31" spans="1:24" s="34" customFormat="1" ht="80.400000000000006" customHeight="1" x14ac:dyDescent="0.3">
      <c r="A31" s="39" t="s">
        <v>127</v>
      </c>
      <c r="B31" s="44" t="s">
        <v>128</v>
      </c>
      <c r="C31" s="26" t="s">
        <v>27</v>
      </c>
      <c r="D31" s="27">
        <v>7662</v>
      </c>
      <c r="E31" s="26">
        <v>7</v>
      </c>
      <c r="F31" s="39" t="s">
        <v>162</v>
      </c>
      <c r="G31" s="39" t="s">
        <v>142</v>
      </c>
      <c r="H31" s="39" t="s">
        <v>222</v>
      </c>
      <c r="I31" s="39" t="s">
        <v>354</v>
      </c>
      <c r="J31" s="26" t="s">
        <v>230</v>
      </c>
      <c r="K31" s="39">
        <v>2040</v>
      </c>
      <c r="L31" s="39">
        <f>1200000-650000</f>
        <v>550000</v>
      </c>
      <c r="M31" s="39">
        <v>33179734</v>
      </c>
      <c r="N31" s="39">
        <f>Tableau1[[#This Row],[n_prev]]/Tableau1[[#This Row],[n_death]]</f>
        <v>1.6576383644305286E-2</v>
      </c>
      <c r="O31" s="39"/>
      <c r="P31" s="39"/>
      <c r="Q31" s="39"/>
      <c r="R31" s="39"/>
      <c r="S31" s="39"/>
      <c r="T31" s="39"/>
      <c r="U31" s="39"/>
      <c r="V31" s="39"/>
      <c r="W31" s="26"/>
      <c r="X31" s="39" t="s">
        <v>165</v>
      </c>
    </row>
    <row r="32" spans="1:24" s="34" customFormat="1" ht="80.400000000000006" customHeight="1" x14ac:dyDescent="0.3">
      <c r="A32" s="63" t="s">
        <v>60</v>
      </c>
      <c r="B32" s="46" t="s">
        <v>59</v>
      </c>
      <c r="C32" s="4" t="s">
        <v>29</v>
      </c>
      <c r="D32" s="62">
        <v>1380</v>
      </c>
      <c r="E32" s="4">
        <v>24</v>
      </c>
      <c r="F32" s="5" t="s">
        <v>193</v>
      </c>
      <c r="G32" s="5" t="s">
        <v>132</v>
      </c>
      <c r="H32" s="5" t="s">
        <v>214</v>
      </c>
      <c r="I32" s="5" t="s">
        <v>214</v>
      </c>
      <c r="J32" s="4" t="s">
        <v>229</v>
      </c>
      <c r="K32" s="5">
        <v>2050</v>
      </c>
      <c r="L32" s="33">
        <v>292000</v>
      </c>
      <c r="M32" s="59">
        <v>17360483</v>
      </c>
      <c r="N32" s="66">
        <f>Tableau1[[#This Row],[n_prev]]/Tableau1[[#This Row],[n_death]]</f>
        <v>1.6819808527216668E-2</v>
      </c>
      <c r="O32" s="66"/>
      <c r="P32" s="66"/>
      <c r="Q32" s="5" t="s">
        <v>252</v>
      </c>
      <c r="R32" s="5">
        <v>187110000000</v>
      </c>
      <c r="S32" s="33">
        <v>1312636325</v>
      </c>
      <c r="T32" s="5"/>
      <c r="U32" s="50">
        <f>Tableau1[[#This Row],[monetary]]/Tableau1[[#This Row],[population_target]]</f>
        <v>142.54519430581811</v>
      </c>
      <c r="V32" s="50"/>
      <c r="W32" s="4" t="s">
        <v>249</v>
      </c>
      <c r="X32" s="5" t="s">
        <v>234</v>
      </c>
    </row>
    <row r="33" spans="1:24" s="34" customFormat="1" ht="80.400000000000006" customHeight="1" x14ac:dyDescent="0.3">
      <c r="A33" s="24" t="s">
        <v>50</v>
      </c>
      <c r="B33" s="25" t="s">
        <v>20</v>
      </c>
      <c r="C33" s="26" t="s">
        <v>27</v>
      </c>
      <c r="D33" s="27">
        <v>7405</v>
      </c>
      <c r="E33" s="26">
        <v>9</v>
      </c>
      <c r="F33" s="39" t="s">
        <v>170</v>
      </c>
      <c r="G33" s="39" t="s">
        <v>167</v>
      </c>
      <c r="H33" s="39" t="s">
        <v>214</v>
      </c>
      <c r="I33" s="39" t="s">
        <v>214</v>
      </c>
      <c r="J33" s="26" t="s">
        <v>229</v>
      </c>
      <c r="K33" s="39">
        <v>2050</v>
      </c>
      <c r="L33" s="40">
        <v>1620000</v>
      </c>
      <c r="M33" s="28">
        <v>91583402</v>
      </c>
      <c r="N33" s="39">
        <f>Tableau1[[#This Row],[n_prev]]/Tableau1[[#This Row],[n_death]]</f>
        <v>1.7688794744707127E-2</v>
      </c>
      <c r="O33" s="39"/>
      <c r="P33" s="39"/>
      <c r="Q33" s="39"/>
      <c r="R33" s="39"/>
      <c r="S33" s="39"/>
      <c r="T33" s="39"/>
      <c r="U33" s="39"/>
      <c r="V33" s="39"/>
      <c r="W33" s="26"/>
      <c r="X33" s="30"/>
    </row>
    <row r="34" spans="1:24" s="34" customFormat="1" ht="80.400000000000006" customHeight="1" x14ac:dyDescent="0.3">
      <c r="A34" s="39" t="s">
        <v>127</v>
      </c>
      <c r="B34" s="44" t="s">
        <v>128</v>
      </c>
      <c r="C34" s="26" t="s">
        <v>27</v>
      </c>
      <c r="D34" s="27">
        <v>7662</v>
      </c>
      <c r="E34" s="26">
        <v>7</v>
      </c>
      <c r="F34" s="39" t="s">
        <v>161</v>
      </c>
      <c r="G34" s="39" t="s">
        <v>142</v>
      </c>
      <c r="H34" s="39" t="s">
        <v>222</v>
      </c>
      <c r="I34" s="39" t="s">
        <v>354</v>
      </c>
      <c r="J34" s="26" t="s">
        <v>230</v>
      </c>
      <c r="K34" s="39">
        <v>2040</v>
      </c>
      <c r="L34" s="45">
        <f>2550000-1800000</f>
        <v>750000</v>
      </c>
      <c r="M34" s="39">
        <v>40109096</v>
      </c>
      <c r="N34" s="39">
        <f>Tableau1[[#This Row],[n_prev]]/Tableau1[[#This Row],[n_death]]</f>
        <v>1.8699000346455077E-2</v>
      </c>
      <c r="O34" s="39"/>
      <c r="P34" s="39"/>
      <c r="Q34" s="39"/>
      <c r="R34" s="39"/>
      <c r="S34" s="39"/>
      <c r="T34" s="39"/>
      <c r="U34" s="39"/>
      <c r="V34" s="39"/>
      <c r="W34" s="26"/>
      <c r="X34" s="39" t="s">
        <v>164</v>
      </c>
    </row>
    <row r="35" spans="1:24" s="34" customFormat="1" ht="80.400000000000006" customHeight="1" x14ac:dyDescent="0.3">
      <c r="A35" s="63" t="s">
        <v>60</v>
      </c>
      <c r="B35" s="46" t="s">
        <v>59</v>
      </c>
      <c r="C35" s="4" t="s">
        <v>29</v>
      </c>
      <c r="D35" s="62">
        <v>1380</v>
      </c>
      <c r="E35" s="4">
        <v>24</v>
      </c>
      <c r="F35" s="5" t="s">
        <v>192</v>
      </c>
      <c r="G35" s="5" t="s">
        <v>132</v>
      </c>
      <c r="H35" s="5" t="s">
        <v>214</v>
      </c>
      <c r="I35" s="5" t="s">
        <v>214</v>
      </c>
      <c r="J35" s="4" t="s">
        <v>229</v>
      </c>
      <c r="K35" s="5">
        <v>2050</v>
      </c>
      <c r="L35" s="43">
        <v>345000</v>
      </c>
      <c r="M35" s="59">
        <v>17360484</v>
      </c>
      <c r="N35" s="66">
        <f>Tableau1[[#This Row],[n_prev]]/Tableau1[[#This Row],[n_death]]</f>
        <v>1.9872717834364527E-2</v>
      </c>
      <c r="O35" s="66"/>
      <c r="P35" s="66"/>
      <c r="Q35" s="5" t="s">
        <v>253</v>
      </c>
      <c r="R35" s="5">
        <v>222840000000</v>
      </c>
      <c r="S35" s="33">
        <v>1312636325</v>
      </c>
      <c r="T35" s="5"/>
      <c r="U35" s="50">
        <f>Tableau1[[#This Row],[monetary]]/Tableau1[[#This Row],[population_target]]</f>
        <v>169.76522419490411</v>
      </c>
      <c r="V35" s="50"/>
      <c r="W35" s="4" t="s">
        <v>250</v>
      </c>
      <c r="X35" s="50" t="s">
        <v>233</v>
      </c>
    </row>
    <row r="36" spans="1:24" s="34" customFormat="1" ht="86.4" x14ac:dyDescent="0.3">
      <c r="A36" s="5" t="s">
        <v>58</v>
      </c>
      <c r="B36" s="46" t="s">
        <v>57</v>
      </c>
      <c r="C36" s="48" t="s">
        <v>29</v>
      </c>
      <c r="D36" s="62">
        <v>1338</v>
      </c>
      <c r="E36" s="4">
        <v>28</v>
      </c>
      <c r="F36" s="5" t="s">
        <v>166</v>
      </c>
      <c r="G36" s="5" t="s">
        <v>209</v>
      </c>
      <c r="H36" s="63" t="s">
        <v>213</v>
      </c>
      <c r="I36" s="63" t="s">
        <v>213</v>
      </c>
      <c r="J36" s="57" t="s">
        <v>229</v>
      </c>
      <c r="K36" s="5">
        <v>2050</v>
      </c>
      <c r="L36" s="59">
        <v>368568</v>
      </c>
      <c r="M36" s="59">
        <v>17360484</v>
      </c>
      <c r="N36" s="33">
        <f>Tableau1[[#This Row],[n_prev]]/Tableau1[[#This Row],[n_death]]</f>
        <v>2.1230283671814679E-2</v>
      </c>
      <c r="O36" s="33"/>
      <c r="P36" s="33"/>
      <c r="Q36" s="33" t="s">
        <v>246</v>
      </c>
      <c r="R36" s="33">
        <v>171930000000</v>
      </c>
      <c r="S36" s="33">
        <v>1312636325</v>
      </c>
      <c r="T36" s="33"/>
      <c r="U36" s="50">
        <f>Tableau1[[#This Row],[monetary]]/Tableau1[[#This Row],[population_target]]</f>
        <v>130.98068118753304</v>
      </c>
      <c r="V36" s="50"/>
      <c r="W36" s="48" t="s">
        <v>247</v>
      </c>
      <c r="X36" s="13"/>
    </row>
    <row r="37" spans="1:24" s="34" customFormat="1" ht="72" x14ac:dyDescent="0.3">
      <c r="A37" s="39" t="s">
        <v>89</v>
      </c>
      <c r="B37" s="25" t="s">
        <v>88</v>
      </c>
      <c r="C37" s="26" t="s">
        <v>27</v>
      </c>
      <c r="D37" s="27">
        <v>7662</v>
      </c>
      <c r="E37" s="26">
        <v>6</v>
      </c>
      <c r="F37" s="37" t="s">
        <v>153</v>
      </c>
      <c r="G37" s="37" t="s">
        <v>209</v>
      </c>
      <c r="H37" s="39" t="s">
        <v>220</v>
      </c>
      <c r="I37" s="39" t="s">
        <v>354</v>
      </c>
      <c r="J37" s="26" t="s">
        <v>229</v>
      </c>
      <c r="K37" s="37">
        <v>2030</v>
      </c>
      <c r="L37" s="41">
        <f>8500000-7000000</f>
        <v>1500000</v>
      </c>
      <c r="M37" s="41">
        <v>67172551</v>
      </c>
      <c r="N37" s="24">
        <f>Tableau1[[#This Row],[n_prev]]/Tableau1[[#This Row],[n_death]]</f>
        <v>2.2330549869990793E-2</v>
      </c>
      <c r="O37" s="24"/>
      <c r="P37" s="24"/>
      <c r="Q37" s="24"/>
      <c r="R37" s="24"/>
      <c r="S37" s="24"/>
      <c r="T37" s="24"/>
      <c r="U37" s="24"/>
      <c r="V37" s="24"/>
      <c r="W37" s="38"/>
      <c r="X37" s="38"/>
    </row>
    <row r="38" spans="1:24" s="34" customFormat="1" ht="72" x14ac:dyDescent="0.3">
      <c r="A38" s="39" t="s">
        <v>89</v>
      </c>
      <c r="B38" s="25" t="s">
        <v>88</v>
      </c>
      <c r="C38" s="26" t="s">
        <v>27</v>
      </c>
      <c r="D38" s="27">
        <v>7662</v>
      </c>
      <c r="E38" s="26">
        <v>6</v>
      </c>
      <c r="F38" s="37" t="s">
        <v>154</v>
      </c>
      <c r="G38" s="37" t="s">
        <v>209</v>
      </c>
      <c r="H38" s="39" t="s">
        <v>220</v>
      </c>
      <c r="I38" s="39" t="s">
        <v>354</v>
      </c>
      <c r="J38" s="26" t="s">
        <v>229</v>
      </c>
      <c r="K38" s="37">
        <v>2030</v>
      </c>
      <c r="L38" s="41">
        <f>8500000-7000000</f>
        <v>1500000</v>
      </c>
      <c r="M38" s="41">
        <v>67172551</v>
      </c>
      <c r="N38" s="24">
        <f>Tableau1[[#This Row],[n_prev]]/Tableau1[[#This Row],[n_death]]</f>
        <v>2.2330549869990793E-2</v>
      </c>
      <c r="O38" s="24"/>
      <c r="P38" s="24"/>
      <c r="Q38" s="24"/>
      <c r="R38" s="24"/>
      <c r="S38" s="24"/>
      <c r="T38" s="24"/>
      <c r="U38" s="24"/>
      <c r="V38" s="24"/>
      <c r="W38" s="38"/>
      <c r="X38" s="38"/>
    </row>
    <row r="39" spans="1:24" s="31" customFormat="1" ht="43.2" x14ac:dyDescent="0.3">
      <c r="A39" s="39" t="s">
        <v>127</v>
      </c>
      <c r="B39" s="44" t="s">
        <v>128</v>
      </c>
      <c r="C39" s="26" t="s">
        <v>27</v>
      </c>
      <c r="D39" s="27">
        <v>7662</v>
      </c>
      <c r="E39" s="26">
        <v>7</v>
      </c>
      <c r="F39" s="39" t="s">
        <v>163</v>
      </c>
      <c r="G39" s="39" t="s">
        <v>142</v>
      </c>
      <c r="H39" s="26" t="s">
        <v>222</v>
      </c>
      <c r="I39" s="26" t="s">
        <v>354</v>
      </c>
      <c r="J39" s="39" t="s">
        <v>230</v>
      </c>
      <c r="K39" s="39">
        <v>2040</v>
      </c>
      <c r="L39" s="39">
        <f>1200000-400000</f>
        <v>800000</v>
      </c>
      <c r="M39" s="39">
        <v>33179734</v>
      </c>
      <c r="N39" s="39">
        <f>Tableau1[[#This Row],[n_prev]]/Tableau1[[#This Row],[n_death]]</f>
        <v>2.4111103482625872E-2</v>
      </c>
      <c r="O39" s="39"/>
      <c r="P39" s="39"/>
      <c r="Q39" s="39"/>
      <c r="R39" s="39"/>
      <c r="S39" s="39"/>
      <c r="T39" s="39"/>
      <c r="U39" s="39"/>
      <c r="V39" s="39"/>
      <c r="W39" s="26"/>
      <c r="X39" s="39" t="s">
        <v>165</v>
      </c>
    </row>
    <row r="40" spans="1:24" s="31" customFormat="1" ht="60.6" customHeight="1" x14ac:dyDescent="0.3">
      <c r="A40" s="39" t="s">
        <v>36</v>
      </c>
      <c r="B40" s="25" t="s">
        <v>0</v>
      </c>
      <c r="C40" s="26" t="s">
        <v>63</v>
      </c>
      <c r="D40" s="53">
        <v>3870</v>
      </c>
      <c r="E40" s="26">
        <v>15</v>
      </c>
      <c r="F40" s="39" t="s">
        <v>181</v>
      </c>
      <c r="G40" s="39" t="s">
        <v>209</v>
      </c>
      <c r="H40" s="26" t="s">
        <v>212</v>
      </c>
      <c r="I40" s="26" t="s">
        <v>212</v>
      </c>
      <c r="J40" s="39" t="s">
        <v>228</v>
      </c>
      <c r="K40" s="39">
        <v>2040</v>
      </c>
      <c r="L40" s="54">
        <v>1145365</v>
      </c>
      <c r="M40" s="52">
        <v>41991720</v>
      </c>
      <c r="N40" s="24">
        <f>Tableau1[[#This Row],[n_prev]]/Tableau1[[#This Row],[n_death]]</f>
        <v>2.7275972501245485E-2</v>
      </c>
      <c r="O40" s="24"/>
      <c r="P40" s="24"/>
      <c r="Q40" s="24"/>
      <c r="R40" s="24"/>
      <c r="S40" s="24"/>
      <c r="T40" s="24"/>
      <c r="U40" s="24"/>
      <c r="V40" s="24"/>
      <c r="W40" s="26" t="s">
        <v>238</v>
      </c>
      <c r="X40" s="45"/>
    </row>
    <row r="41" spans="1:24" s="31" customFormat="1" ht="60.6" customHeight="1" x14ac:dyDescent="0.3">
      <c r="A41" s="39" t="s">
        <v>36</v>
      </c>
      <c r="B41" s="25" t="s">
        <v>0</v>
      </c>
      <c r="C41" s="26" t="s">
        <v>63</v>
      </c>
      <c r="D41" s="53">
        <v>3870</v>
      </c>
      <c r="E41" s="26">
        <v>15</v>
      </c>
      <c r="F41" s="39" t="s">
        <v>177</v>
      </c>
      <c r="G41" s="39" t="s">
        <v>209</v>
      </c>
      <c r="H41" s="26" t="s">
        <v>242</v>
      </c>
      <c r="I41" s="26" t="s">
        <v>354</v>
      </c>
      <c r="J41" s="26" t="s">
        <v>243</v>
      </c>
      <c r="K41" s="39">
        <v>2040</v>
      </c>
      <c r="L41" s="54">
        <v>1183662</v>
      </c>
      <c r="M41" s="52">
        <v>41991720</v>
      </c>
      <c r="N41" s="24">
        <f>Tableau1[[#This Row],[n_prev]]/Tableau1[[#This Row],[n_death]]</f>
        <v>2.8187985631453059E-2</v>
      </c>
      <c r="O41" s="24"/>
      <c r="P41" s="24"/>
      <c r="Q41" s="24"/>
      <c r="R41" s="24"/>
      <c r="S41" s="24"/>
      <c r="T41" s="24"/>
      <c r="U41" s="24"/>
      <c r="V41" s="24"/>
      <c r="W41" s="26" t="s">
        <v>292</v>
      </c>
      <c r="X41" s="45"/>
    </row>
    <row r="42" spans="1:24" s="31" customFormat="1" ht="60.6" customHeight="1" x14ac:dyDescent="0.3">
      <c r="A42" s="5" t="s">
        <v>269</v>
      </c>
      <c r="B42" s="6" t="s">
        <v>2</v>
      </c>
      <c r="C42" s="85" t="s">
        <v>29</v>
      </c>
      <c r="D42" s="7">
        <v>1411</v>
      </c>
      <c r="E42" s="4">
        <v>21</v>
      </c>
      <c r="F42" s="10" t="s">
        <v>166</v>
      </c>
      <c r="G42" s="5" t="s">
        <v>209</v>
      </c>
      <c r="H42" s="4" t="s">
        <v>213</v>
      </c>
      <c r="I42" s="4" t="s">
        <v>213</v>
      </c>
      <c r="J42" s="4" t="s">
        <v>229</v>
      </c>
      <c r="K42" s="5">
        <v>2060</v>
      </c>
      <c r="L42" s="5">
        <v>540000</v>
      </c>
      <c r="M42" s="43">
        <v>18786882</v>
      </c>
      <c r="N42" s="5">
        <f>Tableau1[[#This Row],[n_prev]]/Tableau1[[#This Row],[n_death]]</f>
        <v>2.8743460463529817E-2</v>
      </c>
      <c r="O42" s="5" t="s">
        <v>272</v>
      </c>
      <c r="P42" s="5"/>
      <c r="Q42" s="5"/>
      <c r="R42" s="5"/>
      <c r="S42" s="5"/>
      <c r="T42" s="5"/>
      <c r="U42" s="5"/>
      <c r="V42" s="5"/>
      <c r="W42" s="4" t="s">
        <v>275</v>
      </c>
      <c r="X42" s="12"/>
    </row>
    <row r="43" spans="1:24" s="31" customFormat="1" ht="90" customHeight="1" x14ac:dyDescent="0.3">
      <c r="A43" s="33" t="s">
        <v>44</v>
      </c>
      <c r="B43" s="47" t="s">
        <v>10</v>
      </c>
      <c r="C43" s="48" t="s">
        <v>69</v>
      </c>
      <c r="D43" s="62">
        <v>3820</v>
      </c>
      <c r="E43" s="4">
        <v>16</v>
      </c>
      <c r="F43" s="5" t="s">
        <v>183</v>
      </c>
      <c r="G43" s="5" t="s">
        <v>209</v>
      </c>
      <c r="H43" s="4" t="s">
        <v>223</v>
      </c>
      <c r="I43" s="4" t="s">
        <v>354</v>
      </c>
      <c r="J43" s="5" t="s">
        <v>229</v>
      </c>
      <c r="K43" s="5">
        <v>2050</v>
      </c>
      <c r="L43" s="9">
        <v>1000000</v>
      </c>
      <c r="M43" s="9">
        <v>31985106</v>
      </c>
      <c r="N43" s="33">
        <f>Tableau1[[#This Row],[n_prev]]/Tableau1[[#This Row],[n_death]]</f>
        <v>3.1264551694779437E-2</v>
      </c>
      <c r="O43" s="33"/>
      <c r="P43" s="33"/>
      <c r="Q43" s="33"/>
      <c r="R43" s="33"/>
      <c r="S43" s="33"/>
      <c r="T43" s="33"/>
      <c r="U43" s="33"/>
      <c r="V43" s="33"/>
      <c r="W43" s="4" t="s">
        <v>311</v>
      </c>
      <c r="X43" s="5" t="s">
        <v>184</v>
      </c>
    </row>
    <row r="44" spans="1:24" s="31" customFormat="1" ht="57.6" x14ac:dyDescent="0.3">
      <c r="A44" s="24" t="s">
        <v>52</v>
      </c>
      <c r="B44" s="25" t="s">
        <v>201</v>
      </c>
      <c r="C44" s="26" t="s">
        <v>29</v>
      </c>
      <c r="D44" s="27">
        <v>1338</v>
      </c>
      <c r="E44" s="26">
        <v>29</v>
      </c>
      <c r="F44" s="39" t="s">
        <v>203</v>
      </c>
      <c r="G44" s="39" t="s">
        <v>209</v>
      </c>
      <c r="H44" s="26" t="s">
        <v>214</v>
      </c>
      <c r="I44" s="26" t="s">
        <v>214</v>
      </c>
      <c r="J44" s="69" t="s">
        <v>229</v>
      </c>
      <c r="K44" s="39">
        <v>2050</v>
      </c>
      <c r="L44" s="40">
        <f>7039600-6426000</f>
        <v>613600</v>
      </c>
      <c r="M44" s="65">
        <v>17360484</v>
      </c>
      <c r="N44" s="24">
        <f>Tableau1[[#This Row],[n_prev]]/Tableau1[[#This Row],[n_death]]</f>
        <v>3.5344636704829194E-2</v>
      </c>
      <c r="O44" s="24"/>
      <c r="P44" s="24"/>
      <c r="Q44" s="24"/>
      <c r="R44" s="24"/>
      <c r="S44" s="24"/>
      <c r="T44" s="24"/>
      <c r="U44" s="39"/>
      <c r="V44" s="24"/>
      <c r="W44" s="26" t="s">
        <v>320</v>
      </c>
      <c r="X44" s="30"/>
    </row>
    <row r="45" spans="1:24" s="34" customFormat="1" ht="57.6" x14ac:dyDescent="0.3">
      <c r="A45" s="33" t="s">
        <v>105</v>
      </c>
      <c r="B45" s="46" t="s">
        <v>104</v>
      </c>
      <c r="C45" s="57" t="s">
        <v>29</v>
      </c>
      <c r="D45" s="58">
        <v>1410</v>
      </c>
      <c r="E45" s="4">
        <v>22</v>
      </c>
      <c r="F45" s="5" t="s">
        <v>188</v>
      </c>
      <c r="G45" s="5" t="s">
        <v>209</v>
      </c>
      <c r="H45" s="4" t="s">
        <v>215</v>
      </c>
      <c r="I45" s="4" t="s">
        <v>354</v>
      </c>
      <c r="J45" s="8" t="s">
        <v>229</v>
      </c>
      <c r="K45" s="5">
        <v>2050</v>
      </c>
      <c r="L45" s="43">
        <f>3500000-2880000</f>
        <v>620000</v>
      </c>
      <c r="M45" s="59">
        <v>17360484</v>
      </c>
      <c r="N45" s="33">
        <f>Tableau1[[#This Row],[n_prev]]/Tableau1[[#This Row],[n_death]]</f>
        <v>3.5713290021176826E-2</v>
      </c>
      <c r="O45" s="33"/>
      <c r="P45" s="33"/>
      <c r="Q45" s="33"/>
      <c r="R45" s="33"/>
      <c r="S45" s="33"/>
      <c r="T45" s="33"/>
      <c r="U45" s="33"/>
      <c r="V45" s="33"/>
      <c r="W45" s="57" t="s">
        <v>236</v>
      </c>
      <c r="X45" s="13"/>
    </row>
    <row r="46" spans="1:24" s="34" customFormat="1" ht="43.2" x14ac:dyDescent="0.3">
      <c r="A46" s="39" t="s">
        <v>122</v>
      </c>
      <c r="B46" s="25" t="s">
        <v>123</v>
      </c>
      <c r="C46" s="61" t="s">
        <v>29</v>
      </c>
      <c r="D46" s="61">
        <v>1408</v>
      </c>
      <c r="E46" s="26">
        <v>23</v>
      </c>
      <c r="F46" s="39" t="s">
        <v>189</v>
      </c>
      <c r="G46" s="39" t="s">
        <v>209</v>
      </c>
      <c r="H46" s="39" t="s">
        <v>216</v>
      </c>
      <c r="I46" s="39" t="s">
        <v>354</v>
      </c>
      <c r="J46" s="69" t="s">
        <v>229</v>
      </c>
      <c r="K46" s="39">
        <v>2050</v>
      </c>
      <c r="L46" s="60">
        <f>1610000-980000</f>
        <v>630000</v>
      </c>
      <c r="M46" s="65">
        <v>17360484</v>
      </c>
      <c r="N46" s="61">
        <f>Tableau1[[#This Row],[n_prev]]/Tableau1[[#This Row],[n_death]]</f>
        <v>3.6289310827970003E-2</v>
      </c>
      <c r="O46" s="61"/>
      <c r="P46" s="61"/>
      <c r="Q46" s="61"/>
      <c r="R46" s="61"/>
      <c r="S46" s="61"/>
      <c r="T46" s="61"/>
      <c r="U46" s="61"/>
      <c r="V46" s="61"/>
      <c r="W46" s="26"/>
      <c r="X46" s="38" t="s">
        <v>190</v>
      </c>
    </row>
    <row r="47" spans="1:24" s="31" customFormat="1" ht="43.2" x14ac:dyDescent="0.3">
      <c r="A47" s="15" t="s">
        <v>48</v>
      </c>
      <c r="B47" s="16" t="s">
        <v>18</v>
      </c>
      <c r="C47" s="17" t="s">
        <v>27</v>
      </c>
      <c r="D47" s="18">
        <v>7821</v>
      </c>
      <c r="E47" s="17">
        <v>3</v>
      </c>
      <c r="F47" s="19" t="s">
        <v>139</v>
      </c>
      <c r="G47" s="19" t="s">
        <v>209</v>
      </c>
      <c r="H47" s="17" t="s">
        <v>213</v>
      </c>
      <c r="I47" s="17" t="s">
        <v>213</v>
      </c>
      <c r="J47" s="17" t="s">
        <v>229</v>
      </c>
      <c r="K47" s="20">
        <v>2050</v>
      </c>
      <c r="L47" s="19">
        <v>3337286</v>
      </c>
      <c r="M47" s="20">
        <v>91583402</v>
      </c>
      <c r="N47" s="20">
        <f>Tableau1[[#This Row],[n_prev]]/Tableau1[[#This Row],[n_death]]</f>
        <v>3.643985620887942E-2</v>
      </c>
      <c r="O47" s="20"/>
      <c r="P47" s="20"/>
      <c r="Q47" s="20"/>
      <c r="R47" s="20"/>
      <c r="S47" s="20"/>
      <c r="T47" s="20"/>
      <c r="U47" s="20"/>
      <c r="V47" s="20"/>
      <c r="W47" s="17"/>
      <c r="X47" s="81"/>
    </row>
    <row r="48" spans="1:24" s="31" customFormat="1" ht="115.2" x14ac:dyDescent="0.3">
      <c r="A48" s="15" t="s">
        <v>48</v>
      </c>
      <c r="B48" s="16" t="s">
        <v>18</v>
      </c>
      <c r="C48" s="17" t="s">
        <v>27</v>
      </c>
      <c r="D48" s="18">
        <v>7821</v>
      </c>
      <c r="E48" s="17">
        <v>3</v>
      </c>
      <c r="F48" s="19" t="s">
        <v>141</v>
      </c>
      <c r="G48" s="19" t="s">
        <v>142</v>
      </c>
      <c r="H48" s="17" t="s">
        <v>213</v>
      </c>
      <c r="I48" s="17" t="s">
        <v>213</v>
      </c>
      <c r="J48" s="17" t="s">
        <v>229</v>
      </c>
      <c r="K48" s="20">
        <v>2050</v>
      </c>
      <c r="L48" s="15">
        <f xml:space="preserve"> 1854 + 3337286</f>
        <v>3339140</v>
      </c>
      <c r="M48" s="20">
        <v>91583402</v>
      </c>
      <c r="N48" s="20">
        <f>Tableau1[[#This Row],[n_prev]]/Tableau1[[#This Row],[n_death]]</f>
        <v>3.6460100051753916E-2</v>
      </c>
      <c r="O48" s="20"/>
      <c r="P48" s="20"/>
      <c r="Q48" s="20"/>
      <c r="R48" s="20"/>
      <c r="S48" s="20"/>
      <c r="T48" s="20"/>
      <c r="U48" s="20"/>
      <c r="V48" s="20"/>
      <c r="W48" s="17" t="s">
        <v>317</v>
      </c>
      <c r="X48" s="17" t="s">
        <v>172</v>
      </c>
    </row>
    <row r="49" spans="1:24" s="31" customFormat="1" ht="57.6" x14ac:dyDescent="0.3">
      <c r="A49" s="24" t="s">
        <v>56</v>
      </c>
      <c r="B49" s="44" t="s">
        <v>33</v>
      </c>
      <c r="C49" s="26" t="s">
        <v>64</v>
      </c>
      <c r="D49" s="27">
        <v>6000</v>
      </c>
      <c r="E49" s="26">
        <v>13</v>
      </c>
      <c r="F49" s="39" t="s">
        <v>174</v>
      </c>
      <c r="G49" s="28" t="s">
        <v>132</v>
      </c>
      <c r="H49" s="26" t="s">
        <v>213</v>
      </c>
      <c r="I49" s="26" t="s">
        <v>213</v>
      </c>
      <c r="J49" s="26" t="s">
        <v>230</v>
      </c>
      <c r="K49" s="39">
        <v>2050</v>
      </c>
      <c r="L49" s="51">
        <v>3487163</v>
      </c>
      <c r="M49" s="28">
        <v>91583402</v>
      </c>
      <c r="N49" s="52">
        <f>Tableau1[[#This Row],[n_prev]]/M49</f>
        <v>3.8076364536010578E-2</v>
      </c>
      <c r="O49" s="52"/>
      <c r="P49" s="52"/>
      <c r="Q49" s="51">
        <v>23000</v>
      </c>
      <c r="R49" s="51"/>
      <c r="S49" s="51"/>
      <c r="T49" s="51"/>
      <c r="U49" s="51"/>
      <c r="V49" s="51"/>
      <c r="W49" s="26" t="s">
        <v>300</v>
      </c>
      <c r="X49" s="26" t="s">
        <v>175</v>
      </c>
    </row>
    <row r="50" spans="1:24" s="31" customFormat="1" ht="43.2" x14ac:dyDescent="0.3">
      <c r="A50" s="39" t="s">
        <v>36</v>
      </c>
      <c r="B50" s="25" t="s">
        <v>0</v>
      </c>
      <c r="C50" s="26" t="s">
        <v>63</v>
      </c>
      <c r="D50" s="53">
        <v>3870</v>
      </c>
      <c r="E50" s="26">
        <v>15</v>
      </c>
      <c r="F50" s="39" t="s">
        <v>178</v>
      </c>
      <c r="G50" s="39" t="s">
        <v>142</v>
      </c>
      <c r="H50" s="26" t="s">
        <v>242</v>
      </c>
      <c r="I50" s="26" t="s">
        <v>354</v>
      </c>
      <c r="J50" s="26" t="s">
        <v>243</v>
      </c>
      <c r="K50" s="39">
        <v>2040</v>
      </c>
      <c r="L50" s="52">
        <v>1645276</v>
      </c>
      <c r="M50" s="52">
        <v>41991720</v>
      </c>
      <c r="N50" s="24">
        <f>Tableau1[[#This Row],[n_prev]]/Tableau1[[#This Row],[n_death]]</f>
        <v>3.918096234209982E-2</v>
      </c>
      <c r="O50" s="24"/>
      <c r="P50" s="24"/>
      <c r="Q50" s="24"/>
      <c r="R50" s="24"/>
      <c r="S50" s="24"/>
      <c r="T50" s="24"/>
      <c r="U50" s="24"/>
      <c r="V50" s="24"/>
      <c r="W50" s="26" t="s">
        <v>291</v>
      </c>
      <c r="X50" s="26"/>
    </row>
    <row r="51" spans="1:24" s="34" customFormat="1" ht="91.8" customHeight="1" x14ac:dyDescent="0.3">
      <c r="A51" s="15" t="s">
        <v>48</v>
      </c>
      <c r="B51" s="16" t="s">
        <v>18</v>
      </c>
      <c r="C51" s="17" t="s">
        <v>27</v>
      </c>
      <c r="D51" s="18">
        <v>7821</v>
      </c>
      <c r="E51" s="17">
        <v>3</v>
      </c>
      <c r="F51" s="19" t="s">
        <v>138</v>
      </c>
      <c r="G51" s="19" t="s">
        <v>209</v>
      </c>
      <c r="H51" s="17" t="s">
        <v>213</v>
      </c>
      <c r="I51" s="17" t="s">
        <v>213</v>
      </c>
      <c r="J51" s="80" t="s">
        <v>229</v>
      </c>
      <c r="K51" s="20">
        <v>2050</v>
      </c>
      <c r="L51" s="19">
        <v>3671573</v>
      </c>
      <c r="M51" s="20">
        <v>91583402</v>
      </c>
      <c r="N51" s="20">
        <f>Tableau1[[#This Row],[n_prev]]/Tableau1[[#This Row],[n_death]]</f>
        <v>4.0089939004449737E-2</v>
      </c>
      <c r="O51" s="20"/>
      <c r="P51" s="20"/>
      <c r="Q51" s="20"/>
      <c r="R51" s="20"/>
      <c r="S51" s="20"/>
      <c r="T51" s="20"/>
      <c r="U51" s="20"/>
      <c r="V51" s="20"/>
      <c r="W51" s="17"/>
      <c r="X51" s="81"/>
    </row>
    <row r="52" spans="1:24" s="34" customFormat="1" ht="129.6" customHeight="1" x14ac:dyDescent="0.3">
      <c r="A52" s="15" t="s">
        <v>48</v>
      </c>
      <c r="B52" s="16" t="s">
        <v>18</v>
      </c>
      <c r="C52" s="17" t="s">
        <v>27</v>
      </c>
      <c r="D52" s="18">
        <v>7821</v>
      </c>
      <c r="E52" s="17">
        <v>3</v>
      </c>
      <c r="F52" s="19" t="s">
        <v>140</v>
      </c>
      <c r="G52" s="19" t="s">
        <v>142</v>
      </c>
      <c r="H52" s="17" t="s">
        <v>213</v>
      </c>
      <c r="I52" s="17" t="s">
        <v>213</v>
      </c>
      <c r="J52" s="80" t="s">
        <v>229</v>
      </c>
      <c r="K52" s="20">
        <v>2050</v>
      </c>
      <c r="L52" s="19">
        <f xml:space="preserve"> 6261 +3671573</f>
        <v>3677834</v>
      </c>
      <c r="M52" s="20">
        <v>91583402</v>
      </c>
      <c r="N52" s="20">
        <f>Tableau1[[#This Row],[n_prev]]/Tableau1[[#This Row],[n_death]]</f>
        <v>4.0158302920435297E-2</v>
      </c>
      <c r="O52" s="20"/>
      <c r="P52" s="20"/>
      <c r="Q52" s="20"/>
      <c r="R52" s="20"/>
      <c r="S52" s="20"/>
      <c r="T52" s="20"/>
      <c r="U52" s="20"/>
      <c r="V52" s="20"/>
      <c r="W52" s="17"/>
      <c r="X52" s="17" t="s">
        <v>262</v>
      </c>
    </row>
    <row r="53" spans="1:24" s="34" customFormat="1" ht="72" x14ac:dyDescent="0.3">
      <c r="A53" s="39" t="s">
        <v>89</v>
      </c>
      <c r="B53" s="25" t="s">
        <v>88</v>
      </c>
      <c r="C53" s="26" t="s">
        <v>27</v>
      </c>
      <c r="D53" s="27">
        <v>7662</v>
      </c>
      <c r="E53" s="26">
        <v>6</v>
      </c>
      <c r="F53" s="39" t="s">
        <v>155</v>
      </c>
      <c r="G53" s="39" t="s">
        <v>142</v>
      </c>
      <c r="H53" s="26" t="s">
        <v>220</v>
      </c>
      <c r="I53" s="26" t="s">
        <v>354</v>
      </c>
      <c r="J53" s="69" t="s">
        <v>229</v>
      </c>
      <c r="K53" s="37">
        <v>2030</v>
      </c>
      <c r="L53" s="24">
        <f>8500000-5600000</f>
        <v>2900000</v>
      </c>
      <c r="M53" s="41">
        <v>67172551</v>
      </c>
      <c r="N53" s="24">
        <f>Tableau1[[#This Row],[n_prev]]/Tableau1[[#This Row],[n_death]]</f>
        <v>4.3172396415315534E-2</v>
      </c>
      <c r="O53" s="24"/>
      <c r="P53" s="24"/>
      <c r="Q53" s="24"/>
      <c r="R53" s="24"/>
      <c r="S53" s="24"/>
      <c r="T53" s="24"/>
      <c r="U53" s="24"/>
      <c r="V53" s="24"/>
      <c r="W53" s="26"/>
      <c r="X53" s="38"/>
    </row>
    <row r="54" spans="1:24" s="31" customFormat="1" ht="117.6" customHeight="1" x14ac:dyDescent="0.3">
      <c r="A54" s="39" t="s">
        <v>77</v>
      </c>
      <c r="B54" s="25" t="s">
        <v>76</v>
      </c>
      <c r="C54" s="64" t="s">
        <v>78</v>
      </c>
      <c r="D54" s="64">
        <v>330</v>
      </c>
      <c r="E54" s="26">
        <v>33</v>
      </c>
      <c r="F54" s="39" t="s">
        <v>207</v>
      </c>
      <c r="G54" s="39" t="s">
        <v>209</v>
      </c>
      <c r="H54" s="26" t="s">
        <v>214</v>
      </c>
      <c r="I54" s="26" t="s">
        <v>214</v>
      </c>
      <c r="J54" s="69" t="s">
        <v>229</v>
      </c>
      <c r="K54" s="39">
        <v>2050</v>
      </c>
      <c r="L54" s="56">
        <f>(160000+40000)-(15000+0)</f>
        <v>185000</v>
      </c>
      <c r="M54" s="56">
        <v>4113152</v>
      </c>
      <c r="N54" s="24">
        <f>Tableau1[[#This Row],[n_prev]]/Tableau1[[#This Row],[n_death]]</f>
        <v>4.497767162507002E-2</v>
      </c>
      <c r="O54" s="24"/>
      <c r="P54" s="24"/>
      <c r="Q54" s="24"/>
      <c r="R54" s="24"/>
      <c r="S54" s="24"/>
      <c r="T54" s="24"/>
      <c r="U54" s="39"/>
      <c r="V54" s="24"/>
      <c r="W54" s="26" t="s">
        <v>318</v>
      </c>
      <c r="X54" s="26" t="s">
        <v>328</v>
      </c>
    </row>
    <row r="55" spans="1:24" s="31" customFormat="1" ht="225.6" customHeight="1" x14ac:dyDescent="0.3">
      <c r="A55" s="39" t="s">
        <v>36</v>
      </c>
      <c r="B55" s="39" t="s">
        <v>0</v>
      </c>
      <c r="C55" s="39" t="s">
        <v>63</v>
      </c>
      <c r="D55" s="60">
        <v>3870</v>
      </c>
      <c r="E55" s="26">
        <v>15</v>
      </c>
      <c r="F55" s="39" t="s">
        <v>182</v>
      </c>
      <c r="G55" s="39" t="s">
        <v>142</v>
      </c>
      <c r="H55" s="26" t="s">
        <v>212</v>
      </c>
      <c r="I55" s="26" t="s">
        <v>212</v>
      </c>
      <c r="J55" s="39" t="s">
        <v>228</v>
      </c>
      <c r="K55" s="39">
        <v>2040</v>
      </c>
      <c r="L55" s="52">
        <v>2088298</v>
      </c>
      <c r="M55" s="52">
        <v>41991720</v>
      </c>
      <c r="N55" s="24">
        <f>Tableau1[[#This Row],[n_prev]]/Tableau1[[#This Row],[n_death]]</f>
        <v>4.9731185100300723E-2</v>
      </c>
      <c r="O55" s="24"/>
      <c r="P55" s="24"/>
      <c r="Q55" s="24"/>
      <c r="R55" s="24"/>
      <c r="S55" s="24"/>
      <c r="T55" s="24"/>
      <c r="U55" s="24"/>
      <c r="V55" s="24"/>
      <c r="W55" s="39" t="s">
        <v>295</v>
      </c>
      <c r="X55" s="30"/>
    </row>
    <row r="56" spans="1:24" s="31" customFormat="1" ht="57.6" x14ac:dyDescent="0.3">
      <c r="A56" s="24" t="s">
        <v>40</v>
      </c>
      <c r="B56" s="52" t="s">
        <v>6</v>
      </c>
      <c r="C56" s="64" t="s">
        <v>29</v>
      </c>
      <c r="D56" s="51">
        <v>1380</v>
      </c>
      <c r="E56" s="26">
        <v>25</v>
      </c>
      <c r="F56" s="39" t="s">
        <v>195</v>
      </c>
      <c r="G56" s="39" t="s">
        <v>132</v>
      </c>
      <c r="H56" s="26" t="s">
        <v>214</v>
      </c>
      <c r="I56" s="26" t="s">
        <v>214</v>
      </c>
      <c r="J56" s="39" t="s">
        <v>229</v>
      </c>
      <c r="K56" s="39">
        <v>2050</v>
      </c>
      <c r="L56" s="51">
        <v>960000</v>
      </c>
      <c r="M56" s="65">
        <v>17360484</v>
      </c>
      <c r="N56" s="52">
        <f>Tableau1[[#This Row],[n_prev]]/Tableau1[[#This Row],[n_death]]</f>
        <v>5.5297997452144768E-2</v>
      </c>
      <c r="O56" s="52"/>
      <c r="P56" s="52"/>
      <c r="Q56" s="52"/>
      <c r="R56" s="52"/>
      <c r="S56" s="52"/>
      <c r="T56" s="52"/>
      <c r="U56" s="52"/>
      <c r="V56" s="52"/>
      <c r="W56" s="26"/>
      <c r="X56" s="30" t="s">
        <v>196</v>
      </c>
    </row>
    <row r="57" spans="1:24" s="31" customFormat="1" ht="157.80000000000001" customHeight="1" x14ac:dyDescent="0.3">
      <c r="A57" s="24" t="s">
        <v>40</v>
      </c>
      <c r="B57" s="32" t="s">
        <v>6</v>
      </c>
      <c r="C57" s="64" t="s">
        <v>29</v>
      </c>
      <c r="D57" s="36">
        <v>1380</v>
      </c>
      <c r="E57" s="26">
        <v>25</v>
      </c>
      <c r="F57" s="39" t="s">
        <v>195</v>
      </c>
      <c r="G57" s="39" t="s">
        <v>132</v>
      </c>
      <c r="H57" s="26" t="s">
        <v>214</v>
      </c>
      <c r="I57" s="26" t="s">
        <v>214</v>
      </c>
      <c r="J57" s="39" t="s">
        <v>229</v>
      </c>
      <c r="K57" s="39">
        <v>2050</v>
      </c>
      <c r="L57" s="51">
        <v>1060000</v>
      </c>
      <c r="M57" s="65">
        <v>17360484</v>
      </c>
      <c r="N57" s="52">
        <f>Tableau1[[#This Row],[n_prev]]/Tableau1[[#This Row],[n_death]]</f>
        <v>6.1058205520076514E-2</v>
      </c>
      <c r="O57" s="52"/>
      <c r="P57" s="52"/>
      <c r="Q57" s="52"/>
      <c r="R57" s="52"/>
      <c r="S57" s="52"/>
      <c r="T57" s="52"/>
      <c r="U57" s="52"/>
      <c r="V57" s="52"/>
      <c r="W57" s="26"/>
      <c r="X57" s="30" t="s">
        <v>194</v>
      </c>
    </row>
    <row r="58" spans="1:24" s="31" customFormat="1" ht="72" x14ac:dyDescent="0.3">
      <c r="A58" s="5" t="s">
        <v>269</v>
      </c>
      <c r="B58" s="6" t="s">
        <v>2</v>
      </c>
      <c r="C58" s="85" t="s">
        <v>29</v>
      </c>
      <c r="D58" s="7">
        <v>1411</v>
      </c>
      <c r="E58" s="4">
        <v>21</v>
      </c>
      <c r="F58" s="10" t="s">
        <v>271</v>
      </c>
      <c r="G58" s="5" t="s">
        <v>132</v>
      </c>
      <c r="H58" s="4" t="s">
        <v>213</v>
      </c>
      <c r="I58" s="4" t="s">
        <v>213</v>
      </c>
      <c r="J58" s="5" t="s">
        <v>229</v>
      </c>
      <c r="K58" s="5">
        <v>2060</v>
      </c>
      <c r="L58" s="5">
        <v>1160000</v>
      </c>
      <c r="M58" s="43">
        <v>18786882</v>
      </c>
      <c r="N58" s="5">
        <f>Tableau1[[#This Row],[n_prev]]/Tableau1[[#This Row],[n_death]]</f>
        <v>6.1745211366101088E-2</v>
      </c>
      <c r="O58" s="5" t="s">
        <v>273</v>
      </c>
      <c r="P58" s="5"/>
      <c r="Q58" s="5"/>
      <c r="R58" s="5"/>
      <c r="S58" s="5"/>
      <c r="T58" s="5"/>
      <c r="U58" s="5"/>
      <c r="V58" s="5"/>
      <c r="W58" s="4" t="s">
        <v>333</v>
      </c>
      <c r="X58" s="12"/>
    </row>
    <row r="59" spans="1:24" s="31" customFormat="1" ht="43.2" x14ac:dyDescent="0.3">
      <c r="A59" s="24" t="s">
        <v>52</v>
      </c>
      <c r="B59" s="25" t="s">
        <v>13</v>
      </c>
      <c r="C59" s="26" t="s">
        <v>29</v>
      </c>
      <c r="D59" s="27">
        <v>1338</v>
      </c>
      <c r="E59" s="26">
        <v>29</v>
      </c>
      <c r="F59" s="39" t="s">
        <v>204</v>
      </c>
      <c r="G59" s="39" t="s">
        <v>209</v>
      </c>
      <c r="H59" s="26" t="s">
        <v>214</v>
      </c>
      <c r="I59" s="26" t="s">
        <v>214</v>
      </c>
      <c r="J59" s="26" t="s">
        <v>229</v>
      </c>
      <c r="K59" s="39">
        <v>2050</v>
      </c>
      <c r="L59" s="40">
        <f>7525500-6380500</f>
        <v>1145000</v>
      </c>
      <c r="M59" s="65">
        <v>17360484</v>
      </c>
      <c r="N59" s="24">
        <f>Tableau1[[#This Row],[n_prev]]/Tableau1[[#This Row],[n_death]]</f>
        <v>6.5954382377818505E-2</v>
      </c>
      <c r="O59" s="24"/>
      <c r="P59" s="24"/>
      <c r="Q59" s="24" t="s">
        <v>266</v>
      </c>
      <c r="R59" s="24">
        <v>684030000000</v>
      </c>
      <c r="S59" s="24">
        <v>1312636325</v>
      </c>
      <c r="T59" s="24"/>
      <c r="U59" s="39">
        <f>Tableau1[[#This Row],[monetary]]/Tableau1[[#This Row],[population_target]]</f>
        <v>521.11158816209047</v>
      </c>
      <c r="V59" s="24"/>
      <c r="W59" s="26"/>
      <c r="X59" s="30"/>
    </row>
    <row r="60" spans="1:24" s="31" customFormat="1" ht="57.6" x14ac:dyDescent="0.3">
      <c r="A60" s="39" t="s">
        <v>87</v>
      </c>
      <c r="B60" s="44" t="s">
        <v>86</v>
      </c>
      <c r="C60" s="26" t="s">
        <v>29</v>
      </c>
      <c r="D60" s="27">
        <v>1411</v>
      </c>
      <c r="E60" s="26">
        <v>19</v>
      </c>
      <c r="F60" s="39" t="s">
        <v>187</v>
      </c>
      <c r="G60" s="39" t="s">
        <v>209</v>
      </c>
      <c r="H60" s="26" t="s">
        <v>213</v>
      </c>
      <c r="I60" s="26" t="s">
        <v>213</v>
      </c>
      <c r="J60" s="69" t="s">
        <v>229</v>
      </c>
      <c r="K60" s="39">
        <v>2060</v>
      </c>
      <c r="L60" s="56">
        <v>1300000</v>
      </c>
      <c r="M60" s="56">
        <v>18786882</v>
      </c>
      <c r="N60" s="39">
        <f>Tableau1[[#This Row],[n_prev]]/Tableau1[[#This Row],[n_death]]</f>
        <v>6.9197219634423643E-2</v>
      </c>
      <c r="O60" s="39"/>
      <c r="P60" s="39"/>
      <c r="Q60" s="39" t="s">
        <v>344</v>
      </c>
      <c r="R60" s="39">
        <v>380000000000</v>
      </c>
      <c r="S60" s="39">
        <v>1205020651</v>
      </c>
      <c r="T60" s="39"/>
      <c r="U60" s="39">
        <f>Tableau1[[#This Row],[monetary]]/Tableau1[[#This Row],[population_target]]</f>
        <v>315.34729274942526</v>
      </c>
      <c r="V60" s="39" t="s">
        <v>343</v>
      </c>
      <c r="W60" s="26"/>
      <c r="X60" s="37"/>
    </row>
    <row r="61" spans="1:24" s="21" customFormat="1" ht="57.6" x14ac:dyDescent="0.3">
      <c r="A61" s="39" t="s">
        <v>77</v>
      </c>
      <c r="B61" s="25" t="s">
        <v>76</v>
      </c>
      <c r="C61" s="64" t="s">
        <v>78</v>
      </c>
      <c r="D61" s="64">
        <v>330</v>
      </c>
      <c r="E61" s="26">
        <v>33</v>
      </c>
      <c r="F61" s="39" t="s">
        <v>329</v>
      </c>
      <c r="G61" s="39" t="s">
        <v>209</v>
      </c>
      <c r="H61" s="26" t="s">
        <v>214</v>
      </c>
      <c r="I61" s="26" t="s">
        <v>214</v>
      </c>
      <c r="J61" s="69" t="s">
        <v>229</v>
      </c>
      <c r="K61" s="39">
        <v>2050</v>
      </c>
      <c r="L61" s="56">
        <f>(240000+115000)-(15000+0)</f>
        <v>340000</v>
      </c>
      <c r="M61" s="56">
        <v>4113152</v>
      </c>
      <c r="N61" s="24">
        <f>Tableau1[[#This Row],[n_prev]]/Tableau1[[#This Row],[n_death]]</f>
        <v>8.2661666770398948E-2</v>
      </c>
      <c r="O61" s="24"/>
      <c r="P61" s="24"/>
      <c r="Q61" s="24">
        <v>1100</v>
      </c>
      <c r="R61" s="24">
        <v>1100000000000</v>
      </c>
      <c r="S61" s="24">
        <v>375391963</v>
      </c>
      <c r="T61" s="24"/>
      <c r="U61" s="39">
        <f>Tableau1[[#This Row],[monetary]]/Tableau1[[#This Row],[population_target]]</f>
        <v>2930.2705130104237</v>
      </c>
      <c r="V61" s="24" t="s">
        <v>345</v>
      </c>
      <c r="W61" s="26"/>
      <c r="X61" s="26" t="s">
        <v>330</v>
      </c>
    </row>
    <row r="62" spans="1:24" s="21" customFormat="1" ht="28.8" x14ac:dyDescent="0.3">
      <c r="A62" s="5" t="s">
        <v>93</v>
      </c>
      <c r="B62" s="46" t="s">
        <v>92</v>
      </c>
      <c r="C62" s="4" t="s">
        <v>29</v>
      </c>
      <c r="D62" s="7">
        <v>1338</v>
      </c>
      <c r="E62" s="4">
        <v>30</v>
      </c>
      <c r="F62" s="5" t="s">
        <v>206</v>
      </c>
      <c r="G62" s="5" t="s">
        <v>209</v>
      </c>
      <c r="H62" s="5" t="s">
        <v>214</v>
      </c>
      <c r="I62" s="5" t="s">
        <v>214</v>
      </c>
      <c r="J62" s="8" t="s">
        <v>229</v>
      </c>
      <c r="K62" s="5">
        <v>2030</v>
      </c>
      <c r="L62" s="9">
        <f>1429940-(17580+2717+177872)</f>
        <v>1231771</v>
      </c>
      <c r="M62" s="59">
        <v>12224379</v>
      </c>
      <c r="N62" s="5">
        <f>Tableau1[[#This Row],[n_prev]]/Tableau1[[#This Row],[n_death]]</f>
        <v>0.10076348254582093</v>
      </c>
      <c r="O62" s="5"/>
      <c r="P62" s="5"/>
      <c r="Q62" s="5"/>
      <c r="R62" s="5"/>
      <c r="S62" s="5"/>
      <c r="T62" s="5"/>
      <c r="U62" s="5"/>
      <c r="V62" s="5"/>
      <c r="W62" s="4"/>
      <c r="X62" s="13"/>
    </row>
    <row r="63" spans="1:24" s="21" customFormat="1" ht="57.6" x14ac:dyDescent="0.3">
      <c r="A63" s="5" t="s">
        <v>269</v>
      </c>
      <c r="B63" s="6" t="s">
        <v>2</v>
      </c>
      <c r="C63" s="85" t="s">
        <v>29</v>
      </c>
      <c r="D63" s="7">
        <v>1411</v>
      </c>
      <c r="E63" s="4">
        <v>21</v>
      </c>
      <c r="F63" s="10" t="s">
        <v>270</v>
      </c>
      <c r="G63" s="5" t="s">
        <v>132</v>
      </c>
      <c r="H63" s="5" t="s">
        <v>213</v>
      </c>
      <c r="I63" s="5" t="s">
        <v>213</v>
      </c>
      <c r="J63" s="8" t="s">
        <v>229</v>
      </c>
      <c r="K63" s="5">
        <v>2060</v>
      </c>
      <c r="L63" s="5">
        <v>2020000</v>
      </c>
      <c r="M63" s="43">
        <v>18786882</v>
      </c>
      <c r="N63" s="5">
        <f>Tableau1[[#This Row],[n_prev]]/Tableau1[[#This Row],[n_death]]</f>
        <v>0.10752183358579673</v>
      </c>
      <c r="O63" s="5" t="s">
        <v>274</v>
      </c>
      <c r="P63" s="5"/>
      <c r="Q63" s="5"/>
      <c r="R63" s="5"/>
      <c r="S63" s="5"/>
      <c r="T63" s="5"/>
      <c r="U63" s="5"/>
      <c r="V63" s="5"/>
      <c r="W63" s="4" t="s">
        <v>332</v>
      </c>
      <c r="X63" s="12"/>
    </row>
    <row r="64" spans="1:24" s="21" customFormat="1" ht="43.2" x14ac:dyDescent="0.3">
      <c r="A64" s="39" t="s">
        <v>36</v>
      </c>
      <c r="B64" s="25" t="s">
        <v>0</v>
      </c>
      <c r="C64" s="26" t="s">
        <v>63</v>
      </c>
      <c r="D64" s="53">
        <v>3870</v>
      </c>
      <c r="E64" s="26">
        <v>15</v>
      </c>
      <c r="F64" s="39" t="s">
        <v>179</v>
      </c>
      <c r="G64" s="39" t="s">
        <v>209</v>
      </c>
      <c r="H64" s="39" t="s">
        <v>232</v>
      </c>
      <c r="I64" s="39" t="s">
        <v>355</v>
      </c>
      <c r="J64" s="69" t="s">
        <v>232</v>
      </c>
      <c r="K64" s="39">
        <v>2040</v>
      </c>
      <c r="L64" s="54">
        <v>5863930</v>
      </c>
      <c r="M64" s="52">
        <v>41991720</v>
      </c>
      <c r="N64" s="24">
        <f>Tableau1[[#This Row],[n_prev]]/Tableau1[[#This Row],[n_death]]</f>
        <v>0.13964491094911091</v>
      </c>
      <c r="O64" s="24"/>
      <c r="P64" s="24"/>
      <c r="Q64" s="24"/>
      <c r="R64" s="24"/>
      <c r="S64" s="24"/>
      <c r="T64" s="24"/>
      <c r="U64" s="24"/>
      <c r="V64" s="24"/>
      <c r="W64" s="26" t="s">
        <v>296</v>
      </c>
      <c r="X64" s="45"/>
    </row>
    <row r="65" spans="1:24" s="31" customFormat="1" ht="43.2" x14ac:dyDescent="0.3">
      <c r="A65" s="39" t="s">
        <v>36</v>
      </c>
      <c r="B65" s="25" t="s">
        <v>0</v>
      </c>
      <c r="C65" s="26" t="s">
        <v>63</v>
      </c>
      <c r="D65" s="53">
        <v>3870</v>
      </c>
      <c r="E65" s="26">
        <v>15</v>
      </c>
      <c r="F65" s="39" t="s">
        <v>180</v>
      </c>
      <c r="G65" s="39" t="s">
        <v>142</v>
      </c>
      <c r="H65" s="26" t="s">
        <v>232</v>
      </c>
      <c r="I65" s="39" t="s">
        <v>355</v>
      </c>
      <c r="J65" s="69" t="s">
        <v>232</v>
      </c>
      <c r="K65" s="39">
        <v>2040</v>
      </c>
      <c r="L65" s="52">
        <v>6435910</v>
      </c>
      <c r="M65" s="52">
        <v>41991720</v>
      </c>
      <c r="N65" s="24">
        <f>Tableau1[[#This Row],[n_prev]]/Tableau1[[#This Row],[n_death]]</f>
        <v>0.15326616771115831</v>
      </c>
      <c r="O65" s="24"/>
      <c r="P65" s="24"/>
      <c r="Q65" s="24"/>
      <c r="R65" s="24"/>
      <c r="S65" s="24"/>
      <c r="T65" s="24"/>
      <c r="U65" s="24"/>
      <c r="V65" s="24"/>
      <c r="W65" s="26" t="s">
        <v>297</v>
      </c>
      <c r="X65" s="45"/>
    </row>
    <row r="66" spans="1:24" s="31" customFormat="1" ht="43.2" x14ac:dyDescent="0.3">
      <c r="A66" s="5" t="s">
        <v>110</v>
      </c>
      <c r="B66" s="46" t="s">
        <v>109</v>
      </c>
      <c r="C66" s="4" t="s">
        <v>111</v>
      </c>
      <c r="D66" s="4">
        <v>3</v>
      </c>
      <c r="E66" s="4">
        <v>48</v>
      </c>
      <c r="F66" s="5"/>
      <c r="G66" s="5" t="s">
        <v>209</v>
      </c>
      <c r="H66" s="4" t="s">
        <v>212</v>
      </c>
      <c r="I66" s="4" t="s">
        <v>212</v>
      </c>
      <c r="J66" s="8" t="s">
        <v>228</v>
      </c>
      <c r="K66" s="5"/>
      <c r="L66" s="5" t="s">
        <v>115</v>
      </c>
      <c r="M66" s="5"/>
      <c r="N66" s="5"/>
      <c r="O66" s="5"/>
      <c r="P66" s="5"/>
      <c r="Q66" s="5"/>
      <c r="R66" s="5"/>
      <c r="S66" s="5"/>
      <c r="T66" s="5"/>
      <c r="U66" s="5"/>
      <c r="V66" s="5"/>
      <c r="W66" s="5"/>
      <c r="X66" s="12"/>
    </row>
    <row r="67" spans="1:24" s="31" customFormat="1" ht="57.6" x14ac:dyDescent="0.3">
      <c r="A67" s="5" t="s">
        <v>254</v>
      </c>
      <c r="B67" s="47" t="s">
        <v>16</v>
      </c>
      <c r="C67" s="48" t="s">
        <v>28</v>
      </c>
      <c r="D67" s="62">
        <v>1241</v>
      </c>
      <c r="E67" s="4">
        <v>32</v>
      </c>
      <c r="F67" s="5" t="s">
        <v>138</v>
      </c>
      <c r="G67" s="5" t="s">
        <v>209</v>
      </c>
      <c r="H67" s="5" t="s">
        <v>214</v>
      </c>
      <c r="I67" s="5" t="s">
        <v>214</v>
      </c>
      <c r="J67" s="8" t="s">
        <v>229</v>
      </c>
      <c r="K67" s="5">
        <v>2050</v>
      </c>
      <c r="L67" s="5" t="s">
        <v>116</v>
      </c>
      <c r="M67" s="9"/>
      <c r="N67" s="5"/>
      <c r="O67" s="5" t="s">
        <v>299</v>
      </c>
      <c r="P67" s="5"/>
      <c r="Q67" s="5"/>
      <c r="R67" s="5"/>
      <c r="S67" s="5"/>
      <c r="T67" s="5"/>
      <c r="U67" s="5"/>
      <c r="V67" s="5"/>
      <c r="W67" s="5" t="s">
        <v>298</v>
      </c>
      <c r="X67" s="12"/>
    </row>
    <row r="68" spans="1:24" s="31" customFormat="1" ht="115.2" x14ac:dyDescent="0.3">
      <c r="A68" s="24" t="s">
        <v>49</v>
      </c>
      <c r="B68" s="25" t="s">
        <v>19</v>
      </c>
      <c r="C68" s="26" t="s">
        <v>28</v>
      </c>
      <c r="D68" s="27">
        <v>1241</v>
      </c>
      <c r="E68" s="26">
        <v>31</v>
      </c>
      <c r="F68" s="39"/>
      <c r="G68" s="39" t="s">
        <v>209</v>
      </c>
      <c r="H68" s="39" t="s">
        <v>214</v>
      </c>
      <c r="I68" s="39" t="s">
        <v>214</v>
      </c>
      <c r="J68" s="69" t="s">
        <v>230</v>
      </c>
      <c r="K68" s="39"/>
      <c r="L68" s="52"/>
      <c r="M68" s="52"/>
      <c r="N68" s="52"/>
      <c r="O68" s="52"/>
      <c r="P68" s="52"/>
      <c r="Q68" s="52"/>
      <c r="R68" s="52"/>
      <c r="S68" s="52"/>
      <c r="T68" s="52"/>
      <c r="U68" s="52"/>
      <c r="V68" s="52"/>
      <c r="W68" s="26" t="s">
        <v>339</v>
      </c>
      <c r="X68" s="30"/>
    </row>
    <row r="69" spans="1:24" s="31" customFormat="1" ht="52.8" x14ac:dyDescent="0.3">
      <c r="A69" s="39" t="s">
        <v>43</v>
      </c>
      <c r="B69" s="73" t="s">
        <v>9</v>
      </c>
      <c r="C69" s="26" t="s">
        <v>65</v>
      </c>
      <c r="D69" s="35">
        <v>38.6</v>
      </c>
      <c r="E69" s="26">
        <v>43</v>
      </c>
      <c r="F69" s="39"/>
      <c r="G69" s="39" t="s">
        <v>209</v>
      </c>
      <c r="H69" s="39" t="s">
        <v>217</v>
      </c>
      <c r="I69" s="39" t="s">
        <v>354</v>
      </c>
      <c r="J69" s="69" t="s">
        <v>229</v>
      </c>
      <c r="K69" s="39"/>
      <c r="L69" s="52"/>
      <c r="M69" s="52"/>
      <c r="N69" s="52"/>
      <c r="O69" s="52"/>
      <c r="P69" s="52"/>
      <c r="Q69" s="52"/>
      <c r="R69" s="52"/>
      <c r="S69" s="52"/>
      <c r="T69" s="52"/>
      <c r="U69" s="52"/>
      <c r="V69" s="52"/>
      <c r="W69" s="26"/>
      <c r="X69" s="30"/>
    </row>
    <row r="70" spans="1:24" s="31" customFormat="1" ht="57.6" x14ac:dyDescent="0.3">
      <c r="A70" s="63" t="s">
        <v>62</v>
      </c>
      <c r="B70" s="46" t="s">
        <v>61</v>
      </c>
      <c r="C70" s="4" t="s">
        <v>66</v>
      </c>
      <c r="D70" s="48">
        <v>21</v>
      </c>
      <c r="E70" s="4">
        <v>46</v>
      </c>
      <c r="F70" s="5"/>
      <c r="G70" s="5" t="s">
        <v>132</v>
      </c>
      <c r="H70" s="5" t="s">
        <v>212</v>
      </c>
      <c r="I70" s="5" t="s">
        <v>212</v>
      </c>
      <c r="J70" s="8" t="s">
        <v>229</v>
      </c>
      <c r="K70" s="5"/>
      <c r="L70" s="33">
        <v>300</v>
      </c>
      <c r="M70" s="33"/>
      <c r="N70" s="33"/>
      <c r="O70" s="33"/>
      <c r="P70" s="33"/>
      <c r="Q70" s="33"/>
      <c r="R70" s="33"/>
      <c r="S70" s="33"/>
      <c r="T70" s="33"/>
      <c r="U70" s="33"/>
      <c r="V70" s="33"/>
      <c r="W70" s="4" t="s">
        <v>301</v>
      </c>
      <c r="X70" s="12"/>
    </row>
    <row r="71" spans="1:24" s="31" customFormat="1" ht="57.6" x14ac:dyDescent="0.3">
      <c r="A71" s="63" t="s">
        <v>62</v>
      </c>
      <c r="B71" s="46" t="s">
        <v>61</v>
      </c>
      <c r="C71" s="4" t="s">
        <v>66</v>
      </c>
      <c r="D71" s="48">
        <v>21</v>
      </c>
      <c r="E71" s="4">
        <v>46</v>
      </c>
      <c r="F71" s="5"/>
      <c r="G71" s="5" t="s">
        <v>142</v>
      </c>
      <c r="H71" s="5" t="s">
        <v>212</v>
      </c>
      <c r="I71" s="5" t="s">
        <v>212</v>
      </c>
      <c r="J71" s="8" t="s">
        <v>229</v>
      </c>
      <c r="K71" s="5"/>
      <c r="L71" s="33">
        <v>300</v>
      </c>
      <c r="M71" s="33"/>
      <c r="N71" s="33"/>
      <c r="O71" s="33"/>
      <c r="P71" s="33"/>
      <c r="Q71" s="33"/>
      <c r="R71" s="33"/>
      <c r="S71" s="33"/>
      <c r="T71" s="33"/>
      <c r="U71" s="33"/>
      <c r="V71" s="33"/>
      <c r="W71" s="4" t="s">
        <v>301</v>
      </c>
      <c r="X71" s="12"/>
    </row>
    <row r="72" spans="1:24" s="31" customFormat="1" ht="72" x14ac:dyDescent="0.3">
      <c r="A72" s="5" t="s">
        <v>54</v>
      </c>
      <c r="B72" s="47" t="s">
        <v>23</v>
      </c>
      <c r="C72" s="48" t="s">
        <v>67</v>
      </c>
      <c r="D72" s="48">
        <v>100</v>
      </c>
      <c r="E72" s="4">
        <v>34</v>
      </c>
      <c r="F72" s="5"/>
      <c r="G72" s="5" t="s">
        <v>209</v>
      </c>
      <c r="H72" s="5" t="s">
        <v>214</v>
      </c>
      <c r="I72" s="5" t="s">
        <v>214</v>
      </c>
      <c r="J72" s="8" t="s">
        <v>229</v>
      </c>
      <c r="K72" s="5"/>
      <c r="L72" s="5"/>
      <c r="M72" s="5"/>
      <c r="N72" s="5"/>
      <c r="O72" s="5"/>
      <c r="P72" s="5"/>
      <c r="Q72" s="5"/>
      <c r="R72" s="5"/>
      <c r="S72" s="5"/>
      <c r="T72" s="5"/>
      <c r="U72" s="5"/>
      <c r="V72" s="5"/>
      <c r="W72" s="4"/>
      <c r="X72" s="12"/>
    </row>
    <row r="73" spans="1:24" s="31" customFormat="1" ht="172.8" x14ac:dyDescent="0.3">
      <c r="A73" s="5" t="s">
        <v>41</v>
      </c>
      <c r="B73" s="6" t="s">
        <v>7</v>
      </c>
      <c r="C73" s="57" t="s">
        <v>70</v>
      </c>
      <c r="D73" s="58">
        <v>7821</v>
      </c>
      <c r="E73" s="4">
        <v>1</v>
      </c>
      <c r="F73" s="5"/>
      <c r="G73" s="5" t="s">
        <v>209</v>
      </c>
      <c r="H73" s="5" t="s">
        <v>214</v>
      </c>
      <c r="I73" s="5" t="s">
        <v>214</v>
      </c>
      <c r="J73" s="8" t="s">
        <v>229</v>
      </c>
      <c r="K73" s="5"/>
      <c r="L73" s="50" t="s">
        <v>117</v>
      </c>
      <c r="M73" s="50"/>
      <c r="N73" s="50"/>
      <c r="O73" s="50"/>
      <c r="P73" s="50"/>
      <c r="Q73" s="50"/>
      <c r="R73" s="50"/>
      <c r="S73" s="50"/>
      <c r="T73" s="50"/>
      <c r="U73" s="50"/>
      <c r="V73" s="50"/>
      <c r="W73" s="4" t="s">
        <v>302</v>
      </c>
      <c r="X73" s="14"/>
    </row>
    <row r="74" spans="1:24" s="31" customFormat="1" ht="129.6" x14ac:dyDescent="0.3">
      <c r="A74" s="5" t="s">
        <v>95</v>
      </c>
      <c r="B74" s="63" t="s">
        <v>94</v>
      </c>
      <c r="C74" s="8" t="s">
        <v>27</v>
      </c>
      <c r="D74" s="7">
        <v>6970</v>
      </c>
      <c r="E74" s="4">
        <v>12</v>
      </c>
      <c r="F74" s="5"/>
      <c r="G74" s="5" t="s">
        <v>209</v>
      </c>
      <c r="H74" s="5" t="s">
        <v>213</v>
      </c>
      <c r="I74" s="5" t="s">
        <v>213</v>
      </c>
      <c r="J74" s="8" t="s">
        <v>229</v>
      </c>
      <c r="K74" s="5"/>
      <c r="L74" s="33"/>
      <c r="M74" s="33"/>
      <c r="N74" s="33"/>
      <c r="O74" s="33"/>
      <c r="P74" s="33"/>
      <c r="Q74" s="33"/>
      <c r="R74" s="33"/>
      <c r="S74" s="33"/>
      <c r="T74" s="33"/>
      <c r="U74" s="33"/>
      <c r="V74" s="33"/>
      <c r="W74" s="4" t="s">
        <v>303</v>
      </c>
      <c r="X74" s="12"/>
    </row>
    <row r="75" spans="1:24" s="31" customFormat="1" ht="57.6" x14ac:dyDescent="0.3">
      <c r="A75" s="33" t="s">
        <v>35</v>
      </c>
      <c r="B75" s="50" t="s">
        <v>1</v>
      </c>
      <c r="C75" s="8" t="s">
        <v>68</v>
      </c>
      <c r="D75" s="4">
        <v>70</v>
      </c>
      <c r="E75" s="4">
        <v>20</v>
      </c>
      <c r="F75" s="5" t="s">
        <v>256</v>
      </c>
      <c r="G75" s="5" t="s">
        <v>134</v>
      </c>
      <c r="H75" s="5" t="s">
        <v>237</v>
      </c>
      <c r="I75" s="5" t="s">
        <v>354</v>
      </c>
      <c r="J75" s="8" t="s">
        <v>229</v>
      </c>
      <c r="K75" s="5" t="s">
        <v>349</v>
      </c>
      <c r="L75" s="50"/>
      <c r="M75" s="50"/>
      <c r="N75" s="50"/>
      <c r="O75" s="50"/>
      <c r="P75" s="49">
        <v>891345</v>
      </c>
      <c r="Q75" s="50"/>
      <c r="R75" s="50"/>
      <c r="S75" s="50">
        <v>1889026192</v>
      </c>
      <c r="T75" s="50">
        <f>Tableau1[[#This Row],[yll]]/Tableau1[[#This Row],[population_target]]</f>
        <v>4.7185423038327042E-4</v>
      </c>
      <c r="U75" s="50"/>
      <c r="V75" s="50"/>
      <c r="W75" s="86" t="s">
        <v>305</v>
      </c>
      <c r="X75" s="12"/>
    </row>
    <row r="76" spans="1:24" s="70" customFormat="1" ht="57.6" x14ac:dyDescent="0.3">
      <c r="A76" s="33" t="s">
        <v>35</v>
      </c>
      <c r="B76" s="50" t="s">
        <v>1</v>
      </c>
      <c r="C76" s="5" t="s">
        <v>68</v>
      </c>
      <c r="D76" s="5">
        <v>70</v>
      </c>
      <c r="E76" s="4">
        <v>20</v>
      </c>
      <c r="F76" s="5" t="s">
        <v>256</v>
      </c>
      <c r="G76" s="5" t="s">
        <v>134</v>
      </c>
      <c r="H76" s="5" t="s">
        <v>237</v>
      </c>
      <c r="I76" s="5" t="s">
        <v>355</v>
      </c>
      <c r="J76" s="8" t="s">
        <v>232</v>
      </c>
      <c r="K76" s="5" t="s">
        <v>349</v>
      </c>
      <c r="L76" s="50"/>
      <c r="M76" s="50"/>
      <c r="N76" s="50"/>
      <c r="O76" s="50"/>
      <c r="P76" s="49">
        <v>489015</v>
      </c>
      <c r="Q76" s="50"/>
      <c r="R76" s="50"/>
      <c r="S76" s="50">
        <v>1889026192</v>
      </c>
      <c r="T76" s="50">
        <f>Tableau1[[#This Row],[yll]]/Tableau1[[#This Row],[population_target]]</f>
        <v>2.5887147678045538E-4</v>
      </c>
      <c r="U76" s="50"/>
      <c r="V76" s="50"/>
      <c r="W76" s="86" t="s">
        <v>305</v>
      </c>
      <c r="X76" s="12"/>
    </row>
    <row r="77" spans="1:24" s="31" customFormat="1" ht="57.6" x14ac:dyDescent="0.3">
      <c r="A77" s="33" t="s">
        <v>35</v>
      </c>
      <c r="B77" s="50" t="s">
        <v>1</v>
      </c>
      <c r="C77" s="8" t="s">
        <v>68</v>
      </c>
      <c r="D77" s="5">
        <v>70</v>
      </c>
      <c r="E77" s="4">
        <v>20</v>
      </c>
      <c r="F77" s="5" t="s">
        <v>256</v>
      </c>
      <c r="G77" s="5" t="s">
        <v>134</v>
      </c>
      <c r="H77" s="5" t="s">
        <v>237</v>
      </c>
      <c r="I77" s="5" t="s">
        <v>212</v>
      </c>
      <c r="J77" s="8" t="s">
        <v>228</v>
      </c>
      <c r="K77" s="5" t="s">
        <v>349</v>
      </c>
      <c r="L77" s="50"/>
      <c r="M77" s="50"/>
      <c r="N77" s="50"/>
      <c r="O77" s="50"/>
      <c r="P77" s="49">
        <v>286595</v>
      </c>
      <c r="Q77" s="50"/>
      <c r="R77" s="50"/>
      <c r="S77" s="50">
        <v>1889026192</v>
      </c>
      <c r="T77" s="50">
        <f>Tableau1[[#This Row],[yll]]/Tableau1[[#This Row],[population_target]]</f>
        <v>1.5171573650684457E-4</v>
      </c>
      <c r="U77" s="50"/>
      <c r="V77" s="50"/>
      <c r="W77" s="86" t="s">
        <v>305</v>
      </c>
      <c r="X77" s="12"/>
    </row>
    <row r="78" spans="1:24" s="31" customFormat="1" ht="57.6" x14ac:dyDescent="0.3">
      <c r="A78" s="33" t="s">
        <v>35</v>
      </c>
      <c r="B78" s="50" t="s">
        <v>1</v>
      </c>
      <c r="C78" s="8" t="s">
        <v>68</v>
      </c>
      <c r="D78" s="5">
        <v>70</v>
      </c>
      <c r="E78" s="4">
        <v>20</v>
      </c>
      <c r="F78" s="5" t="s">
        <v>255</v>
      </c>
      <c r="G78" s="5" t="s">
        <v>132</v>
      </c>
      <c r="H78" s="5" t="s">
        <v>237</v>
      </c>
      <c r="I78" s="5" t="s">
        <v>224</v>
      </c>
      <c r="J78" s="8" t="s">
        <v>231</v>
      </c>
      <c r="K78" s="5" t="s">
        <v>349</v>
      </c>
      <c r="L78" s="50"/>
      <c r="M78" s="50"/>
      <c r="N78" s="50"/>
      <c r="O78" s="50"/>
      <c r="P78" s="49">
        <v>835882</v>
      </c>
      <c r="Q78" s="50"/>
      <c r="R78" s="50"/>
      <c r="S78" s="50">
        <v>1889026192</v>
      </c>
      <c r="T78" s="50">
        <f>Tableau1[[#This Row],[yll]]/Tableau1[[#This Row],[population_target]]</f>
        <v>4.4249359989816383E-4</v>
      </c>
      <c r="U78" s="50"/>
      <c r="V78" s="50"/>
      <c r="W78" s="86" t="s">
        <v>305</v>
      </c>
      <c r="X78" s="12"/>
    </row>
    <row r="79" spans="1:24" s="34" customFormat="1" ht="126" customHeight="1" x14ac:dyDescent="0.3">
      <c r="A79" s="33" t="s">
        <v>35</v>
      </c>
      <c r="B79" s="50" t="s">
        <v>1</v>
      </c>
      <c r="C79" s="8" t="s">
        <v>68</v>
      </c>
      <c r="D79" s="5">
        <v>70</v>
      </c>
      <c r="E79" s="4">
        <v>20</v>
      </c>
      <c r="F79" s="5" t="s">
        <v>256</v>
      </c>
      <c r="G79" s="5" t="s">
        <v>134</v>
      </c>
      <c r="H79" s="5" t="s">
        <v>237</v>
      </c>
      <c r="I79" s="5" t="s">
        <v>224</v>
      </c>
      <c r="J79" s="8" t="s">
        <v>231</v>
      </c>
      <c r="K79" s="5" t="s">
        <v>349</v>
      </c>
      <c r="L79" s="50"/>
      <c r="M79" s="50"/>
      <c r="N79" s="50"/>
      <c r="O79" s="50"/>
      <c r="P79" s="49">
        <v>909426</v>
      </c>
      <c r="Q79" s="50"/>
      <c r="R79" s="50"/>
      <c r="S79" s="50">
        <v>1889026192</v>
      </c>
      <c r="T79" s="50">
        <f>Tableau1[[#This Row],[yll]]/Tableau1[[#This Row],[population_target]]</f>
        <v>4.814258287425588E-4</v>
      </c>
      <c r="U79" s="50"/>
      <c r="V79" s="50"/>
      <c r="W79" s="86" t="s">
        <v>305</v>
      </c>
      <c r="X79" s="12"/>
    </row>
    <row r="80" spans="1:24" s="34" customFormat="1" ht="144" customHeight="1" x14ac:dyDescent="0.3">
      <c r="A80" s="33" t="s">
        <v>35</v>
      </c>
      <c r="B80" s="50" t="s">
        <v>1</v>
      </c>
      <c r="C80" s="8" t="s">
        <v>68</v>
      </c>
      <c r="D80" s="5">
        <v>70</v>
      </c>
      <c r="E80" s="4">
        <v>20</v>
      </c>
      <c r="F80" s="5" t="s">
        <v>255</v>
      </c>
      <c r="G80" s="5" t="s">
        <v>132</v>
      </c>
      <c r="H80" s="5" t="s">
        <v>237</v>
      </c>
      <c r="I80" s="5" t="s">
        <v>354</v>
      </c>
      <c r="J80" s="8" t="s">
        <v>350</v>
      </c>
      <c r="K80" s="5">
        <v>2050</v>
      </c>
      <c r="L80" s="50"/>
      <c r="M80" s="50"/>
      <c r="N80" s="50"/>
      <c r="O80" s="50"/>
      <c r="P80" s="49">
        <v>160000</v>
      </c>
      <c r="Q80" s="50"/>
      <c r="R80" s="50"/>
      <c r="S80" s="50">
        <v>71684966</v>
      </c>
      <c r="T80" s="50">
        <f>Tableau1[[#This Row],[yll]]/Tableau1[[#This Row],[population_target]]</f>
        <v>2.2319882246997231E-3</v>
      </c>
      <c r="U80" s="50"/>
      <c r="V80" s="50"/>
      <c r="W80" s="86" t="s">
        <v>305</v>
      </c>
      <c r="X80" s="12"/>
    </row>
    <row r="81" spans="1:24" s="34" customFormat="1" ht="57.6" x14ac:dyDescent="0.3">
      <c r="A81" s="33" t="s">
        <v>35</v>
      </c>
      <c r="B81" s="50" t="s">
        <v>1</v>
      </c>
      <c r="C81" s="8" t="s">
        <v>68</v>
      </c>
      <c r="D81" s="5">
        <v>70</v>
      </c>
      <c r="E81" s="4">
        <v>20</v>
      </c>
      <c r="F81" s="5" t="s">
        <v>256</v>
      </c>
      <c r="G81" s="5" t="s">
        <v>134</v>
      </c>
      <c r="H81" s="5" t="s">
        <v>237</v>
      </c>
      <c r="I81" s="5" t="s">
        <v>354</v>
      </c>
      <c r="J81" s="8" t="s">
        <v>350</v>
      </c>
      <c r="K81" s="5">
        <v>2050</v>
      </c>
      <c r="L81" s="50"/>
      <c r="M81" s="50"/>
      <c r="N81" s="50"/>
      <c r="O81" s="50"/>
      <c r="P81" s="49">
        <v>200000</v>
      </c>
      <c r="Q81" s="50"/>
      <c r="R81" s="50"/>
      <c r="S81" s="50">
        <v>71684966</v>
      </c>
      <c r="T81" s="50">
        <f>Tableau1[[#This Row],[yll]]/Tableau1[[#This Row],[population_target]]</f>
        <v>2.7899852808746539E-3</v>
      </c>
      <c r="U81" s="50"/>
      <c r="V81" s="50"/>
      <c r="W81" s="86" t="s">
        <v>304</v>
      </c>
      <c r="X81" s="12"/>
    </row>
    <row r="82" spans="1:24" s="34" customFormat="1" ht="57.6" x14ac:dyDescent="0.3">
      <c r="A82" s="33" t="s">
        <v>347</v>
      </c>
      <c r="B82" s="50" t="s">
        <v>1</v>
      </c>
      <c r="C82" s="8" t="s">
        <v>68</v>
      </c>
      <c r="D82" s="5">
        <v>70</v>
      </c>
      <c r="E82" s="4">
        <v>20</v>
      </c>
      <c r="F82" s="5" t="s">
        <v>255</v>
      </c>
      <c r="G82" s="5" t="s">
        <v>132</v>
      </c>
      <c r="H82" s="5" t="s">
        <v>237</v>
      </c>
      <c r="I82" s="5" t="s">
        <v>354</v>
      </c>
      <c r="J82" s="8" t="s">
        <v>229</v>
      </c>
      <c r="K82" s="5" t="s">
        <v>349</v>
      </c>
      <c r="L82" s="50"/>
      <c r="M82" s="50"/>
      <c r="N82" s="50"/>
      <c r="O82" s="50"/>
      <c r="P82" s="49">
        <v>734160</v>
      </c>
      <c r="Q82" s="50"/>
      <c r="R82" s="50"/>
      <c r="S82" s="50">
        <v>1889026192</v>
      </c>
      <c r="T82" s="50">
        <f>Tableau1[[#This Row],[yll]]/Tableau1[[#This Row],[population_target]]</f>
        <v>3.8864469063963088E-4</v>
      </c>
      <c r="U82" s="50"/>
      <c r="V82" s="50"/>
      <c r="W82" s="86" t="s">
        <v>305</v>
      </c>
      <c r="X82" s="12"/>
    </row>
    <row r="83" spans="1:24" s="31" customFormat="1" ht="57.6" x14ac:dyDescent="0.3">
      <c r="A83" s="33" t="s">
        <v>347</v>
      </c>
      <c r="B83" s="50" t="s">
        <v>1</v>
      </c>
      <c r="C83" s="4" t="s">
        <v>68</v>
      </c>
      <c r="D83" s="4">
        <v>70</v>
      </c>
      <c r="E83" s="4">
        <v>20</v>
      </c>
      <c r="F83" s="5" t="s">
        <v>255</v>
      </c>
      <c r="G83" s="5" t="s">
        <v>132</v>
      </c>
      <c r="H83" s="5" t="s">
        <v>237</v>
      </c>
      <c r="I83" s="5" t="s">
        <v>355</v>
      </c>
      <c r="J83" s="8" t="s">
        <v>232</v>
      </c>
      <c r="K83" s="5" t="s">
        <v>349</v>
      </c>
      <c r="L83" s="50"/>
      <c r="M83" s="50"/>
      <c r="N83" s="50"/>
      <c r="O83" s="50"/>
      <c r="P83" s="49">
        <v>412452</v>
      </c>
      <c r="Q83" s="50"/>
      <c r="R83" s="50"/>
      <c r="S83" s="50">
        <v>1889026192</v>
      </c>
      <c r="T83" s="50">
        <f>Tableau1[[#This Row],[yll]]/Tableau1[[#This Row],[population_target]]</f>
        <v>2.1834106998978021E-4</v>
      </c>
      <c r="U83" s="50"/>
      <c r="V83" s="50"/>
      <c r="W83" s="48" t="s">
        <v>305</v>
      </c>
      <c r="X83" s="12"/>
    </row>
    <row r="84" spans="1:24" s="79" customFormat="1" ht="57.6" x14ac:dyDescent="0.3">
      <c r="A84" s="33" t="s">
        <v>347</v>
      </c>
      <c r="B84" s="50" t="s">
        <v>1</v>
      </c>
      <c r="C84" s="8" t="s">
        <v>68</v>
      </c>
      <c r="D84" s="5">
        <v>70</v>
      </c>
      <c r="E84" s="4">
        <v>20</v>
      </c>
      <c r="F84" s="5" t="s">
        <v>255</v>
      </c>
      <c r="G84" s="5" t="s">
        <v>132</v>
      </c>
      <c r="H84" s="5" t="s">
        <v>237</v>
      </c>
      <c r="I84" s="5" t="s">
        <v>212</v>
      </c>
      <c r="J84" s="8" t="s">
        <v>348</v>
      </c>
      <c r="K84" s="5" t="s">
        <v>349</v>
      </c>
      <c r="L84" s="50"/>
      <c r="M84" s="50"/>
      <c r="N84" s="50"/>
      <c r="O84" s="50"/>
      <c r="P84" s="49">
        <v>124609</v>
      </c>
      <c r="Q84" s="50"/>
      <c r="R84" s="50"/>
      <c r="S84" s="50">
        <v>1889026192</v>
      </c>
      <c r="T84" s="50">
        <f>Tableau1[[#This Row],[yll]]/Tableau1[[#This Row],[population_target]]</f>
        <v>6.5964675623724753E-5</v>
      </c>
      <c r="U84" s="50"/>
      <c r="V84" s="50"/>
      <c r="W84" s="86" t="s">
        <v>305</v>
      </c>
      <c r="X84" s="12"/>
    </row>
    <row r="85" spans="1:24" s="79" customFormat="1" ht="43.2" x14ac:dyDescent="0.3">
      <c r="A85" s="33" t="s">
        <v>45</v>
      </c>
      <c r="B85" s="50" t="s">
        <v>12</v>
      </c>
      <c r="C85" s="86" t="s">
        <v>32</v>
      </c>
      <c r="D85" s="50">
        <v>51</v>
      </c>
      <c r="E85" s="4">
        <v>38</v>
      </c>
      <c r="F85" s="5"/>
      <c r="G85" s="5" t="s">
        <v>209</v>
      </c>
      <c r="H85" s="5" t="s">
        <v>219</v>
      </c>
      <c r="I85" s="5" t="s">
        <v>354</v>
      </c>
      <c r="J85" s="8" t="s">
        <v>229</v>
      </c>
      <c r="K85" s="5">
        <v>2050</v>
      </c>
      <c r="L85" s="5"/>
      <c r="M85" s="5"/>
      <c r="N85" s="5"/>
      <c r="O85" s="5"/>
      <c r="P85" s="5">
        <v>3389</v>
      </c>
      <c r="Q85" s="5"/>
      <c r="R85" s="5"/>
      <c r="S85" s="5">
        <v>25807197</v>
      </c>
      <c r="T85" s="50">
        <f>Tableau1[[#This Row],[yll]]/Tableau1[[#This Row],[population_target]]</f>
        <v>1.3131995698719237E-4</v>
      </c>
      <c r="U85" s="5"/>
      <c r="V85" s="5"/>
      <c r="W85" s="8" t="s">
        <v>239</v>
      </c>
      <c r="X85" s="13"/>
    </row>
    <row r="86" spans="1:24" s="31" customFormat="1" ht="115.2" x14ac:dyDescent="0.3">
      <c r="A86" s="39" t="s">
        <v>113</v>
      </c>
      <c r="B86" s="55" t="s">
        <v>112</v>
      </c>
      <c r="C86" s="87" t="s">
        <v>114</v>
      </c>
      <c r="D86" s="39">
        <v>528</v>
      </c>
      <c r="E86" s="26">
        <v>17</v>
      </c>
      <c r="F86" s="39"/>
      <c r="G86" s="55" t="s">
        <v>209</v>
      </c>
      <c r="H86" s="39" t="s">
        <v>213</v>
      </c>
      <c r="I86" s="39" t="s">
        <v>213</v>
      </c>
      <c r="J86" s="69" t="s">
        <v>229</v>
      </c>
      <c r="K86" s="39"/>
      <c r="L86" s="39"/>
      <c r="M86" s="39"/>
      <c r="N86" s="39"/>
      <c r="O86" s="39"/>
      <c r="P86" s="39"/>
      <c r="Q86" s="39"/>
      <c r="R86" s="39"/>
      <c r="S86" s="39"/>
      <c r="T86" s="39"/>
      <c r="U86" s="39"/>
      <c r="V86" s="39"/>
      <c r="W86" s="69" t="s">
        <v>340</v>
      </c>
      <c r="X86" s="30"/>
    </row>
    <row r="87" spans="1:24" s="31" customFormat="1" ht="72" x14ac:dyDescent="0.3">
      <c r="A87" s="39" t="s">
        <v>107</v>
      </c>
      <c r="B87" s="55" t="s">
        <v>106</v>
      </c>
      <c r="C87" s="69" t="s">
        <v>108</v>
      </c>
      <c r="D87" s="39">
        <v>9</v>
      </c>
      <c r="E87" s="26">
        <v>47</v>
      </c>
      <c r="F87" s="39"/>
      <c r="G87" s="39" t="s">
        <v>209</v>
      </c>
      <c r="H87" s="39" t="s">
        <v>224</v>
      </c>
      <c r="I87" s="39" t="s">
        <v>224</v>
      </c>
      <c r="J87" s="69" t="s">
        <v>231</v>
      </c>
      <c r="K87" s="39"/>
      <c r="L87" s="39"/>
      <c r="M87" s="39"/>
      <c r="N87" s="24"/>
      <c r="O87" s="24"/>
      <c r="P87" s="24"/>
      <c r="Q87" s="24"/>
      <c r="R87" s="24"/>
      <c r="S87" s="24"/>
      <c r="T87" s="24"/>
      <c r="U87" s="39"/>
      <c r="V87" s="24"/>
      <c r="W87" s="69"/>
      <c r="X87" s="30"/>
    </row>
    <row r="88" spans="1:24" s="34" customFormat="1" ht="57.6" x14ac:dyDescent="0.3">
      <c r="A88" s="5" t="s">
        <v>38</v>
      </c>
      <c r="B88" s="5" t="s">
        <v>4</v>
      </c>
      <c r="C88" s="8" t="s">
        <v>72</v>
      </c>
      <c r="D88" s="5">
        <v>37.299999999999997</v>
      </c>
      <c r="E88" s="4">
        <v>44</v>
      </c>
      <c r="F88" s="5"/>
      <c r="G88" s="5" t="s">
        <v>209</v>
      </c>
      <c r="H88" s="5" t="s">
        <v>213</v>
      </c>
      <c r="I88" s="5" t="s">
        <v>213</v>
      </c>
      <c r="J88" s="8" t="s">
        <v>229</v>
      </c>
      <c r="K88" s="5"/>
      <c r="L88" s="9">
        <v>14400</v>
      </c>
      <c r="M88" s="9"/>
      <c r="N88" s="33"/>
      <c r="O88" s="33"/>
      <c r="P88" s="33"/>
      <c r="Q88" s="33"/>
      <c r="R88" s="33"/>
      <c r="S88" s="33"/>
      <c r="T88" s="33"/>
      <c r="U88" s="33"/>
      <c r="V88" s="33"/>
      <c r="W88" s="8" t="s">
        <v>323</v>
      </c>
      <c r="X88" s="12"/>
    </row>
    <row r="89" spans="1:24" s="34" customFormat="1" ht="172.8" x14ac:dyDescent="0.3">
      <c r="A89" s="39" t="s">
        <v>101</v>
      </c>
      <c r="B89" s="55" t="s">
        <v>100</v>
      </c>
      <c r="C89" s="39" t="s">
        <v>27</v>
      </c>
      <c r="D89" s="40">
        <v>7405</v>
      </c>
      <c r="E89" s="26">
        <v>11</v>
      </c>
      <c r="F89" s="39"/>
      <c r="G89" s="39" t="s">
        <v>209</v>
      </c>
      <c r="H89" s="39" t="s">
        <v>225</v>
      </c>
      <c r="I89" s="39" t="s">
        <v>355</v>
      </c>
      <c r="J89" s="69" t="s">
        <v>232</v>
      </c>
      <c r="K89" s="39"/>
      <c r="L89" s="24"/>
      <c r="M89" s="24"/>
      <c r="N89" s="24"/>
      <c r="O89" s="24"/>
      <c r="P89" s="24"/>
      <c r="Q89" s="24"/>
      <c r="R89" s="24"/>
      <c r="S89" s="24"/>
      <c r="T89" s="24"/>
      <c r="U89" s="24"/>
      <c r="V89" s="24"/>
      <c r="W89" s="39" t="s">
        <v>324</v>
      </c>
      <c r="X89" s="30"/>
    </row>
    <row r="90" spans="1:24" s="31" customFormat="1" ht="57.6" x14ac:dyDescent="0.3">
      <c r="A90" s="39" t="s">
        <v>73</v>
      </c>
      <c r="B90" s="39" t="s">
        <v>11</v>
      </c>
      <c r="C90" s="72" t="s">
        <v>30</v>
      </c>
      <c r="D90" s="72">
        <v>63.26</v>
      </c>
      <c r="E90" s="26">
        <v>37</v>
      </c>
      <c r="F90" s="39" t="s">
        <v>351</v>
      </c>
      <c r="G90" s="39" t="s">
        <v>132</v>
      </c>
      <c r="H90" s="39" t="s">
        <v>214</v>
      </c>
      <c r="I90" s="39" t="s">
        <v>214</v>
      </c>
      <c r="J90" s="69" t="s">
        <v>229</v>
      </c>
      <c r="K90" s="39"/>
      <c r="L90" s="39"/>
      <c r="M90" s="39"/>
      <c r="N90" s="39"/>
      <c r="O90" s="39"/>
      <c r="P90" s="39">
        <v>90000</v>
      </c>
      <c r="Q90" s="39"/>
      <c r="R90" s="39"/>
      <c r="S90" s="39">
        <v>71684966</v>
      </c>
      <c r="T90" s="39">
        <f>Tableau1[[#This Row],[yll]]/Tableau1[[#This Row],[population_target]]</f>
        <v>1.2554933763935941E-3</v>
      </c>
      <c r="U90" s="39"/>
      <c r="V90" s="39"/>
      <c r="W90" s="69" t="s">
        <v>325</v>
      </c>
      <c r="X90" s="30"/>
    </row>
    <row r="91" spans="1:24" s="34" customFormat="1" ht="57.6" x14ac:dyDescent="0.3">
      <c r="A91" s="39" t="s">
        <v>73</v>
      </c>
      <c r="B91" s="39" t="s">
        <v>11</v>
      </c>
      <c r="C91" s="71" t="s">
        <v>30</v>
      </c>
      <c r="D91" s="72">
        <v>63.26</v>
      </c>
      <c r="E91" s="26">
        <v>37</v>
      </c>
      <c r="F91" s="39" t="s">
        <v>352</v>
      </c>
      <c r="G91" s="39" t="s">
        <v>132</v>
      </c>
      <c r="H91" s="39" t="s">
        <v>214</v>
      </c>
      <c r="I91" s="39" t="s">
        <v>214</v>
      </c>
      <c r="J91" s="69" t="s">
        <v>229</v>
      </c>
      <c r="K91" s="39"/>
      <c r="L91" s="39"/>
      <c r="M91" s="39"/>
      <c r="N91" s="39"/>
      <c r="O91" s="39"/>
      <c r="P91" s="39">
        <v>80000</v>
      </c>
      <c r="Q91" s="39"/>
      <c r="R91" s="39"/>
      <c r="S91" s="39">
        <v>71684966</v>
      </c>
      <c r="T91" s="39">
        <f>Tableau1[[#This Row],[yll]]/Tableau1[[#This Row],[population_target]]</f>
        <v>1.1159941123498615E-3</v>
      </c>
      <c r="U91" s="39"/>
      <c r="V91" s="39"/>
      <c r="W91" s="69" t="s">
        <v>325</v>
      </c>
      <c r="X91" s="30"/>
    </row>
    <row r="92" spans="1:24" s="34" customFormat="1" ht="57.6" x14ac:dyDescent="0.3">
      <c r="A92" s="24" t="s">
        <v>55</v>
      </c>
      <c r="B92" s="39" t="s">
        <v>24</v>
      </c>
      <c r="C92" s="69" t="s">
        <v>74</v>
      </c>
      <c r="D92" s="39">
        <v>61</v>
      </c>
      <c r="E92" s="26">
        <v>41</v>
      </c>
      <c r="F92" s="39"/>
      <c r="G92" s="39" t="s">
        <v>209</v>
      </c>
      <c r="H92" s="39" t="s">
        <v>213</v>
      </c>
      <c r="I92" s="39" t="s">
        <v>213</v>
      </c>
      <c r="J92" s="69" t="s">
        <v>229</v>
      </c>
      <c r="K92" s="39"/>
      <c r="L92" s="40">
        <v>75000</v>
      </c>
      <c r="M92" s="40"/>
      <c r="N92" s="39"/>
      <c r="O92" s="39"/>
      <c r="P92" s="39">
        <v>8</v>
      </c>
      <c r="Q92" s="39"/>
      <c r="R92" s="39"/>
      <c r="S92" s="39"/>
      <c r="T92" s="39"/>
      <c r="U92" s="39"/>
      <c r="V92" s="39"/>
      <c r="W92" s="69" t="s">
        <v>326</v>
      </c>
      <c r="X92" s="30"/>
    </row>
    <row r="93" spans="1:24" s="34" customFormat="1" ht="43.2" x14ac:dyDescent="0.3">
      <c r="A93" s="39" t="s">
        <v>268</v>
      </c>
      <c r="B93" s="52" t="s">
        <v>14</v>
      </c>
      <c r="C93" s="74" t="s">
        <v>75</v>
      </c>
      <c r="D93" s="39">
        <v>80</v>
      </c>
      <c r="E93" s="26">
        <v>35</v>
      </c>
      <c r="F93" s="39"/>
      <c r="G93" s="39" t="s">
        <v>209</v>
      </c>
      <c r="H93" s="39" t="s">
        <v>213</v>
      </c>
      <c r="I93" s="39" t="s">
        <v>213</v>
      </c>
      <c r="J93" s="69" t="s">
        <v>229</v>
      </c>
      <c r="K93" s="39"/>
      <c r="L93" s="40">
        <v>14000</v>
      </c>
      <c r="M93" s="40"/>
      <c r="N93" s="39"/>
      <c r="O93" s="39"/>
      <c r="P93" s="39"/>
      <c r="Q93" s="39"/>
      <c r="R93" s="39"/>
      <c r="S93" s="39"/>
      <c r="T93" s="39"/>
      <c r="U93" s="39"/>
      <c r="V93" s="39"/>
      <c r="W93" s="69"/>
      <c r="X93" s="30"/>
    </row>
    <row r="94" spans="1:24" s="31" customFormat="1" ht="176.4" customHeight="1" x14ac:dyDescent="0.3">
      <c r="A94" s="24" t="s">
        <v>37</v>
      </c>
      <c r="B94" s="52" t="s">
        <v>3</v>
      </c>
      <c r="C94" s="69" t="s">
        <v>72</v>
      </c>
      <c r="D94" s="39">
        <v>37.299999999999997</v>
      </c>
      <c r="E94" s="26">
        <v>45</v>
      </c>
      <c r="F94" s="39"/>
      <c r="G94" s="39" t="s">
        <v>209</v>
      </c>
      <c r="H94" s="55" t="s">
        <v>226</v>
      </c>
      <c r="I94" s="55" t="s">
        <v>354</v>
      </c>
      <c r="J94" s="69" t="s">
        <v>229</v>
      </c>
      <c r="K94" s="39"/>
      <c r="L94" s="39" t="s">
        <v>118</v>
      </c>
      <c r="M94" s="39"/>
      <c r="N94" s="39"/>
      <c r="O94" s="39"/>
      <c r="P94" s="39"/>
      <c r="Q94" s="39"/>
      <c r="R94" s="39"/>
      <c r="S94" s="39"/>
      <c r="T94" s="39"/>
      <c r="U94" s="39"/>
      <c r="V94" s="39"/>
      <c r="W94" s="69" t="s">
        <v>334</v>
      </c>
      <c r="X94" s="30"/>
    </row>
    <row r="95" spans="1:24" s="34" customFormat="1" ht="99" customHeight="1" x14ac:dyDescent="0.3">
      <c r="A95" s="5" t="s">
        <v>91</v>
      </c>
      <c r="B95" s="6" t="s">
        <v>90</v>
      </c>
      <c r="C95" s="4" t="s">
        <v>72</v>
      </c>
      <c r="D95" s="4">
        <v>39.4</v>
      </c>
      <c r="E95" s="4">
        <v>42</v>
      </c>
      <c r="F95" s="5"/>
      <c r="G95" s="5" t="s">
        <v>209</v>
      </c>
      <c r="H95" s="5" t="s">
        <v>214</v>
      </c>
      <c r="I95" s="5" t="s">
        <v>214</v>
      </c>
      <c r="J95" s="8" t="s">
        <v>229</v>
      </c>
      <c r="K95" s="5"/>
      <c r="L95" s="5" t="s">
        <v>119</v>
      </c>
      <c r="M95" s="5"/>
      <c r="N95" s="5"/>
      <c r="O95" s="5"/>
      <c r="P95" s="5"/>
      <c r="Q95" s="5"/>
      <c r="R95" s="5"/>
      <c r="S95" s="5"/>
      <c r="T95" s="5"/>
      <c r="U95" s="5"/>
      <c r="V95" s="5"/>
      <c r="W95" s="8" t="s">
        <v>335</v>
      </c>
      <c r="X95" s="12"/>
    </row>
    <row r="96" spans="1:24" s="34" customFormat="1" ht="57.6" x14ac:dyDescent="0.3">
      <c r="A96" s="39" t="s">
        <v>47</v>
      </c>
      <c r="B96" s="82" t="s">
        <v>17</v>
      </c>
      <c r="C96" s="78" t="s">
        <v>31</v>
      </c>
      <c r="D96" s="78">
        <v>37.99</v>
      </c>
      <c r="E96" s="77">
        <v>39</v>
      </c>
      <c r="F96" s="76" t="s">
        <v>283</v>
      </c>
      <c r="G96" s="76" t="s">
        <v>132</v>
      </c>
      <c r="H96" s="78" t="s">
        <v>286</v>
      </c>
      <c r="I96" s="78" t="s">
        <v>354</v>
      </c>
      <c r="J96" s="78" t="s">
        <v>229</v>
      </c>
      <c r="K96" s="76">
        <v>2050</v>
      </c>
      <c r="L96" s="76"/>
      <c r="M96" s="76"/>
      <c r="N96" s="76"/>
      <c r="O96" s="76"/>
      <c r="P96" s="76"/>
      <c r="Q96" s="76" t="s">
        <v>287</v>
      </c>
      <c r="R96" s="76">
        <v>2291000000</v>
      </c>
      <c r="S96" s="5">
        <v>34932339</v>
      </c>
      <c r="T96" s="76"/>
      <c r="U96" s="5">
        <f>Tableau1[[#This Row],[monetary]]/Tableau1[[#This Row],[population_target]]</f>
        <v>65.583927832602328</v>
      </c>
      <c r="V96" s="76"/>
      <c r="W96" s="76" t="s">
        <v>282</v>
      </c>
      <c r="X96" s="78"/>
    </row>
    <row r="97" spans="1:24" s="34" customFormat="1" ht="57.6" x14ac:dyDescent="0.3">
      <c r="A97" s="39" t="s">
        <v>47</v>
      </c>
      <c r="B97" s="82" t="s">
        <v>17</v>
      </c>
      <c r="C97" s="78" t="s">
        <v>31</v>
      </c>
      <c r="D97" s="78">
        <v>37.99</v>
      </c>
      <c r="E97" s="77">
        <v>39</v>
      </c>
      <c r="F97" s="76" t="s">
        <v>284</v>
      </c>
      <c r="G97" s="76" t="s">
        <v>132</v>
      </c>
      <c r="H97" s="78" t="s">
        <v>286</v>
      </c>
      <c r="I97" s="78" t="s">
        <v>354</v>
      </c>
      <c r="J97" s="78" t="s">
        <v>229</v>
      </c>
      <c r="K97" s="76">
        <v>2050</v>
      </c>
      <c r="L97" s="76"/>
      <c r="M97" s="76"/>
      <c r="N97" s="76"/>
      <c r="O97" s="76"/>
      <c r="P97" s="76"/>
      <c r="Q97" s="76" t="s">
        <v>288</v>
      </c>
      <c r="R97" s="76">
        <v>2268000000</v>
      </c>
      <c r="S97" s="5">
        <v>34932339</v>
      </c>
      <c r="T97" s="76"/>
      <c r="U97" s="5">
        <f>Tableau1[[#This Row],[monetary]]/Tableau1[[#This Row],[population_target]]</f>
        <v>64.925512145064204</v>
      </c>
      <c r="V97" s="76"/>
      <c r="W97" s="69" t="s">
        <v>290</v>
      </c>
      <c r="X97" s="78"/>
    </row>
    <row r="98" spans="1:24" s="31" customFormat="1" ht="86.4" x14ac:dyDescent="0.3">
      <c r="A98" s="39" t="s">
        <v>47</v>
      </c>
      <c r="B98" s="52" t="s">
        <v>17</v>
      </c>
      <c r="C98" s="77" t="s">
        <v>31</v>
      </c>
      <c r="D98" s="76">
        <v>37.99</v>
      </c>
      <c r="E98" s="77">
        <v>39</v>
      </c>
      <c r="F98" s="76" t="s">
        <v>285</v>
      </c>
      <c r="G98" s="76" t="s">
        <v>132</v>
      </c>
      <c r="H98" s="76" t="s">
        <v>286</v>
      </c>
      <c r="I98" s="39" t="s">
        <v>354</v>
      </c>
      <c r="J98" s="78" t="s">
        <v>229</v>
      </c>
      <c r="K98" s="76">
        <v>2050</v>
      </c>
      <c r="L98" s="76"/>
      <c r="M98" s="76"/>
      <c r="N98" s="76"/>
      <c r="O98" s="76"/>
      <c r="P98" s="76">
        <f>218415-184257</f>
        <v>34158</v>
      </c>
      <c r="Q98" s="76" t="s">
        <v>289</v>
      </c>
      <c r="R98" s="76">
        <v>2314000000</v>
      </c>
      <c r="S98" s="5">
        <v>34932339</v>
      </c>
      <c r="T98" s="76">
        <f>Tableau1[[#This Row],[yll]]/Tableau1[[#This Row],[population_target]]</f>
        <v>9.7783317630119196E-4</v>
      </c>
      <c r="U98" s="5">
        <f>Tableau1[[#This Row],[monetary]]/Tableau1[[#This Row],[population_target]]</f>
        <v>66.242343520140466</v>
      </c>
      <c r="V98" s="76"/>
      <c r="W98" s="26" t="s">
        <v>337</v>
      </c>
      <c r="X98" s="76"/>
    </row>
    <row r="99" spans="1:24" s="31" customFormat="1" ht="43.2" x14ac:dyDescent="0.3">
      <c r="A99" s="5" t="s">
        <v>80</v>
      </c>
      <c r="B99" s="83" t="s">
        <v>79</v>
      </c>
      <c r="C99" s="4" t="s">
        <v>31</v>
      </c>
      <c r="D99" s="5">
        <v>37.97</v>
      </c>
      <c r="E99" s="4">
        <v>40</v>
      </c>
      <c r="F99" s="5" t="s">
        <v>278</v>
      </c>
      <c r="G99" s="5" t="s">
        <v>209</v>
      </c>
      <c r="H99" s="63" t="s">
        <v>213</v>
      </c>
      <c r="I99" s="63" t="s">
        <v>213</v>
      </c>
      <c r="J99" s="8" t="s">
        <v>229</v>
      </c>
      <c r="K99" s="5">
        <v>2050</v>
      </c>
      <c r="L99" s="5"/>
      <c r="M99" s="5"/>
      <c r="N99" s="5"/>
      <c r="O99" s="5"/>
      <c r="P99" s="5"/>
      <c r="Q99" s="5" t="s">
        <v>280</v>
      </c>
      <c r="R99" s="5">
        <v>1000000000</v>
      </c>
      <c r="S99" s="5">
        <v>34932339</v>
      </c>
      <c r="T99" s="5"/>
      <c r="U99" s="5">
        <f>Tableau1[[#This Row],[monetary]]/Tableau1[[#This Row],[population_target]]</f>
        <v>28.626769023396918</v>
      </c>
      <c r="V99" s="5"/>
      <c r="W99" s="4" t="s">
        <v>336</v>
      </c>
      <c r="X99" s="5" t="s">
        <v>279</v>
      </c>
    </row>
    <row r="100" spans="1:24" s="31" customFormat="1" ht="26.4" x14ac:dyDescent="0.3">
      <c r="A100" s="5" t="s">
        <v>80</v>
      </c>
      <c r="B100" s="83" t="s">
        <v>79</v>
      </c>
      <c r="C100" s="8" t="s">
        <v>31</v>
      </c>
      <c r="D100" s="5">
        <v>37.97</v>
      </c>
      <c r="E100" s="8">
        <v>40</v>
      </c>
      <c r="F100" s="5" t="s">
        <v>277</v>
      </c>
      <c r="G100" s="5" t="s">
        <v>209</v>
      </c>
      <c r="H100" s="63" t="s">
        <v>213</v>
      </c>
      <c r="I100" s="63" t="s">
        <v>213</v>
      </c>
      <c r="J100" s="8" t="s">
        <v>229</v>
      </c>
      <c r="K100" s="5">
        <v>2050</v>
      </c>
      <c r="L100" s="5"/>
      <c r="M100" s="5"/>
      <c r="N100" s="5"/>
      <c r="O100" s="5"/>
      <c r="P100" s="5"/>
      <c r="Q100" s="5" t="s">
        <v>281</v>
      </c>
      <c r="R100" s="5">
        <v>1300000000</v>
      </c>
      <c r="S100" s="5">
        <v>34932339</v>
      </c>
      <c r="T100" s="5"/>
      <c r="U100" s="5">
        <f>Tableau1[[#This Row],[monetary]]/Tableau1[[#This Row],[population_target]]</f>
        <v>37.21479973041599</v>
      </c>
      <c r="V100" s="5"/>
      <c r="W100" s="8"/>
      <c r="X100" s="5" t="s">
        <v>276</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2024-02-22T09:34:27Z</dcterms:modified>
</cp:coreProperties>
</file>