
<file path=[Content_Types].xml><?xml version="1.0" encoding="utf-8"?>
<Types xmlns="http://schemas.openxmlformats.org/package/2006/content-types">
  <Default Extension="png" ContentType="image/png"/>
  <Default Extension="svg" ContentType="image/sv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workbookPr defaultThemeVersion="166925"/>
  <workbookProtection/>
  <bookViews>
    <workbookView xWindow="0" yWindow="0" windowWidth="14370" windowHeight="9585" tabRatio="500"/>
  </bookViews>
  <sheets>
    <sheet name="Data" sheetId="2" r:id="rId1"/>
    <sheet name="Disclaimer" sheetId="3" r:id="rId2"/>
  </sheets>
  <calcPr calcId="0"/>
</workbook>
</file>

<file path=xl/sharedStrings.xml><?xml version="1.0" encoding="utf-8"?>
<sst xmlns="http://schemas.openxmlformats.org/spreadsheetml/2006/main" count="234" uniqueCount="234">
  <si>
    <t>Downloaded on:</t>
  </si>
  <si>
    <t>Created for:</t>
  </si>
  <si>
    <t>Aakash Suresh, UC Berkeley Library (students)</t>
  </si>
  <si>
    <t>Search Link:</t>
  </si>
  <si>
    <t>https://my.pitchbook.com/?pcc=1199899-36</t>
  </si>
  <si>
    <t>Search Criteria:</t>
  </si>
  <si>
    <t xml:space="preserve">Industries: Healthcare; </t>
  </si>
  <si>
    <t>Search Result Columns</t>
  </si>
  <si>
    <t>Deal ID</t>
  </si>
  <si>
    <t>Companies</t>
  </si>
  <si>
    <t>Deal Date</t>
  </si>
  <si>
    <t>Deal Type</t>
  </si>
  <si>
    <t>Deal Type 2</t>
  </si>
  <si>
    <t>Deal Size</t>
  </si>
  <si>
    <t>Post Valuation</t>
  </si>
  <si>
    <t>Deal Synopsis</t>
  </si>
  <si>
    <t>Deal Status</t>
  </si>
  <si>
    <t>Financing Status</t>
  </si>
  <si>
    <t>Business Status</t>
  </si>
  <si>
    <t>Investors</t>
  </si>
  <si>
    <t>Primary Industry Code</t>
  </si>
  <si>
    <t>Verticals</t>
  </si>
  <si>
    <t>Description</t>
  </si>
  <si>
    <t>HQ Location</t>
  </si>
  <si>
    <t>Company Website</t>
  </si>
  <si>
    <t>View Company Online</t>
  </si>
  <si>
    <t>60262-75T</t>
  </si>
  <si>
    <t>Allergan</t>
  </si>
  <si>
    <t>Merger/Acquisition</t>
  </si>
  <si>
    <t/>
  </si>
  <si>
    <t>The company reached a definitive agreement to be acquired by Pfizer (NYSE: PFE) for $160 billion on October 29, 2015. Subsequently, the deal was canceled in April 2016. The merger was terminated by mutual agreement of the companies. The decision was driven by the actions announced by the U.S. Department of Treasury on April 4, 2016, which the companies concluded qualified as an "Adverse Tax Law Change" under the merger agreement.</t>
  </si>
  <si>
    <t>Failed/Cancelled</t>
  </si>
  <si>
    <t>Failed Transaction (M&amp;A)</t>
  </si>
  <si>
    <t>Generating Revenue</t>
  </si>
  <si>
    <t>Pharmaceuticals</t>
  </si>
  <si>
    <t>Life Sciences, Manufacturing</t>
  </si>
  <si>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</si>
  <si>
    <t>Dublin, Ireland</t>
  </si>
  <si>
    <t>108828-73T</t>
  </si>
  <si>
    <t>Warner-Lambert Company</t>
  </si>
  <si>
    <t>The company was acquired by Pfizer for $110 billion on June 19, 2000.</t>
  </si>
  <si>
    <t>Completed</t>
  </si>
  <si>
    <t>Corporate Backed or Acquired</t>
  </si>
  <si>
    <t>Pfizer (Pharmaceuticals) (NYS: PFE)(Brian McGlynn)</t>
  </si>
  <si>
    <t>Manufacturing</t>
  </si>
  <si>
    <t>Manufacturer of pharmaceuticals and consumer health care products. The company's pharmaceuticals products include prescription medicines for heart disease, diabetes and epilepsy, consumer health products such as listerine, lubriderm and benadryl, confectioneries like trident, certs and chiclets, schick &amp; wilkinson sword razors and tetra aquarium product.</t>
  </si>
  <si>
    <t>Morris Plains, NJ</t>
  </si>
  <si>
    <t>115143-76T</t>
  </si>
  <si>
    <t>Celgene</t>
  </si>
  <si>
    <t>The company was acquired by Bristol-Myers Squibb (NYS: BMY) for $80.2 billion on November 20, 2019. This acquisition helps Bristol-Myers Squibb to create a leading biopharma company.</t>
  </si>
  <si>
    <t>Formerly VC-backed</t>
  </si>
  <si>
    <t>Profitable</t>
  </si>
  <si>
    <t>Bristol-Myers Squibb (NYS: BMY)(Giovanni Caforio)</t>
  </si>
  <si>
    <t>Drug Discovery</t>
  </si>
  <si>
    <t>Life Sciences, Oncology</t>
  </si>
  <si>
    <t>Developer of biopharmaceutical drugs intended to treat cancer, immune and inflammatory conditions. The company markets drugs to treat multiple myeloma and a less toxic thalidomide derivative, to treat myelodysplastic syndromes, multiple myeloma, and mantle cell lymphoma.</t>
  </si>
  <si>
    <t>Summit, NJ</t>
  </si>
  <si>
    <t>34374-70T</t>
  </si>
  <si>
    <t>Allergan (Acquired 2015)</t>
  </si>
  <si>
    <t>The company was acquired by Allergan for $77 billion on March 17, 2015. The transaction was supported by $40 billion of debt financing.</t>
  </si>
  <si>
    <t>Allergan(Brenton Saunders)</t>
  </si>
  <si>
    <t>Developer of pharmaceuticals products based in Irvine, California.. The company is focused on discovering, developing and commercializing pharmaceuticals, biologics, medical devices and over-the-counter consumer products. Its products include: BOTOX® (onabotulinumtoxinA), RESTASIS® (cyclosporine ophthalmic emulsion) 0.05%, LUMIGAN® (bimatoprost ophthalmic solution) 0.01%, BOTOX® Cosmetic (onabotulinumtoxinA) and the JUVÉDERM® family of dermal fillers.</t>
  </si>
  <si>
    <t>Irvine, CA</t>
  </si>
  <si>
    <t>224884-27T</t>
  </si>
  <si>
    <t>Lederle Arzneimittel</t>
  </si>
  <si>
    <t>The company was acquired by Pfizer Manufacturing Deutschland for $68 billion on January 26, 2009.</t>
  </si>
  <si>
    <t>Pfizer Manufacturing Deutschland</t>
  </si>
  <si>
    <t>Manufacturer of pharmaceutical products based in Munster, Germany. The company manufactures and develops chemical, pharmaceutical, biological, agricultural and cosmetic products and research in these areas.</t>
  </si>
  <si>
    <t>Munster, Germany</t>
  </si>
  <si>
    <t>55648-81T</t>
  </si>
  <si>
    <t>Wyeth</t>
  </si>
  <si>
    <t>The company was acquired by Pfizer (NYSE: PFE) for $68 billion in 2009. Loan of $22.5 billion was provided for the deal by undisclosed lenders.</t>
  </si>
  <si>
    <t>Pfizer (Pharmaceuticals) (NYS: PFE)(Jeffrey Kindler)</t>
  </si>
  <si>
    <t>Manufacturer of biotechnology products and medicines. The company engages in the discovery, development, manufacture, distribution and sale in a line of pharmaceuticals and animal health products.</t>
  </si>
  <si>
    <t>Madison, NJ</t>
  </si>
  <si>
    <t>16202-26T</t>
  </si>
  <si>
    <t>Aventis</t>
  </si>
  <si>
    <t>The company was acquired by Sanofi-Synthelabo for EUR 54.5 billion on August 12, 2004.</t>
  </si>
  <si>
    <t>Formerly PE-Backed</t>
  </si>
  <si>
    <t>Sanofi-Synthelabo</t>
  </si>
  <si>
    <t>Developer of pharmaceuticals and vaccines for preventative medicine.</t>
  </si>
  <si>
    <t>Schiltigheim, France</t>
  </si>
  <si>
    <t>120072-16T</t>
  </si>
  <si>
    <t>The company was acquired by AbbVie (NYS: ABBV) for $64.084 billion on May 8, 2020. The acquisition provides immediate scale and profitability to AbbVie's growth platform, excluding Humira, significantly expanding and diversifying its revenue base with new therapeutic areas, including the company's leading medical aesthetics business.</t>
  </si>
  <si>
    <t>AbbVie (NYS: ABBV)(Richard Gonzalez)</t>
  </si>
  <si>
    <t>96377-32T</t>
  </si>
  <si>
    <t>Aetna</t>
  </si>
  <si>
    <t>The company was acquired by CVS Health (NYS: CVS) for an estimated $78 billion on November 26, 2018.</t>
  </si>
  <si>
    <t>CVS Health (NYS: CVS)(Larry Merlo)</t>
  </si>
  <si>
    <t>Managed Care</t>
  </si>
  <si>
    <t>Provider of managed healthcare and accessibility services intended to address health inequalities to improve access to care for everyone. The company offers customized healthcare plans for individuals, employers, healthcare providers, and brokers.</t>
  </si>
  <si>
    <t>Hartford, CT</t>
  </si>
  <si>
    <t>91942-21T</t>
  </si>
  <si>
    <t>Pharmacia</t>
  </si>
  <si>
    <t>The company was acquired by Pfizer (NYSE:PFE) for $60 billion on April 16, 2003. The merged company will hold about 11 percent of the world's market for prescription drugs.</t>
  </si>
  <si>
    <t>Pfizer (Pharmaceuticals) (NYS: PFE)</t>
  </si>
  <si>
    <t>Provider of pharmaceutical products. The company manufactures products used in cardiology, endocrinology, neuroscience, rheumatology, urology, ophthalmology, oncology and other branches of medicine.</t>
  </si>
  <si>
    <t>Peapack, NJ</t>
  </si>
  <si>
    <t>99036-01T</t>
  </si>
  <si>
    <t>Shire</t>
  </si>
  <si>
    <t>The company (LON: SHP) was acquired by Takeda Pharmaceutical Company (TYO: 4502) for GBP 46 billion on January 8, 2019.</t>
  </si>
  <si>
    <t>Takeda Pharmaceutical (TKS: 4502)(Christophe Weber)</t>
  </si>
  <si>
    <t>Manufacturer and marketer of specialty medicines intended to meet the needs of patients with rare diseases. The company specializes in developing products across core therapeutic areas including hematology, immunology, neuroscience, ophthalmic, internal medicine endocrine and hereditary angioedema.</t>
  </si>
  <si>
    <t>82423-00T</t>
  </si>
  <si>
    <t>The company reached a definitive agreement to be acquired by AbbVie (NYSE: ABBV) for $52 billion on October 20, 2014. Subsequently the deal was cancelled.</t>
  </si>
  <si>
    <t>52151-41T</t>
  </si>
  <si>
    <t>The company (NYSE: AET) was in talks to be acquired by UnitedHealth Group (NYSE: UNH) for $40 billion on June 15, 2015. Subsequently the deal was cancelled.</t>
  </si>
  <si>
    <t>229365-91T</t>
  </si>
  <si>
    <t>Debt - Merger</t>
  </si>
  <si>
    <t>The company received $21 billion of debt on March 3, 2015.</t>
  </si>
  <si>
    <t>Corporation</t>
  </si>
  <si>
    <t>229083-13T</t>
  </si>
  <si>
    <t>Debt - Acquisition</t>
  </si>
  <si>
    <t>Acquisition Financing</t>
  </si>
  <si>
    <t>The company received $13 billion of debt on July 2, 2016.</t>
  </si>
  <si>
    <t>229845-88T</t>
  </si>
  <si>
    <t>The company received $12.1 billion of debt on September 19, 2016.</t>
  </si>
  <si>
    <t>230065-84T</t>
  </si>
  <si>
    <t>The company received $8 billion of debt on August 3, 2015.</t>
  </si>
  <si>
    <t>Venture Capital-Backed</t>
  </si>
  <si>
    <t>230067-82T</t>
  </si>
  <si>
    <t>The company received $4.5 billion of debt on February 8, 2018.</t>
  </si>
  <si>
    <t>229364-38T</t>
  </si>
  <si>
    <t>The company received $3.9 billion of debt on October 27, 2012.</t>
  </si>
  <si>
    <t>229365-28T</t>
  </si>
  <si>
    <t>The company received $3.7 billion of debt on June 10, 2014.</t>
  </si>
  <si>
    <t>230066-92T</t>
  </si>
  <si>
    <t>Debt Refinancing</t>
  </si>
  <si>
    <t>Bonds</t>
  </si>
  <si>
    <t>The company completed a $3 billion debt refinancing round on October 31, 2017.</t>
  </si>
  <si>
    <t>230065-03T</t>
  </si>
  <si>
    <t>General Corporate Purpose</t>
  </si>
  <si>
    <t>The company received $2.5 billion of debt on May 6, 2014.</t>
  </si>
  <si>
    <t>229080-07T</t>
  </si>
  <si>
    <t>The company received $2 billion of debt on December 2, 2012.</t>
  </si>
  <si>
    <t>36600-58T</t>
  </si>
  <si>
    <t>Bank Debt</t>
  </si>
  <si>
    <t>The company completed a $1.5 billion debt refinancing round on September 6, 2012.</t>
  </si>
  <si>
    <t>230063-59T</t>
  </si>
  <si>
    <t>The company received $1.5 billion of debt on August 1, 2013.</t>
  </si>
  <si>
    <t>229083-85T</t>
  </si>
  <si>
    <t>The company completed a $1 billion debt refinancing round on September 7, 2017.</t>
  </si>
  <si>
    <t>229363-21T</t>
  </si>
  <si>
    <t>The company received $850 million of debt on August 24, 2009.</t>
  </si>
  <si>
    <t>82422-91T</t>
  </si>
  <si>
    <t>PIPE</t>
  </si>
  <si>
    <t>The company (LON: SHP) received $800 million of development capital from undisclosed investors on February 20, 2007 through a private placement.</t>
  </si>
  <si>
    <t>71156-26T</t>
  </si>
  <si>
    <t>Secondary Transaction - Private</t>
  </si>
  <si>
    <t>An undisclosed stake in the company (NSYE:AGN) was acquired by a private group led by Mr. Carl Icahn for $785.7 million on May 31, 2016.</t>
  </si>
  <si>
    <t>229079-80T</t>
  </si>
  <si>
    <t>The company received $750 million of debt on June 1, 2012.</t>
  </si>
  <si>
    <t>229080-79T</t>
  </si>
  <si>
    <t>The company completed a $750 million debt refinancing round on April 4, 2014.</t>
  </si>
  <si>
    <t>229082-41T</t>
  </si>
  <si>
    <t>The company completed a $750 million debt refinancing round on December 3, 2014.</t>
  </si>
  <si>
    <t>229361-77T</t>
  </si>
  <si>
    <t>The company received $700 million of debt on July 5, 2000.</t>
  </si>
  <si>
    <t>230313-52T</t>
  </si>
  <si>
    <t>The company received debt financing on April 7, 2013.</t>
  </si>
  <si>
    <t>229079-08T</t>
  </si>
  <si>
    <t>The company completed a $500 million debt refinancing round on June 17, 2011.</t>
  </si>
  <si>
    <t>230066-56T</t>
  </si>
  <si>
    <t>The company completed a $500 million debt refinancing round on August 1, 2017.</t>
  </si>
  <si>
    <t>22790-35T</t>
  </si>
  <si>
    <t>IPO</t>
  </si>
  <si>
    <t>The company raised $12.65 million in its initial public offering on the NASDAQ under the ticker symbol of CELG on July 28, 1987. A total of 1,150,000 shares were sold in the offering at a price of $11.</t>
  </si>
  <si>
    <t>CHL Medical Partners</t>
  </si>
  <si>
    <t>52150-96T</t>
  </si>
  <si>
    <t>The company completed its initial public offering on the NYSE stock exchange under the ticker symbol of AET on January 13, 1978.</t>
  </si>
  <si>
    <t>73601-20T</t>
  </si>
  <si>
    <t>The company completed its initial public offering on the NASDAQ under the ticker symbol of WATS on February 17, 1993.</t>
  </si>
  <si>
    <t>87812-92T</t>
  </si>
  <si>
    <t>Mr. Carl Icahn sold an undisclosed stake in the company in September 2016.</t>
  </si>
  <si>
    <t>87813-19T</t>
  </si>
  <si>
    <t>Mr. Carl Icahn sold an undisclosed stake in the company on May 16, 2017.</t>
  </si>
  <si>
    <t>107052-22T</t>
  </si>
  <si>
    <t>An undisclosed minority stake in the company was acquired by Mr. Carl Icahn and NovaQuest Capital Management on June 7, 2018.</t>
  </si>
  <si>
    <t>NovaQuest Capital Management</t>
  </si>
  <si>
    <t>229363-66T</t>
  </si>
  <si>
    <t>The company received debt financing on April 1, 2008.</t>
  </si>
  <si>
    <t>34373-53T</t>
  </si>
  <si>
    <t>The company (NYSE: AGN) received an Undisclosed amount of development capital from Pershing Square Capital Management through a private placement.</t>
  </si>
  <si>
    <t>Pershing Square Holdings (AMS: PSH)</t>
  </si>
  <si>
    <t>37977-31T</t>
  </si>
  <si>
    <t>The company received development capital from Pentwater Capital Management, Compass Technology Partners and T. Rowe Price on an undisclosed date.</t>
  </si>
  <si>
    <t>Compass Technology Partners, Pentwater Capital Management, T. Rowe Price Group (NAS: TROW)</t>
  </si>
  <si>
    <t>40079-08T</t>
  </si>
  <si>
    <t>The investor Pershing Square Capital Management sold its stake in the company to Valeant as of November 20, 2014.</t>
  </si>
  <si>
    <t>Bausch Health Companies (TSE: BHC)</t>
  </si>
  <si>
    <t>40079-71T</t>
  </si>
  <si>
    <t>Valeant sold its stake in the company on an undisclosed date.</t>
  </si>
  <si>
    <t>282260-44T</t>
  </si>
  <si>
    <t>The company completed its initial public offering on the New York Stock Exchange under the ticker symbol of AGN on February 17, 1993.</t>
  </si>
  <si>
    <t>16202-17T</t>
  </si>
  <si>
    <t>PE Growth/Expansion</t>
  </si>
  <si>
    <t>The company received development capital from Cowen Healthcare Royalty Partners and Paul Capital in January 2004.</t>
  </si>
  <si>
    <t>Private Equity-Backed</t>
  </si>
  <si>
    <t>HCRx, Paul Capital Partners</t>
  </si>
  <si>
    <t>29512-18T</t>
  </si>
  <si>
    <t>Early Stage VC</t>
  </si>
  <si>
    <t>The company raised an undisclosed amount of funding from CHL Medical Partners and Asseily Ventures in 1986. Edelson Technology Partners also participated.</t>
  </si>
  <si>
    <t>Asseily Ventures, CHL Medical Partners, Edelson Technology Partners</t>
  </si>
  <si>
    <t>82540-72T</t>
  </si>
  <si>
    <t>The company (NAS:CELG) received development capital from Ridgeback Capital and BB Biotech on an undisclosed date, through a private placement.</t>
  </si>
  <si>
    <t>BB Biotech (LTS: 0QPM), Ridgeback Capital</t>
  </si>
  <si>
    <t>91941-13T</t>
  </si>
  <si>
    <t>The company completed its initial public offering on the New York Stock Exchange under the ticker symbol of UPJ on December 31, 1981.</t>
  </si>
  <si>
    <t>Monsanto</t>
  </si>
  <si>
    <t>23731-21T</t>
  </si>
  <si>
    <t>The company raised an undisclosed amount in venture funding from Permira, HealthCare Ventures and SV Life Sciences on an undisclosed date.</t>
  </si>
  <si>
    <t>HealthCare Ventures, Permira, SV Health Investors</t>
  </si>
  <si>
    <t>23734-45T</t>
  </si>
  <si>
    <t>The company held its initial public offering on the London Stock Exchange under the ticker symbol of SHP on February 15, 1996.</t>
  </si>
  <si>
    <t>49316-05T</t>
  </si>
  <si>
    <t>The company raised venture funding from TechAcq Ventures on an undisclosed date.</t>
  </si>
  <si>
    <t>TechAcq Ventures</t>
  </si>
  <si>
    <t>49316-14T</t>
  </si>
  <si>
    <t>The company held its initial public offering on the NYSE stock exchange under the ticker symbol of WYE on June 1, 1972.</t>
  </si>
  <si>
    <t>© PitchBook Data, Inc.  2025</t>
  </si>
  <si>
    <t>All data copyright PitchBook Data, Inc.</t>
  </si>
  <si>
    <t>For customized data reports and analyses, contact us at:</t>
  </si>
  <si>
    <t>support@pitchbook.com</t>
  </si>
  <si>
    <t xml:space="preserve">This document and its contents may only be used or shared as permitted in </t>
  </si>
  <si>
    <t>the PitchBook subscription agreement.</t>
  </si>
  <si>
    <t>Subject to limited exceptions, this document may not be used or stored following the termination of your agreement with PitchBook.</t>
  </si>
  <si>
    <t>If you have any further questions or concerns, please contact client services at:</t>
  </si>
  <si>
    <t>US</t>
  </si>
  <si>
    <t>+1 (206) 257-7775</t>
  </si>
  <si>
    <t>UK</t>
  </si>
  <si>
    <t>+44 (0)203 875 3504</t>
  </si>
  <si>
    <t>SG</t>
  </si>
  <si>
    <t>+65 6016 4771</t>
  </si>
  <si>
    <t>Or by email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</si>
</sst>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2" formatCode="dd-mmm-yyyy"/>
    <numFmt numFmtId="83" formatCode="dd-MMM-yyyy"/>
    <numFmt numFmtId="84" formatCode="#,##0.00;[red](#,##0.00)"/>
    <numFmt numFmtId="85" formatCode="#,###"/>
  </numFmts>
  <fonts count="23">
    <font>
      <sz val="11"/>
      <color theme="1"/>
      <name val="Calibri"/>
      <family val="2"/>
      <scheme val="minor"/>
    </font>
    <font>
      <sz val="8"/>
      <color rgb="FF000000"/>
      <name val="Open Sans"/>
      <family val="2"/>
    </font>
    <font>
      <b/>
      <sz val="8"/>
      <color rgb="FF000000"/>
      <name val="Open Sans"/>
      <family val="2"/>
    </font>
    <font>
      <sz val="8"/>
      <color rgb="FF26649E"/>
      <name val="Open Sans"/>
      <family val="2"/>
    </font>
    <font>
      <u/>
      <sz val="11"/>
      <color rgb="FF0563C1"/>
      <name val="Calibri"/>
    </font>
    <font>
      <b/>
      <sz val="8"/>
      <color rgb="FF26649E"/>
      <name val="Open Sans"/>
      <family val="2"/>
    </font>
    <font>
      <b/>
      <sz val="16"/>
      <color rgb="FF000000"/>
      <name val="Open Sans"/>
      <family val="2"/>
    </font>
    <font>
      <b/>
      <sz val="8"/>
      <color rgb="FFFFFFFF"/>
      <name val="Open Sans"/>
      <family val="2"/>
    </font>
    <font>
      <sz val="8"/>
      <color rgb="FF000000"/>
      <name val="Open Sans"/>
      <family val="2"/>
    </font>
    <font>
      <b/>
      <sz val="14"/>
      <color rgb="FF000000"/>
      <name val="Open Sans"/>
      <family val="2"/>
    </font>
    <font>
      <i/>
      <sz val="10"/>
      <color rgb="FF000000"/>
      <name val="Open Sans"/>
      <family val="2"/>
    </font>
    <font>
      <i/>
      <sz val="10"/>
      <color rgb="FF000000"/>
      <name val="Open Sans"/>
      <family val="2"/>
    </font>
    <font>
      <i/>
      <sz val="10"/>
      <color rgb="FF000000"/>
      <name val="Open Sans"/>
      <family val="2"/>
    </font>
    <font>
      <i/>
      <sz val="10"/>
      <color rgb="FF000000"/>
      <name val="Open Sans"/>
      <family val="2"/>
    </font>
    <font>
      <sz val="11"/>
      <color theme="1"/>
      <name val="Calibri"/>
      <family val="2"/>
      <scheme val="minor"/>
    </font>
    <font>
      <i/>
      <sz val="10"/>
      <color rgb="FF26649E"/>
      <name val="Open Sans"/>
      <family val="2"/>
    </font>
    <font>
      <i/>
      <sz val="10"/>
      <color rgb="FF26649E"/>
      <name val="Open Sans"/>
      <family val="2"/>
    </font>
    <font>
      <i/>
      <sz val="10"/>
      <color rgb="FF26649E"/>
      <name val="Open Sans"/>
      <family val="2"/>
    </font>
    <font>
      <i/>
      <sz val="10"/>
      <color rgb="FF26649E"/>
      <name val="Open Sans"/>
      <family val="2"/>
    </font>
    <font>
      <i/>
      <sz val="10"/>
      <color rgb="FF000000"/>
      <name val="Open Sans"/>
      <family val="2"/>
    </font>
    <font>
      <i/>
      <sz val="10"/>
      <color rgb="FF000000"/>
      <name val="Open Sans"/>
      <family val="2"/>
    </font>
    <font>
      <i/>
      <sz val="10"/>
      <color rgb="FF000000"/>
      <name val="Open Sans"/>
      <family val="2"/>
    </font>
    <font>
      <sz val="8"/>
      <color rgb="FF000000"/>
      <name val="Open Sans"/>
      <family val="2"/>
    </font>
  </fonts>
  <fills count="5">
    <fill>
      <patternFill patternType="none"/>
    </fill>
    <fill>
      <patternFill patternType="gray125"/>
    </fill>
    <fill>
      <patternFill patternType="solid">
        <fgColor rgb="FF051C38"/>
        <bgColor rgb="FF051C38"/>
      </patternFill>
    </fill>
    <fill>
      <patternFill patternType="solid">
        <fgColor rgb="FFF8F5EF"/>
        <bgColor rgb="FFF8F5EF"/>
      </patternFill>
    </fill>
    <fill>
      <patternFill patternType="solid">
        <fgColor rgb="FFFFFFFF"/>
      </patternFill>
    </fill>
  </fills>
  <borders count="2">
    <border>
      <left/>
      <right/>
      <top/>
      <bottom/>
      <diagonal/>
    </border>
    <border>
      <left/>
      <right style="thin">
        <color rgb="FFD3D3D3"/>
      </right>
      <top/>
      <bottom/>
      <diagonal/>
    </border>
  </borders>
  <cellStyleXfs count="19">
    <xf numFmtId="0" fontId="0" fillId="0" borderId="0"/>
    <xf numFmtId="0" fontId="1" fillId="0" borderId="0">
      <alignment horizontal="right" vertical="center"/>
    </xf>
    <xf numFmtId="0" fontId="2" fillId="0" borderId="0">
      <alignment horizontal="left" vertical="center"/>
    </xf>
    <xf numFmtId="0" fontId="1" fillId="0" borderId="0">
      <alignment horizontal="right" vertical="top"/>
    </xf>
    <xf numFmtId="0" fontId="4" fillId="0" borderId="0" applyNumberFormat="0" applyFill="0" applyBorder="0" applyAlignment="0" applyProtection="0"/>
    <xf numFmtId="0" fontId="5" fillId="0" borderId="0">
      <alignment horizontal="left" vertical="top"/>
    </xf>
    <xf numFmtId="0" fontId="2" fillId="0" borderId="0">
      <alignment horizontal="left" vertical="top" wrapText="1"/>
    </xf>
    <xf numFmtId="0" fontId="6" fillId="0" borderId="0">
      <alignment horizontal="left" vertical="center"/>
    </xf>
    <xf numFmtId="0" fontId="7" fillId="0" borderId="0">
      <alignment horizontal="center" vertical="center" wrapText="1"/>
    </xf>
    <xf numFmtId="0" fontId="1" fillId="0" borderId="1">
      <alignment horizontal="left" vertical="center" indent="1"/>
    </xf>
    <xf numFmtId="0" fontId="1" fillId="0" borderId="1">
      <alignment horizontal="right" vertical="center" indent="1"/>
    </xf>
    <xf numFmtId="0" fontId="1" fillId="0" borderId="1">
      <alignment horizontal="center" vertical="center"/>
    </xf>
    <xf numFmtId="0" fontId="3" fillId="0" borderId="1">
      <alignment horizontal="left" vertical="center" indent="1"/>
    </xf>
    <xf numFmtId="0" fontId="3" fillId="0" borderId="1">
      <alignment horizontal="right" vertical="center" indent="1"/>
    </xf>
    <xf numFmtId="0" fontId="22" fillId="0" borderId="0">
      <alignment horizontal="left" vertical="center"/>
    </xf>
    <xf numFmtId="0" fontId="9" fillId="0" borderId="0">
      <alignment horizontal="left" vertical="center"/>
    </xf>
    <xf numFmtId="0" fontId="13" fillId="4" borderId="0">
      <alignment horizontal="left" vertical="center"/>
    </xf>
    <xf numFmtId="0" fontId="18" fillId="4" borderId="0">
      <alignment horizontal="left" vertical="center"/>
    </xf>
    <xf numFmtId="0" fontId="13" fillId="4" borderId="0">
      <alignment horizontal="right" vertical="center"/>
    </xf>
  </cellStyleXfs>
  <cellXfs count="25">
    <xf numFmtId="0" fontId="0" fillId="0" borderId="0" xfId="0"/>
    <xf numFmtId="0" fontId="1" fillId="0" borderId="0" xfId="1">
      <alignment horizontal="right" vertical="center"/>
    </xf>
    <xf numFmtId="0" fontId="2" fillId="0" borderId="0" xfId="2">
      <alignment horizontal="left" vertical="center"/>
    </xf>
    <xf numFmtId="82" fontId="2" fillId="0" borderId="0" xfId="2" applyNumberFormat="1">
      <alignment horizontal="left" vertical="center"/>
    </xf>
    <xf numFmtId="0" fontId="1" fillId="0" borderId="0" xfId="3">
      <alignment horizontal="right" vertical="top"/>
    </xf>
    <xf numFmtId="0" fontId="7" fillId="2" borderId="0" xfId="8" applyFill="1">
      <alignment horizontal="center" vertical="center" wrapText="1"/>
    </xf>
    <xf numFmtId="0" fontId="5" fillId="0" borderId="0" xfId="5">
      <alignment horizontal="left" vertical="top"/>
    </xf>
    <xf numFmtId="0" fontId="2" fillId="0" borderId="0" xfId="6">
      <alignment horizontal="left" vertical="top" wrapText="1"/>
    </xf>
    <xf numFmtId="0" fontId="6" fillId="0" borderId="0" xfId="7">
      <alignment horizontal="left" vertical="center"/>
    </xf>
    <xf numFmtId="83" fontId="1" fillId="0" borderId="1" xfId="10" applyNumberFormat="1">
      <alignment horizontal="right" vertical="center" indent="1"/>
    </xf>
    <xf numFmtId="0" fontId="1" fillId="0" borderId="1" xfId="9">
      <alignment horizontal="left" vertical="center" indent="1"/>
    </xf>
    <xf numFmtId="85" fontId="1" fillId="0" borderId="1" xfId="9" applyNumberFormat="1">
      <alignment horizontal="left" vertical="center" indent="1"/>
    </xf>
    <xf numFmtId="84" fontId="1" fillId="0" borderId="1" xfId="10" applyNumberFormat="1">
      <alignment horizontal="right" vertical="center" indent="1"/>
    </xf>
    <xf numFmtId="0" fontId="3" fillId="3" borderId="1" xfId="12" applyFill="1">
      <alignment horizontal="left" vertical="center" indent="1"/>
    </xf>
    <xf numFmtId="0" fontId="3" fillId="0" borderId="1" xfId="12">
      <alignment horizontal="left" vertical="center" indent="1"/>
    </xf>
    <xf numFmtId="0" fontId="1" fillId="3" borderId="1" xfId="9" applyFill="1">
      <alignment horizontal="left" vertical="center" indent="1"/>
    </xf>
    <xf numFmtId="85" fontId="1" fillId="3" borderId="1" xfId="9" applyNumberFormat="1" applyFill="1">
      <alignment horizontal="left" vertical="center" indent="1"/>
    </xf>
    <xf numFmtId="84" fontId="1" fillId="3" borderId="1" xfId="10" applyNumberFormat="1" applyFill="1">
      <alignment horizontal="right" vertical="center" indent="1"/>
    </xf>
    <xf numFmtId="83" fontId="1" fillId="3" borderId="1" xfId="10" applyNumberFormat="1" applyFill="1">
      <alignment horizontal="right" vertical="center" indent="1"/>
    </xf>
    <xf numFmtId="0" fontId="22" fillId="0" borderId="0" xfId="14">
      <alignment horizontal="left" vertical="center"/>
    </xf>
    <xf numFmtId="0" fontId="9" fillId="0" borderId="0" xfId="15">
      <alignment horizontal="left" vertical="center"/>
    </xf>
    <xf numFmtId="0" fontId="13" fillId="4" borderId="0" xfId="16">
      <alignment horizontal="left" vertical="center"/>
    </xf>
    <xf numFmtId="0" fontId="0" fillId="0" borderId="0" xfId="0">
      <protection locked="0"/>
    </xf>
    <xf numFmtId="0" fontId="18" fillId="4" borderId="0" xfId="17">
      <alignment horizontal="left" vertical="center"/>
    </xf>
    <xf numFmtId="0" fontId="13" fillId="4" borderId="0" xfId="18">
      <alignment horizontal="right" vertical="center"/>
    </xf>
  </cellXfs>
  <cellStyles count="19">
    <cellStyle name="Normal" xfId="0" builtinId="0"/>
    <cellStyle name="horizontalRight" xfId="1"/>
    <cellStyle name="bold" xfId="2"/>
    <cellStyle name="verticalTopHorizontalRight" xfId="3"/>
    <cellStyle name="Hyperlink" xfId="4" builtinId="8"/>
    <cellStyle name="verticalTopHyperlinkBold" xfId="5"/>
    <cellStyle name="verticalTopBoldWrapBold" xfId="6"/>
    <cellStyle name="fontSize16Bold" xfId="7"/>
    <cellStyle name="horizontalCenterWrapWhiteBold" xfId="8"/>
    <cellStyle name="tableCellStyleLeft" xfId="9"/>
    <cellStyle name="tableCellStyleRight" xfId="10"/>
    <cellStyle name="tableCellStyleCenter" xfId="11"/>
    <cellStyle name="tableCellStyleLeftHyperlink" xfId="12"/>
    <cellStyle name="tableCellStyleRightHyperlink" xfId="13"/>
    <cellStyle name="defaultStyle" xfId="14"/>
    <cellStyle name="fontSize14Bold" xfId="15"/>
    <cellStyle name="fontSize10Italic" xfId="16"/>
    <cellStyle name="fontSize10ItalicHyperlink" xfId="17"/>
    <cellStyle name="fontSize10ItalicRight" xfId="1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svg"/></Relationships>
</file>

<file path=xl/drawings/drawing1.xml><?xml version="1.0" encoding="utf-8"?>
<xdr:wsDr xmlns:a="http://schemas.openxmlformats.org/drawingml/2006/main" xmlns:xdr="http://schemas.openxmlformats.org/drawingml/2006/spreadsheetDrawing" xmlns:mc="http://schemas.openxmlformats.org/markup-compatibility/2006" xmlns:a14="http://schemas.microsoft.com/office/drawing/2010/main">
  <xdr:twoCellAnchor xmlns:xdr="http://schemas.openxmlformats.org/drawingml/2006/spreadsheetDrawing" editAs="absolute">
    <xdr:from>
      <xdr:col>0</xdr:col>
      <xdr:colOff>85725</xdr:colOff>
      <xdr:row>0</xdr:row>
      <xdr:rowOff>85725</xdr:rowOff>
    </xdr:from>
    <xdr:to>
      <xdr:col>0</xdr:col>
      <xdr:colOff>1400175</xdr:colOff>
      <xdr:row>0</xdr:row>
      <xdr:rowOff>304800</xdr:rowOff>
    </xdr:to>
    <xdr:pic xmlns:xdr="http://schemas.openxmlformats.org/drawingml/2006/spreadsheetDrawing">
      <xdr:nvPicPr xmlns:xdr="http://schemas.openxmlformats.org/drawingml/2006/spreadsheetDrawing">
        <xdr:cNvPr xmlns:xdr="http://schemas.openxmlformats.org/drawingml/2006/spreadsheetDrawing" id="2" name="Graphic 1"/>
        <xdr:cNvPicPr xmlns:xdr="http://schemas.openxmlformats.org/drawingml/2006/spreadsheetDrawing">
          <a:picLocks xmlns:a="http://schemas.openxmlformats.org/drawingml/2006/main" noChangeAspect="1"/>
          <a:extLst xmlns:a="http://schemas.openxmlformats.org/drawingml/2006/main"/>
        </xdr:cNvPicPr>
      </xdr:nvPicPr>
      <xdr:blipFill xmlns:xdr="http://schemas.openxmlformats.org/drawingml/2006/spreadsheetDrawing">
        <a:blip xmlns:a="http://schemas.openxmlformats.org/drawingml/2006/main" xmlns:r="http://schemas.openxmlformats.org/officeDocument/2006/relationships" r:embed="rId1">
          <a:extLst xmlns:a="http://schemas.openxmlformats.org/drawingml/2006/main">
            <a:ext xmlns:a="http://schemas.openxmlformats.org/drawingml/2006/main" uri="{96DAC541-7B7A-43D3-8B79-37D633B846F1}">
              <asvg:svgBlip xmlns:asvg="http://schemas.microsoft.com/office/drawing/2016/SVG/main" r:embed="rId2"/>
            </a:ext>
          </a:extLst>
        </a:blip>
        <a:srcRect/>
        <a:stretch xmlns:a="http://schemas.openxmlformats.org/drawingml/2006/main">
          <a:fillRect/>
        </a:stretch>
      </xdr:blipFill>
      <xdr:spPr xmlns:xdr="http://schemas.openxmlformats.org/drawingml/2006/spreadsheetDrawing">
        <a:xfrm xmlns:a="http://schemas.openxmlformats.org/drawingml/2006/main">
          <a:off x="85725" y="85725"/>
          <a:ext cx="1314450" cy="219075"/>
        </a:xfrm>
        <a:prstGeom xmlns:a="http://schemas.openxmlformats.org/drawingml/2006/main" prst="rect"/>
        <a:effectLst xmlns:a="http://schemas.openxmlformats.org/drawingml/2006/main"/>
        <a:extLst xmlns:a="http://schemas.openxmlformats.org/drawingml/2006/main"/>
      </xdr:spPr>
    </xdr:pic>
    <xdr:clientData/>
  </xdr:twoCellAnchor>
</xdr:wsDr>
</file>

<file path=xl/theme/theme1.xml><?xml version="1.0" encoding="utf-8"?>
<a:theme xmlns:a="http://schemas.openxmlformats.org/drawingml/2006/main" name="Office Theme">
  <a:themeElements>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Theme">
      <a:fillStyleLst xmlns:a="http://schemas.openxmlformats.org/drawingml/2006/main">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xmlns:a="http://schemas.openxmlformats.org/drawingml/2006/main">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xmlns:a="http://schemas.openxmlformats.org/drawingml/2006/main">
        <a:effectStyle>
          <a:effectLst/>
        </a:effectStyle>
        <a:effectStyle>
          <a:effectLst/>
        </a:effectStyle>
        <a:effectStyle>
          <a:effectLst>
            <a:outerShdw blurRad="57150" dist="19050" dir="5400000" algn="ctr" rotWithShape="0">
              <a:srgbClr val="000000">
                <a:alpha val="63000"/>
              </a:srgbClr>
            </a:outerShdw>
          </a:effectLst>
        </a:effectStyle>
      </a:effectStyleLst>
      <a:bgFillStyleLst xmlns:a="http://schemas.openxmlformats.org/drawingml/2006/main">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Id="rId1" Type="http://schemas.openxmlformats.org/officeDocument/2006/relationships/hyperlink" Target="https://my.pitchbook.com/?pcc=1199899-36" TargetMode="External"/><Relationship Id="rId2" Type="http://schemas.openxmlformats.org/officeDocument/2006/relationships/drawing" Target="../drawings/drawing1.xml"/></Relationships>
</file>

<file path=xl/worksheets/_rels/sheet2.xml.rels><?xml version="1.0" encoding="UTF-8"?><Relationships xmlns="http://schemas.openxmlformats.org/package/2006/relationships"><Relationship Id="rId1" Type="http://schemas.openxmlformats.org/officeDocument/2006/relationships/hyperlink" Target="support@pitchbook.com" TargetMode="External"/><Relationship Id="rId2" Type="http://schemas.openxmlformats.org/officeDocument/2006/relationships/hyperlink" Target="https://pitchbook.com/subscription-agreement" TargetMode="External"/><Relationship Id="rId3" Type="http://schemas.openxmlformats.org/officeDocument/2006/relationships/hyperlink" Target="support@pitch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dr="http://schemas.openxmlformats.org/drawingml/2006/spreadsheetDrawing" xmlns:a14="http://schemas.microsoft.com/office/drawing/2010/main" xmlns:x14="http://schemas.microsoft.com/office/spreadsheetml/2009/9/main" mc:Ignorable="x14ac">
  <dimension ref="A1:R66"/>
  <sheetViews>
    <sheetView showGridLines="0" workbookViewId="0">
      <selection sqref="A1"/>
    </sheetView>
  </sheetViews>
  <sheetFormatPr defaultRowHeight="15"/>
  <cols>
    <col min="1" max="1" width="21.7109375" customWidth="1"/>
    <col min="2" max="2" width="55.140625" customWidth="1"/>
    <col min="3" max="3" width="10.5703125" customWidth="1"/>
    <col min="4" max="4" width="9.7109375" customWidth="1"/>
    <col min="5" max="5" width="11.28515625" customWidth="1"/>
    <col min="6" max="6" width="9.7109375" customWidth="1"/>
    <col min="7" max="7" width="9.85546875" customWidth="1"/>
    <col min="8" max="8" width="17.140625" customWidth="1"/>
    <col min="9" max="9" width="10.85546875" customWidth="1"/>
    <col min="10" max="10" width="14.7109375" customWidth="1"/>
    <col min="11" max="11" width="21" customWidth="1"/>
    <col min="12" max="12" width="19" customWidth="1"/>
    <col min="13" max="13" width="19.140625" customWidth="1"/>
    <col min="14" max="14" width="15.5703125" customWidth="1"/>
    <col min="15" max="15" width="39.7109375" customWidth="1"/>
    <col min="16" max="16" width="23.85546875" customWidth="1"/>
    <col min="17" max="17" width="22.42578125" customWidth="1"/>
    <col min="18" max="18" width="18.7109375" customWidth="1"/>
  </cols>
  <sheetData>
    <row r="1" ht="25" customHeight="1">
      <c r="D1" s="8" t="s">
        <v>7</v>
      </c>
    </row>
    <row r="3">
      <c r="A3" s="1" t="s">
        <v>0</v>
      </c>
      <c r="B3" s="3">
        <v>45876</v>
      </c>
    </row>
    <row r="4">
      <c r="A4" s="1" t="s">
        <v>1</v>
      </c>
      <c r="B4" s="2" t="s">
        <v>2</v>
      </c>
    </row>
    <row r="5">
      <c r="A5" s="4" t="s">
        <v>3</v>
      </c>
      <c r="B5" s="6" t="s">
        <v>4</v>
      </c>
    </row>
    <row r="6" ht="30" customHeight="1">
      <c r="A6" s="4" t="s">
        <v>5</v>
      </c>
      <c r="B6" s="7" t="s">
        <v>6</v>
      </c>
    </row>
    <row r="8" ht="35" customHeight="1">
      <c r="A8" s="5" t="s">
        <v>8</v>
      </c>
      <c r="B8" s="5" t="s">
        <v>9</v>
      </c>
      <c r="C8" s="5" t="s">
        <v>10</v>
      </c>
      <c r="D8" s="5" t="s">
        <v>11</v>
      </c>
      <c r="E8" s="5" t="s">
        <v>12</v>
      </c>
      <c r="F8" s="5" t="s">
        <v>13</v>
      </c>
      <c r="G8" s="5" t="s">
        <v>14</v>
      </c>
      <c r="H8" s="5" t="s">
        <v>15</v>
      </c>
      <c r="I8" s="5" t="s">
        <v>16</v>
      </c>
      <c r="J8" s="5" t="s">
        <v>17</v>
      </c>
      <c r="K8" s="5" t="s">
        <v>18</v>
      </c>
      <c r="L8" s="5" t="s">
        <v>19</v>
      </c>
      <c r="M8" s="5" t="s">
        <v>20</v>
      </c>
      <c r="N8" s="5" t="s">
        <v>21</v>
      </c>
      <c r="O8" s="5" t="s">
        <v>22</v>
      </c>
      <c r="P8" s="5" t="s">
        <v>23</v>
      </c>
      <c r="Q8" s="5" t="s">
        <v>24</v>
      </c>
      <c r="R8" s="5" t="s">
        <v>25</v>
      </c>
    </row>
    <row r="9">
      <c r="A9" s="15" t="s">
        <v>26</v>
      </c>
      <c r="B9" s="15" t="s">
        <v>27</v>
      </c>
      <c r="C9" s="18">
        <v>42306</v>
      </c>
      <c r="D9" s="15" t="s">
        <v>28</v>
      </c>
      <c r="E9" s="15" t="s">
        <v>29</v>
      </c>
      <c r="F9" s="17">
        <v>160000</v>
      </c>
      <c r="G9" s="17">
        <v>160000</v>
      </c>
      <c r="H9" s="15" t="s">
        <v>30</v>
      </c>
      <c r="I9" s="15" t="s">
        <v>31</v>
      </c>
      <c r="J9" s="15" t="s">
        <v>32</v>
      </c>
      <c r="K9" s="15" t="s">
        <v>33</v>
      </c>
      <c r="L9" s="16" t="s">
        <v>29</v>
      </c>
      <c r="M9" s="15" t="s">
        <v>34</v>
      </c>
      <c r="N9" s="15" t="s">
        <v>35</v>
      </c>
      <c r="O9" s="15" t="s">
        <v>36</v>
      </c>
      <c r="P9" s="15" t="s">
        <v>37</v>
      </c>
      <c r="Q9" s="13">
        <f>HYPERLINK("http://www.allergan.com","www.allergan.com")</f>
      </c>
      <c r="R9" s="13">
        <f>HYPERLINK("https://my.pitchbook.com?c=60262-75T","View Company Online")</f>
      </c>
    </row>
    <row r="10">
      <c r="A10" s="10" t="s">
        <v>38</v>
      </c>
      <c r="B10" s="10" t="s">
        <v>39</v>
      </c>
      <c r="C10" s="9">
        <v>36696</v>
      </c>
      <c r="D10" s="10" t="s">
        <v>28</v>
      </c>
      <c r="E10" s="10" t="s">
        <v>29</v>
      </c>
      <c r="F10" s="12">
        <v>110000</v>
      </c>
      <c r="G10" s="12">
        <v>110000</v>
      </c>
      <c r="H10" s="10" t="s">
        <v>40</v>
      </c>
      <c r="I10" s="10" t="s">
        <v>41</v>
      </c>
      <c r="J10" s="10" t="s">
        <v>42</v>
      </c>
      <c r="K10" s="10" t="s">
        <v>33</v>
      </c>
      <c r="L10" s="11" t="s">
        <v>43</v>
      </c>
      <c r="M10" s="10" t="s">
        <v>34</v>
      </c>
      <c r="N10" s="10" t="s">
        <v>44</v>
      </c>
      <c r="O10" s="10" t="s">
        <v>45</v>
      </c>
      <c r="P10" s="10" t="s">
        <v>46</v>
      </c>
      <c r="Q10" s="14">
        <f>HYPERLINK("http://www.warner-lambert.com","www.warner-lambert.com")</f>
      </c>
      <c r="R10" s="14">
        <f>HYPERLINK("https://my.pitchbook.com?c=108828-73T","View Company Online")</f>
      </c>
    </row>
    <row r="11">
      <c r="A11" s="15" t="s">
        <v>47</v>
      </c>
      <c r="B11" s="15" t="s">
        <v>48</v>
      </c>
      <c r="C11" s="18">
        <v>43789</v>
      </c>
      <c r="D11" s="15" t="s">
        <v>28</v>
      </c>
      <c r="E11" s="15" t="s">
        <v>29</v>
      </c>
      <c r="F11" s="17">
        <v>80269</v>
      </c>
      <c r="G11" s="17">
        <v>80269</v>
      </c>
      <c r="H11" s="15" t="s">
        <v>49</v>
      </c>
      <c r="I11" s="15" t="s">
        <v>41</v>
      </c>
      <c r="J11" s="15" t="s">
        <v>50</v>
      </c>
      <c r="K11" s="15" t="s">
        <v>51</v>
      </c>
      <c r="L11" s="16" t="s">
        <v>52</v>
      </c>
      <c r="M11" s="15" t="s">
        <v>53</v>
      </c>
      <c r="N11" s="15" t="s">
        <v>54</v>
      </c>
      <c r="O11" s="15" t="s">
        <v>55</v>
      </c>
      <c r="P11" s="15" t="s">
        <v>56</v>
      </c>
      <c r="Q11" s="13">
        <f>HYPERLINK("http://www.celgene.com","www.celgene.com")</f>
      </c>
      <c r="R11" s="13">
        <f>HYPERLINK("https://my.pitchbook.com?c=115143-76T","View Company Online")</f>
      </c>
    </row>
    <row r="12">
      <c r="A12" s="10" t="s">
        <v>57</v>
      </c>
      <c r="B12" s="10" t="s">
        <v>58</v>
      </c>
      <c r="C12" s="9">
        <v>42080</v>
      </c>
      <c r="D12" s="10" t="s">
        <v>28</v>
      </c>
      <c r="E12" s="10" t="s">
        <v>29</v>
      </c>
      <c r="F12" s="12">
        <v>77000</v>
      </c>
      <c r="G12" s="12">
        <v>77000</v>
      </c>
      <c r="H12" s="10" t="s">
        <v>59</v>
      </c>
      <c r="I12" s="10" t="s">
        <v>41</v>
      </c>
      <c r="J12" s="10" t="s">
        <v>42</v>
      </c>
      <c r="K12" s="10" t="s">
        <v>51</v>
      </c>
      <c r="L12" s="11" t="s">
        <v>60</v>
      </c>
      <c r="M12" s="10" t="s">
        <v>34</v>
      </c>
      <c r="N12" s="10" t="s">
        <v>44</v>
      </c>
      <c r="O12" s="10" t="s">
        <v>61</v>
      </c>
      <c r="P12" s="10" t="s">
        <v>62</v>
      </c>
      <c r="Q12" s="10" t="s">
        <v>29</v>
      </c>
      <c r="R12" s="14">
        <f>HYPERLINK("https://my.pitchbook.com?c=34374-70T","View Company Online")</f>
      </c>
    </row>
    <row r="13">
      <c r="A13" s="15" t="s">
        <v>63</v>
      </c>
      <c r="B13" s="15" t="s">
        <v>64</v>
      </c>
      <c r="C13" s="18">
        <v>39839</v>
      </c>
      <c r="D13" s="15" t="s">
        <v>28</v>
      </c>
      <c r="E13" s="15" t="s">
        <v>29</v>
      </c>
      <c r="F13" s="17">
        <v>68000</v>
      </c>
      <c r="G13" s="17">
        <v>68000</v>
      </c>
      <c r="H13" s="15" t="s">
        <v>65</v>
      </c>
      <c r="I13" s="15" t="s">
        <v>41</v>
      </c>
      <c r="J13" s="15" t="s">
        <v>42</v>
      </c>
      <c r="K13" s="15" t="s">
        <v>33</v>
      </c>
      <c r="L13" s="16" t="s">
        <v>66</v>
      </c>
      <c r="M13" s="15" t="s">
        <v>34</v>
      </c>
      <c r="N13" s="15" t="s">
        <v>44</v>
      </c>
      <c r="O13" s="15" t="s">
        <v>67</v>
      </c>
      <c r="P13" s="15" t="s">
        <v>68</v>
      </c>
      <c r="Q13" s="13">
        <f>HYPERLINK("http://wwww.lederle-arzneimittel.de","wwww.lederle-arzneimittel.de")</f>
      </c>
      <c r="R13" s="13">
        <f>HYPERLINK("https://my.pitchbook.com?c=224884-27T","View Company Online")</f>
      </c>
    </row>
    <row r="14">
      <c r="A14" s="10" t="s">
        <v>69</v>
      </c>
      <c r="B14" s="10" t="s">
        <v>70</v>
      </c>
      <c r="C14" s="9">
        <v>39814</v>
      </c>
      <c r="D14" s="10" t="s">
        <v>28</v>
      </c>
      <c r="E14" s="10" t="s">
        <v>29</v>
      </c>
      <c r="F14" s="12">
        <v>68000</v>
      </c>
      <c r="G14" s="12">
        <v>68000</v>
      </c>
      <c r="H14" s="10" t="s">
        <v>71</v>
      </c>
      <c r="I14" s="10" t="s">
        <v>41</v>
      </c>
      <c r="J14" s="10" t="s">
        <v>42</v>
      </c>
      <c r="K14" s="10" t="s">
        <v>51</v>
      </c>
      <c r="L14" s="11" t="s">
        <v>72</v>
      </c>
      <c r="M14" s="10" t="s">
        <v>34</v>
      </c>
      <c r="N14" s="10" t="s">
        <v>35</v>
      </c>
      <c r="O14" s="10" t="s">
        <v>73</v>
      </c>
      <c r="P14" s="10" t="s">
        <v>74</v>
      </c>
      <c r="Q14" s="14">
        <f>HYPERLINK("http://www.wyeth.com","www.wyeth.com")</f>
      </c>
      <c r="R14" s="14">
        <f>HYPERLINK("https://my.pitchbook.com?c=55648-81T","View Company Online")</f>
      </c>
    </row>
    <row r="15">
      <c r="A15" s="15" t="s">
        <v>75</v>
      </c>
      <c r="B15" s="15" t="s">
        <v>76</v>
      </c>
      <c r="C15" s="18">
        <v>38211</v>
      </c>
      <c r="D15" s="15" t="s">
        <v>28</v>
      </c>
      <c r="E15" s="15" t="s">
        <v>29</v>
      </c>
      <c r="F15" s="17">
        <v>66503.51</v>
      </c>
      <c r="G15" s="17">
        <v>66503.51</v>
      </c>
      <c r="H15" s="15" t="s">
        <v>77</v>
      </c>
      <c r="I15" s="15" t="s">
        <v>41</v>
      </c>
      <c r="J15" s="15" t="s">
        <v>78</v>
      </c>
      <c r="K15" s="15" t="s">
        <v>51</v>
      </c>
      <c r="L15" s="16" t="s">
        <v>79</v>
      </c>
      <c r="M15" s="15" t="s">
        <v>34</v>
      </c>
      <c r="N15" s="15" t="s">
        <v>29</v>
      </c>
      <c r="O15" s="15" t="s">
        <v>80</v>
      </c>
      <c r="P15" s="15" t="s">
        <v>81</v>
      </c>
      <c r="Q15" s="13">
        <f>HYPERLINK("http://www.aventis.com","www.aventis.com")</f>
      </c>
      <c r="R15" s="13">
        <f>HYPERLINK("https://my.pitchbook.com?c=16202-26T","View Company Online")</f>
      </c>
    </row>
    <row r="16">
      <c r="A16" s="10" t="s">
        <v>82</v>
      </c>
      <c r="B16" s="10" t="s">
        <v>27</v>
      </c>
      <c r="C16" s="9">
        <v>43959</v>
      </c>
      <c r="D16" s="10" t="s">
        <v>28</v>
      </c>
      <c r="E16" s="10" t="s">
        <v>29</v>
      </c>
      <c r="F16" s="12">
        <v>64084</v>
      </c>
      <c r="G16" s="12">
        <v>64084</v>
      </c>
      <c r="H16" s="10" t="s">
        <v>83</v>
      </c>
      <c r="I16" s="10" t="s">
        <v>41</v>
      </c>
      <c r="J16" s="10" t="s">
        <v>42</v>
      </c>
      <c r="K16" s="10" t="s">
        <v>33</v>
      </c>
      <c r="L16" s="11" t="s">
        <v>84</v>
      </c>
      <c r="M16" s="10" t="s">
        <v>34</v>
      </c>
      <c r="N16" s="10" t="s">
        <v>35</v>
      </c>
      <c r="O16" s="10" t="s">
        <v>36</v>
      </c>
      <c r="P16" s="10" t="s">
        <v>37</v>
      </c>
      <c r="Q16" s="14">
        <f>HYPERLINK("http://www.allergan.com","www.allergan.com")</f>
      </c>
      <c r="R16" s="14">
        <f>HYPERLINK("https://my.pitchbook.com?c=120072-16T","View Company Online")</f>
      </c>
    </row>
    <row r="17">
      <c r="A17" s="15" t="s">
        <v>85</v>
      </c>
      <c r="B17" s="15" t="s">
        <v>86</v>
      </c>
      <c r="C17" s="18">
        <v>43430</v>
      </c>
      <c r="D17" s="15" t="s">
        <v>28</v>
      </c>
      <c r="E17" s="15" t="s">
        <v>29</v>
      </c>
      <c r="F17" s="17">
        <v>62639.8</v>
      </c>
      <c r="G17" s="17">
        <v>62639.8</v>
      </c>
      <c r="H17" s="15" t="s">
        <v>87</v>
      </c>
      <c r="I17" s="15" t="s">
        <v>41</v>
      </c>
      <c r="J17" s="15" t="s">
        <v>42</v>
      </c>
      <c r="K17" s="15" t="s">
        <v>33</v>
      </c>
      <c r="L17" s="16" t="s">
        <v>88</v>
      </c>
      <c r="M17" s="15" t="s">
        <v>89</v>
      </c>
      <c r="N17" s="15" t="s">
        <v>29</v>
      </c>
      <c r="O17" s="15" t="s">
        <v>90</v>
      </c>
      <c r="P17" s="15" t="s">
        <v>91</v>
      </c>
      <c r="Q17" s="13">
        <f>HYPERLINK("http://www.aetna.com","www.aetna.com")</f>
      </c>
      <c r="R17" s="13">
        <f>HYPERLINK("https://my.pitchbook.com?c=96377-32T","View Company Online")</f>
      </c>
    </row>
    <row r="18">
      <c r="A18" s="10" t="s">
        <v>92</v>
      </c>
      <c r="B18" s="10" t="s">
        <v>93</v>
      </c>
      <c r="C18" s="9">
        <v>37727</v>
      </c>
      <c r="D18" s="10" t="s">
        <v>28</v>
      </c>
      <c r="E18" s="10" t="s">
        <v>29</v>
      </c>
      <c r="F18" s="12">
        <v>60000</v>
      </c>
      <c r="G18" s="12">
        <v>60000</v>
      </c>
      <c r="H18" s="10" t="s">
        <v>94</v>
      </c>
      <c r="I18" s="10" t="s">
        <v>41</v>
      </c>
      <c r="J18" s="10" t="s">
        <v>42</v>
      </c>
      <c r="K18" s="10" t="s">
        <v>33</v>
      </c>
      <c r="L18" s="11" t="s">
        <v>95</v>
      </c>
      <c r="M18" s="10" t="s">
        <v>34</v>
      </c>
      <c r="N18" s="10" t="s">
        <v>35</v>
      </c>
      <c r="O18" s="10" t="s">
        <v>96</v>
      </c>
      <c r="P18" s="10" t="s">
        <v>97</v>
      </c>
      <c r="Q18" s="14">
        <f>HYPERLINK("http://www.pharmacia.com","www.pharmacia.com")</f>
      </c>
      <c r="R18" s="14">
        <f>HYPERLINK("https://my.pitchbook.com?c=91942-21T","View Company Online")</f>
      </c>
    </row>
    <row r="19">
      <c r="A19" s="15" t="s">
        <v>98</v>
      </c>
      <c r="B19" s="15" t="s">
        <v>99</v>
      </c>
      <c r="C19" s="18">
        <v>43473</v>
      </c>
      <c r="D19" s="15" t="s">
        <v>28</v>
      </c>
      <c r="E19" s="15" t="s">
        <v>29</v>
      </c>
      <c r="F19" s="17">
        <v>58237.11</v>
      </c>
      <c r="G19" s="17">
        <v>58237.11</v>
      </c>
      <c r="H19" s="15" t="s">
        <v>100</v>
      </c>
      <c r="I19" s="15" t="s">
        <v>41</v>
      </c>
      <c r="J19" s="15" t="s">
        <v>50</v>
      </c>
      <c r="K19" s="15" t="s">
        <v>33</v>
      </c>
      <c r="L19" s="16" t="s">
        <v>101</v>
      </c>
      <c r="M19" s="15" t="s">
        <v>34</v>
      </c>
      <c r="N19" s="15" t="s">
        <v>44</v>
      </c>
      <c r="O19" s="15" t="s">
        <v>102</v>
      </c>
      <c r="P19" s="15" t="s">
        <v>37</v>
      </c>
      <c r="Q19" s="13">
        <f t="shared" si="9" ref="Q19:Q20">HYPERLINK("http://www.shire.com","www.shire.com")</f>
      </c>
      <c r="R19" s="13">
        <f>HYPERLINK("https://my.pitchbook.com?c=99036-01T","View Company Online")</f>
      </c>
    </row>
    <row r="20">
      <c r="A20" s="10" t="s">
        <v>103</v>
      </c>
      <c r="B20" s="10" t="s">
        <v>99</v>
      </c>
      <c r="C20" s="9">
        <v>41932</v>
      </c>
      <c r="D20" s="10" t="s">
        <v>28</v>
      </c>
      <c r="E20" s="10" t="s">
        <v>29</v>
      </c>
      <c r="F20" s="12">
        <v>52000</v>
      </c>
      <c r="G20" s="12">
        <v>52000</v>
      </c>
      <c r="H20" s="10" t="s">
        <v>104</v>
      </c>
      <c r="I20" s="10" t="s">
        <v>31</v>
      </c>
      <c r="J20" s="10" t="s">
        <v>32</v>
      </c>
      <c r="K20" s="10" t="s">
        <v>33</v>
      </c>
      <c r="L20" s="11" t="s">
        <v>29</v>
      </c>
      <c r="M20" s="10" t="s">
        <v>34</v>
      </c>
      <c r="N20" s="10" t="s">
        <v>44</v>
      </c>
      <c r="O20" s="10" t="s">
        <v>102</v>
      </c>
      <c r="P20" s="10" t="s">
        <v>37</v>
      </c>
      <c r="Q20" s="14">
        <f t="shared" si="9"/>
      </c>
      <c r="R20" s="14">
        <f>HYPERLINK("https://my.pitchbook.com?c=82423-00T","View Company Online")</f>
      </c>
    </row>
    <row r="21">
      <c r="A21" s="15" t="s">
        <v>105</v>
      </c>
      <c r="B21" s="15" t="s">
        <v>86</v>
      </c>
      <c r="C21" s="18">
        <v>42170</v>
      </c>
      <c r="D21" s="15" t="s">
        <v>28</v>
      </c>
      <c r="E21" s="15" t="s">
        <v>29</v>
      </c>
      <c r="F21" s="17">
        <v>40000</v>
      </c>
      <c r="G21" s="17">
        <v>40000</v>
      </c>
      <c r="H21" s="15" t="s">
        <v>106</v>
      </c>
      <c r="I21" s="15" t="s">
        <v>31</v>
      </c>
      <c r="J21" s="15" t="s">
        <v>32</v>
      </c>
      <c r="K21" s="15" t="s">
        <v>33</v>
      </c>
      <c r="L21" s="16" t="s">
        <v>29</v>
      </c>
      <c r="M21" s="15" t="s">
        <v>89</v>
      </c>
      <c r="N21" s="15" t="s">
        <v>29</v>
      </c>
      <c r="O21" s="15" t="s">
        <v>90</v>
      </c>
      <c r="P21" s="15" t="s">
        <v>91</v>
      </c>
      <c r="Q21" s="13">
        <f>HYPERLINK("http://www.aetna.com","www.aetna.com")</f>
      </c>
      <c r="R21" s="13">
        <f>HYPERLINK("https://my.pitchbook.com?c=52151-41T","View Company Online")</f>
      </c>
    </row>
    <row r="22">
      <c r="A22" s="10" t="s">
        <v>107</v>
      </c>
      <c r="B22" s="10" t="s">
        <v>27</v>
      </c>
      <c r="C22" s="9">
        <v>42066</v>
      </c>
      <c r="D22" s="10" t="s">
        <v>108</v>
      </c>
      <c r="E22" s="10" t="s">
        <v>29</v>
      </c>
      <c r="F22" s="12">
        <v>21000</v>
      </c>
      <c r="G22" s="12" t="s">
        <v>29</v>
      </c>
      <c r="H22" s="10" t="s">
        <v>109</v>
      </c>
      <c r="I22" s="10" t="s">
        <v>41</v>
      </c>
      <c r="J22" s="10" t="s">
        <v>110</v>
      </c>
      <c r="K22" s="10" t="s">
        <v>33</v>
      </c>
      <c r="L22" s="11" t="s">
        <v>29</v>
      </c>
      <c r="M22" s="10" t="s">
        <v>34</v>
      </c>
      <c r="N22" s="10" t="s">
        <v>35</v>
      </c>
      <c r="O22" s="10" t="s">
        <v>36</v>
      </c>
      <c r="P22" s="10" t="s">
        <v>37</v>
      </c>
      <c r="Q22" s="14">
        <f>HYPERLINK("http://www.allergan.com","www.allergan.com")</f>
      </c>
      <c r="R22" s="14">
        <f>HYPERLINK("https://my.pitchbook.com?c=229365-91T","View Company Online")</f>
      </c>
    </row>
    <row r="23">
      <c r="A23" s="15" t="s">
        <v>111</v>
      </c>
      <c r="B23" s="15" t="s">
        <v>86</v>
      </c>
      <c r="C23" s="18">
        <v>42553</v>
      </c>
      <c r="D23" s="15" t="s">
        <v>112</v>
      </c>
      <c r="E23" s="15" t="s">
        <v>113</v>
      </c>
      <c r="F23" s="17">
        <v>13000</v>
      </c>
      <c r="G23" s="17" t="s">
        <v>29</v>
      </c>
      <c r="H23" s="15" t="s">
        <v>114</v>
      </c>
      <c r="I23" s="15" t="s">
        <v>41</v>
      </c>
      <c r="J23" s="15" t="s">
        <v>110</v>
      </c>
      <c r="K23" s="15" t="s">
        <v>33</v>
      </c>
      <c r="L23" s="16" t="s">
        <v>29</v>
      </c>
      <c r="M23" s="15" t="s">
        <v>89</v>
      </c>
      <c r="N23" s="15" t="s">
        <v>29</v>
      </c>
      <c r="O23" s="15" t="s">
        <v>90</v>
      </c>
      <c r="P23" s="15" t="s">
        <v>91</v>
      </c>
      <c r="Q23" s="13">
        <f>HYPERLINK("http://www.aetna.com","www.aetna.com")</f>
      </c>
      <c r="R23" s="13">
        <f>HYPERLINK("https://my.pitchbook.com?c=229083-13T","View Company Online")</f>
      </c>
    </row>
    <row r="24">
      <c r="A24" s="10" t="s">
        <v>115</v>
      </c>
      <c r="B24" s="10" t="s">
        <v>99</v>
      </c>
      <c r="C24" s="9">
        <v>42632</v>
      </c>
      <c r="D24" s="10" t="s">
        <v>112</v>
      </c>
      <c r="E24" s="10" t="s">
        <v>113</v>
      </c>
      <c r="F24" s="12">
        <v>12100</v>
      </c>
      <c r="G24" s="12" t="s">
        <v>29</v>
      </c>
      <c r="H24" s="10" t="s">
        <v>116</v>
      </c>
      <c r="I24" s="10" t="s">
        <v>41</v>
      </c>
      <c r="J24" s="10" t="s">
        <v>50</v>
      </c>
      <c r="K24" s="10" t="s">
        <v>33</v>
      </c>
      <c r="L24" s="11" t="s">
        <v>29</v>
      </c>
      <c r="M24" s="10" t="s">
        <v>34</v>
      </c>
      <c r="N24" s="10" t="s">
        <v>44</v>
      </c>
      <c r="O24" s="10" t="s">
        <v>102</v>
      </c>
      <c r="P24" s="10" t="s">
        <v>37</v>
      </c>
      <c r="Q24" s="14">
        <f>HYPERLINK("http://www.shire.com","www.shire.com")</f>
      </c>
      <c r="R24" s="14">
        <f>HYPERLINK("https://my.pitchbook.com?c=229845-88T","View Company Online")</f>
      </c>
    </row>
    <row r="25">
      <c r="A25" s="15" t="s">
        <v>117</v>
      </c>
      <c r="B25" s="15" t="s">
        <v>48</v>
      </c>
      <c r="C25" s="18">
        <v>42219</v>
      </c>
      <c r="D25" s="15" t="s">
        <v>112</v>
      </c>
      <c r="E25" s="15" t="s">
        <v>113</v>
      </c>
      <c r="F25" s="17">
        <v>8000</v>
      </c>
      <c r="G25" s="17" t="s">
        <v>29</v>
      </c>
      <c r="H25" s="15" t="s">
        <v>118</v>
      </c>
      <c r="I25" s="15" t="s">
        <v>41</v>
      </c>
      <c r="J25" s="15" t="s">
        <v>119</v>
      </c>
      <c r="K25" s="15" t="s">
        <v>51</v>
      </c>
      <c r="L25" s="16" t="s">
        <v>29</v>
      </c>
      <c r="M25" s="15" t="s">
        <v>53</v>
      </c>
      <c r="N25" s="15" t="s">
        <v>54</v>
      </c>
      <c r="O25" s="15" t="s">
        <v>55</v>
      </c>
      <c r="P25" s="15" t="s">
        <v>56</v>
      </c>
      <c r="Q25" s="13">
        <f t="shared" si="2" ref="Q25:Q26">HYPERLINK("http://www.celgene.com","www.celgene.com")</f>
      </c>
      <c r="R25" s="13">
        <f>HYPERLINK("https://my.pitchbook.com?c=230065-84T","View Company Online")</f>
      </c>
    </row>
    <row r="26">
      <c r="A26" s="10" t="s">
        <v>120</v>
      </c>
      <c r="B26" s="10" t="s">
        <v>48</v>
      </c>
      <c r="C26" s="9">
        <v>43139</v>
      </c>
      <c r="D26" s="10" t="s">
        <v>112</v>
      </c>
      <c r="E26" s="10" t="s">
        <v>113</v>
      </c>
      <c r="F26" s="12">
        <v>4500</v>
      </c>
      <c r="G26" s="12" t="s">
        <v>29</v>
      </c>
      <c r="H26" s="10" t="s">
        <v>121</v>
      </c>
      <c r="I26" s="10" t="s">
        <v>41</v>
      </c>
      <c r="J26" s="10" t="s">
        <v>119</v>
      </c>
      <c r="K26" s="10" t="s">
        <v>51</v>
      </c>
      <c r="L26" s="11" t="s">
        <v>29</v>
      </c>
      <c r="M26" s="10" t="s">
        <v>53</v>
      </c>
      <c r="N26" s="10" t="s">
        <v>54</v>
      </c>
      <c r="O26" s="10" t="s">
        <v>55</v>
      </c>
      <c r="P26" s="10" t="s">
        <v>56</v>
      </c>
      <c r="Q26" s="14">
        <f t="shared" si="2"/>
      </c>
      <c r="R26" s="14">
        <f>HYPERLINK("https://my.pitchbook.com?c=230067-82T","View Company Online")</f>
      </c>
    </row>
    <row r="27">
      <c r="A27" s="15" t="s">
        <v>122</v>
      </c>
      <c r="B27" s="15" t="s">
        <v>27</v>
      </c>
      <c r="C27" s="18">
        <v>41209</v>
      </c>
      <c r="D27" s="15" t="s">
        <v>112</v>
      </c>
      <c r="E27" s="15" t="s">
        <v>113</v>
      </c>
      <c r="F27" s="17">
        <v>3900</v>
      </c>
      <c r="G27" s="17" t="s">
        <v>29</v>
      </c>
      <c r="H27" s="15" t="s">
        <v>123</v>
      </c>
      <c r="I27" s="15" t="s">
        <v>41</v>
      </c>
      <c r="J27" s="15" t="s">
        <v>110</v>
      </c>
      <c r="K27" s="15" t="s">
        <v>33</v>
      </c>
      <c r="L27" s="16" t="s">
        <v>29</v>
      </c>
      <c r="M27" s="15" t="s">
        <v>34</v>
      </c>
      <c r="N27" s="15" t="s">
        <v>35</v>
      </c>
      <c r="O27" s="15" t="s">
        <v>36</v>
      </c>
      <c r="P27" s="15" t="s">
        <v>37</v>
      </c>
      <c r="Q27" s="13">
        <f t="shared" si="0" ref="Q27:Q28">HYPERLINK("http://www.allergan.com","www.allergan.com")</f>
      </c>
      <c r="R27" s="13">
        <f>HYPERLINK("https://my.pitchbook.com?c=229364-38T","View Company Online")</f>
      </c>
    </row>
    <row r="28">
      <c r="A28" s="10" t="s">
        <v>124</v>
      </c>
      <c r="B28" s="10" t="s">
        <v>27</v>
      </c>
      <c r="C28" s="9">
        <v>41800</v>
      </c>
      <c r="D28" s="10" t="s">
        <v>112</v>
      </c>
      <c r="E28" s="10" t="s">
        <v>113</v>
      </c>
      <c r="F28" s="12">
        <v>3700</v>
      </c>
      <c r="G28" s="12" t="s">
        <v>29</v>
      </c>
      <c r="H28" s="10" t="s">
        <v>125</v>
      </c>
      <c r="I28" s="10" t="s">
        <v>41</v>
      </c>
      <c r="J28" s="10" t="s">
        <v>110</v>
      </c>
      <c r="K28" s="10" t="s">
        <v>33</v>
      </c>
      <c r="L28" s="11" t="s">
        <v>29</v>
      </c>
      <c r="M28" s="10" t="s">
        <v>34</v>
      </c>
      <c r="N28" s="10" t="s">
        <v>35</v>
      </c>
      <c r="O28" s="10" t="s">
        <v>36</v>
      </c>
      <c r="P28" s="10" t="s">
        <v>37</v>
      </c>
      <c r="Q28" s="14">
        <f t="shared" si="0"/>
      </c>
      <c r="R28" s="14">
        <f>HYPERLINK("https://my.pitchbook.com?c=229365-28T","View Company Online")</f>
      </c>
    </row>
    <row r="29">
      <c r="A29" s="15" t="s">
        <v>126</v>
      </c>
      <c r="B29" s="15" t="s">
        <v>48</v>
      </c>
      <c r="C29" s="18">
        <v>43039</v>
      </c>
      <c r="D29" s="15" t="s">
        <v>127</v>
      </c>
      <c r="E29" s="15" t="s">
        <v>128</v>
      </c>
      <c r="F29" s="17">
        <v>3000</v>
      </c>
      <c r="G29" s="17" t="s">
        <v>29</v>
      </c>
      <c r="H29" s="15" t="s">
        <v>129</v>
      </c>
      <c r="I29" s="15" t="s">
        <v>41</v>
      </c>
      <c r="J29" s="15" t="s">
        <v>119</v>
      </c>
      <c r="K29" s="15" t="s">
        <v>51</v>
      </c>
      <c r="L29" s="16" t="s">
        <v>29</v>
      </c>
      <c r="M29" s="15" t="s">
        <v>53</v>
      </c>
      <c r="N29" s="15" t="s">
        <v>54</v>
      </c>
      <c r="O29" s="15" t="s">
        <v>55</v>
      </c>
      <c r="P29" s="15" t="s">
        <v>56</v>
      </c>
      <c r="Q29" s="13">
        <f t="shared" si="3" ref="Q29:Q30">HYPERLINK("http://www.celgene.com","www.celgene.com")</f>
      </c>
      <c r="R29" s="13">
        <f>HYPERLINK("https://my.pitchbook.com?c=230066-92T","View Company Online")</f>
      </c>
    </row>
    <row r="30">
      <c r="A30" s="10" t="s">
        <v>130</v>
      </c>
      <c r="B30" s="10" t="s">
        <v>48</v>
      </c>
      <c r="C30" s="9">
        <v>41765</v>
      </c>
      <c r="D30" s="10" t="s">
        <v>131</v>
      </c>
      <c r="E30" s="10" t="s">
        <v>29</v>
      </c>
      <c r="F30" s="12">
        <v>2500</v>
      </c>
      <c r="G30" s="12" t="s">
        <v>29</v>
      </c>
      <c r="H30" s="10" t="s">
        <v>132</v>
      </c>
      <c r="I30" s="10" t="s">
        <v>41</v>
      </c>
      <c r="J30" s="10" t="s">
        <v>119</v>
      </c>
      <c r="K30" s="10" t="s">
        <v>33</v>
      </c>
      <c r="L30" s="11" t="s">
        <v>29</v>
      </c>
      <c r="M30" s="10" t="s">
        <v>53</v>
      </c>
      <c r="N30" s="10" t="s">
        <v>54</v>
      </c>
      <c r="O30" s="10" t="s">
        <v>55</v>
      </c>
      <c r="P30" s="10" t="s">
        <v>56</v>
      </c>
      <c r="Q30" s="14">
        <f t="shared" si="3"/>
      </c>
      <c r="R30" s="14">
        <f>HYPERLINK("https://my.pitchbook.com?c=230065-03T","View Company Online")</f>
      </c>
    </row>
    <row r="31">
      <c r="A31" s="15" t="s">
        <v>133</v>
      </c>
      <c r="B31" s="15" t="s">
        <v>86</v>
      </c>
      <c r="C31" s="18">
        <v>41245</v>
      </c>
      <c r="D31" s="15" t="s">
        <v>112</v>
      </c>
      <c r="E31" s="15" t="s">
        <v>113</v>
      </c>
      <c r="F31" s="17">
        <v>2000</v>
      </c>
      <c r="G31" s="17" t="s">
        <v>29</v>
      </c>
      <c r="H31" s="15" t="s">
        <v>134</v>
      </c>
      <c r="I31" s="15" t="s">
        <v>41</v>
      </c>
      <c r="J31" s="15" t="s">
        <v>110</v>
      </c>
      <c r="K31" s="15" t="s">
        <v>33</v>
      </c>
      <c r="L31" s="16" t="s">
        <v>29</v>
      </c>
      <c r="M31" s="15" t="s">
        <v>89</v>
      </c>
      <c r="N31" s="15" t="s">
        <v>29</v>
      </c>
      <c r="O31" s="15" t="s">
        <v>90</v>
      </c>
      <c r="P31" s="15" t="s">
        <v>91</v>
      </c>
      <c r="Q31" s="13">
        <f>HYPERLINK("http://www.aetna.com","www.aetna.com")</f>
      </c>
      <c r="R31" s="13">
        <f>HYPERLINK("https://my.pitchbook.com?c=229080-07T","View Company Online")</f>
      </c>
    </row>
    <row r="32">
      <c r="A32" s="10" t="s">
        <v>135</v>
      </c>
      <c r="B32" s="10" t="s">
        <v>48</v>
      </c>
      <c r="C32" s="9">
        <v>41158</v>
      </c>
      <c r="D32" s="10" t="s">
        <v>127</v>
      </c>
      <c r="E32" s="10" t="s">
        <v>136</v>
      </c>
      <c r="F32" s="12">
        <v>1500</v>
      </c>
      <c r="G32" s="12" t="s">
        <v>29</v>
      </c>
      <c r="H32" s="10" t="s">
        <v>137</v>
      </c>
      <c r="I32" s="10" t="s">
        <v>41</v>
      </c>
      <c r="J32" s="10" t="s">
        <v>119</v>
      </c>
      <c r="K32" s="10" t="s">
        <v>33</v>
      </c>
      <c r="L32" s="11" t="s">
        <v>29</v>
      </c>
      <c r="M32" s="10" t="s">
        <v>53</v>
      </c>
      <c r="N32" s="10" t="s">
        <v>54</v>
      </c>
      <c r="O32" s="10" t="s">
        <v>55</v>
      </c>
      <c r="P32" s="10" t="s">
        <v>56</v>
      </c>
      <c r="Q32" s="14">
        <f t="shared" si="4" ref="Q32:Q33">HYPERLINK("http://www.celgene.com","www.celgene.com")</f>
      </c>
      <c r="R32" s="14">
        <f>HYPERLINK("https://my.pitchbook.com?c=36600-58T","View Company Online")</f>
      </c>
    </row>
    <row r="33">
      <c r="A33" s="15" t="s">
        <v>138</v>
      </c>
      <c r="B33" s="15" t="s">
        <v>48</v>
      </c>
      <c r="C33" s="18">
        <v>41487</v>
      </c>
      <c r="D33" s="15" t="s">
        <v>131</v>
      </c>
      <c r="E33" s="15" t="s">
        <v>29</v>
      </c>
      <c r="F33" s="17">
        <v>1500</v>
      </c>
      <c r="G33" s="17" t="s">
        <v>29</v>
      </c>
      <c r="H33" s="15" t="s">
        <v>139</v>
      </c>
      <c r="I33" s="15" t="s">
        <v>41</v>
      </c>
      <c r="J33" s="15" t="s">
        <v>119</v>
      </c>
      <c r="K33" s="15" t="s">
        <v>33</v>
      </c>
      <c r="L33" s="16" t="s">
        <v>29</v>
      </c>
      <c r="M33" s="15" t="s">
        <v>53</v>
      </c>
      <c r="N33" s="15" t="s">
        <v>54</v>
      </c>
      <c r="O33" s="15" t="s">
        <v>55</v>
      </c>
      <c r="P33" s="15" t="s">
        <v>56</v>
      </c>
      <c r="Q33" s="13">
        <f t="shared" si="4"/>
      </c>
      <c r="R33" s="13">
        <f>HYPERLINK("https://my.pitchbook.com?c=230063-59T","View Company Online")</f>
      </c>
    </row>
    <row r="34">
      <c r="A34" s="10" t="s">
        <v>140</v>
      </c>
      <c r="B34" s="10" t="s">
        <v>86</v>
      </c>
      <c r="C34" s="9">
        <v>42985</v>
      </c>
      <c r="D34" s="10" t="s">
        <v>127</v>
      </c>
      <c r="E34" s="10" t="s">
        <v>128</v>
      </c>
      <c r="F34" s="12">
        <v>1000</v>
      </c>
      <c r="G34" s="12" t="s">
        <v>29</v>
      </c>
      <c r="H34" s="10" t="s">
        <v>141</v>
      </c>
      <c r="I34" s="10" t="s">
        <v>41</v>
      </c>
      <c r="J34" s="10" t="s">
        <v>110</v>
      </c>
      <c r="K34" s="10" t="s">
        <v>33</v>
      </c>
      <c r="L34" s="11" t="s">
        <v>29</v>
      </c>
      <c r="M34" s="10" t="s">
        <v>89</v>
      </c>
      <c r="N34" s="10" t="s">
        <v>29</v>
      </c>
      <c r="O34" s="10" t="s">
        <v>90</v>
      </c>
      <c r="P34" s="10" t="s">
        <v>91</v>
      </c>
      <c r="Q34" s="14">
        <f>HYPERLINK("http://www.aetna.com","www.aetna.com")</f>
      </c>
      <c r="R34" s="14">
        <f>HYPERLINK("https://my.pitchbook.com?c=229083-85T","View Company Online")</f>
      </c>
    </row>
    <row r="35">
      <c r="A35" s="15" t="s">
        <v>142</v>
      </c>
      <c r="B35" s="15" t="s">
        <v>27</v>
      </c>
      <c r="C35" s="18">
        <v>40049</v>
      </c>
      <c r="D35" s="15" t="s">
        <v>112</v>
      </c>
      <c r="E35" s="15" t="s">
        <v>113</v>
      </c>
      <c r="F35" s="17">
        <v>850</v>
      </c>
      <c r="G35" s="17" t="s">
        <v>29</v>
      </c>
      <c r="H35" s="15" t="s">
        <v>143</v>
      </c>
      <c r="I35" s="15" t="s">
        <v>41</v>
      </c>
      <c r="J35" s="15" t="s">
        <v>110</v>
      </c>
      <c r="K35" s="15" t="s">
        <v>33</v>
      </c>
      <c r="L35" s="16" t="s">
        <v>29</v>
      </c>
      <c r="M35" s="15" t="s">
        <v>34</v>
      </c>
      <c r="N35" s="15" t="s">
        <v>35</v>
      </c>
      <c r="O35" s="15" t="s">
        <v>36</v>
      </c>
      <c r="P35" s="15" t="s">
        <v>37</v>
      </c>
      <c r="Q35" s="13">
        <f>HYPERLINK("http://www.allergan.com","www.allergan.com")</f>
      </c>
      <c r="R35" s="13">
        <f>HYPERLINK("https://my.pitchbook.com?c=229363-21T","View Company Online")</f>
      </c>
    </row>
    <row r="36">
      <c r="A36" s="10" t="s">
        <v>144</v>
      </c>
      <c r="B36" s="10" t="s">
        <v>99</v>
      </c>
      <c r="C36" s="9">
        <v>39133</v>
      </c>
      <c r="D36" s="10" t="s">
        <v>145</v>
      </c>
      <c r="E36" s="10" t="s">
        <v>29</v>
      </c>
      <c r="F36" s="12">
        <v>800</v>
      </c>
      <c r="G36" s="12" t="s">
        <v>29</v>
      </c>
      <c r="H36" s="10" t="s">
        <v>146</v>
      </c>
      <c r="I36" s="10" t="s">
        <v>41</v>
      </c>
      <c r="J36" s="10" t="s">
        <v>50</v>
      </c>
      <c r="K36" s="10" t="s">
        <v>33</v>
      </c>
      <c r="L36" s="11" t="s">
        <v>29</v>
      </c>
      <c r="M36" s="10" t="s">
        <v>34</v>
      </c>
      <c r="N36" s="10" t="s">
        <v>44</v>
      </c>
      <c r="O36" s="10" t="s">
        <v>102</v>
      </c>
      <c r="P36" s="10" t="s">
        <v>37</v>
      </c>
      <c r="Q36" s="14">
        <f>HYPERLINK("http://www.shire.com","www.shire.com")</f>
      </c>
      <c r="R36" s="14">
        <f>HYPERLINK("https://my.pitchbook.com?c=82422-91T","View Company Online")</f>
      </c>
    </row>
    <row r="37">
      <c r="A37" s="15" t="s">
        <v>147</v>
      </c>
      <c r="B37" s="15" t="s">
        <v>27</v>
      </c>
      <c r="C37" s="18">
        <v>42521</v>
      </c>
      <c r="D37" s="15" t="s">
        <v>148</v>
      </c>
      <c r="E37" s="15" t="s">
        <v>29</v>
      </c>
      <c r="F37" s="17">
        <v>785.7</v>
      </c>
      <c r="G37" s="17" t="s">
        <v>29</v>
      </c>
      <c r="H37" s="15" t="s">
        <v>149</v>
      </c>
      <c r="I37" s="15" t="s">
        <v>41</v>
      </c>
      <c r="J37" s="15" t="s">
        <v>110</v>
      </c>
      <c r="K37" s="15" t="s">
        <v>33</v>
      </c>
      <c r="L37" s="16" t="s">
        <v>29</v>
      </c>
      <c r="M37" s="15" t="s">
        <v>34</v>
      </c>
      <c r="N37" s="15" t="s">
        <v>35</v>
      </c>
      <c r="O37" s="15" t="s">
        <v>36</v>
      </c>
      <c r="P37" s="15" t="s">
        <v>37</v>
      </c>
      <c r="Q37" s="13">
        <f>HYPERLINK("http://www.allergan.com","www.allergan.com")</f>
      </c>
      <c r="R37" s="13">
        <f>HYPERLINK("https://my.pitchbook.com?c=71156-26T","View Company Online")</f>
      </c>
    </row>
    <row r="38">
      <c r="A38" s="10" t="s">
        <v>150</v>
      </c>
      <c r="B38" s="10" t="s">
        <v>86</v>
      </c>
      <c r="C38" s="9">
        <v>41061</v>
      </c>
      <c r="D38" s="10" t="s">
        <v>131</v>
      </c>
      <c r="E38" s="10" t="s">
        <v>29</v>
      </c>
      <c r="F38" s="12">
        <v>750</v>
      </c>
      <c r="G38" s="12" t="s">
        <v>29</v>
      </c>
      <c r="H38" s="10" t="s">
        <v>151</v>
      </c>
      <c r="I38" s="10" t="s">
        <v>41</v>
      </c>
      <c r="J38" s="10" t="s">
        <v>110</v>
      </c>
      <c r="K38" s="10" t="s">
        <v>33</v>
      </c>
      <c r="L38" s="11" t="s">
        <v>29</v>
      </c>
      <c r="M38" s="10" t="s">
        <v>89</v>
      </c>
      <c r="N38" s="10" t="s">
        <v>29</v>
      </c>
      <c r="O38" s="10" t="s">
        <v>90</v>
      </c>
      <c r="P38" s="10" t="s">
        <v>91</v>
      </c>
      <c r="Q38" s="14">
        <f t="shared" si="8" ref="Q38:Q40">HYPERLINK("http://www.aetna.com","www.aetna.com")</f>
      </c>
      <c r="R38" s="14">
        <f>HYPERLINK("https://my.pitchbook.com?c=229079-80T","View Company Online")</f>
      </c>
    </row>
    <row r="39">
      <c r="A39" s="15" t="s">
        <v>152</v>
      </c>
      <c r="B39" s="15" t="s">
        <v>86</v>
      </c>
      <c r="C39" s="18">
        <v>41733</v>
      </c>
      <c r="D39" s="15" t="s">
        <v>127</v>
      </c>
      <c r="E39" s="15" t="s">
        <v>128</v>
      </c>
      <c r="F39" s="17">
        <v>750</v>
      </c>
      <c r="G39" s="17" t="s">
        <v>29</v>
      </c>
      <c r="H39" s="15" t="s">
        <v>153</v>
      </c>
      <c r="I39" s="15" t="s">
        <v>41</v>
      </c>
      <c r="J39" s="15" t="s">
        <v>110</v>
      </c>
      <c r="K39" s="15" t="s">
        <v>33</v>
      </c>
      <c r="L39" s="16" t="s">
        <v>29</v>
      </c>
      <c r="M39" s="15" t="s">
        <v>89</v>
      </c>
      <c r="N39" s="15" t="s">
        <v>29</v>
      </c>
      <c r="O39" s="15" t="s">
        <v>90</v>
      </c>
      <c r="P39" s="15" t="s">
        <v>91</v>
      </c>
      <c r="Q39" s="13">
        <f t="shared" si="8"/>
      </c>
      <c r="R39" s="13">
        <f>HYPERLINK("https://my.pitchbook.com?c=229080-79T","View Company Online")</f>
      </c>
    </row>
    <row r="40">
      <c r="A40" s="10" t="s">
        <v>154</v>
      </c>
      <c r="B40" s="10" t="s">
        <v>86</v>
      </c>
      <c r="C40" s="9">
        <v>41976</v>
      </c>
      <c r="D40" s="10" t="s">
        <v>127</v>
      </c>
      <c r="E40" s="10" t="s">
        <v>128</v>
      </c>
      <c r="F40" s="12">
        <v>750</v>
      </c>
      <c r="G40" s="12" t="s">
        <v>29</v>
      </c>
      <c r="H40" s="10" t="s">
        <v>155</v>
      </c>
      <c r="I40" s="10" t="s">
        <v>41</v>
      </c>
      <c r="J40" s="10" t="s">
        <v>110</v>
      </c>
      <c r="K40" s="10" t="s">
        <v>33</v>
      </c>
      <c r="L40" s="11" t="s">
        <v>29</v>
      </c>
      <c r="M40" s="10" t="s">
        <v>89</v>
      </c>
      <c r="N40" s="10" t="s">
        <v>29</v>
      </c>
      <c r="O40" s="10" t="s">
        <v>90</v>
      </c>
      <c r="P40" s="10" t="s">
        <v>91</v>
      </c>
      <c r="Q40" s="14">
        <f t="shared" si="8"/>
      </c>
      <c r="R40" s="14">
        <f>HYPERLINK("https://my.pitchbook.com?c=229082-41T","View Company Online")</f>
      </c>
    </row>
    <row r="41">
      <c r="A41" s="15" t="s">
        <v>156</v>
      </c>
      <c r="B41" s="15" t="s">
        <v>27</v>
      </c>
      <c r="C41" s="18">
        <v>36712</v>
      </c>
      <c r="D41" s="15" t="s">
        <v>112</v>
      </c>
      <c r="E41" s="15" t="s">
        <v>113</v>
      </c>
      <c r="F41" s="17">
        <v>700</v>
      </c>
      <c r="G41" s="17" t="s">
        <v>29</v>
      </c>
      <c r="H41" s="15" t="s">
        <v>157</v>
      </c>
      <c r="I41" s="15" t="s">
        <v>41</v>
      </c>
      <c r="J41" s="15" t="s">
        <v>110</v>
      </c>
      <c r="K41" s="15" t="s">
        <v>33</v>
      </c>
      <c r="L41" s="16" t="s">
        <v>29</v>
      </c>
      <c r="M41" s="15" t="s">
        <v>34</v>
      </c>
      <c r="N41" s="15" t="s">
        <v>35</v>
      </c>
      <c r="O41" s="15" t="s">
        <v>36</v>
      </c>
      <c r="P41" s="15" t="s">
        <v>37</v>
      </c>
      <c r="Q41" s="13">
        <f>HYPERLINK("http://www.allergan.com","www.allergan.com")</f>
      </c>
      <c r="R41" s="13">
        <f>HYPERLINK("https://my.pitchbook.com?c=229361-77T","View Company Online")</f>
      </c>
    </row>
    <row r="42">
      <c r="A42" s="10" t="s">
        <v>158</v>
      </c>
      <c r="B42" s="10" t="s">
        <v>58</v>
      </c>
      <c r="C42" s="9">
        <v>41340</v>
      </c>
      <c r="D42" s="10" t="s">
        <v>131</v>
      </c>
      <c r="E42" s="10" t="s">
        <v>29</v>
      </c>
      <c r="F42" s="12">
        <v>600</v>
      </c>
      <c r="G42" s="12" t="s">
        <v>29</v>
      </c>
      <c r="H42" s="10" t="s">
        <v>159</v>
      </c>
      <c r="I42" s="10" t="s">
        <v>41</v>
      </c>
      <c r="J42" s="10" t="s">
        <v>42</v>
      </c>
      <c r="K42" s="10" t="s">
        <v>51</v>
      </c>
      <c r="L42" s="11" t="s">
        <v>29</v>
      </c>
      <c r="M42" s="10" t="s">
        <v>34</v>
      </c>
      <c r="N42" s="10" t="s">
        <v>44</v>
      </c>
      <c r="O42" s="10" t="s">
        <v>61</v>
      </c>
      <c r="P42" s="10" t="s">
        <v>62</v>
      </c>
      <c r="Q42" s="10" t="s">
        <v>29</v>
      </c>
      <c r="R42" s="14">
        <f>HYPERLINK("https://my.pitchbook.com?c=230313-52T","View Company Online")</f>
      </c>
    </row>
    <row r="43">
      <c r="A43" s="15" t="s">
        <v>160</v>
      </c>
      <c r="B43" s="15" t="s">
        <v>86</v>
      </c>
      <c r="C43" s="18">
        <v>40711</v>
      </c>
      <c r="D43" s="15" t="s">
        <v>127</v>
      </c>
      <c r="E43" s="15" t="s">
        <v>128</v>
      </c>
      <c r="F43" s="17">
        <v>500</v>
      </c>
      <c r="G43" s="17" t="s">
        <v>29</v>
      </c>
      <c r="H43" s="15" t="s">
        <v>161</v>
      </c>
      <c r="I43" s="15" t="s">
        <v>41</v>
      </c>
      <c r="J43" s="15" t="s">
        <v>110</v>
      </c>
      <c r="K43" s="15" t="s">
        <v>33</v>
      </c>
      <c r="L43" s="16" t="s">
        <v>29</v>
      </c>
      <c r="M43" s="15" t="s">
        <v>89</v>
      </c>
      <c r="N43" s="15" t="s">
        <v>29</v>
      </c>
      <c r="O43" s="15" t="s">
        <v>90</v>
      </c>
      <c r="P43" s="15" t="s">
        <v>91</v>
      </c>
      <c r="Q43" s="13">
        <f>HYPERLINK("http://www.aetna.com","www.aetna.com")</f>
      </c>
      <c r="R43" s="13">
        <f>HYPERLINK("https://my.pitchbook.com?c=229079-08T","View Company Online")</f>
      </c>
    </row>
    <row r="44">
      <c r="A44" s="10" t="s">
        <v>162</v>
      </c>
      <c r="B44" s="10" t="s">
        <v>48</v>
      </c>
      <c r="C44" s="9">
        <v>42948</v>
      </c>
      <c r="D44" s="10" t="s">
        <v>127</v>
      </c>
      <c r="E44" s="10" t="s">
        <v>128</v>
      </c>
      <c r="F44" s="12">
        <v>500</v>
      </c>
      <c r="G44" s="12" t="s">
        <v>29</v>
      </c>
      <c r="H44" s="10" t="s">
        <v>163</v>
      </c>
      <c r="I44" s="10" t="s">
        <v>41</v>
      </c>
      <c r="J44" s="10" t="s">
        <v>119</v>
      </c>
      <c r="K44" s="10" t="s">
        <v>51</v>
      </c>
      <c r="L44" s="11" t="s">
        <v>29</v>
      </c>
      <c r="M44" s="10" t="s">
        <v>53</v>
      </c>
      <c r="N44" s="10" t="s">
        <v>54</v>
      </c>
      <c r="O44" s="10" t="s">
        <v>55</v>
      </c>
      <c r="P44" s="10" t="s">
        <v>56</v>
      </c>
      <c r="Q44" s="14">
        <f t="shared" si="5" ref="Q44:Q45">HYPERLINK("http://www.celgene.com","www.celgene.com")</f>
      </c>
      <c r="R44" s="14">
        <f>HYPERLINK("https://my.pitchbook.com?c=230066-56T","View Company Online")</f>
      </c>
    </row>
    <row r="45">
      <c r="A45" s="15" t="s">
        <v>164</v>
      </c>
      <c r="B45" s="15" t="s">
        <v>48</v>
      </c>
      <c r="C45" s="18">
        <v>31986</v>
      </c>
      <c r="D45" s="15" t="s">
        <v>165</v>
      </c>
      <c r="E45" s="15" t="s">
        <v>29</v>
      </c>
      <c r="F45" s="17">
        <v>12.65</v>
      </c>
      <c r="G45" s="17" t="s">
        <v>29</v>
      </c>
      <c r="H45" s="15" t="s">
        <v>166</v>
      </c>
      <c r="I45" s="15" t="s">
        <v>41</v>
      </c>
      <c r="J45" s="15" t="s">
        <v>50</v>
      </c>
      <c r="K45" s="15" t="s">
        <v>33</v>
      </c>
      <c r="L45" s="16" t="s">
        <v>167</v>
      </c>
      <c r="M45" s="15" t="s">
        <v>53</v>
      </c>
      <c r="N45" s="15" t="s">
        <v>54</v>
      </c>
      <c r="O45" s="15" t="s">
        <v>55</v>
      </c>
      <c r="P45" s="15" t="s">
        <v>56</v>
      </c>
      <c r="Q45" s="13">
        <f t="shared" si="5"/>
      </c>
      <c r="R45" s="13">
        <f>HYPERLINK("https://my.pitchbook.com?c=22790-35T","View Company Online")</f>
      </c>
    </row>
    <row r="46">
      <c r="A46" s="10" t="s">
        <v>168</v>
      </c>
      <c r="B46" s="10" t="s">
        <v>86</v>
      </c>
      <c r="C46" s="9">
        <v>28503</v>
      </c>
      <c r="D46" s="10" t="s">
        <v>165</v>
      </c>
      <c r="E46" s="10" t="s">
        <v>29</v>
      </c>
      <c r="F46" s="12" t="s">
        <v>29</v>
      </c>
      <c r="G46" s="12" t="s">
        <v>29</v>
      </c>
      <c r="H46" s="10" t="s">
        <v>169</v>
      </c>
      <c r="I46" s="10" t="s">
        <v>41</v>
      </c>
      <c r="J46" s="10" t="s">
        <v>110</v>
      </c>
      <c r="K46" s="10" t="s">
        <v>33</v>
      </c>
      <c r="L46" s="11" t="s">
        <v>29</v>
      </c>
      <c r="M46" s="10" t="s">
        <v>89</v>
      </c>
      <c r="N46" s="10" t="s">
        <v>29</v>
      </c>
      <c r="O46" s="10" t="s">
        <v>90</v>
      </c>
      <c r="P46" s="10" t="s">
        <v>91</v>
      </c>
      <c r="Q46" s="14">
        <f>HYPERLINK("http://www.aetna.com","www.aetna.com")</f>
      </c>
      <c r="R46" s="14">
        <f>HYPERLINK("https://my.pitchbook.com?c=52150-96T","View Company Online")</f>
      </c>
    </row>
    <row r="47">
      <c r="A47" s="15" t="s">
        <v>170</v>
      </c>
      <c r="B47" s="15" t="s">
        <v>27</v>
      </c>
      <c r="C47" s="18">
        <v>34017</v>
      </c>
      <c r="D47" s="15" t="s">
        <v>165</v>
      </c>
      <c r="E47" s="15" t="s">
        <v>29</v>
      </c>
      <c r="F47" s="17" t="s">
        <v>29</v>
      </c>
      <c r="G47" s="17" t="s">
        <v>29</v>
      </c>
      <c r="H47" s="15" t="s">
        <v>171</v>
      </c>
      <c r="I47" s="15" t="s">
        <v>41</v>
      </c>
      <c r="J47" s="15" t="s">
        <v>110</v>
      </c>
      <c r="K47" s="15" t="s">
        <v>33</v>
      </c>
      <c r="L47" s="16" t="s">
        <v>29</v>
      </c>
      <c r="M47" s="15" t="s">
        <v>34</v>
      </c>
      <c r="N47" s="15" t="s">
        <v>35</v>
      </c>
      <c r="O47" s="15" t="s">
        <v>36</v>
      </c>
      <c r="P47" s="15" t="s">
        <v>37</v>
      </c>
      <c r="Q47" s="13">
        <f t="shared" si="1" ref="Q47:Q51">HYPERLINK("http://www.allergan.com","www.allergan.com")</f>
      </c>
      <c r="R47" s="13">
        <f>HYPERLINK("https://my.pitchbook.com?c=73601-20T","View Company Online")</f>
      </c>
    </row>
    <row r="48">
      <c r="A48" s="10" t="s">
        <v>172</v>
      </c>
      <c r="B48" s="10" t="s">
        <v>27</v>
      </c>
      <c r="C48" s="9">
        <v>42614</v>
      </c>
      <c r="D48" s="10" t="s">
        <v>148</v>
      </c>
      <c r="E48" s="10" t="s">
        <v>29</v>
      </c>
      <c r="F48" s="12" t="s">
        <v>29</v>
      </c>
      <c r="G48" s="12" t="s">
        <v>29</v>
      </c>
      <c r="H48" s="10" t="s">
        <v>173</v>
      </c>
      <c r="I48" s="10" t="s">
        <v>41</v>
      </c>
      <c r="J48" s="10" t="s">
        <v>110</v>
      </c>
      <c r="K48" s="10" t="s">
        <v>33</v>
      </c>
      <c r="L48" s="11" t="s">
        <v>29</v>
      </c>
      <c r="M48" s="10" t="s">
        <v>34</v>
      </c>
      <c r="N48" s="10" t="s">
        <v>35</v>
      </c>
      <c r="O48" s="10" t="s">
        <v>36</v>
      </c>
      <c r="P48" s="10" t="s">
        <v>37</v>
      </c>
      <c r="Q48" s="14">
        <f t="shared" si="1"/>
      </c>
      <c r="R48" s="14">
        <f>HYPERLINK("https://my.pitchbook.com?c=87812-92T","View Company Online")</f>
      </c>
    </row>
    <row r="49">
      <c r="A49" s="15" t="s">
        <v>174</v>
      </c>
      <c r="B49" s="15" t="s">
        <v>27</v>
      </c>
      <c r="C49" s="18">
        <v>42871</v>
      </c>
      <c r="D49" s="15" t="s">
        <v>148</v>
      </c>
      <c r="E49" s="15" t="s">
        <v>29</v>
      </c>
      <c r="F49" s="17" t="s">
        <v>29</v>
      </c>
      <c r="G49" s="17" t="s">
        <v>29</v>
      </c>
      <c r="H49" s="15" t="s">
        <v>175</v>
      </c>
      <c r="I49" s="15" t="s">
        <v>41</v>
      </c>
      <c r="J49" s="15" t="s">
        <v>110</v>
      </c>
      <c r="K49" s="15" t="s">
        <v>33</v>
      </c>
      <c r="L49" s="16" t="s">
        <v>29</v>
      </c>
      <c r="M49" s="15" t="s">
        <v>34</v>
      </c>
      <c r="N49" s="15" t="s">
        <v>35</v>
      </c>
      <c r="O49" s="15" t="s">
        <v>36</v>
      </c>
      <c r="P49" s="15" t="s">
        <v>37</v>
      </c>
      <c r="Q49" s="13">
        <f t="shared" si="1"/>
      </c>
      <c r="R49" s="13">
        <f>HYPERLINK("https://my.pitchbook.com?c=87813-19T","View Company Online")</f>
      </c>
    </row>
    <row r="50">
      <c r="A50" s="10" t="s">
        <v>176</v>
      </c>
      <c r="B50" s="10" t="s">
        <v>27</v>
      </c>
      <c r="C50" s="9">
        <v>43258</v>
      </c>
      <c r="D50" s="10" t="s">
        <v>148</v>
      </c>
      <c r="E50" s="10" t="s">
        <v>29</v>
      </c>
      <c r="F50" s="12" t="s">
        <v>29</v>
      </c>
      <c r="G50" s="12" t="s">
        <v>29</v>
      </c>
      <c r="H50" s="10" t="s">
        <v>177</v>
      </c>
      <c r="I50" s="10" t="s">
        <v>41</v>
      </c>
      <c r="J50" s="10" t="s">
        <v>110</v>
      </c>
      <c r="K50" s="10" t="s">
        <v>33</v>
      </c>
      <c r="L50" s="11" t="s">
        <v>178</v>
      </c>
      <c r="M50" s="10" t="s">
        <v>34</v>
      </c>
      <c r="N50" s="10" t="s">
        <v>35</v>
      </c>
      <c r="O50" s="10" t="s">
        <v>36</v>
      </c>
      <c r="P50" s="10" t="s">
        <v>37</v>
      </c>
      <c r="Q50" s="14">
        <f t="shared" si="1"/>
      </c>
      <c r="R50" s="14">
        <f>HYPERLINK("https://my.pitchbook.com?c=107052-22T","View Company Online")</f>
      </c>
    </row>
    <row r="51">
      <c r="A51" s="15" t="s">
        <v>179</v>
      </c>
      <c r="B51" s="15" t="s">
        <v>27</v>
      </c>
      <c r="C51" s="18">
        <v>39539</v>
      </c>
      <c r="D51" s="15" t="s">
        <v>112</v>
      </c>
      <c r="E51" s="15" t="s">
        <v>113</v>
      </c>
      <c r="F51" s="17" t="s">
        <v>29</v>
      </c>
      <c r="G51" s="17" t="s">
        <v>29</v>
      </c>
      <c r="H51" s="15" t="s">
        <v>180</v>
      </c>
      <c r="I51" s="15" t="s">
        <v>41</v>
      </c>
      <c r="J51" s="15" t="s">
        <v>110</v>
      </c>
      <c r="K51" s="15" t="s">
        <v>33</v>
      </c>
      <c r="L51" s="16" t="s">
        <v>29</v>
      </c>
      <c r="M51" s="15" t="s">
        <v>34</v>
      </c>
      <c r="N51" s="15" t="s">
        <v>35</v>
      </c>
      <c r="O51" s="15" t="s">
        <v>36</v>
      </c>
      <c r="P51" s="15" t="s">
        <v>37</v>
      </c>
      <c r="Q51" s="13">
        <f t="shared" si="1"/>
      </c>
      <c r="R51" s="13">
        <f>HYPERLINK("https://my.pitchbook.com?c=229363-66T","View Company Online")</f>
      </c>
    </row>
    <row r="52">
      <c r="A52" s="10" t="s">
        <v>181</v>
      </c>
      <c r="B52" s="10" t="s">
        <v>58</v>
      </c>
      <c r="C52" s="9" t="s">
        <v>29</v>
      </c>
      <c r="D52" s="10" t="s">
        <v>145</v>
      </c>
      <c r="E52" s="10" t="s">
        <v>29</v>
      </c>
      <c r="F52" s="12" t="s">
        <v>29</v>
      </c>
      <c r="G52" s="12" t="s">
        <v>29</v>
      </c>
      <c r="H52" s="10" t="s">
        <v>182</v>
      </c>
      <c r="I52" s="10" t="s">
        <v>41</v>
      </c>
      <c r="J52" s="10" t="s">
        <v>42</v>
      </c>
      <c r="K52" s="10" t="s">
        <v>51</v>
      </c>
      <c r="L52" s="11" t="s">
        <v>183</v>
      </c>
      <c r="M52" s="10" t="s">
        <v>34</v>
      </c>
      <c r="N52" s="10" t="s">
        <v>44</v>
      </c>
      <c r="O52" s="10" t="s">
        <v>61</v>
      </c>
      <c r="P52" s="10" t="s">
        <v>62</v>
      </c>
      <c r="Q52" s="10" t="s">
        <v>29</v>
      </c>
      <c r="R52" s="14">
        <f>HYPERLINK("https://my.pitchbook.com?c=34373-53T","View Company Online")</f>
      </c>
    </row>
    <row r="53">
      <c r="A53" s="15" t="s">
        <v>184</v>
      </c>
      <c r="B53" s="15" t="s">
        <v>58</v>
      </c>
      <c r="C53" s="18" t="s">
        <v>29</v>
      </c>
      <c r="D53" s="15" t="s">
        <v>145</v>
      </c>
      <c r="E53" s="15" t="s">
        <v>29</v>
      </c>
      <c r="F53" s="17" t="s">
        <v>29</v>
      </c>
      <c r="G53" s="17" t="s">
        <v>29</v>
      </c>
      <c r="H53" s="15" t="s">
        <v>185</v>
      </c>
      <c r="I53" s="15" t="s">
        <v>41</v>
      </c>
      <c r="J53" s="15" t="s">
        <v>42</v>
      </c>
      <c r="K53" s="15" t="s">
        <v>51</v>
      </c>
      <c r="L53" s="16" t="s">
        <v>186</v>
      </c>
      <c r="M53" s="15" t="s">
        <v>34</v>
      </c>
      <c r="N53" s="15" t="s">
        <v>44</v>
      </c>
      <c r="O53" s="15" t="s">
        <v>61</v>
      </c>
      <c r="P53" s="15" t="s">
        <v>62</v>
      </c>
      <c r="Q53" s="15" t="s">
        <v>29</v>
      </c>
      <c r="R53" s="13">
        <f>HYPERLINK("https://my.pitchbook.com?c=37977-31T","View Company Online")</f>
      </c>
    </row>
    <row r="54">
      <c r="A54" s="10" t="s">
        <v>187</v>
      </c>
      <c r="B54" s="10" t="s">
        <v>58</v>
      </c>
      <c r="C54" s="9">
        <v>41963</v>
      </c>
      <c r="D54" s="10" t="s">
        <v>148</v>
      </c>
      <c r="E54" s="10" t="s">
        <v>29</v>
      </c>
      <c r="F54" s="12" t="s">
        <v>29</v>
      </c>
      <c r="G54" s="12" t="s">
        <v>29</v>
      </c>
      <c r="H54" s="10" t="s">
        <v>188</v>
      </c>
      <c r="I54" s="10" t="s">
        <v>41</v>
      </c>
      <c r="J54" s="10" t="s">
        <v>42</v>
      </c>
      <c r="K54" s="10" t="s">
        <v>51</v>
      </c>
      <c r="L54" s="11" t="s">
        <v>189</v>
      </c>
      <c r="M54" s="10" t="s">
        <v>34</v>
      </c>
      <c r="N54" s="10" t="s">
        <v>44</v>
      </c>
      <c r="O54" s="10" t="s">
        <v>61</v>
      </c>
      <c r="P54" s="10" t="s">
        <v>62</v>
      </c>
      <c r="Q54" s="10" t="s">
        <v>29</v>
      </c>
      <c r="R54" s="14">
        <f>HYPERLINK("https://my.pitchbook.com?c=40079-08T","View Company Online")</f>
      </c>
    </row>
    <row r="55">
      <c r="A55" s="15" t="s">
        <v>190</v>
      </c>
      <c r="B55" s="15" t="s">
        <v>58</v>
      </c>
      <c r="C55" s="18" t="s">
        <v>29</v>
      </c>
      <c r="D55" s="15" t="s">
        <v>148</v>
      </c>
      <c r="E55" s="15" t="s">
        <v>29</v>
      </c>
      <c r="F55" s="17" t="s">
        <v>29</v>
      </c>
      <c r="G55" s="17" t="s">
        <v>29</v>
      </c>
      <c r="H55" s="15" t="s">
        <v>191</v>
      </c>
      <c r="I55" s="15" t="s">
        <v>41</v>
      </c>
      <c r="J55" s="15" t="s">
        <v>42</v>
      </c>
      <c r="K55" s="15" t="s">
        <v>51</v>
      </c>
      <c r="L55" s="16" t="s">
        <v>29</v>
      </c>
      <c r="M55" s="15" t="s">
        <v>34</v>
      </c>
      <c r="N55" s="15" t="s">
        <v>44</v>
      </c>
      <c r="O55" s="15" t="s">
        <v>61</v>
      </c>
      <c r="P55" s="15" t="s">
        <v>62</v>
      </c>
      <c r="Q55" s="15" t="s">
        <v>29</v>
      </c>
      <c r="R55" s="13">
        <f>HYPERLINK("https://my.pitchbook.com?c=40079-71T","View Company Online")</f>
      </c>
    </row>
    <row r="56">
      <c r="A56" s="10" t="s">
        <v>192</v>
      </c>
      <c r="B56" s="10" t="s">
        <v>58</v>
      </c>
      <c r="C56" s="9">
        <v>34017</v>
      </c>
      <c r="D56" s="10" t="s">
        <v>165</v>
      </c>
      <c r="E56" s="10" t="s">
        <v>29</v>
      </c>
      <c r="F56" s="12" t="s">
        <v>29</v>
      </c>
      <c r="G56" s="12" t="s">
        <v>29</v>
      </c>
      <c r="H56" s="10" t="s">
        <v>193</v>
      </c>
      <c r="I56" s="10" t="s">
        <v>41</v>
      </c>
      <c r="J56" s="10" t="s">
        <v>42</v>
      </c>
      <c r="K56" s="10" t="s">
        <v>51</v>
      </c>
      <c r="L56" s="11" t="s">
        <v>29</v>
      </c>
      <c r="M56" s="10" t="s">
        <v>34</v>
      </c>
      <c r="N56" s="10" t="s">
        <v>44</v>
      </c>
      <c r="O56" s="10" t="s">
        <v>61</v>
      </c>
      <c r="P56" s="10" t="s">
        <v>62</v>
      </c>
      <c r="Q56" s="10" t="s">
        <v>29</v>
      </c>
      <c r="R56" s="14">
        <f>HYPERLINK("https://my.pitchbook.com?c=282260-44T","View Company Online")</f>
      </c>
    </row>
    <row r="57">
      <c r="A57" s="15" t="s">
        <v>194</v>
      </c>
      <c r="B57" s="15" t="s">
        <v>76</v>
      </c>
      <c r="C57" s="18">
        <v>37987</v>
      </c>
      <c r="D57" s="15" t="s">
        <v>195</v>
      </c>
      <c r="E57" s="15" t="s">
        <v>29</v>
      </c>
      <c r="F57" s="17" t="s">
        <v>29</v>
      </c>
      <c r="G57" s="17" t="s">
        <v>29</v>
      </c>
      <c r="H57" s="15" t="s">
        <v>196</v>
      </c>
      <c r="I57" s="15" t="s">
        <v>41</v>
      </c>
      <c r="J57" s="15" t="s">
        <v>197</v>
      </c>
      <c r="K57" s="15" t="s">
        <v>51</v>
      </c>
      <c r="L57" s="16" t="s">
        <v>198</v>
      </c>
      <c r="M57" s="15" t="s">
        <v>34</v>
      </c>
      <c r="N57" s="15" t="s">
        <v>29</v>
      </c>
      <c r="O57" s="15" t="s">
        <v>80</v>
      </c>
      <c r="P57" s="15" t="s">
        <v>81</v>
      </c>
      <c r="Q57" s="13">
        <f>HYPERLINK("http://www.aventis.com","www.aventis.com")</f>
      </c>
      <c r="R57" s="13">
        <f>HYPERLINK("https://my.pitchbook.com?c=16202-17T","View Company Online")</f>
      </c>
    </row>
    <row r="58">
      <c r="A58" s="10" t="s">
        <v>199</v>
      </c>
      <c r="B58" s="10" t="s">
        <v>48</v>
      </c>
      <c r="C58" s="9">
        <v>31413</v>
      </c>
      <c r="D58" s="10" t="s">
        <v>200</v>
      </c>
      <c r="E58" s="10" t="s">
        <v>29</v>
      </c>
      <c r="F58" s="12" t="s">
        <v>29</v>
      </c>
      <c r="G58" s="12" t="s">
        <v>29</v>
      </c>
      <c r="H58" s="10" t="s">
        <v>201</v>
      </c>
      <c r="I58" s="10" t="s">
        <v>41</v>
      </c>
      <c r="J58" s="10" t="s">
        <v>119</v>
      </c>
      <c r="K58" s="10" t="s">
        <v>33</v>
      </c>
      <c r="L58" s="11" t="s">
        <v>202</v>
      </c>
      <c r="M58" s="10" t="s">
        <v>53</v>
      </c>
      <c r="N58" s="10" t="s">
        <v>54</v>
      </c>
      <c r="O58" s="10" t="s">
        <v>55</v>
      </c>
      <c r="P58" s="10" t="s">
        <v>56</v>
      </c>
      <c r="Q58" s="14">
        <f t="shared" si="6" ref="Q58:Q59">HYPERLINK("http://www.celgene.com","www.celgene.com")</f>
      </c>
      <c r="R58" s="14">
        <f>HYPERLINK("https://my.pitchbook.com?c=29512-18T","View Company Online")</f>
      </c>
    </row>
    <row r="59">
      <c r="A59" s="15" t="s">
        <v>203</v>
      </c>
      <c r="B59" s="15" t="s">
        <v>48</v>
      </c>
      <c r="C59" s="18" t="s">
        <v>29</v>
      </c>
      <c r="D59" s="15" t="s">
        <v>145</v>
      </c>
      <c r="E59" s="15" t="s">
        <v>29</v>
      </c>
      <c r="F59" s="17" t="s">
        <v>29</v>
      </c>
      <c r="G59" s="17" t="s">
        <v>29</v>
      </c>
      <c r="H59" s="15" t="s">
        <v>204</v>
      </c>
      <c r="I59" s="15" t="s">
        <v>41</v>
      </c>
      <c r="J59" s="15" t="s">
        <v>50</v>
      </c>
      <c r="K59" s="15" t="s">
        <v>51</v>
      </c>
      <c r="L59" s="16" t="s">
        <v>205</v>
      </c>
      <c r="M59" s="15" t="s">
        <v>53</v>
      </c>
      <c r="N59" s="15" t="s">
        <v>54</v>
      </c>
      <c r="O59" s="15" t="s">
        <v>55</v>
      </c>
      <c r="P59" s="15" t="s">
        <v>56</v>
      </c>
      <c r="Q59" s="13">
        <f t="shared" si="6"/>
      </c>
      <c r="R59" s="13">
        <f>HYPERLINK("https://my.pitchbook.com?c=82540-72T","View Company Online")</f>
      </c>
    </row>
    <row r="60">
      <c r="A60" s="10" t="s">
        <v>206</v>
      </c>
      <c r="B60" s="10" t="s">
        <v>93</v>
      </c>
      <c r="C60" s="9">
        <v>29951</v>
      </c>
      <c r="D60" s="10" t="s">
        <v>165</v>
      </c>
      <c r="E60" s="10" t="s">
        <v>29</v>
      </c>
      <c r="F60" s="12" t="s">
        <v>29</v>
      </c>
      <c r="G60" s="12" t="s">
        <v>29</v>
      </c>
      <c r="H60" s="10" t="s">
        <v>207</v>
      </c>
      <c r="I60" s="10" t="s">
        <v>41</v>
      </c>
      <c r="J60" s="10" t="s">
        <v>110</v>
      </c>
      <c r="K60" s="10" t="s">
        <v>33</v>
      </c>
      <c r="L60" s="11" t="s">
        <v>208</v>
      </c>
      <c r="M60" s="10" t="s">
        <v>34</v>
      </c>
      <c r="N60" s="10" t="s">
        <v>35</v>
      </c>
      <c r="O60" s="10" t="s">
        <v>96</v>
      </c>
      <c r="P60" s="10" t="s">
        <v>97</v>
      </c>
      <c r="Q60" s="14">
        <f>HYPERLINK("http://www.pharmacia.com","www.pharmacia.com")</f>
      </c>
      <c r="R60" s="14">
        <f>HYPERLINK("https://my.pitchbook.com?c=91941-13T","View Company Online")</f>
      </c>
    </row>
    <row r="61">
      <c r="A61" s="15" t="s">
        <v>209</v>
      </c>
      <c r="B61" s="15" t="s">
        <v>99</v>
      </c>
      <c r="C61" s="18" t="s">
        <v>29</v>
      </c>
      <c r="D61" s="15" t="s">
        <v>200</v>
      </c>
      <c r="E61" s="15" t="s">
        <v>29</v>
      </c>
      <c r="F61" s="17" t="s">
        <v>29</v>
      </c>
      <c r="G61" s="17" t="s">
        <v>29</v>
      </c>
      <c r="H61" s="15" t="s">
        <v>210</v>
      </c>
      <c r="I61" s="15" t="s">
        <v>41</v>
      </c>
      <c r="J61" s="15" t="s">
        <v>119</v>
      </c>
      <c r="K61" s="15" t="s">
        <v>33</v>
      </c>
      <c r="L61" s="16" t="s">
        <v>211</v>
      </c>
      <c r="M61" s="15" t="s">
        <v>34</v>
      </c>
      <c r="N61" s="15" t="s">
        <v>44</v>
      </c>
      <c r="O61" s="15" t="s">
        <v>102</v>
      </c>
      <c r="P61" s="15" t="s">
        <v>37</v>
      </c>
      <c r="Q61" s="13">
        <f t="shared" si="10" ref="Q61:Q62">HYPERLINK("http://www.shire.com","www.shire.com")</f>
      </c>
      <c r="R61" s="13">
        <f>HYPERLINK("https://my.pitchbook.com?c=23731-21T","View Company Online")</f>
      </c>
    </row>
    <row r="62">
      <c r="A62" s="10" t="s">
        <v>212</v>
      </c>
      <c r="B62" s="10" t="s">
        <v>99</v>
      </c>
      <c r="C62" s="9">
        <v>35110</v>
      </c>
      <c r="D62" s="10" t="s">
        <v>165</v>
      </c>
      <c r="E62" s="10" t="s">
        <v>29</v>
      </c>
      <c r="F62" s="12" t="s">
        <v>29</v>
      </c>
      <c r="G62" s="12" t="s">
        <v>29</v>
      </c>
      <c r="H62" s="10" t="s">
        <v>213</v>
      </c>
      <c r="I62" s="10" t="s">
        <v>41</v>
      </c>
      <c r="J62" s="10" t="s">
        <v>50</v>
      </c>
      <c r="K62" s="10" t="s">
        <v>33</v>
      </c>
      <c r="L62" s="11" t="s">
        <v>29</v>
      </c>
      <c r="M62" s="10" t="s">
        <v>34</v>
      </c>
      <c r="N62" s="10" t="s">
        <v>44</v>
      </c>
      <c r="O62" s="10" t="s">
        <v>102</v>
      </c>
      <c r="P62" s="10" t="s">
        <v>37</v>
      </c>
      <c r="Q62" s="14">
        <f t="shared" si="10"/>
      </c>
      <c r="R62" s="14">
        <f>HYPERLINK("https://my.pitchbook.com?c=23734-45T","View Company Online")</f>
      </c>
    </row>
    <row r="63">
      <c r="A63" s="15" t="s">
        <v>214</v>
      </c>
      <c r="B63" s="15" t="s">
        <v>70</v>
      </c>
      <c r="C63" s="18" t="s">
        <v>29</v>
      </c>
      <c r="D63" s="15" t="s">
        <v>200</v>
      </c>
      <c r="E63" s="15" t="s">
        <v>29</v>
      </c>
      <c r="F63" s="17" t="s">
        <v>29</v>
      </c>
      <c r="G63" s="17" t="s">
        <v>29</v>
      </c>
      <c r="H63" s="15" t="s">
        <v>215</v>
      </c>
      <c r="I63" s="15" t="s">
        <v>41</v>
      </c>
      <c r="J63" s="15" t="s">
        <v>119</v>
      </c>
      <c r="K63" s="15" t="s">
        <v>51</v>
      </c>
      <c r="L63" s="16" t="s">
        <v>216</v>
      </c>
      <c r="M63" s="15" t="s">
        <v>34</v>
      </c>
      <c r="N63" s="15" t="s">
        <v>35</v>
      </c>
      <c r="O63" s="15" t="s">
        <v>73</v>
      </c>
      <c r="P63" s="15" t="s">
        <v>74</v>
      </c>
      <c r="Q63" s="13">
        <f t="shared" si="7" ref="Q63:Q64">HYPERLINK("http://www.wyeth.com","www.wyeth.com")</f>
      </c>
      <c r="R63" s="13">
        <f>HYPERLINK("https://my.pitchbook.com?c=49316-05T","View Company Online")</f>
      </c>
    </row>
    <row r="64">
      <c r="A64" s="10" t="s">
        <v>217</v>
      </c>
      <c r="B64" s="10" t="s">
        <v>70</v>
      </c>
      <c r="C64" s="9">
        <v>26451</v>
      </c>
      <c r="D64" s="10" t="s">
        <v>165</v>
      </c>
      <c r="E64" s="10" t="s">
        <v>29</v>
      </c>
      <c r="F64" s="12" t="s">
        <v>29</v>
      </c>
      <c r="G64" s="12" t="s">
        <v>29</v>
      </c>
      <c r="H64" s="10" t="s">
        <v>218</v>
      </c>
      <c r="I64" s="10" t="s">
        <v>41</v>
      </c>
      <c r="J64" s="10" t="s">
        <v>50</v>
      </c>
      <c r="K64" s="10" t="s">
        <v>51</v>
      </c>
      <c r="L64" s="11" t="s">
        <v>29</v>
      </c>
      <c r="M64" s="10" t="s">
        <v>34</v>
      </c>
      <c r="N64" s="10" t="s">
        <v>35</v>
      </c>
      <c r="O64" s="10" t="s">
        <v>73</v>
      </c>
      <c r="P64" s="10" t="s">
        <v>74</v>
      </c>
      <c r="Q64" s="14">
        <f t="shared" si="7"/>
      </c>
      <c r="R64" s="14">
        <f>HYPERLINK("https://my.pitchbook.com?c=49316-14T","View Company Online")</f>
      </c>
    </row>
    <row r="66">
      <c r="A66" s="19" t="s">
        <v>219</v>
      </c>
    </row>
  </sheetData>
  <mergeCells count="1">
    <mergeCell ref="B6:D6"/>
  </mergeCells>
  <hyperlinks>
    <hyperlink ref="B5" r:id="rId1" display="https://my.pitchbook.com/?pcc=1199899-3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dr="http://schemas.openxmlformats.org/drawingml/2006/spreadsheetDrawing" xmlns:a14="http://schemas.microsoft.com/office/drawing/2010/main" xmlns:x14="http://schemas.microsoft.com/office/spreadsheetml/2009/9/main" mc:Ignorable="x14ac">
  <dimension ref="A1:E15"/>
  <sheetViews>
    <sheetView showGridLines="0" workbookViewId="0">
      <selection sqref="A1"/>
    </sheetView>
  </sheetViews>
  <sheetFormatPr defaultRowHeight="15"/>
  <cols>
    <col min="1" max="1" width="10.5703125" customWidth="1"/>
    <col min="2" max="2" width="49.140625" customWidth="1"/>
    <col min="3" max="3" width="27.7109375" customWidth="1"/>
    <col min="4" max="4" width="4.5703125" customWidth="1"/>
    <col min="5" max="5" width="22.140625" customWidth="1"/>
  </cols>
  <sheetData>
    <row r="1">
      <c r="A1" s="20" t="s">
        <v>220</v>
      </c>
    </row>
    <row r="3">
      <c r="A3" s="21" t="s">
        <v>221</v>
      </c>
    </row>
    <row r="4">
      <c r="A4" s="23" t="s">
        <v>222</v>
      </c>
    </row>
    <row r="6">
      <c r="A6" s="21" t="s">
        <v>223</v>
      </c>
      <c r="C6" s="23" t="s">
        <v>224</v>
      </c>
      <c r="E6" s="21" t="s">
        <v>225</v>
      </c>
    </row>
    <row r="8">
      <c r="A8" s="21" t="s">
        <v>226</v>
      </c>
    </row>
    <row r="9">
      <c r="A9" s="24" t="s">
        <v>227</v>
      </c>
      <c r="B9" s="21" t="s">
        <v>228</v>
      </c>
    </row>
    <row r="10">
      <c r="A10" s="24" t="s">
        <v>229</v>
      </c>
      <c r="B10" s="21" t="s">
        <v>230</v>
      </c>
    </row>
    <row r="11">
      <c r="A11" s="24" t="s">
        <v>231</v>
      </c>
      <c r="B11" s="21" t="s">
        <v>232</v>
      </c>
    </row>
    <row r="13">
      <c r="A13" s="21" t="s">
        <v>233</v>
      </c>
      <c r="B13" s="23" t="s">
        <v>222</v>
      </c>
    </row>
    <row r="15">
      <c r="A15" s="19" t="s">
        <v>219</v>
      </c>
    </row>
  </sheetData>
  <sheetProtection algorithmName="SHA-512" hashValue="rf21wwRn+VmCQ53aUGUcfSj299p5EN1xFO6aGEQM3AQMN1hju4/sXkyWkMKu07/ODmQ4pQU2O7DkbhffvPXe2A==" saltValue="XqyAFqwanfEDMVc0KjXwAg==" spinCount="100000" sheet="1" objects="1" scenarios="1"/>
  <hyperlinks>
    <hyperlink ref="A4" r:id="rId1" display="support@pitchbook.com"/>
    <hyperlink ref="C6" r:id="rId2" display="the PitchBook subscription agreement."/>
    <hyperlink ref="B13" r:id="rId3" display="support@pitchbook.com"/>
  </hyperlinks>
  <pageMargins left="0.7" right="0.7" top="0.75" bottom="0.75" header="0.3" footer="0.3"/>
</worksheet>
</file>