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1" i="1" l="1"/>
  <c r="M64" i="1"/>
  <c r="O65" i="1"/>
  <c r="O66" i="1"/>
  <c r="N65" i="1"/>
  <c r="O64" i="1"/>
  <c r="N64" i="1"/>
  <c r="M66" i="1"/>
  <c r="M65" i="1"/>
  <c r="R59" i="1"/>
  <c r="R60" i="1"/>
  <c r="R61" i="1" s="1"/>
  <c r="S59" i="1"/>
  <c r="T59" i="1"/>
  <c r="T61" i="1"/>
  <c r="S61" i="1"/>
  <c r="T60" i="1"/>
  <c r="S60" i="1"/>
  <c r="M50" i="1"/>
  <c r="O47" i="1"/>
  <c r="O48" i="1" s="1"/>
  <c r="O49" i="1" s="1"/>
  <c r="M47" i="1"/>
  <c r="N47" i="1"/>
  <c r="N48" i="1" s="1"/>
  <c r="C46" i="1"/>
  <c r="H65" i="1"/>
  <c r="E65" i="1"/>
  <c r="I65" i="1" s="1"/>
  <c r="D65" i="1"/>
  <c r="C65" i="1"/>
  <c r="G65" i="1" s="1"/>
  <c r="H64" i="1"/>
  <c r="E64" i="1"/>
  <c r="I64" i="1" s="1"/>
  <c r="D64" i="1"/>
  <c r="C64" i="1"/>
  <c r="G64" i="1" s="1"/>
  <c r="H63" i="1"/>
  <c r="E63" i="1"/>
  <c r="I63" i="1" s="1"/>
  <c r="D63" i="1"/>
  <c r="C63" i="1"/>
  <c r="G63" i="1" s="1"/>
  <c r="I62" i="1"/>
  <c r="H62" i="1"/>
  <c r="G62" i="1"/>
  <c r="G59" i="1"/>
  <c r="E59" i="1"/>
  <c r="D59" i="1"/>
  <c r="H59" i="1" s="1"/>
  <c r="C59" i="1"/>
  <c r="E58" i="1"/>
  <c r="I58" i="1" s="1"/>
  <c r="D58" i="1"/>
  <c r="H58" i="1" s="1"/>
  <c r="C58" i="1"/>
  <c r="E57" i="1"/>
  <c r="D57" i="1"/>
  <c r="H57" i="1" s="1"/>
  <c r="C57" i="1"/>
  <c r="G57" i="1" s="1"/>
  <c r="I56" i="1"/>
  <c r="I57" i="1" s="1"/>
  <c r="H56" i="1"/>
  <c r="G56" i="1"/>
  <c r="G58" i="1" s="1"/>
  <c r="E53" i="1"/>
  <c r="I53" i="1" s="1"/>
  <c r="D53" i="1"/>
  <c r="H53" i="1" s="1"/>
  <c r="C53" i="1"/>
  <c r="G53" i="1" s="1"/>
  <c r="H52" i="1"/>
  <c r="E52" i="1"/>
  <c r="D52" i="1"/>
  <c r="C52" i="1"/>
  <c r="G52" i="1" s="1"/>
  <c r="H51" i="1"/>
  <c r="E51" i="1"/>
  <c r="I51" i="1" s="1"/>
  <c r="D51" i="1"/>
  <c r="C51" i="1"/>
  <c r="G51" i="1" s="1"/>
  <c r="I50" i="1"/>
  <c r="I52" i="1" s="1"/>
  <c r="H50" i="1"/>
  <c r="G50" i="1"/>
  <c r="E48" i="1"/>
  <c r="D48" i="1"/>
  <c r="C48" i="1"/>
  <c r="E47" i="1"/>
  <c r="D47" i="1"/>
  <c r="C47" i="1"/>
  <c r="E46" i="1"/>
  <c r="D46" i="1"/>
  <c r="G8" i="1"/>
  <c r="H8" i="1"/>
  <c r="M48" i="1" l="1"/>
  <c r="I59" i="1"/>
  <c r="H7" i="1"/>
  <c r="G4" i="1"/>
  <c r="G5" i="1"/>
  <c r="G6" i="1"/>
  <c r="G7" i="1"/>
  <c r="G3" i="1"/>
  <c r="F8" i="1"/>
  <c r="F7" i="1"/>
  <c r="M49" i="1" l="1"/>
  <c r="O50" i="1"/>
  <c r="O54" i="1" s="1"/>
  <c r="O55" i="1"/>
  <c r="N50" i="1"/>
  <c r="N54" i="1" s="1"/>
  <c r="O56" i="1"/>
  <c r="Q21" i="1"/>
  <c r="W3" i="1"/>
  <c r="U3" i="1"/>
  <c r="AB3" i="1"/>
  <c r="Q16" i="1"/>
  <c r="Q17" i="1"/>
  <c r="Q18" i="1"/>
  <c r="Q19" i="1"/>
  <c r="Q20" i="1"/>
  <c r="Q22" i="1"/>
  <c r="Q23" i="1"/>
  <c r="Q24" i="1"/>
  <c r="Q25" i="1"/>
  <c r="Q26" i="1"/>
  <c r="Q27" i="1"/>
  <c r="Q28" i="1"/>
  <c r="Q29" i="1"/>
  <c r="Q30" i="1"/>
  <c r="L7" i="1"/>
  <c r="E4" i="1"/>
  <c r="P17" i="1" s="1"/>
  <c r="K11" i="1"/>
  <c r="K27" i="1"/>
  <c r="L27" i="1"/>
  <c r="K28" i="1"/>
  <c r="L28" i="1"/>
  <c r="K29" i="1"/>
  <c r="L29" i="1"/>
  <c r="K30" i="1"/>
  <c r="L30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L15" i="1"/>
  <c r="V3" i="1"/>
  <c r="AB15" i="1"/>
  <c r="AB14" i="1"/>
  <c r="AB13" i="1"/>
  <c r="AB12" i="1"/>
  <c r="AB11" i="1"/>
  <c r="Z14" i="1"/>
  <c r="W15" i="1"/>
  <c r="W14" i="1"/>
  <c r="W13" i="1"/>
  <c r="W12" i="1"/>
  <c r="W11" i="1"/>
  <c r="U12" i="1"/>
  <c r="U13" i="1"/>
  <c r="U14" i="1"/>
  <c r="U15" i="1"/>
  <c r="U11" i="1"/>
  <c r="W7" i="1"/>
  <c r="W6" i="1"/>
  <c r="W5" i="1"/>
  <c r="W4" i="1"/>
  <c r="AA3" i="1"/>
  <c r="Z4" i="1"/>
  <c r="Z6" i="1"/>
  <c r="U4" i="1"/>
  <c r="U5" i="1"/>
  <c r="U6" i="1"/>
  <c r="U7" i="1"/>
  <c r="AB4" i="1"/>
  <c r="AB5" i="1"/>
  <c r="AB6" i="1"/>
  <c r="AB7" i="1"/>
  <c r="AA15" i="1"/>
  <c r="V15" i="1"/>
  <c r="AA14" i="1"/>
  <c r="V14" i="1"/>
  <c r="AA13" i="1"/>
  <c r="V13" i="1"/>
  <c r="AA12" i="1"/>
  <c r="V12" i="1"/>
  <c r="AA11" i="1"/>
  <c r="V11" i="1"/>
  <c r="AA7" i="1"/>
  <c r="V7" i="1"/>
  <c r="AA6" i="1"/>
  <c r="V6" i="1"/>
  <c r="AA5" i="1"/>
  <c r="V5" i="1"/>
  <c r="AA4" i="1"/>
  <c r="V4" i="1"/>
  <c r="Q15" i="1"/>
  <c r="K15" i="1"/>
  <c r="Q14" i="1"/>
  <c r="P14" i="1"/>
  <c r="L14" i="1"/>
  <c r="K14" i="1"/>
  <c r="Q13" i="1"/>
  <c r="L13" i="1"/>
  <c r="K13" i="1"/>
  <c r="Q12" i="1"/>
  <c r="P12" i="1"/>
  <c r="L12" i="1"/>
  <c r="K12" i="1"/>
  <c r="Q11" i="1"/>
  <c r="L11" i="1"/>
  <c r="Q3" i="1"/>
  <c r="K3" i="1"/>
  <c r="H4" i="1"/>
  <c r="H5" i="1"/>
  <c r="H6" i="1"/>
  <c r="H3" i="1"/>
  <c r="Q4" i="1"/>
  <c r="P5" i="1"/>
  <c r="Q5" i="1"/>
  <c r="Q6" i="1"/>
  <c r="Q7" i="1"/>
  <c r="L3" i="1"/>
  <c r="F6" i="1"/>
  <c r="L4" i="1"/>
  <c r="K4" i="1"/>
  <c r="K5" i="1"/>
  <c r="K6" i="1"/>
  <c r="K7" i="1"/>
  <c r="L5" i="1"/>
  <c r="L6" i="1"/>
  <c r="F4" i="1"/>
  <c r="F5" i="1"/>
  <c r="F3" i="1"/>
  <c r="M67" i="1" l="1"/>
  <c r="O67" i="1"/>
  <c r="N55" i="1"/>
  <c r="N67" i="1" s="1"/>
  <c r="P25" i="1"/>
  <c r="P20" i="1"/>
  <c r="P16" i="1"/>
  <c r="P6" i="1"/>
  <c r="Z7" i="1"/>
  <c r="Z15" i="1"/>
  <c r="P28" i="1"/>
  <c r="P24" i="1"/>
  <c r="P19" i="1"/>
  <c r="Z3" i="1"/>
  <c r="P18" i="1"/>
  <c r="P15" i="1"/>
  <c r="P26" i="1"/>
  <c r="P22" i="1"/>
  <c r="P29" i="1"/>
  <c r="P27" i="1"/>
  <c r="P23" i="1"/>
  <c r="P4" i="1"/>
  <c r="P3" i="1"/>
  <c r="P7" i="1"/>
  <c r="P11" i="1"/>
  <c r="P13" i="1"/>
  <c r="P30" i="1"/>
  <c r="P21" i="1"/>
  <c r="Z13" i="1"/>
  <c r="Z12" i="1"/>
  <c r="Z5" i="1"/>
  <c r="Z11" i="1"/>
  <c r="M56" i="1" l="1"/>
  <c r="M54" i="1"/>
  <c r="M55" i="1"/>
</calcChain>
</file>

<file path=xl/sharedStrings.xml><?xml version="1.0" encoding="utf-8"?>
<sst xmlns="http://schemas.openxmlformats.org/spreadsheetml/2006/main" count="130" uniqueCount="51">
  <si>
    <t>sg</t>
    <phoneticPr fontId="1" type="noConversion"/>
  </si>
  <si>
    <t>smg</t>
    <phoneticPr fontId="1" type="noConversion"/>
  </si>
  <si>
    <t>speed</t>
    <phoneticPr fontId="1" type="noConversion"/>
  </si>
  <si>
    <t>hmg</t>
    <phoneticPr fontId="1" type="noConversion"/>
  </si>
  <si>
    <t>vs light+bin</t>
    <phoneticPr fontId="1" type="noConversion"/>
  </si>
  <si>
    <t>armor</t>
    <phoneticPr fontId="1" type="noConversion"/>
  </si>
  <si>
    <t>smg</t>
    <phoneticPr fontId="1" type="noConversion"/>
  </si>
  <si>
    <t>massive</t>
  </si>
  <si>
    <t>massive</t>
    <phoneticPr fontId="1" type="noConversion"/>
  </si>
  <si>
    <t>vs light+bin</t>
    <phoneticPr fontId="1" type="noConversion"/>
  </si>
  <si>
    <t>attack times/s</t>
    <phoneticPr fontId="1" type="noConversion"/>
  </si>
  <si>
    <t>sg+HP</t>
    <phoneticPr fontId="1" type="noConversion"/>
  </si>
  <si>
    <t>smg+AP</t>
    <phoneticPr fontId="1" type="noConversion"/>
  </si>
  <si>
    <t>hmg+HP</t>
    <phoneticPr fontId="1" type="noConversion"/>
  </si>
  <si>
    <t>XXX</t>
    <phoneticPr fontId="1" type="noConversion"/>
  </si>
  <si>
    <t>sting</t>
    <phoneticPr fontId="1" type="noConversion"/>
  </si>
  <si>
    <t>DPS bin</t>
    <phoneticPr fontId="1" type="noConversion"/>
  </si>
  <si>
    <t>DPS massivs</t>
    <phoneticPr fontId="1" type="noConversion"/>
  </si>
  <si>
    <t>IC</t>
    <phoneticPr fontId="1" type="noConversion"/>
  </si>
  <si>
    <t>AP</t>
    <phoneticPr fontId="1" type="noConversion"/>
  </si>
  <si>
    <t>HP</t>
    <phoneticPr fontId="1" type="noConversion"/>
  </si>
  <si>
    <t>smg</t>
  </si>
  <si>
    <t>dps</t>
    <phoneticPr fontId="1" type="noConversion"/>
  </si>
  <si>
    <t>hmg</t>
    <phoneticPr fontId="1" type="noConversion"/>
  </si>
  <si>
    <t>sg</t>
    <phoneticPr fontId="1" type="noConversion"/>
  </si>
  <si>
    <t>M112</t>
    <phoneticPr fontId="1" type="noConversion"/>
  </si>
  <si>
    <t>XM</t>
    <phoneticPr fontId="1" type="noConversion"/>
  </si>
  <si>
    <t>MM/dps</t>
    <phoneticPr fontId="1" type="noConversion"/>
  </si>
  <si>
    <t>ASSA/△dps</t>
    <phoneticPr fontId="1" type="noConversion"/>
  </si>
  <si>
    <t>MM/△dps</t>
    <phoneticPr fontId="1" type="noConversion"/>
  </si>
  <si>
    <t xml:space="preserve"> </t>
    <phoneticPr fontId="1" type="noConversion"/>
  </si>
  <si>
    <t>CMD/dps</t>
    <phoneticPr fontId="1" type="noConversion"/>
  </si>
  <si>
    <t>ASSA/dps</t>
    <phoneticPr fontId="1" type="noConversion"/>
  </si>
  <si>
    <t xml:space="preserve">CMD/△dps </t>
    <phoneticPr fontId="1" type="noConversion"/>
  </si>
  <si>
    <t>△%</t>
    <phoneticPr fontId="1" type="noConversion"/>
  </si>
  <si>
    <t>FLAME</t>
    <phoneticPr fontId="1" type="noConversion"/>
  </si>
  <si>
    <t>⁡𝜃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</si>
  <si>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</si>
  <si>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</si>
  <si>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</si>
  <si>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sg</t>
    <phoneticPr fontId="1" type="noConversion"/>
  </si>
  <si>
    <t>smg</t>
    <phoneticPr fontId="1" type="noConversion"/>
  </si>
  <si>
    <t>A</t>
    <phoneticPr fontId="1" type="noConversion"/>
  </si>
  <si>
    <t>權</t>
    <phoneticPr fontId="1" type="noConversion"/>
  </si>
  <si>
    <t>加權傷害</t>
    <phoneticPr fontId="1" type="noConversion"/>
  </si>
  <si>
    <t>sum</t>
    <phoneticPr fontId="1" type="noConversion"/>
  </si>
  <si>
    <t>area</t>
    <phoneticPr fontId="1" type="noConversion"/>
  </si>
  <si>
    <t>area%</t>
    <phoneticPr fontId="1" type="noConversion"/>
  </si>
  <si>
    <t>AP</t>
    <phoneticPr fontId="1" type="noConversion"/>
  </si>
  <si>
    <t>HP</t>
    <phoneticPr fontId="1" type="noConversion"/>
  </si>
  <si>
    <t>加權總共面积傷害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</si>
</sst>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82" formatCode="0.0000"/>
    <numFmt numFmtId="183" formatCode="0.000"/>
    <numFmt numFmtId="190" formatCode="0.00_);[Red]\(0.00\)"/>
  </numFmts>
  <fonts count="3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82" fontId="0" fillId="0" borderId="0" xfId="0" applyNumberFormat="1"/>
    <xf numFmtId="183" fontId="0" fillId="0" borderId="0" xfId="0" applyNumberFormat="1"/>
    <xf numFmtId="9" fontId="0" fillId="0" borderId="0" xfId="1" applyFont="1" applyAlignment="1"/>
    <xf numFmtId="10" fontId="0" fillId="0" borderId="0" xfId="1" applyNumberFormat="1" applyFont="1" applyAlignment="1"/>
    <xf numFmtId="190" fontId="0" fillId="0" borderId="0" xfId="1" applyNumberFormat="1" applyFont="1" applyAlignment="1"/>
    <xf numFmtId="190" fontId="0" fillId="0" borderId="0" xfId="0" applyNumberFormat="1"/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490330</xdr:colOff>
      <xdr:row>53</xdr:row>
      <xdr:rowOff>49695</xdr:rowOff>
    </xdr:from>
    <xdr:ext cx="65" cy="172227"/>
    <xdr:sp macro="" textlink="">
      <xdr:nvSpPr>
        <xdr:cNvPr id="2" name="文字方塊 1"/>
        <xdr:cNvSpPr txBox="1"/>
      </xdr:nvSpPr>
      <xdr:spPr>
        <a:xfrm>
          <a:off x="5817704" y="1023399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75"/>
  <sheetViews>
    <sheetView tabSelected="1" topLeftCell="A54" zoomScale="115" zoomScaleNormal="115" workbookViewId="0">
      <selection activeCell="N69" sqref="N69"/>
    </sheetView>
  </sheetViews>
  <sheetFormatPr defaultRowHeight="15"/>
  <cols>
    <col min="2" max="2" width="12.5" bestFit="1" customWidth="1"/>
    <col min="3" max="3" width="14.875" customWidth="1"/>
    <col min="5" max="6" width="13.75" bestFit="1" customWidth="1"/>
    <col min="7" max="7" width="14.375" bestFit="1" customWidth="1"/>
    <col min="8" max="8" width="13.125" customWidth="1"/>
    <col min="12" max="12" width="20.5" bestFit="1" customWidth="1"/>
    <col min="13" max="13" width="10.5" bestFit="1" customWidth="1"/>
    <col min="16" max="16" width="11.375" bestFit="1" customWidth="1"/>
    <col min="17" max="17" width="13.75" bestFit="1" customWidth="1"/>
    <col min="30" max="30" width="11.5" customWidth="1"/>
    <col min="31" max="31" width="10.25" bestFit="1" customWidth="1"/>
    <col min="32" max="32" width="10.375" customWidth="1"/>
    <col min="33" max="33" width="10" customWidth="1"/>
  </cols>
  <sheetData>
    <row r="1" spans="2:30">
      <c r="J1" s="4" t="s">
        <v>4</v>
      </c>
      <c r="K1" s="4"/>
      <c r="L1" s="4"/>
      <c r="M1" s="4"/>
      <c r="O1" t="s">
        <v>7</v>
      </c>
      <c r="T1" s="4" t="s">
        <v>4</v>
      </c>
      <c r="U1" s="4"/>
      <c r="V1" s="4"/>
      <c r="W1" s="4"/>
      <c r="Y1" t="s">
        <v>7</v>
      </c>
    </row>
    <row r="2" spans="2:30">
      <c r="C2" s="1" t="s">
        <v>9</v>
      </c>
      <c r="D2" s="1" t="s">
        <v>2</v>
      </c>
      <c r="E2" t="s">
        <v>8</v>
      </c>
      <c r="F2" s="1" t="s">
        <v>16</v>
      </c>
      <c r="G2" s="2" t="s">
        <v>17</v>
      </c>
      <c r="H2" s="1" t="s">
        <v>10</v>
      </c>
      <c r="J2" s="1" t="s">
        <v>5</v>
      </c>
      <c r="K2" t="s">
        <v>0</v>
      </c>
      <c r="L2" t="s">
        <v>6</v>
      </c>
      <c r="M2" t="s">
        <v>3</v>
      </c>
      <c r="O2" s="1" t="s">
        <v>5</v>
      </c>
      <c r="P2" t="s">
        <v>0</v>
      </c>
      <c r="Q2" t="s">
        <v>6</v>
      </c>
      <c r="R2" t="s">
        <v>3</v>
      </c>
      <c r="T2" s="1" t="s">
        <v>5</v>
      </c>
      <c r="U2" t="s">
        <v>11</v>
      </c>
      <c r="V2" t="s">
        <v>14</v>
      </c>
      <c r="W2" t="s">
        <v>13</v>
      </c>
      <c r="Y2" s="1" t="s">
        <v>5</v>
      </c>
      <c r="Z2" t="s">
        <v>11</v>
      </c>
      <c r="AA2" t="s">
        <v>12</v>
      </c>
      <c r="AB2" t="s">
        <v>13</v>
      </c>
      <c r="AD2" s="3"/>
    </row>
    <row r="3" spans="2:30">
      <c r="B3" t="s">
        <v>35</v>
      </c>
      <c r="C3">
        <v>244.8</v>
      </c>
      <c r="D3">
        <v>0.92</v>
      </c>
      <c r="E3">
        <v>115.2</v>
      </c>
      <c r="F3">
        <f t="shared" ref="F3:F8" si="0">C3/D3</f>
        <v>266.08695652173913</v>
      </c>
      <c r="G3">
        <f>E3/D3</f>
        <v>125.21739130434783</v>
      </c>
      <c r="H3">
        <f t="shared" ref="H3:H8" si="1">D3^-1</f>
        <v>1.0869565217391304</v>
      </c>
      <c r="J3">
        <v>1</v>
      </c>
      <c r="K3">
        <f>(VLOOKUP($K$2,$B$3:$F$6,2)-J3)/VLOOKUP($K$2,$B$3:$F$6,3)</f>
        <v>74.21875</v>
      </c>
      <c r="L3">
        <f>(VLOOKUP($L$2,$B$3:$F$6,2)-J3)/VLOOKUP($L$2,$B$3:$F$6,3)</f>
        <v>115.83333333333334</v>
      </c>
      <c r="M3">
        <v>81</v>
      </c>
      <c r="O3">
        <v>1</v>
      </c>
      <c r="P3">
        <f>(VLOOKUP($K$2,$B$3:$F$6,4)-O3)/VLOOKUP($K$2,$B$3:$F$6,3)</f>
        <v>104.21874999999999</v>
      </c>
      <c r="Q3">
        <f>(VLOOKUP($L$2,$B$3:$F$6,4)-O3)/VLOOKUP($L$2,$B$3:$F$6,3)</f>
        <v>65.833333333333343</v>
      </c>
      <c r="R3">
        <v>81</v>
      </c>
      <c r="T3">
        <v>1</v>
      </c>
      <c r="U3">
        <f>(VLOOKUP($K$2,$B$3:$F$6,2)*(1.12)-T3)/VLOOKUP($K$2,$B$3:$F$6,3)</f>
        <v>83.21875</v>
      </c>
      <c r="V3">
        <f>(VLOOKUP($L$2,$B$3:$F$6,2)-T3)/VLOOKUP($L$2,$B$3:$F$6,3)</f>
        <v>115.83333333333334</v>
      </c>
      <c r="W3">
        <f>81*1.12</f>
        <v>90.720000000000013</v>
      </c>
      <c r="Y3">
        <v>1</v>
      </c>
      <c r="Z3">
        <f>(VLOOKUP($K$2,$B$3:$F$6,4)*1.12-Y3)/VLOOKUP($K$2,$B$3:$F$6,3)</f>
        <v>116.81874999999999</v>
      </c>
      <c r="AA3">
        <f>(VLOOKUP($L$2,$B$3:$F$6,4)-Y3)/VLOOKUP($L$2,$B$3:$F$6,3)</f>
        <v>65.833333333333343</v>
      </c>
      <c r="AB3">
        <f>81*1.12</f>
        <v>90.720000000000013</v>
      </c>
    </row>
    <row r="4" spans="2:30">
      <c r="B4" t="s">
        <v>0</v>
      </c>
      <c r="C4">
        <v>96</v>
      </c>
      <c r="D4">
        <v>1.28</v>
      </c>
      <c r="E4">
        <f>C4*1.4</f>
        <v>134.39999999999998</v>
      </c>
      <c r="F4">
        <f t="shared" si="0"/>
        <v>75</v>
      </c>
      <c r="G4">
        <f t="shared" ref="G4:G8" si="2">E4/D4</f>
        <v>104.99999999999999</v>
      </c>
      <c r="H4">
        <f t="shared" si="1"/>
        <v>0.78125</v>
      </c>
      <c r="J4">
        <v>2</v>
      </c>
      <c r="K4">
        <f>(VLOOKUP($K$2,$B$3:$F$6,2)-J4)/VLOOKUP($K$2,$B$3:$F$6,3)</f>
        <v>73.4375</v>
      </c>
      <c r="L4">
        <f>(VLOOKUP($L$2,$B$3:$F$6,2)-J4)/VLOOKUP($L$2,$B$3:$F$6,3)</f>
        <v>111.66666666666667</v>
      </c>
      <c r="M4">
        <v>81</v>
      </c>
      <c r="O4">
        <v>2</v>
      </c>
      <c r="P4">
        <f>(VLOOKUP($K$2,$B$3:$F$6,4)-O4)/VLOOKUP($K$2,$B$3:$F$6,3)</f>
        <v>103.43749999999999</v>
      </c>
      <c r="Q4">
        <f>(VLOOKUP($L$2,$B$3:$F$6,4)-O4)/VLOOKUP($L$2,$B$3:$F$6,3)</f>
        <v>61.666666666666671</v>
      </c>
      <c r="R4">
        <v>81</v>
      </c>
      <c r="T4">
        <v>2</v>
      </c>
      <c r="U4">
        <f>(VLOOKUP($K$2,$B$3:$F$6,2)*(1.36)-T4)/VLOOKUP($K$2,$B$3:$F$6,3)</f>
        <v>100.4375</v>
      </c>
      <c r="V4">
        <f>(VLOOKUP($L$2,$B$3:$F$6,2)-T4)/VLOOKUP($L$2,$B$3:$F$6,3)</f>
        <v>111.66666666666667</v>
      </c>
      <c r="W4">
        <f t="shared" ref="W4:W7" si="3">81*1.36</f>
        <v>110.16000000000001</v>
      </c>
      <c r="Y4">
        <v>2</v>
      </c>
      <c r="Z4">
        <f>(VLOOKUP($K$2,$B$3:$F$6,4)*1.36-Y4)/VLOOKUP($K$2,$B$3:$F$6,3)</f>
        <v>141.23749999999998</v>
      </c>
      <c r="AA4">
        <f>(VLOOKUP($L$2,$B$3:$F$6,4)-Y4)/VLOOKUP($L$2,$B$3:$F$6,3)</f>
        <v>61.666666666666671</v>
      </c>
      <c r="AB4">
        <f t="shared" ref="AB4:AB7" si="4">81*1.36</f>
        <v>110.16000000000001</v>
      </c>
    </row>
    <row r="5" spans="2:30">
      <c r="B5" t="s">
        <v>1</v>
      </c>
      <c r="C5">
        <v>28.8</v>
      </c>
      <c r="D5">
        <v>0.24</v>
      </c>
      <c r="E5">
        <v>16.8</v>
      </c>
      <c r="F5">
        <f t="shared" si="0"/>
        <v>120.00000000000001</v>
      </c>
      <c r="G5">
        <f t="shared" si="2"/>
        <v>70</v>
      </c>
      <c r="H5">
        <f t="shared" si="1"/>
        <v>4.166666666666667</v>
      </c>
      <c r="J5">
        <v>3</v>
      </c>
      <c r="K5">
        <f>(VLOOKUP($K$2,$B$3:$F$6,2)-J5)/VLOOKUP($K$2,$B$3:$F$6,3)</f>
        <v>72.65625</v>
      </c>
      <c r="L5">
        <f>(VLOOKUP($L$2,$B$3:$F$6,2)-J5)/VLOOKUP($L$2,$B$3:$F$6,3)</f>
        <v>107.5</v>
      </c>
      <c r="M5">
        <v>81</v>
      </c>
      <c r="O5">
        <v>3</v>
      </c>
      <c r="P5">
        <f>(VLOOKUP($K$2,$B$3:$F$6,4)-O5)/VLOOKUP($K$2,$B$3:$F$6,3)</f>
        <v>102.65624999999999</v>
      </c>
      <c r="Q5">
        <f>(VLOOKUP($L$2,$B$3:$F$6,4)-O5)/VLOOKUP($L$2,$B$3:$F$6,3)</f>
        <v>57.500000000000007</v>
      </c>
      <c r="R5">
        <v>81</v>
      </c>
      <c r="T5">
        <v>3</v>
      </c>
      <c r="U5">
        <f>(VLOOKUP($K$2,$B$3:$F$6,2)*(1.36)-T5)/VLOOKUP($K$2,$B$3:$F$6,3)</f>
        <v>99.65625</v>
      </c>
      <c r="V5">
        <f>(VLOOKUP($L$2,$B$3:$F$6,2)-T5)/VLOOKUP($L$2,$B$3:$F$6,3)</f>
        <v>107.5</v>
      </c>
      <c r="W5">
        <f t="shared" si="3"/>
        <v>110.16000000000001</v>
      </c>
      <c r="Y5">
        <v>3</v>
      </c>
      <c r="Z5">
        <f>(VLOOKUP($K$2,$B$3:$F$6,4)*1.36-Y5)/VLOOKUP($K$2,$B$3:$F$6,3)</f>
        <v>140.45624999999998</v>
      </c>
      <c r="AA5">
        <f>(VLOOKUP($L$2,$B$3:$F$6,4)-Y5)/VLOOKUP($L$2,$B$3:$F$6,3)</f>
        <v>57.500000000000007</v>
      </c>
      <c r="AB5">
        <f t="shared" si="4"/>
        <v>110.16000000000001</v>
      </c>
    </row>
    <row r="6" spans="2:30">
      <c r="B6">
        <v>123</v>
      </c>
      <c r="C6">
        <v>32.4</v>
      </c>
      <c r="D6">
        <v>0.4</v>
      </c>
      <c r="E6">
        <v>44.4</v>
      </c>
      <c r="F6">
        <f t="shared" si="0"/>
        <v>80.999999999999986</v>
      </c>
      <c r="G6">
        <f t="shared" si="2"/>
        <v>110.99999999999999</v>
      </c>
      <c r="H6">
        <f t="shared" si="1"/>
        <v>2.5</v>
      </c>
      <c r="J6">
        <v>4</v>
      </c>
      <c r="K6">
        <f>(VLOOKUP($K$2,$B$3:$F$6,2)-J6)/VLOOKUP($K$2,$B$3:$F$6,3)</f>
        <v>71.875</v>
      </c>
      <c r="L6">
        <f>(VLOOKUP($L$2,$B$3:$F$6,2)-J6)/VLOOKUP($L$2,$B$3:$F$6,3)</f>
        <v>103.33333333333334</v>
      </c>
      <c r="M6">
        <v>81</v>
      </c>
      <c r="O6">
        <v>4</v>
      </c>
      <c r="P6">
        <f>(VLOOKUP($K$2,$B$3:$F$6,4)-O6)/VLOOKUP($K$2,$B$3:$F$6,3)</f>
        <v>101.87499999999999</v>
      </c>
      <c r="Q6">
        <f>(VLOOKUP($L$2,$B$3:$F$6,4)-O6)/VLOOKUP($L$2,$B$3:$F$6,3)</f>
        <v>53.333333333333336</v>
      </c>
      <c r="R6">
        <v>81</v>
      </c>
      <c r="T6">
        <v>4</v>
      </c>
      <c r="U6">
        <f>(VLOOKUP($K$2,$B$3:$F$6,2)*(1.36)-T6)/VLOOKUP($K$2,$B$3:$F$6,3)</f>
        <v>98.875</v>
      </c>
      <c r="V6">
        <f>(VLOOKUP($L$2,$B$3:$F$6,2)-T6)/VLOOKUP($L$2,$B$3:$F$6,3)</f>
        <v>103.33333333333334</v>
      </c>
      <c r="W6">
        <f t="shared" si="3"/>
        <v>110.16000000000001</v>
      </c>
      <c r="Y6">
        <v>4</v>
      </c>
      <c r="Z6">
        <f>(VLOOKUP($K$2,$B$3:$F$6,4)*1.36-Y6)/VLOOKUP($K$2,$B$3:$F$6,3)</f>
        <v>139.67499999999998</v>
      </c>
      <c r="AA6">
        <f>(VLOOKUP($L$2,$B$3:$F$6,4)-Y6)/VLOOKUP($L$2,$B$3:$F$6,3)</f>
        <v>53.333333333333336</v>
      </c>
      <c r="AB6">
        <f t="shared" si="4"/>
        <v>110.16000000000001</v>
      </c>
    </row>
    <row r="7" spans="2:30">
      <c r="B7" t="s">
        <v>15</v>
      </c>
      <c r="C7">
        <v>360</v>
      </c>
      <c r="D7">
        <v>3.2</v>
      </c>
      <c r="E7">
        <v>480</v>
      </c>
      <c r="F7">
        <f t="shared" si="0"/>
        <v>112.5</v>
      </c>
      <c r="G7">
        <f t="shared" si="2"/>
        <v>150</v>
      </c>
      <c r="H7">
        <f t="shared" si="1"/>
        <v>0.3125</v>
      </c>
      <c r="J7">
        <v>5</v>
      </c>
      <c r="K7">
        <f>(VLOOKUP($K$2,$B$3:$F$6,2)-J7)/VLOOKUP($K$2,$B$3:$F$6,3)</f>
        <v>71.09375</v>
      </c>
      <c r="L7">
        <f>(VLOOKUP($L$2,$B$3:$F$6,2)-J7)/VLOOKUP($L$2,$B$3:$F$6,3)</f>
        <v>99.166666666666671</v>
      </c>
      <c r="M7">
        <v>81</v>
      </c>
      <c r="O7">
        <v>5</v>
      </c>
      <c r="P7">
        <f>(VLOOKUP($K$2,$B$3:$F$6,4)-O7)/VLOOKUP($K$2,$B$3:$F$6,3)</f>
        <v>101.09374999999999</v>
      </c>
      <c r="Q7">
        <f>(VLOOKUP($L$2,$B$3:$F$6,4)-O7)/VLOOKUP($L$2,$B$3:$F$6,3)</f>
        <v>49.166666666666671</v>
      </c>
      <c r="R7">
        <v>81</v>
      </c>
      <c r="T7">
        <v>5</v>
      </c>
      <c r="U7">
        <f>(VLOOKUP($K$2,$B$3:$F$6,2)*(1.36)-T7)/VLOOKUP($K$2,$B$3:$F$6,3)</f>
        <v>98.09375</v>
      </c>
      <c r="V7">
        <f>(VLOOKUP($L$2,$B$3:$F$6,2)-T7)/VLOOKUP($L$2,$B$3:$F$6,3)</f>
        <v>99.166666666666671</v>
      </c>
      <c r="W7">
        <f t="shared" si="3"/>
        <v>110.16000000000001</v>
      </c>
      <c r="Y7">
        <v>5</v>
      </c>
      <c r="Z7">
        <f>(VLOOKUP($K$2,$B$3:$F$6,4)*1.36-Y7)/VLOOKUP($K$2,$B$3:$F$6,3)</f>
        <v>138.89374999999998</v>
      </c>
      <c r="AA7">
        <f>(VLOOKUP($L$2,$B$3:$F$6,4)-Y7)/VLOOKUP($L$2,$B$3:$F$6,3)</f>
        <v>49.166666666666671</v>
      </c>
      <c r="AB7">
        <f t="shared" si="4"/>
        <v>110.16000000000001</v>
      </c>
    </row>
    <row r="8" spans="2:30">
      <c r="B8" t="s">
        <v>25</v>
      </c>
      <c r="C8">
        <v>168</v>
      </c>
      <c r="D8">
        <v>1.8</v>
      </c>
      <c r="E8">
        <v>216</v>
      </c>
      <c r="F8">
        <f t="shared" si="0"/>
        <v>93.333333333333329</v>
      </c>
      <c r="G8">
        <f>E8/D8</f>
        <v>120</v>
      </c>
      <c r="H8">
        <f>D8^-1</f>
        <v>0.55555555555555558</v>
      </c>
    </row>
    <row r="9" spans="2:30">
      <c r="J9" s="4" t="s">
        <v>4</v>
      </c>
      <c r="K9" s="4"/>
      <c r="L9" s="4"/>
      <c r="M9" s="4"/>
      <c r="O9" t="s">
        <v>7</v>
      </c>
      <c r="T9" s="4" t="s">
        <v>4</v>
      </c>
      <c r="U9" s="4"/>
      <c r="V9" s="4"/>
      <c r="W9" s="4"/>
      <c r="Y9" t="s">
        <v>7</v>
      </c>
    </row>
    <row r="10" spans="2:30">
      <c r="J10" s="1" t="s">
        <v>5</v>
      </c>
      <c r="K10" t="s">
        <v>0</v>
      </c>
      <c r="L10" t="s">
        <v>6</v>
      </c>
      <c r="M10" t="s">
        <v>23</v>
      </c>
      <c r="O10" s="1" t="s">
        <v>5</v>
      </c>
      <c r="P10" t="s">
        <v>0</v>
      </c>
      <c r="Q10" t="s">
        <v>6</v>
      </c>
      <c r="R10" t="s">
        <v>3</v>
      </c>
      <c r="T10" s="1" t="s">
        <v>5</v>
      </c>
      <c r="U10" t="s">
        <v>11</v>
      </c>
      <c r="V10" t="s">
        <v>12</v>
      </c>
      <c r="W10" t="s">
        <v>13</v>
      </c>
      <c r="Y10" s="1" t="s">
        <v>5</v>
      </c>
      <c r="Z10" t="s">
        <v>11</v>
      </c>
      <c r="AA10" t="s">
        <v>12</v>
      </c>
      <c r="AB10" t="s">
        <v>13</v>
      </c>
      <c r="AD10" s="3"/>
    </row>
    <row r="11" spans="2:30">
      <c r="J11">
        <v>-1</v>
      </c>
      <c r="K11">
        <f t="shared" ref="K11:K30" si="5">(VLOOKUP($K$2,$B$3:$F$6,2)-J11)/VLOOKUP($K$2,$B$3:$F$6,3)</f>
        <v>75.78125</v>
      </c>
      <c r="L11">
        <f t="shared" ref="L11:L30" si="6">(VLOOKUP($L$2,$B$3:$F$6,2)-J11)/VLOOKUP($L$2,$B$3:$F$6,3)</f>
        <v>124.16666666666667</v>
      </c>
      <c r="M11">
        <v>81</v>
      </c>
      <c r="O11">
        <v>-1</v>
      </c>
      <c r="P11">
        <f t="shared" ref="P11:P30" si="7">(VLOOKUP($K$2,$B$3:$F$6,4)-O11)/VLOOKUP($K$2,$B$3:$F$6,3)</f>
        <v>105.78124999999999</v>
      </c>
      <c r="Q11">
        <f t="shared" ref="Q11:Q30" si="8">(VLOOKUP($L$2,$B$3:$F$6,4)-O11)/VLOOKUP($L$2,$B$3:$F$6,3)</f>
        <v>74.166666666666671</v>
      </c>
      <c r="R11">
        <v>81</v>
      </c>
      <c r="T11">
        <v>-1</v>
      </c>
      <c r="U11">
        <f>(VLOOKUP($K$2,$B$3:$F$6,2)*1.36-T11)/VLOOKUP($K$2,$B$3:$F$6,3)</f>
        <v>102.78125</v>
      </c>
      <c r="V11">
        <f>(VLOOKUP($L$2,$B$3:$F$6,2)-T11)/VLOOKUP($L$2,$B$3:$F$6,3)</f>
        <v>124.16666666666667</v>
      </c>
      <c r="W11">
        <f>81*1.36</f>
        <v>110.16000000000001</v>
      </c>
      <c r="Y11">
        <v>-1</v>
      </c>
      <c r="Z11">
        <f>(VLOOKUP($K$2,$B$3:$F$6,4)*1.36-Y11)/VLOOKUP($K$2,$B$3:$F$6,3)</f>
        <v>143.58124999999998</v>
      </c>
      <c r="AA11">
        <f>(VLOOKUP($L$2,$B$3:$F$6,4)-Y11)/VLOOKUP($L$2,$B$3:$F$6,3)</f>
        <v>74.166666666666671</v>
      </c>
      <c r="AB11">
        <f>81*1.36</f>
        <v>110.16000000000001</v>
      </c>
    </row>
    <row r="12" spans="2:30">
      <c r="J12">
        <v>-2</v>
      </c>
      <c r="K12">
        <f t="shared" si="5"/>
        <v>76.5625</v>
      </c>
      <c r="L12">
        <f t="shared" si="6"/>
        <v>128.33333333333334</v>
      </c>
      <c r="M12">
        <v>81</v>
      </c>
      <c r="O12">
        <v>-2</v>
      </c>
      <c r="P12">
        <f t="shared" si="7"/>
        <v>106.56249999999999</v>
      </c>
      <c r="Q12">
        <f t="shared" si="8"/>
        <v>78.333333333333343</v>
      </c>
      <c r="R12">
        <v>81</v>
      </c>
      <c r="T12">
        <v>-2</v>
      </c>
      <c r="U12">
        <f>(VLOOKUP($K$2,$B$3:$F$6,2)*1.36-T12)/VLOOKUP($K$2,$B$3:$F$6,3)</f>
        <v>103.5625</v>
      </c>
      <c r="V12">
        <f>(VLOOKUP($L$2,$B$3:$F$6,2)-T12)/VLOOKUP($L$2,$B$3:$F$6,3)</f>
        <v>128.33333333333334</v>
      </c>
      <c r="W12">
        <f t="shared" ref="W12:W15" si="9">81*1.36</f>
        <v>110.16000000000001</v>
      </c>
      <c r="Y12">
        <v>-2</v>
      </c>
      <c r="Z12">
        <f>(VLOOKUP($K$2,$B$3:$F$6,4)*1.36-Y12)/VLOOKUP($K$2,$B$3:$F$6,3)</f>
        <v>144.36249999999998</v>
      </c>
      <c r="AA12">
        <f>(VLOOKUP($L$2,$B$3:$F$6,4)-Y12)/VLOOKUP($L$2,$B$3:$F$6,3)</f>
        <v>78.333333333333343</v>
      </c>
      <c r="AB12">
        <f t="shared" ref="AB12:AB15" si="10">81*1.36</f>
        <v>110.16000000000001</v>
      </c>
    </row>
    <row r="13" spans="2:30">
      <c r="J13">
        <v>-3</v>
      </c>
      <c r="K13">
        <f t="shared" si="5"/>
        <v>77.34375</v>
      </c>
      <c r="L13">
        <f t="shared" si="6"/>
        <v>132.5</v>
      </c>
      <c r="M13">
        <v>81</v>
      </c>
      <c r="O13">
        <v>-3</v>
      </c>
      <c r="P13">
        <f t="shared" si="7"/>
        <v>107.34374999999999</v>
      </c>
      <c r="Q13">
        <f t="shared" si="8"/>
        <v>82.5</v>
      </c>
      <c r="R13">
        <v>81</v>
      </c>
      <c r="T13">
        <v>-3</v>
      </c>
      <c r="U13">
        <f>(VLOOKUP($K$2,$B$3:$F$6,2)*1.36-T13)/VLOOKUP($K$2,$B$3:$F$6,3)</f>
        <v>104.34375</v>
      </c>
      <c r="V13">
        <f>(VLOOKUP($L$2,$B$3:$F$6,2)-T13)/VLOOKUP($L$2,$B$3:$F$6,3)</f>
        <v>132.5</v>
      </c>
      <c r="W13">
        <f t="shared" si="9"/>
        <v>110.16000000000001</v>
      </c>
      <c r="Y13">
        <v>-3</v>
      </c>
      <c r="Z13">
        <f>(VLOOKUP($K$2,$B$3:$F$6,4)*1.36-Y13)/VLOOKUP($K$2,$B$3:$F$6,3)</f>
        <v>145.14374999999998</v>
      </c>
      <c r="AA13">
        <f>(VLOOKUP($L$2,$B$3:$F$6,4)-Y13)/VLOOKUP($L$2,$B$3:$F$6,3)</f>
        <v>82.5</v>
      </c>
      <c r="AB13">
        <f t="shared" si="10"/>
        <v>110.16000000000001</v>
      </c>
    </row>
    <row r="14" spans="2:30">
      <c r="J14">
        <v>-4</v>
      </c>
      <c r="K14">
        <f t="shared" si="5"/>
        <v>78.125</v>
      </c>
      <c r="L14">
        <f t="shared" si="6"/>
        <v>136.66666666666666</v>
      </c>
      <c r="M14">
        <v>81</v>
      </c>
      <c r="O14">
        <v>-4</v>
      </c>
      <c r="P14">
        <f t="shared" si="7"/>
        <v>108.12499999999999</v>
      </c>
      <c r="Q14">
        <f t="shared" si="8"/>
        <v>86.666666666666671</v>
      </c>
      <c r="R14">
        <v>81</v>
      </c>
      <c r="T14">
        <v>-4</v>
      </c>
      <c r="U14">
        <f>(VLOOKUP($K$2,$B$3:$F$6,2)*1.36-T14)/VLOOKUP($K$2,$B$3:$F$6,3)</f>
        <v>105.125</v>
      </c>
      <c r="V14">
        <f>(VLOOKUP($L$2,$B$3:$F$6,2)-T14)/VLOOKUP($L$2,$B$3:$F$6,3)</f>
        <v>136.66666666666666</v>
      </c>
      <c r="W14">
        <f t="shared" si="9"/>
        <v>110.16000000000001</v>
      </c>
      <c r="Y14">
        <v>-4</v>
      </c>
      <c r="Z14">
        <f>(VLOOKUP($K$2,$B$3:$F$6,4)*1.36-Y14)/VLOOKUP($K$2,$B$3:$F$6,3)</f>
        <v>145.92499999999998</v>
      </c>
      <c r="AA14">
        <f>(VLOOKUP($L$2,$B$3:$F$6,4)-Y14)/VLOOKUP($L$2,$B$3:$F$6,3)</f>
        <v>86.666666666666671</v>
      </c>
      <c r="AB14">
        <f t="shared" si="10"/>
        <v>110.16000000000001</v>
      </c>
    </row>
    <row r="15" spans="2:30">
      <c r="J15">
        <v>-5</v>
      </c>
      <c r="K15">
        <f t="shared" si="5"/>
        <v>78.90625</v>
      </c>
      <c r="L15">
        <f t="shared" si="6"/>
        <v>140.83333333333331</v>
      </c>
      <c r="M15">
        <v>81</v>
      </c>
      <c r="O15">
        <v>-5</v>
      </c>
      <c r="P15">
        <f t="shared" si="7"/>
        <v>108.90624999999999</v>
      </c>
      <c r="Q15">
        <f t="shared" si="8"/>
        <v>90.833333333333343</v>
      </c>
      <c r="R15">
        <v>81</v>
      </c>
      <c r="T15">
        <v>-5</v>
      </c>
      <c r="U15">
        <f>(VLOOKUP($K$2,$B$3:$F$6,2)*1.36-T15)/VLOOKUP($K$2,$B$3:$F$6,3)</f>
        <v>105.90625</v>
      </c>
      <c r="V15">
        <f>(VLOOKUP($L$2,$B$3:$F$6,2)-T15)/VLOOKUP($L$2,$B$3:$F$6,3)</f>
        <v>140.83333333333331</v>
      </c>
      <c r="W15">
        <f t="shared" si="9"/>
        <v>110.16000000000001</v>
      </c>
      <c r="Y15">
        <v>-5</v>
      </c>
      <c r="Z15">
        <f>(VLOOKUP($K$2,$B$3:$F$6,4)*1.36-Y15)/VLOOKUP($K$2,$B$3:$F$6,3)</f>
        <v>146.70624999999998</v>
      </c>
      <c r="AA15">
        <f>(VLOOKUP($L$2,$B$3:$F$6,4)-Y15)/VLOOKUP($L$2,$B$3:$F$6,3)</f>
        <v>90.833333333333343</v>
      </c>
      <c r="AB15">
        <f t="shared" si="10"/>
        <v>110.16000000000001</v>
      </c>
    </row>
    <row r="16" spans="2:30">
      <c r="J16">
        <v>-6</v>
      </c>
      <c r="K16">
        <f t="shared" si="5"/>
        <v>79.6875</v>
      </c>
      <c r="L16">
        <f t="shared" si="6"/>
        <v>145</v>
      </c>
      <c r="M16">
        <v>81</v>
      </c>
      <c r="O16">
        <v>-6</v>
      </c>
      <c r="P16">
        <f t="shared" si="7"/>
        <v>109.68749999999999</v>
      </c>
      <c r="Q16">
        <f t="shared" si="8"/>
        <v>95</v>
      </c>
      <c r="R16">
        <v>82</v>
      </c>
    </row>
    <row r="17" spans="2:18">
      <c r="J17">
        <v>-7</v>
      </c>
      <c r="K17">
        <f t="shared" si="5"/>
        <v>80.46875</v>
      </c>
      <c r="L17">
        <f t="shared" si="6"/>
        <v>149.16666666666666</v>
      </c>
      <c r="M17">
        <v>81</v>
      </c>
      <c r="O17">
        <v>-7</v>
      </c>
      <c r="P17">
        <f t="shared" si="7"/>
        <v>110.46874999999999</v>
      </c>
      <c r="Q17">
        <f t="shared" si="8"/>
        <v>99.166666666666671</v>
      </c>
      <c r="R17">
        <v>83</v>
      </c>
    </row>
    <row r="18" spans="2:18">
      <c r="J18">
        <v>-8</v>
      </c>
      <c r="K18">
        <f t="shared" si="5"/>
        <v>81.25</v>
      </c>
      <c r="L18">
        <f t="shared" si="6"/>
        <v>153.33333333333331</v>
      </c>
      <c r="M18">
        <v>81</v>
      </c>
      <c r="O18">
        <v>-8</v>
      </c>
      <c r="P18">
        <f t="shared" si="7"/>
        <v>111.24999999999999</v>
      </c>
      <c r="Q18">
        <f t="shared" si="8"/>
        <v>103.33333333333334</v>
      </c>
      <c r="R18">
        <v>84</v>
      </c>
    </row>
    <row r="19" spans="2:18">
      <c r="B19" s="3"/>
      <c r="J19">
        <v>-9</v>
      </c>
      <c r="K19">
        <f t="shared" si="5"/>
        <v>82.03125</v>
      </c>
      <c r="L19">
        <f t="shared" si="6"/>
        <v>157.5</v>
      </c>
      <c r="M19">
        <v>81</v>
      </c>
      <c r="O19">
        <v>-9</v>
      </c>
      <c r="P19">
        <f t="shared" si="7"/>
        <v>112.03124999999999</v>
      </c>
      <c r="Q19">
        <f t="shared" si="8"/>
        <v>107.5</v>
      </c>
      <c r="R19">
        <v>85</v>
      </c>
    </row>
    <row r="20" spans="2:18">
      <c r="C20" s="6"/>
      <c r="D20" s="6"/>
      <c r="E20" s="6"/>
      <c r="G20" s="5"/>
      <c r="J20">
        <v>-10</v>
      </c>
      <c r="K20">
        <f t="shared" si="5"/>
        <v>82.8125</v>
      </c>
      <c r="L20">
        <f t="shared" si="6"/>
        <v>161.66666666666666</v>
      </c>
      <c r="M20">
        <v>81</v>
      </c>
      <c r="O20">
        <v>-10</v>
      </c>
      <c r="P20">
        <f t="shared" si="7"/>
        <v>112.81249999999999</v>
      </c>
      <c r="Q20">
        <f t="shared" si="8"/>
        <v>111.66666666666667</v>
      </c>
      <c r="R20">
        <v>86</v>
      </c>
    </row>
    <row r="21" spans="2:18">
      <c r="C21" s="6"/>
      <c r="D21" s="6"/>
      <c r="E21" s="6"/>
      <c r="J21">
        <v>-11</v>
      </c>
      <c r="K21">
        <f t="shared" si="5"/>
        <v>83.59375</v>
      </c>
      <c r="L21">
        <f t="shared" si="6"/>
        <v>165.83333333333331</v>
      </c>
      <c r="M21">
        <v>81</v>
      </c>
      <c r="O21">
        <v>-11</v>
      </c>
      <c r="P21">
        <f t="shared" si="7"/>
        <v>113.59374999999999</v>
      </c>
      <c r="Q21">
        <f t="shared" si="8"/>
        <v>115.83333333333334</v>
      </c>
      <c r="R21">
        <v>87</v>
      </c>
    </row>
    <row r="22" spans="2:18">
      <c r="C22" s="6"/>
      <c r="D22" s="6"/>
      <c r="E22" s="6"/>
      <c r="J22">
        <v>-12</v>
      </c>
      <c r="K22">
        <f t="shared" si="5"/>
        <v>84.375</v>
      </c>
      <c r="L22">
        <f t="shared" si="6"/>
        <v>170</v>
      </c>
      <c r="M22">
        <v>81</v>
      </c>
      <c r="O22">
        <v>-12</v>
      </c>
      <c r="P22">
        <f t="shared" si="7"/>
        <v>114.37499999999999</v>
      </c>
      <c r="Q22">
        <f t="shared" si="8"/>
        <v>120.00000000000001</v>
      </c>
      <c r="R22">
        <v>88</v>
      </c>
    </row>
    <row r="23" spans="2:18">
      <c r="C23" s="6"/>
      <c r="D23" s="6"/>
      <c r="E23" s="6"/>
      <c r="F23" s="3"/>
      <c r="J23">
        <v>-13</v>
      </c>
      <c r="K23">
        <f t="shared" si="5"/>
        <v>85.15625</v>
      </c>
      <c r="L23">
        <f t="shared" si="6"/>
        <v>174.16666666666666</v>
      </c>
      <c r="M23">
        <v>81</v>
      </c>
      <c r="O23">
        <v>-13</v>
      </c>
      <c r="P23">
        <f t="shared" si="7"/>
        <v>115.15624999999999</v>
      </c>
      <c r="Q23">
        <f t="shared" si="8"/>
        <v>124.16666666666667</v>
      </c>
      <c r="R23">
        <v>89</v>
      </c>
    </row>
    <row r="24" spans="2:18">
      <c r="B24" s="3"/>
      <c r="J24">
        <v>-14</v>
      </c>
      <c r="K24">
        <f t="shared" si="5"/>
        <v>85.9375</v>
      </c>
      <c r="L24">
        <f t="shared" si="6"/>
        <v>178.33333333333331</v>
      </c>
      <c r="M24">
        <v>81</v>
      </c>
      <c r="O24">
        <v>-14</v>
      </c>
      <c r="P24">
        <f t="shared" si="7"/>
        <v>115.93749999999999</v>
      </c>
      <c r="Q24">
        <f t="shared" si="8"/>
        <v>128.33333333333334</v>
      </c>
      <c r="R24">
        <v>90</v>
      </c>
    </row>
    <row r="25" spans="2:18">
      <c r="C25" s="6"/>
      <c r="D25" s="6"/>
      <c r="E25" s="6"/>
      <c r="G25" s="8"/>
      <c r="H25" s="8"/>
      <c r="I25" s="8"/>
      <c r="J25">
        <v>-15</v>
      </c>
      <c r="K25">
        <f t="shared" si="5"/>
        <v>86.71875</v>
      </c>
      <c r="L25">
        <f t="shared" si="6"/>
        <v>182.5</v>
      </c>
      <c r="M25">
        <v>81</v>
      </c>
      <c r="O25">
        <v>-15</v>
      </c>
      <c r="P25">
        <f t="shared" si="7"/>
        <v>116.71874999999999</v>
      </c>
      <c r="Q25">
        <f t="shared" si="8"/>
        <v>132.5</v>
      </c>
      <c r="R25">
        <v>91</v>
      </c>
    </row>
    <row r="26" spans="2:18">
      <c r="C26" s="6"/>
      <c r="D26" s="6"/>
      <c r="E26" s="6"/>
      <c r="G26" s="8"/>
      <c r="H26" s="8"/>
      <c r="I26" s="8"/>
      <c r="J26">
        <v>-16</v>
      </c>
      <c r="K26">
        <f t="shared" si="5"/>
        <v>87.5</v>
      </c>
      <c r="L26">
        <f t="shared" si="6"/>
        <v>186.66666666666666</v>
      </c>
      <c r="M26">
        <v>81</v>
      </c>
      <c r="O26">
        <v>-16</v>
      </c>
      <c r="P26">
        <f t="shared" si="7"/>
        <v>117.49999999999999</v>
      </c>
      <c r="Q26">
        <f t="shared" si="8"/>
        <v>136.66666666666666</v>
      </c>
      <c r="R26">
        <v>92</v>
      </c>
    </row>
    <row r="27" spans="2:18">
      <c r="C27" s="6"/>
      <c r="D27" s="6"/>
      <c r="E27" s="6"/>
      <c r="G27" s="8"/>
      <c r="H27" s="8"/>
      <c r="I27" s="8"/>
      <c r="J27">
        <v>-17</v>
      </c>
      <c r="K27">
        <f t="shared" si="5"/>
        <v>88.28125</v>
      </c>
      <c r="L27">
        <f t="shared" si="6"/>
        <v>190.83333333333331</v>
      </c>
      <c r="M27">
        <v>81</v>
      </c>
      <c r="O27">
        <v>-17</v>
      </c>
      <c r="P27">
        <f t="shared" si="7"/>
        <v>118.28124999999999</v>
      </c>
      <c r="Q27">
        <f t="shared" si="8"/>
        <v>140.83333333333331</v>
      </c>
      <c r="R27">
        <v>93</v>
      </c>
    </row>
    <row r="28" spans="2:18">
      <c r="J28">
        <v>-18</v>
      </c>
      <c r="K28">
        <f t="shared" si="5"/>
        <v>89.0625</v>
      </c>
      <c r="L28">
        <f t="shared" si="6"/>
        <v>195</v>
      </c>
      <c r="M28">
        <v>81</v>
      </c>
      <c r="O28">
        <v>-18</v>
      </c>
      <c r="P28">
        <f t="shared" si="7"/>
        <v>119.06249999999999</v>
      </c>
      <c r="Q28">
        <f t="shared" si="8"/>
        <v>145</v>
      </c>
      <c r="R28">
        <v>94</v>
      </c>
    </row>
    <row r="29" spans="2:18">
      <c r="F29" s="3"/>
      <c r="J29">
        <v>-19</v>
      </c>
      <c r="K29">
        <f t="shared" si="5"/>
        <v>89.84375</v>
      </c>
      <c r="L29">
        <f t="shared" si="6"/>
        <v>199.16666666666666</v>
      </c>
      <c r="M29">
        <v>81</v>
      </c>
      <c r="O29">
        <v>-19</v>
      </c>
      <c r="P29">
        <f t="shared" si="7"/>
        <v>119.84374999999999</v>
      </c>
      <c r="Q29">
        <f t="shared" si="8"/>
        <v>149.16666666666666</v>
      </c>
      <c r="R29">
        <v>95</v>
      </c>
    </row>
    <row r="30" spans="2:18">
      <c r="B30" s="3"/>
      <c r="J30">
        <v>-20</v>
      </c>
      <c r="K30">
        <f t="shared" si="5"/>
        <v>90.625</v>
      </c>
      <c r="L30">
        <f t="shared" si="6"/>
        <v>203.33333333333334</v>
      </c>
      <c r="M30">
        <v>81</v>
      </c>
      <c r="O30">
        <v>-20</v>
      </c>
      <c r="P30">
        <f t="shared" si="7"/>
        <v>120.62499999999999</v>
      </c>
      <c r="Q30">
        <f t="shared" si="8"/>
        <v>153.33333333333331</v>
      </c>
      <c r="R30">
        <v>96</v>
      </c>
    </row>
    <row r="31" spans="2:18">
      <c r="C31" s="6"/>
      <c r="D31" s="6"/>
      <c r="E31" s="6"/>
      <c r="G31" s="8"/>
      <c r="H31" s="8"/>
      <c r="I31" s="8"/>
    </row>
    <row r="32" spans="2:18">
      <c r="C32" s="6"/>
      <c r="D32" s="6"/>
      <c r="E32" s="6"/>
      <c r="G32" s="8"/>
      <c r="H32" s="8"/>
      <c r="I32" s="8"/>
    </row>
    <row r="33" spans="2:15">
      <c r="C33" s="6"/>
      <c r="D33" s="6"/>
      <c r="E33" s="6"/>
      <c r="G33" s="8"/>
      <c r="H33" s="8"/>
      <c r="I33" s="8"/>
    </row>
    <row r="35" spans="2:15">
      <c r="F35" s="3"/>
    </row>
    <row r="36" spans="2:15">
      <c r="B36" s="3"/>
    </row>
    <row r="37" spans="2:15">
      <c r="C37" s="6"/>
      <c r="D37" s="6"/>
      <c r="E37" s="6"/>
      <c r="G37" s="8"/>
      <c r="H37" s="8"/>
      <c r="I37" s="8"/>
    </row>
    <row r="38" spans="2:15">
      <c r="C38" s="6"/>
      <c r="D38" s="6"/>
      <c r="E38" s="6"/>
      <c r="G38" s="8"/>
      <c r="H38" s="8"/>
      <c r="I38" s="8"/>
    </row>
    <row r="39" spans="2:15">
      <c r="C39" s="6"/>
      <c r="D39" s="6"/>
      <c r="E39" s="6"/>
      <c r="G39" s="8"/>
      <c r="H39" s="8"/>
      <c r="I39" s="8"/>
    </row>
    <row r="45" spans="2:15">
      <c r="B45" s="3" t="s">
        <v>22</v>
      </c>
      <c r="C45" t="s">
        <v>0</v>
      </c>
      <c r="D45" t="s">
        <v>21</v>
      </c>
      <c r="E45">
        <v>123</v>
      </c>
      <c r="L45" t="s">
        <v>36</v>
      </c>
      <c r="M45">
        <v>360</v>
      </c>
    </row>
    <row r="46" spans="2:15">
      <c r="B46" t="s">
        <v>18</v>
      </c>
      <c r="C46" s="6">
        <f>VLOOKUP(C45,$B$3:$H$8,7)*3.5</f>
        <v>2.734375</v>
      </c>
      <c r="D46" s="6">
        <f>VLOOKUP(D45,$B$3:$H$8,7)*3.5</f>
        <v>14.583333333333334</v>
      </c>
      <c r="E46" s="6">
        <f>VLOOKUP(E45,$B$3:$H$8,7)*3.5</f>
        <v>8.75</v>
      </c>
      <c r="G46" s="5"/>
      <c r="L46" t="s">
        <v>46</v>
      </c>
      <c r="M46" t="s">
        <v>24</v>
      </c>
      <c r="N46" t="s">
        <v>41</v>
      </c>
      <c r="O46">
        <v>123</v>
      </c>
    </row>
    <row r="47" spans="2:15">
      <c r="B47" t="s">
        <v>19</v>
      </c>
      <c r="C47" s="6">
        <f>(VLOOKUP(C45,$B$3:$H$8,2)*0.07+3)*VLOOKUP(C45,$B$3:$H$8,7)</f>
        <v>7.5937500000000009</v>
      </c>
      <c r="D47" s="6">
        <f t="shared" ref="D47:E47" si="11">(VLOOKUP(D45,$B$3:$H$8,2)*0.07+3)*VLOOKUP(D45,$B$3:$H$8,7)</f>
        <v>20.900000000000002</v>
      </c>
      <c r="E47" s="6">
        <f>(VLOOKUP(E45,$B$3:$H$8,2)*0.07)*VLOOKUP(E45,$B$3:$H$8,7)</f>
        <v>5.6700000000000008</v>
      </c>
      <c r="L47" t="s">
        <v>37</v>
      </c>
      <c r="M47">
        <f>PI()*$M$45/360</f>
        <v>3.1415926535897931</v>
      </c>
      <c r="N47">
        <f>PI()*$M$45/360</f>
        <v>3.1415926535897931</v>
      </c>
      <c r="O47">
        <f>1*$M$45/360</f>
        <v>1</v>
      </c>
    </row>
    <row r="48" spans="2:15">
      <c r="B48" t="s">
        <v>20</v>
      </c>
      <c r="C48" s="6">
        <f>(VLOOKUP(C45,$B$3:$H$8,2)*0.12)*VLOOKUP(C45,$B$3:$H$8,7)</f>
        <v>9</v>
      </c>
      <c r="D48" s="6">
        <f t="shared" ref="D48:E48" si="12">(VLOOKUP(D45,$B$3:$H$8,2)*0.12)*VLOOKUP(D45,$B$3:$H$8,7)</f>
        <v>14.4</v>
      </c>
      <c r="E48" s="6">
        <f>(VLOOKUP(E45,$B$3:$H$8,2)*0.12)*VLOOKUP(E45,$B$3:$H$8,7)</f>
        <v>9.7199999999999989</v>
      </c>
      <c r="L48" t="s">
        <v>38</v>
      </c>
      <c r="M48">
        <f>(2^2*PI()-M47)*$M$45/360</f>
        <v>9.4247779607693793</v>
      </c>
      <c r="N48">
        <f>(1.8^2*PI()-N47)*$M$45/360</f>
        <v>7.0371675440411376</v>
      </c>
      <c r="O48">
        <f>(1.5^2*PI()-O47)*$M$45/360</f>
        <v>6.0685834705770336</v>
      </c>
    </row>
    <row r="49" spans="2:20">
      <c r="C49" s="6"/>
      <c r="D49" s="6"/>
      <c r="E49" s="6"/>
      <c r="F49" s="3" t="s">
        <v>30</v>
      </c>
      <c r="G49" t="s">
        <v>0</v>
      </c>
      <c r="H49" t="s">
        <v>21</v>
      </c>
      <c r="I49" t="s">
        <v>26</v>
      </c>
      <c r="L49" t="s">
        <v>39</v>
      </c>
      <c r="M49">
        <f>(4^2*PI()-M48-M47)*$M$45/360</f>
        <v>37.699111843077517</v>
      </c>
      <c r="O49">
        <f>(2.25^2*PI()-O48-O47)*$M$45/360</f>
        <v>8.8357293382212934</v>
      </c>
    </row>
    <row r="50" spans="2:20">
      <c r="B50" s="3" t="s">
        <v>33</v>
      </c>
      <c r="C50" t="s">
        <v>0</v>
      </c>
      <c r="D50" t="s">
        <v>21</v>
      </c>
      <c r="E50">
        <v>123</v>
      </c>
      <c r="F50" t="s">
        <v>31</v>
      </c>
      <c r="G50">
        <f>(VLOOKUP(G49,$B$3:$H$8,2)*2.8)*VLOOKUP(G49,$B$3:$H$8,7)*2.8*1.09</f>
        <v>640.91999999999996</v>
      </c>
      <c r="H50">
        <f>(VLOOKUP(H49,$B$3:$H$8,2)*2.8)*VLOOKUP(H49,$B$3:$H$8,7)*2.8*1.09</f>
        <v>1025.472</v>
      </c>
      <c r="I50">
        <f>(VLOOKUP(I49,$B$3:$H$8,2)*2.8)*VLOOKUP(I49,$B$3:$H$8,7)*2.8*1.09</f>
        <v>797.58933333333323</v>
      </c>
      <c r="L50" t="s">
        <v>42</v>
      </c>
      <c r="M50">
        <f>SUM(M47:M49)</f>
        <v>50.26548245743669</v>
      </c>
      <c r="N50">
        <f>SUM(N47:N49)</f>
        <v>10.178760197630931</v>
      </c>
      <c r="O50">
        <f>SUM(O47:O49)</f>
        <v>15.904312808798327</v>
      </c>
    </row>
    <row r="51" spans="2:20">
      <c r="B51" t="s">
        <v>18</v>
      </c>
      <c r="C51" s="6">
        <f>VLOOKUP(C50,$B$3:$H$8,7)*3.5*2.8</f>
        <v>7.6562499999999991</v>
      </c>
      <c r="D51" s="6">
        <f t="shared" ref="D51" si="13">VLOOKUP(D50,$B$3:$H$8,7)*3.5*2.8</f>
        <v>40.833333333333336</v>
      </c>
      <c r="E51" s="6">
        <f t="shared" ref="E51" si="14">VLOOKUP(E50,$B$3:$H$8,7)*3.5*2.8</f>
        <v>24.5</v>
      </c>
      <c r="F51" t="s">
        <v>34</v>
      </c>
      <c r="G51" s="8">
        <f>C51/G50</f>
        <v>1.1945718654434251E-2</v>
      </c>
      <c r="H51" s="8">
        <f t="shared" ref="H51" si="15">D51/H50</f>
        <v>3.9819062181447505E-2</v>
      </c>
      <c r="I51" s="8">
        <f t="shared" ref="I51" si="16">E51/I50</f>
        <v>3.0717562254259506E-2</v>
      </c>
    </row>
    <row r="52" spans="2:20">
      <c r="B52" t="s">
        <v>19</v>
      </c>
      <c r="C52" s="6">
        <f>(VLOOKUP(C50,$B$3:$H$8,2)*0.07+3)*VLOOKUP(C50,$B$3:$H$8,7)*2.8*1.09</f>
        <v>23.176125000000006</v>
      </c>
      <c r="D52" s="6">
        <f>(VLOOKUP(D50,$B$3:$H$8,2)*0.07+3)*VLOOKUP(D50,$B$3:$H$8,7)*2.8*1.09</f>
        <v>63.786800000000007</v>
      </c>
      <c r="E52" s="6">
        <f>(VLOOKUP(E50,$B$3:$H$8,2)*0.07)*VLOOKUP(E50,$B$3:$H$8,7)*2.8*1.09</f>
        <v>17.304840000000002</v>
      </c>
      <c r="G52" s="8">
        <f>C52/G50</f>
        <v>3.6160714285714296E-2</v>
      </c>
      <c r="H52" s="8">
        <f t="shared" ref="H52" si="17">D52/H50</f>
        <v>6.220238095238096E-2</v>
      </c>
      <c r="I52" s="8">
        <f t="shared" ref="I52" si="18">E52/I50</f>
        <v>2.1696428571428578E-2</v>
      </c>
    </row>
    <row r="53" spans="2:20">
      <c r="B53" t="s">
        <v>20</v>
      </c>
      <c r="C53" s="6">
        <f>(VLOOKUP(C50,$B$3:$H$8,2)*0.12)*VLOOKUP(C50,$B$3:$H$8,7)*2.8*1.09</f>
        <v>27.468</v>
      </c>
      <c r="D53" s="6">
        <f t="shared" ref="D53:E53" si="19">(VLOOKUP(D50,$B$3:$H$8,2)*0.12)*VLOOKUP(D50,$B$3:$H$8,7)*2.8*1.09</f>
        <v>43.948800000000006</v>
      </c>
      <c r="E53" s="6">
        <f t="shared" si="19"/>
        <v>29.665439999999997</v>
      </c>
      <c r="G53" s="8">
        <f>C53/G50</f>
        <v>4.2857142857142858E-2</v>
      </c>
      <c r="H53" s="8">
        <f t="shared" ref="H53" si="20">D53/H50</f>
        <v>4.2857142857142864E-2</v>
      </c>
      <c r="I53" s="8">
        <f t="shared" ref="I53" si="21">E53/I50</f>
        <v>3.719387755102041E-2</v>
      </c>
      <c r="L53" t="s">
        <v>47</v>
      </c>
      <c r="M53" t="s">
        <v>40</v>
      </c>
      <c r="N53" t="s">
        <v>41</v>
      </c>
      <c r="O53">
        <v>123</v>
      </c>
    </row>
    <row r="54" spans="2:20">
      <c r="L54" t="s">
        <v>37</v>
      </c>
      <c r="M54" s="7">
        <f>M47/M$50</f>
        <v>6.25E-2</v>
      </c>
      <c r="N54" s="7">
        <f>N47/N$50</f>
        <v>0.30864197530864196</v>
      </c>
      <c r="O54" s="7">
        <f>O47/O$50</f>
        <v>6.2876026900501869E-2</v>
      </c>
    </row>
    <row r="55" spans="2:20">
      <c r="F55" s="3" t="s">
        <v>30</v>
      </c>
      <c r="G55" t="s">
        <v>0</v>
      </c>
      <c r="H55" t="s">
        <v>21</v>
      </c>
      <c r="I55" t="s">
        <v>26</v>
      </c>
      <c r="L55" t="s">
        <v>38</v>
      </c>
      <c r="M55" s="7">
        <f>M48/$M$50</f>
        <v>0.1875</v>
      </c>
      <c r="N55" s="7">
        <f>N48/N$50</f>
        <v>0.6913580246913581</v>
      </c>
      <c r="O55" s="7">
        <f>O48/O$50</f>
        <v>0.38156841754394255</v>
      </c>
    </row>
    <row r="56" spans="2:20">
      <c r="B56" s="3" t="s">
        <v>28</v>
      </c>
      <c r="C56" t="s">
        <v>0</v>
      </c>
      <c r="D56" t="s">
        <v>21</v>
      </c>
      <c r="E56">
        <v>123</v>
      </c>
      <c r="F56" t="s">
        <v>32</v>
      </c>
      <c r="G56">
        <f>(VLOOKUP(G55,$B$3:$H$8,2)*1.4)*VLOOKUP(G55,$B$3:$H$8,7)*2.5*1.94</f>
        <v>509.24999999999989</v>
      </c>
      <c r="H56">
        <f t="shared" ref="H56" si="22">(VLOOKUP(H55,$B$3:$H$8,2)*1.4)*VLOOKUP(H55,$B$3:$H$8,7)*2.5*1.94</f>
        <v>814.8</v>
      </c>
      <c r="I56">
        <f t="shared" ref="I56" si="23">(VLOOKUP(I55,$B$3:$H$8,2)*1.4)*VLOOKUP(I55,$B$3:$H$8,7)*2.5*1.94</f>
        <v>633.73333333333323</v>
      </c>
      <c r="L56" t="s">
        <v>39</v>
      </c>
      <c r="M56" s="7">
        <f>M49/$M$50</f>
        <v>0.75</v>
      </c>
      <c r="O56" s="7">
        <f>O49/O$50</f>
        <v>0.55555555555555558</v>
      </c>
    </row>
    <row r="57" spans="2:20">
      <c r="B57" t="s">
        <v>18</v>
      </c>
      <c r="C57" s="6">
        <f>VLOOKUP(C56,$B$3:$H$8,7)*2.5*0.94</f>
        <v>1.8359375</v>
      </c>
      <c r="D57" s="6">
        <f t="shared" ref="D57" si="24">VLOOKUP(D56,$B$3:$H$8,7)*3.5*2.8</f>
        <v>40.833333333333336</v>
      </c>
      <c r="E57" s="6">
        <f t="shared" ref="E57" si="25">VLOOKUP(E56,$B$3:$H$8,7)*3.5*2.8</f>
        <v>24.5</v>
      </c>
      <c r="G57" s="8">
        <f>C57/G56</f>
        <v>3.6051791850760929E-3</v>
      </c>
      <c r="H57" s="8">
        <f>D57/H56</f>
        <v>5.0114547537227952E-2</v>
      </c>
      <c r="I57" s="8">
        <f>E57/I56</f>
        <v>3.8659793814432998E-2</v>
      </c>
    </row>
    <row r="58" spans="2:20">
      <c r="B58" t="s">
        <v>19</v>
      </c>
      <c r="C58" s="6">
        <f>(VLOOKUP(C56,$B$3:$H$8,2)*0.07+3)*VLOOKUP(C56,$B$3:$H$8,7)*2.5*1.94</f>
        <v>36.829687500000006</v>
      </c>
      <c r="D58" s="6">
        <f>(VLOOKUP(D56,$B$3:$H$8,2)*0.07+3)*VLOOKUP(D56,$B$3:$H$8,7)*2.5*1.94</f>
        <v>101.36500000000001</v>
      </c>
      <c r="E58" s="6">
        <f>(VLOOKUP(E56,$B$3:$H$8,2)*0.07)*VLOOKUP(E56,$B$3:$H$8,7)*2.5*1.94</f>
        <v>27.499500000000005</v>
      </c>
      <c r="G58" s="8">
        <f>C58/G56</f>
        <v>7.2321428571428592E-2</v>
      </c>
      <c r="H58" s="8">
        <f>D58/H56</f>
        <v>0.12440476190476192</v>
      </c>
      <c r="I58" s="8">
        <f>E58/I56</f>
        <v>4.3392857142857157E-2</v>
      </c>
      <c r="L58" t="s">
        <v>43</v>
      </c>
      <c r="M58" t="s">
        <v>24</v>
      </c>
      <c r="N58" t="s">
        <v>41</v>
      </c>
      <c r="O58">
        <v>123</v>
      </c>
      <c r="Q58" t="s">
        <v>44</v>
      </c>
      <c r="R58" t="s">
        <v>24</v>
      </c>
      <c r="S58" t="s">
        <v>41</v>
      </c>
      <c r="T58">
        <v>123</v>
      </c>
    </row>
    <row r="59" spans="2:20">
      <c r="B59" t="s">
        <v>20</v>
      </c>
      <c r="C59" s="6">
        <f>(VLOOKUP(C56,$B$3:$H$8,2)*0.12)*VLOOKUP(C56,$B$3:$H$8,7)*2.5*1.94</f>
        <v>43.65</v>
      </c>
      <c r="D59" s="6">
        <f t="shared" ref="D59:E59" si="26">(VLOOKUP(D56,$B$3:$H$8,2)*0.12)*VLOOKUP(D56,$B$3:$H$8,7)*2.5*1.94</f>
        <v>69.84</v>
      </c>
      <c r="E59" s="6">
        <f t="shared" si="26"/>
        <v>47.141999999999996</v>
      </c>
      <c r="G59" s="8">
        <f>C59/G56</f>
        <v>8.5714285714285729E-2</v>
      </c>
      <c r="H59" s="8">
        <f t="shared" ref="H59" si="27">D59/H56</f>
        <v>8.5714285714285729E-2</v>
      </c>
      <c r="I59" s="8">
        <f t="shared" ref="I59" si="28">E59/I56</f>
        <v>7.438775510204082E-2</v>
      </c>
      <c r="L59" t="s">
        <v>37</v>
      </c>
      <c r="M59" s="9">
        <v>0.8</v>
      </c>
      <c r="N59" s="9">
        <v>1</v>
      </c>
      <c r="O59" s="9">
        <v>1</v>
      </c>
      <c r="Q59" t="s">
        <v>37</v>
      </c>
      <c r="R59" s="9">
        <f>VLOOKUP(R58,$B$3:$H$8,7)*M50*3.5</f>
        <v>137.44467859455347</v>
      </c>
      <c r="S59" s="9">
        <f t="shared" ref="S59:T59" si="29">VLOOKUP(S58,$B$3:$H$8,7)*N50*3.5</f>
        <v>148.44025288211773</v>
      </c>
      <c r="T59" s="9">
        <f t="shared" si="29"/>
        <v>139.16273707698537</v>
      </c>
    </row>
    <row r="60" spans="2:20">
      <c r="L60" t="s">
        <v>38</v>
      </c>
      <c r="M60" s="9">
        <v>0.6</v>
      </c>
      <c r="N60" s="9">
        <v>0.8</v>
      </c>
      <c r="O60" s="9">
        <v>0.8</v>
      </c>
      <c r="Q60" t="s">
        <v>38</v>
      </c>
      <c r="R60" s="9">
        <f t="shared" ref="R60:R61" si="30">VLOOKUP(R59,$B$3:$H$8,7)*M51*3.5</f>
        <v>0</v>
      </c>
      <c r="S60" s="9">
        <f>(VLOOKUP(S58,$B$3:$H$8,2)*0.07+3)/VLOOKUP(S58,$B$3:$H$8,3)*S56</f>
        <v>0</v>
      </c>
      <c r="T60" s="9">
        <f>(VLOOKUP(T58,$B$3:$H$8,2)*0.07+3)/VLOOKUP(T58,$B$3:$H$8,3)*T56</f>
        <v>0</v>
      </c>
    </row>
    <row r="61" spans="2:20">
      <c r="F61" s="3" t="s">
        <v>30</v>
      </c>
      <c r="G61" t="s">
        <v>0</v>
      </c>
      <c r="H61" t="s">
        <v>21</v>
      </c>
      <c r="I61" t="s">
        <v>26</v>
      </c>
      <c r="L61" t="s">
        <v>39</v>
      </c>
      <c r="M61" s="9">
        <v>0.4</v>
      </c>
      <c r="N61" s="9"/>
      <c r="O61" s="9">
        <v>0.6</v>
      </c>
      <c r="Q61" t="s">
        <v>39</v>
      </c>
      <c r="R61" s="9" t="e">
        <f t="shared" si="30"/>
        <v>#N/A</v>
      </c>
      <c r="S61" s="9">
        <f>(VLOOKUP(S58,$B$3:$H$8,2)*0.12)/VLOOKUP(S58,$B$3:$H$8,3)*S56</f>
        <v>0</v>
      </c>
      <c r="T61" s="9">
        <f>(VLOOKUP(T58,$B$3:$H$8,2))*0.12/VLOOKUP(T58,$B$3:$H$8,3)*T56</f>
        <v>0</v>
      </c>
    </row>
    <row r="62" spans="2:20">
      <c r="B62" s="3" t="s">
        <v>29</v>
      </c>
      <c r="C62" t="s">
        <v>0</v>
      </c>
      <c r="D62" t="s">
        <v>21</v>
      </c>
      <c r="E62">
        <v>123</v>
      </c>
      <c r="F62" t="s">
        <v>27</v>
      </c>
      <c r="G62">
        <f>(VLOOKUP(G61,$B$3:$H$8,2)*1.5)*VLOOKUP(G61,$B$3:$H$8,7)*5*1.45</f>
        <v>815.625</v>
      </c>
      <c r="H62">
        <f t="shared" ref="H62" si="31">(VLOOKUP(H61,$B$3:$H$8,2)*1.5)*VLOOKUP(H61,$B$3:$H$8,7)*5*1.45</f>
        <v>1305.0000000000002</v>
      </c>
      <c r="I62">
        <f t="shared" ref="I62" si="32">(VLOOKUP(I61,$B$3:$H$8,2)*1.5)*VLOOKUP(I61,$B$3:$H$8,7)*5*1.45</f>
        <v>1015</v>
      </c>
      <c r="M62" s="9"/>
      <c r="N62" s="9"/>
      <c r="O62" s="9"/>
    </row>
    <row r="63" spans="2:20">
      <c r="B63" t="s">
        <v>18</v>
      </c>
      <c r="C63" s="6">
        <f>VLOOKUP(C62,$B$3:$H$8,7)*5*1.45</f>
        <v>5.6640625</v>
      </c>
      <c r="D63" s="6">
        <f t="shared" ref="D63" si="33">VLOOKUP(D62,$B$3:$H$8,7)*5*1.45</f>
        <v>30.208333333333336</v>
      </c>
      <c r="E63" s="6">
        <f t="shared" ref="E63" si="34">VLOOKUP(E62,$B$3:$H$8,7)*5*1.45</f>
        <v>18.125</v>
      </c>
      <c r="G63" s="8">
        <f>C63/G62</f>
        <v>6.9444444444444441E-3</v>
      </c>
      <c r="H63" s="8">
        <f t="shared" ref="H63" si="35">D63/H62</f>
        <v>2.3148148148148147E-2</v>
      </c>
      <c r="I63" s="8">
        <f t="shared" ref="I63" si="36">E63/I62</f>
        <v>1.7857142857142856E-2</v>
      </c>
      <c r="L63" t="s">
        <v>44</v>
      </c>
      <c r="M63" t="s">
        <v>40</v>
      </c>
      <c r="N63" t="s">
        <v>41</v>
      </c>
      <c r="O63">
        <v>123</v>
      </c>
    </row>
    <row r="64" spans="2:20">
      <c r="B64" t="s">
        <v>19</v>
      </c>
      <c r="C64" s="6">
        <f>(VLOOKUP(C62,$B$3:$H$8,2)*0.07+3)*VLOOKUP(C62,$B$3:$H$8,7)*5*(1.45+0.09)</f>
        <v>58.471875000000011</v>
      </c>
      <c r="D64" s="6">
        <f t="shared" ref="D64:E64" si="37">(VLOOKUP(D62,$B$3:$H$8,2)*0.07+3)*VLOOKUP(D62,$B$3:$H$8,7)*5*(1.45+0.09)</f>
        <v>160.93000000000004</v>
      </c>
      <c r="E64" s="6">
        <f t="shared" si="37"/>
        <v>101.40900000000002</v>
      </c>
      <c r="G64" s="8">
        <f>C64/G62</f>
        <v>7.168965517241381E-2</v>
      </c>
      <c r="H64" s="8">
        <f t="shared" ref="H64" si="38">D64/H62</f>
        <v>0.12331800766283525</v>
      </c>
      <c r="I64" s="8">
        <f t="shared" ref="I64" si="39">E64/I62</f>
        <v>9.991034482758622E-2</v>
      </c>
      <c r="L64" t="s">
        <v>37</v>
      </c>
      <c r="M64" s="9">
        <f>VLOOKUP($M$63,$B$3:$H$8,2)*M59</f>
        <v>76.800000000000011</v>
      </c>
      <c r="N64" s="9">
        <f>VLOOKUP($N$63,$B$3:$H$8,2)*N59</f>
        <v>28.8</v>
      </c>
      <c r="O64" s="9">
        <f>VLOOKUP($O$63,$B$3:$H$8,2)*O59</f>
        <v>32.4</v>
      </c>
    </row>
    <row r="65" spans="2:16">
      <c r="B65" t="s">
        <v>20</v>
      </c>
      <c r="C65" s="6">
        <f>(VLOOKUP(C62,$B$3:$H$8,2)*0.12)*VLOOKUP(C62,$B$3:$H$8,7)*5*(1.45+0.09)</f>
        <v>69.3</v>
      </c>
      <c r="D65" s="6">
        <f t="shared" ref="D65:E65" si="40">(VLOOKUP(D62,$B$3:$H$8,2)*0.12)*VLOOKUP(D62,$B$3:$H$8,7)*5*(1.45+0.09)</f>
        <v>110.88</v>
      </c>
      <c r="E65" s="6">
        <f t="shared" si="40"/>
        <v>74.843999999999994</v>
      </c>
      <c r="G65" s="8">
        <f>C65/G62</f>
        <v>8.496551724137931E-2</v>
      </c>
      <c r="H65" s="8">
        <f t="shared" ref="H65" si="41">D65/H62</f>
        <v>8.4965517241379296E-2</v>
      </c>
      <c r="I65" s="8">
        <f t="shared" ref="I65" si="42">E65/I62</f>
        <v>7.3737931034482757E-2</v>
      </c>
      <c r="L65" t="s">
        <v>38</v>
      </c>
      <c r="M65" s="9">
        <f>VLOOKUP($M$63,$B$3:$H$8,2)*M60</f>
        <v>57.599999999999994</v>
      </c>
      <c r="N65" s="9">
        <f>VLOOKUP($N$63,$B$3:$H$8,2)*N60</f>
        <v>23.040000000000003</v>
      </c>
      <c r="O65" s="9">
        <f>VLOOKUP($O$63,$B$3:$H$8,2)*O60</f>
        <v>25.92</v>
      </c>
    </row>
    <row r="66" spans="2:16">
      <c r="L66" t="s">
        <v>39</v>
      </c>
      <c r="M66" s="9">
        <f>VLOOKUP($M$63,$B$3:$H$8,2)*M61</f>
        <v>38.400000000000006</v>
      </c>
      <c r="N66" s="9"/>
      <c r="O66" s="9">
        <f t="shared" ref="O65:O66" si="43">VLOOKUP($O$63,$B$3:$H$8,2)*O61</f>
        <v>19.439999999999998</v>
      </c>
    </row>
    <row r="67" spans="2:16">
      <c r="L67" t="s">
        <v>45</v>
      </c>
      <c r="M67" s="10">
        <f>SUM(M64:M66)</f>
        <v>172.8</v>
      </c>
      <c r="N67" s="10">
        <f t="shared" ref="N67:O67" si="44">SUM(N64:N66)</f>
        <v>51.84</v>
      </c>
      <c r="O67" s="10">
        <f t="shared" si="44"/>
        <v>77.759999999999991</v>
      </c>
    </row>
    <row r="69" spans="2:16">
      <c r="L69" t="s">
        <v>50</v>
      </c>
      <c r="M69" t="s">
        <v>40</v>
      </c>
      <c r="N69" t="s">
        <v>41</v>
      </c>
      <c r="O69">
        <v>123</v>
      </c>
      <c r="P69" s="9"/>
    </row>
    <row r="70" spans="2:16">
      <c r="H70" s="9"/>
      <c r="I70" s="9"/>
      <c r="J70" s="9"/>
      <c r="L70" t="s">
        <v>18</v>
      </c>
    </row>
    <row r="71" spans="2:16">
      <c r="H71" s="9"/>
      <c r="I71" s="9"/>
      <c r="J71" s="9"/>
      <c r="L71" t="s">
        <v>48</v>
      </c>
      <c r="M71">
        <f>(M47*M64+M48*M65+M49*M66)</f>
        <v>2231.7874211101894</v>
      </c>
    </row>
    <row r="72" spans="2:16">
      <c r="H72" s="9"/>
      <c r="I72" s="9"/>
      <c r="J72" s="9"/>
      <c r="L72" t="s">
        <v>49</v>
      </c>
    </row>
    <row r="75" spans="2:16">
      <c r="M75" s="10"/>
      <c r="N75" s="10"/>
      <c r="O75" s="10"/>
    </row>
  </sheetData>
  <mergeCells count="4">
    <mergeCell ref="J1:M1"/>
    <mergeCell ref="J9:M9"/>
    <mergeCell ref="T1:W1"/>
    <mergeCell ref="T9:W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2021-04-05T01:08:32Z</dcterms:modified>
</cp:coreProperties>
</file>