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embeddings/oleObject5.bin" ContentType="application/vnd.openxmlformats-officedocument.oleObject"/>
  <Override PartName="/xl/embeddings/oleObject6.bin" ContentType="application/vnd.openxmlformats-officedocument.oleObject"/>
  <Override PartName="/xl/tables/table1.xml" ContentType="application/vnd.openxmlformats-officedocument.spreadsheetml.table+xml"/>
  <Override PartName="/xl/worksheets/sheet6.xml" ContentType="application/vnd.openxmlformats-officedocument.spreadsheetml.worksheet+xml"/>
  <Default Extension="emf" ContentType="image/x-emf"/>
  <Override PartName="/xl/embeddings/oleObject3.bin" ContentType="application/vnd.openxmlformats-officedocument.oleObject"/>
  <Override PartName="/xl/embeddings/oleObject4.bin" ContentType="application/vnd.openxmlformats-officedocument.oleObject"/>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mbeddings/oleObject1.bin" ContentType="application/vnd.openxmlformats-officedocument.oleObject"/>
  <Override PartName="/xl/embeddings/oleObject2.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22935" yWindow="-105" windowWidth="28920" windowHeight="15420" activeTab="3"/>
  </bookViews>
  <sheets>
    <sheet name="ADC_Architecture" sheetId="2" r:id="rId1"/>
    <sheet name="ADC_Data_Ctrl" sheetId="3" r:id="rId2"/>
    <sheet name="ADC_Data_Cal" sheetId="7" r:id="rId3"/>
    <sheet name="Trim digital" sheetId="6" r:id="rId4"/>
    <sheet name="AFE&amp;ADC Interface" sheetId="4" r:id="rId5"/>
    <sheet name="AD_Interface" sheetId="5" r:id="rId6"/>
  </sheets>
  <calcPr calcId="124519"/>
</workbook>
</file>

<file path=xl/calcChain.xml><?xml version="1.0" encoding="utf-8"?>
<calcChain xmlns="http://schemas.openxmlformats.org/spreadsheetml/2006/main">
  <c r="AB13" i="6"/>
  <c r="AB14"/>
  <c r="AB15"/>
  <c r="AB16"/>
  <c r="AB17"/>
  <c r="AB18"/>
  <c r="AB19"/>
  <c r="AB20"/>
  <c r="AB21"/>
  <c r="AB22"/>
  <c r="AB23"/>
  <c r="AB24"/>
  <c r="AB25"/>
  <c r="AB26"/>
  <c r="AB27"/>
  <c r="AB28"/>
  <c r="AB29"/>
  <c r="AB30"/>
  <c r="AB31"/>
  <c r="AB32"/>
  <c r="S15"/>
  <c r="T8"/>
  <c r="R15"/>
  <c r="AA13"/>
  <c r="AC13" s="1"/>
  <c r="AA14"/>
  <c r="AC14" s="1"/>
  <c r="AG9"/>
  <c r="Z13"/>
  <c r="Z14"/>
  <c r="T16"/>
  <c r="T17"/>
  <c r="T18"/>
  <c r="T19"/>
  <c r="T20"/>
  <c r="T21"/>
  <c r="T22"/>
  <c r="T23"/>
  <c r="T24"/>
  <c r="T25"/>
  <c r="T26"/>
  <c r="T27"/>
  <c r="T28"/>
  <c r="T29"/>
  <c r="T30"/>
  <c r="T31"/>
  <c r="T15"/>
  <c r="AG12"/>
  <c r="AG13" s="1"/>
  <c r="G16"/>
  <c r="G17"/>
  <c r="G18"/>
  <c r="G19"/>
  <c r="G20"/>
  <c r="G21"/>
  <c r="G22"/>
  <c r="G23"/>
  <c r="G24"/>
  <c r="G25"/>
  <c r="G26"/>
  <c r="G27"/>
  <c r="G28"/>
  <c r="G29"/>
  <c r="G30"/>
  <c r="G31"/>
  <c r="G32"/>
  <c r="G15"/>
  <c r="AG8"/>
  <c r="K16"/>
  <c r="K17"/>
  <c r="K18"/>
  <c r="K19"/>
  <c r="K20"/>
  <c r="K21"/>
  <c r="K22"/>
  <c r="K23"/>
  <c r="K24"/>
  <c r="K25"/>
  <c r="K26"/>
  <c r="K27"/>
  <c r="K28"/>
  <c r="K29"/>
  <c r="K30"/>
  <c r="K31"/>
  <c r="K32"/>
  <c r="I16"/>
  <c r="I17"/>
  <c r="I18"/>
  <c r="I19"/>
  <c r="I20"/>
  <c r="I21"/>
  <c r="I22"/>
  <c r="I23"/>
  <c r="I24"/>
  <c r="I25"/>
  <c r="I26"/>
  <c r="I27"/>
  <c r="I28"/>
  <c r="I29"/>
  <c r="I30"/>
  <c r="I31"/>
  <c r="I32"/>
  <c r="AH5"/>
  <c r="AG5"/>
  <c r="U15" l="1"/>
  <c r="V15" s="1"/>
  <c r="L19"/>
  <c r="S20"/>
  <c r="U20" s="1"/>
  <c r="V20" s="1"/>
  <c r="S19"/>
  <c r="U19" s="1"/>
  <c r="V19" s="1"/>
  <c r="S26"/>
  <c r="U26" s="1"/>
  <c r="V26" s="1"/>
  <c r="S16"/>
  <c r="U16" s="1"/>
  <c r="V16" s="1"/>
  <c r="S23"/>
  <c r="U23" s="1"/>
  <c r="V23" s="1"/>
  <c r="S25"/>
  <c r="U25" s="1"/>
  <c r="V25" s="1"/>
  <c r="S29"/>
  <c r="U29" s="1"/>
  <c r="V29" s="1"/>
  <c r="S18"/>
  <c r="U18" s="1"/>
  <c r="V18" s="1"/>
  <c r="S22"/>
  <c r="U22" s="1"/>
  <c r="V22" s="1"/>
  <c r="S27"/>
  <c r="U27" s="1"/>
  <c r="V27" s="1"/>
  <c r="S32"/>
  <c r="U32" s="1"/>
  <c r="V32" s="1"/>
  <c r="S17"/>
  <c r="U17" s="1"/>
  <c r="V17" s="1"/>
  <c r="S21"/>
  <c r="U21" s="1"/>
  <c r="V21" s="1"/>
  <c r="S24"/>
  <c r="U24" s="1"/>
  <c r="V24" s="1"/>
  <c r="S28"/>
  <c r="U28" s="1"/>
  <c r="V28" s="1"/>
  <c r="S30"/>
  <c r="U30" s="1"/>
  <c r="V30" s="1"/>
  <c r="S31"/>
  <c r="U31" s="1"/>
  <c r="V31" s="1"/>
  <c r="L16"/>
  <c r="AG10"/>
  <c r="AG11" s="1"/>
  <c r="L17"/>
  <c r="L18"/>
  <c r="L20"/>
  <c r="L21"/>
  <c r="L22"/>
  <c r="L23"/>
  <c r="L24"/>
  <c r="L26"/>
  <c r="L27"/>
  <c r="L28"/>
  <c r="L29"/>
  <c r="L30"/>
  <c r="L25"/>
  <c r="L31"/>
  <c r="L32"/>
  <c r="AG14" l="1"/>
  <c r="AG15" s="1"/>
  <c r="J10"/>
  <c r="N15" s="1"/>
  <c r="N9" s="1"/>
  <c r="K15"/>
  <c r="N3"/>
  <c r="I15"/>
  <c r="G4"/>
  <c r="E45" i="7"/>
  <c r="E43"/>
  <c r="E44"/>
  <c r="E46"/>
  <c r="C10" i="2"/>
  <c r="D10"/>
  <c r="E10"/>
  <c r="C11"/>
  <c r="D11"/>
  <c r="E11"/>
  <c r="B11"/>
  <c r="B10"/>
  <c r="AG16" i="6" l="1"/>
  <c r="AG17" s="1"/>
  <c r="N27"/>
  <c r="Q27" s="1"/>
  <c r="W27" s="1"/>
  <c r="X27" s="1"/>
  <c r="AA27" s="1"/>
  <c r="AC27" s="1"/>
  <c r="N26"/>
  <c r="Q26" s="1"/>
  <c r="W26" s="1"/>
  <c r="X26" s="1"/>
  <c r="AA26" s="1"/>
  <c r="AC26" s="1"/>
  <c r="N25"/>
  <c r="Q25" s="1"/>
  <c r="W25" s="1"/>
  <c r="X25" s="1"/>
  <c r="AA25" s="1"/>
  <c r="AC25" s="1"/>
  <c r="N24"/>
  <c r="Q24" s="1"/>
  <c r="W24" s="1"/>
  <c r="X24" s="1"/>
  <c r="AA24" s="1"/>
  <c r="AC24" s="1"/>
  <c r="N23"/>
  <c r="Q23" s="1"/>
  <c r="W23" s="1"/>
  <c r="X23" s="1"/>
  <c r="AA23" s="1"/>
  <c r="AC23" s="1"/>
  <c r="N31"/>
  <c r="Q31" s="1"/>
  <c r="W31" s="1"/>
  <c r="X31" s="1"/>
  <c r="AA31" s="1"/>
  <c r="AC31" s="1"/>
  <c r="N22"/>
  <c r="Q22" s="1"/>
  <c r="W22" s="1"/>
  <c r="X22" s="1"/>
  <c r="AA22" s="1"/>
  <c r="AC22" s="1"/>
  <c r="N21"/>
  <c r="Q21" s="1"/>
  <c r="W21" s="1"/>
  <c r="X21" s="1"/>
  <c r="AA21" s="1"/>
  <c r="AC21" s="1"/>
  <c r="N20"/>
  <c r="Q20" s="1"/>
  <c r="W20" s="1"/>
  <c r="X20" s="1"/>
  <c r="AA20" s="1"/>
  <c r="AC20" s="1"/>
  <c r="N19"/>
  <c r="Q19" s="1"/>
  <c r="W19" s="1"/>
  <c r="X19" s="1"/>
  <c r="AA19" s="1"/>
  <c r="AC19" s="1"/>
  <c r="N18"/>
  <c r="N17"/>
  <c r="N16"/>
  <c r="P15"/>
  <c r="P9" s="1"/>
  <c r="N32"/>
  <c r="P32"/>
  <c r="P31"/>
  <c r="P30"/>
  <c r="P29"/>
  <c r="P28"/>
  <c r="N29"/>
  <c r="Q29" s="1"/>
  <c r="W29" s="1"/>
  <c r="X29" s="1"/>
  <c r="AA29" s="1"/>
  <c r="AC29" s="1"/>
  <c r="P27"/>
  <c r="P26"/>
  <c r="P25"/>
  <c r="P24"/>
  <c r="P23"/>
  <c r="P22"/>
  <c r="N30"/>
  <c r="P21"/>
  <c r="P20"/>
  <c r="P19"/>
  <c r="P18"/>
  <c r="P17"/>
  <c r="P16"/>
  <c r="N28"/>
  <c r="Q28" s="1"/>
  <c r="W28" s="1"/>
  <c r="X28" s="1"/>
  <c r="AA28" s="1"/>
  <c r="AC28" s="1"/>
  <c r="L15"/>
  <c r="E49" i="7"/>
  <c r="Q16" i="6" l="1"/>
  <c r="W16" s="1"/>
  <c r="X16" s="1"/>
  <c r="AA16" s="1"/>
  <c r="AC16" s="1"/>
  <c r="Q18"/>
  <c r="W18" s="1"/>
  <c r="X18" s="1"/>
  <c r="AA18" s="1"/>
  <c r="AC18" s="1"/>
  <c r="Z26"/>
  <c r="Z28"/>
  <c r="Z25"/>
  <c r="Z24"/>
  <c r="Z23"/>
  <c r="Z31"/>
  <c r="Z21"/>
  <c r="Z19"/>
  <c r="Z22"/>
  <c r="Q17"/>
  <c r="W17" s="1"/>
  <c r="X17" s="1"/>
  <c r="AA17" s="1"/>
  <c r="AC17" s="1"/>
  <c r="Q32"/>
  <c r="W32" s="1"/>
  <c r="X32" s="1"/>
  <c r="AA32" s="1"/>
  <c r="AC32" s="1"/>
  <c r="Z27"/>
  <c r="Q30"/>
  <c r="W30" s="1"/>
  <c r="X30" s="1"/>
  <c r="AA30" s="1"/>
  <c r="AC30" s="1"/>
  <c r="Z20"/>
  <c r="Z29"/>
  <c r="N7"/>
  <c r="O7" s="1"/>
  <c r="P7" s="1"/>
  <c r="Q15"/>
  <c r="W15" s="1"/>
  <c r="X15" s="1"/>
  <c r="E12" i="2"/>
  <c r="E13" s="1"/>
  <c r="D12"/>
  <c r="D13" s="1"/>
  <c r="C12"/>
  <c r="C13" s="1"/>
  <c r="B12"/>
  <c r="Z15" i="6" l="1"/>
  <c r="Z16"/>
  <c r="Z18"/>
  <c r="Z30"/>
  <c r="Z17"/>
  <c r="Z32"/>
  <c r="D14" i="2"/>
  <c r="D15" s="1"/>
  <c r="D16" s="1"/>
  <c r="C14"/>
  <c r="C15" s="1"/>
  <c r="C16" s="1"/>
  <c r="C21" s="1"/>
  <c r="E16"/>
  <c r="E21" s="1"/>
  <c r="E14"/>
  <c r="E15" s="1"/>
  <c r="B13"/>
  <c r="B14" s="1"/>
  <c r="B15" s="1"/>
  <c r="B16" s="1"/>
  <c r="AA15" i="6" l="1"/>
  <c r="AC15" s="1"/>
  <c r="D23" i="2"/>
  <c r="D21"/>
  <c r="D22"/>
  <c r="D19"/>
  <c r="D20"/>
  <c r="D25"/>
  <c r="D24"/>
  <c r="E23"/>
  <c r="E25"/>
  <c r="E22"/>
  <c r="C24"/>
  <c r="E24"/>
  <c r="C25"/>
  <c r="C20"/>
  <c r="E19"/>
  <c r="E20"/>
  <c r="C19"/>
  <c r="C23"/>
  <c r="C22"/>
  <c r="B22"/>
  <c r="B21"/>
  <c r="B24"/>
  <c r="B19"/>
  <c r="B20"/>
  <c r="B25"/>
  <c r="B23"/>
</calcChain>
</file>

<file path=xl/sharedStrings.xml><?xml version="1.0" encoding="utf-8"?>
<sst xmlns="http://schemas.openxmlformats.org/spreadsheetml/2006/main" count="762" uniqueCount="425">
  <si>
    <t>Resolution_Final(Bits)</t>
    <phoneticPr fontId="3" type="noConversion"/>
  </si>
  <si>
    <t>Resolution_Original(Bits)</t>
    <phoneticPr fontId="3" type="noConversion"/>
  </si>
  <si>
    <t>Effective bits
of SDM+ALG</t>
    <phoneticPr fontId="3" type="noConversion"/>
  </si>
  <si>
    <t>6+11</t>
    <phoneticPr fontId="3" type="noConversion"/>
  </si>
  <si>
    <t>7+10</t>
    <phoneticPr fontId="3" type="noConversion"/>
  </si>
  <si>
    <t>First Algorithmic</t>
    <phoneticPr fontId="3" type="noConversion"/>
  </si>
  <si>
    <t>2nd Algorithmic</t>
    <phoneticPr fontId="3" type="noConversion"/>
  </si>
  <si>
    <t>Actual Conversion time(cycle)
(ADC only)</t>
    <phoneticPr fontId="3" type="noConversion"/>
  </si>
  <si>
    <t>Actual Conversion time(uS)
(ADC only)</t>
    <phoneticPr fontId="3" type="noConversion"/>
  </si>
  <si>
    <t>Cell TSAMPLE</t>
    <phoneticPr fontId="1" type="noConversion"/>
  </si>
  <si>
    <t>10</t>
    <phoneticPr fontId="1" type="noConversion"/>
  </si>
  <si>
    <t>00</t>
    <phoneticPr fontId="1" type="noConversion"/>
  </si>
  <si>
    <t>11</t>
    <phoneticPr fontId="1" type="noConversion"/>
  </si>
  <si>
    <t>ADC MODE and Converstin Time Calcuation</t>
    <phoneticPr fontId="1" type="noConversion"/>
  </si>
  <si>
    <t>ADC Final Conversion Time(uS)</t>
    <phoneticPr fontId="1" type="noConversion"/>
  </si>
  <si>
    <t>Full Scale Range</t>
    <phoneticPr fontId="1" type="noConversion"/>
  </si>
  <si>
    <t>LSB</t>
    <phoneticPr fontId="1" type="noConversion"/>
  </si>
  <si>
    <t>Min</t>
    <phoneticPr fontId="1" type="noConversion"/>
  </si>
  <si>
    <t>Typ</t>
    <phoneticPr fontId="1" type="noConversion"/>
  </si>
  <si>
    <t>Max</t>
    <phoneticPr fontId="1" type="noConversion"/>
  </si>
  <si>
    <t>Unit</t>
    <phoneticPr fontId="1" type="noConversion"/>
  </si>
  <si>
    <t>V</t>
    <phoneticPr fontId="1" type="noConversion"/>
  </si>
  <si>
    <t>uV</t>
    <phoneticPr fontId="1" type="noConversion"/>
  </si>
  <si>
    <t>VREF</t>
    <phoneticPr fontId="1" type="noConversion"/>
  </si>
  <si>
    <t>VCC</t>
    <phoneticPr fontId="1" type="noConversion"/>
  </si>
  <si>
    <t>IQ</t>
    <phoneticPr fontId="1" type="noConversion"/>
  </si>
  <si>
    <t>mA</t>
    <phoneticPr fontId="1" type="noConversion"/>
  </si>
  <si>
    <t>mV</t>
    <phoneticPr fontId="1" type="noConversion"/>
  </si>
  <si>
    <t>-6.5536</t>
    <phoneticPr fontId="1" type="noConversion"/>
  </si>
  <si>
    <t>Key Spec</t>
    <phoneticPr fontId="1" type="noConversion"/>
  </si>
  <si>
    <t>±1</t>
    <phoneticPr fontId="1" type="noConversion"/>
  </si>
  <si>
    <r>
      <t>First integration(2</t>
    </r>
    <r>
      <rPr>
        <vertAlign val="superscript"/>
        <sz val="10"/>
        <rFont val="Calibri"/>
        <family val="2"/>
      </rPr>
      <t>^N</t>
    </r>
    <r>
      <rPr>
        <sz val="10"/>
        <rFont val="Calibri"/>
        <family val="2"/>
      </rPr>
      <t>+1)</t>
    </r>
    <phoneticPr fontId="3" type="noConversion"/>
  </si>
  <si>
    <r>
      <t>2nd integration(2</t>
    </r>
    <r>
      <rPr>
        <vertAlign val="superscript"/>
        <sz val="10"/>
        <rFont val="Calibri"/>
        <family val="2"/>
      </rPr>
      <t>^N</t>
    </r>
    <r>
      <rPr>
        <sz val="10"/>
        <rFont val="Calibri"/>
        <family val="2"/>
      </rPr>
      <t>+1)</t>
    </r>
    <phoneticPr fontId="3" type="noConversion"/>
  </si>
  <si>
    <r>
      <t xml:space="preserve">TUE
</t>
    </r>
    <r>
      <rPr>
        <sz val="9"/>
        <color theme="1"/>
        <rFont val="Calibri"/>
        <family val="2"/>
      </rPr>
      <t>(1.5V&lt;VCelln&lt;4.5V, TA = 25</t>
    </r>
    <r>
      <rPr>
        <sz val="9"/>
        <color theme="1"/>
        <rFont val="宋体"/>
        <family val="3"/>
        <charset val="134"/>
      </rPr>
      <t>℃</t>
    </r>
    <r>
      <rPr>
        <sz val="9"/>
        <color theme="1"/>
        <rFont val="Calibri"/>
        <family val="2"/>
      </rPr>
      <t>)</t>
    </r>
    <phoneticPr fontId="1" type="noConversion"/>
  </si>
  <si>
    <t>01
(Default)</t>
    <phoneticPr fontId="1" type="noConversion"/>
  </si>
  <si>
    <t>9+8</t>
  </si>
  <si>
    <t>4+12</t>
    <phoneticPr fontId="3" type="noConversion"/>
  </si>
  <si>
    <t>ADC Output Data 
From Analog Domain</t>
    <phoneticPr fontId="3" type="noConversion"/>
  </si>
  <si>
    <t>ADC DATA Registers in Digital Domain</t>
    <phoneticPr fontId="3" type="noConversion"/>
  </si>
  <si>
    <t>D17</t>
    <phoneticPr fontId="3" type="noConversion"/>
  </si>
  <si>
    <t>D16</t>
    <phoneticPr fontId="3" type="noConversion"/>
  </si>
  <si>
    <t>D15</t>
    <phoneticPr fontId="3" type="noConversion"/>
  </si>
  <si>
    <t>D14</t>
  </si>
  <si>
    <t>D13</t>
  </si>
  <si>
    <t>D12</t>
  </si>
  <si>
    <t>D11</t>
  </si>
  <si>
    <t>D10</t>
  </si>
  <si>
    <t>D9</t>
  </si>
  <si>
    <t>D8</t>
  </si>
  <si>
    <t>D7</t>
  </si>
  <si>
    <t>D6</t>
  </si>
  <si>
    <t>D5</t>
  </si>
  <si>
    <t>D4</t>
  </si>
  <si>
    <t>D3</t>
  </si>
  <si>
    <t>D2</t>
  </si>
  <si>
    <t>D1</t>
  </si>
  <si>
    <t>D0</t>
  </si>
  <si>
    <t>SDM_POS&lt;4&gt;</t>
    <phoneticPr fontId="3" type="noConversion"/>
  </si>
  <si>
    <t>SDM_POS&lt;3&gt;</t>
    <phoneticPr fontId="3" type="noConversion"/>
  </si>
  <si>
    <t>SDM_POS&lt;2&gt;</t>
    <phoneticPr fontId="3" type="noConversion"/>
  </si>
  <si>
    <t>SDM_POS&lt;1&gt;</t>
  </si>
  <si>
    <t>SDM_POS&lt;0&gt;</t>
  </si>
  <si>
    <t>ALG_POS&lt;8&gt;</t>
    <phoneticPr fontId="3" type="noConversion"/>
  </si>
  <si>
    <t>ALG_POS&lt;7&gt;</t>
    <phoneticPr fontId="3" type="noConversion"/>
  </si>
  <si>
    <t>ALG_POS&lt;6&gt;</t>
  </si>
  <si>
    <t>ALG_POS&lt;5&gt;</t>
  </si>
  <si>
    <t>ALG_POS&lt;4&gt;</t>
  </si>
  <si>
    <t>ALG_POS&lt;3&gt;</t>
  </si>
  <si>
    <t>ALG_POS&lt;2&gt;</t>
  </si>
  <si>
    <t>ALG_POS&lt;1&gt;</t>
  </si>
  <si>
    <t>ALG_POS&lt;0&gt;</t>
  </si>
  <si>
    <t>SDM_NEG&lt;4&gt;</t>
    <phoneticPr fontId="3" type="noConversion"/>
  </si>
  <si>
    <t>SDM_NEG&lt;3&gt;</t>
    <phoneticPr fontId="3" type="noConversion"/>
  </si>
  <si>
    <t>SDM_NEG&lt;2&gt;</t>
    <phoneticPr fontId="3" type="noConversion"/>
  </si>
  <si>
    <t>SDM_NEG&lt;1&gt;</t>
  </si>
  <si>
    <t>SDM_NEG&lt;0&gt;</t>
  </si>
  <si>
    <t>ALG_NEG&lt;8&gt;</t>
    <phoneticPr fontId="3" type="noConversion"/>
  </si>
  <si>
    <t>ALG_NEG&lt;7&gt;</t>
    <phoneticPr fontId="3" type="noConversion"/>
  </si>
  <si>
    <t>ALG_NEG&lt;6&gt;</t>
  </si>
  <si>
    <t>ALG_NEG&lt;5&gt;</t>
  </si>
  <si>
    <t>ALG_NEG&lt;4&gt;</t>
  </si>
  <si>
    <t>ALG_NEG&lt;3&gt;</t>
  </si>
  <si>
    <t>ALG_NEG&lt;2&gt;</t>
  </si>
  <si>
    <t>ALG_NEG&lt;1&gt;</t>
  </si>
  <si>
    <t>ALG_NEG&lt;0&gt;</t>
  </si>
  <si>
    <t>SDM_POS&lt;5&gt;</t>
    <phoneticPr fontId="3" type="noConversion"/>
  </si>
  <si>
    <t>SDM_NEG&lt;5&gt;</t>
    <phoneticPr fontId="3" type="noConversion"/>
  </si>
  <si>
    <t>SDM_POS&lt;6&gt;</t>
    <phoneticPr fontId="3" type="noConversion"/>
  </si>
  <si>
    <t>SDM_NEG&lt;6&gt;</t>
    <phoneticPr fontId="3" type="noConversion"/>
  </si>
  <si>
    <t>SDM_POS&lt;7&gt;</t>
    <phoneticPr fontId="3" type="noConversion"/>
  </si>
  <si>
    <t>SDM_POS&lt;1&gt;</t>
    <phoneticPr fontId="3" type="noConversion"/>
  </si>
  <si>
    <t>SDM_NEG&lt;7&gt;</t>
    <phoneticPr fontId="3" type="noConversion"/>
  </si>
  <si>
    <t>SDM_POS&lt;8&gt;</t>
    <phoneticPr fontId="3" type="noConversion"/>
  </si>
  <si>
    <t>SDM_NEG&lt;8&gt;</t>
    <phoneticPr fontId="3" type="noConversion"/>
  </si>
  <si>
    <t>SDM_POS&lt;9&gt;</t>
    <phoneticPr fontId="3" type="noConversion"/>
  </si>
  <si>
    <t>SDM_NEG&lt;9&gt;</t>
    <phoneticPr fontId="3" type="noConversion"/>
  </si>
  <si>
    <t>SDM_OUT_LCH_POS&lt;9:0&gt;</t>
    <phoneticPr fontId="3" type="noConversion"/>
  </si>
  <si>
    <t>ALG_OUT_LCH_POS&lt;11:0&gt;</t>
    <phoneticPr fontId="3" type="noConversion"/>
  </si>
  <si>
    <t>SDM_OUT_LCH_NEG&lt;9:0&gt;</t>
    <phoneticPr fontId="3" type="noConversion"/>
  </si>
  <si>
    <t>ALG_OUT_LCH_NEG&lt;11:0&gt;</t>
    <phoneticPr fontId="3" type="noConversion"/>
  </si>
  <si>
    <t>00</t>
    <phoneticPr fontId="1" type="noConversion"/>
  </si>
  <si>
    <t>01</t>
    <phoneticPr fontId="1" type="noConversion"/>
  </si>
  <si>
    <t>10</t>
    <phoneticPr fontId="1" type="noConversion"/>
  </si>
  <si>
    <t>11</t>
    <phoneticPr fontId="1" type="noConversion"/>
  </si>
  <si>
    <t>ALG_POS&lt;9&gt;</t>
    <phoneticPr fontId="3" type="noConversion"/>
  </si>
  <si>
    <t>ALG_POS&lt;10&gt;</t>
    <phoneticPr fontId="3" type="noConversion"/>
  </si>
  <si>
    <t>ALG_POS&lt;11&gt;</t>
    <phoneticPr fontId="3" type="noConversion"/>
  </si>
  <si>
    <t>ALG_NEG&lt;11&gt;</t>
    <phoneticPr fontId="3" type="noConversion"/>
  </si>
  <si>
    <t>ALG_NEG&lt;10&gt;</t>
    <phoneticPr fontId="3" type="noConversion"/>
  </si>
  <si>
    <t>ALG_NEG&lt;9&gt;</t>
    <phoneticPr fontId="1" type="noConversion"/>
  </si>
  <si>
    <t>SDM_POS&lt;0&gt;</t>
    <phoneticPr fontId="1" type="noConversion"/>
  </si>
  <si>
    <t>Mode</t>
    <phoneticPr fontId="3" type="noConversion"/>
  </si>
  <si>
    <t>BM02A ADC Output Data Acquisition from Analog to Digital</t>
    <phoneticPr fontId="3" type="noConversion"/>
  </si>
  <si>
    <t>Pin Name</t>
  </si>
  <si>
    <t>Direction</t>
  </si>
  <si>
    <t>Width</t>
    <phoneticPr fontId="3" type="noConversion"/>
  </si>
  <si>
    <t>Default Value</t>
  </si>
  <si>
    <t>Property</t>
  </si>
  <si>
    <t>Description</t>
  </si>
  <si>
    <t>Comment</t>
  </si>
  <si>
    <t>Input</t>
  </si>
  <si>
    <t>1b'</t>
    <phoneticPr fontId="3" type="noConversion"/>
  </si>
  <si>
    <t>N/A</t>
    <phoneticPr fontId="3" type="noConversion"/>
  </si>
  <si>
    <t>Static logic control</t>
  </si>
  <si>
    <t>Input</t>
    <phoneticPr fontId="3" type="noConversion"/>
  </si>
  <si>
    <t>Clock</t>
    <phoneticPr fontId="3" type="noConversion"/>
  </si>
  <si>
    <t>Data</t>
    <phoneticPr fontId="3" type="noConversion"/>
  </si>
  <si>
    <t>MSB datas from ADC at positive direction</t>
    <phoneticPr fontId="3" type="noConversion"/>
  </si>
  <si>
    <t>LSB datas from ADC at positive direction</t>
    <phoneticPr fontId="3" type="noConversion"/>
  </si>
  <si>
    <t>MSB datas from ADC at negative direction</t>
    <phoneticPr fontId="3" type="noConversion"/>
  </si>
  <si>
    <t>LSB datas from ADC at negative direction</t>
    <phoneticPr fontId="3" type="noConversion"/>
  </si>
  <si>
    <t>Output</t>
    <phoneticPr fontId="3" type="noConversion"/>
  </si>
  <si>
    <t>POLAR</t>
    <phoneticPr fontId="3" type="noConversion"/>
  </si>
  <si>
    <t>1b'</t>
  </si>
  <si>
    <t>RST_INT</t>
    <phoneticPr fontId="3" type="noConversion"/>
  </si>
  <si>
    <t>EN_SH_VIN</t>
    <phoneticPr fontId="3" type="noConversion"/>
  </si>
  <si>
    <t>SH_SDM_REG</t>
    <phoneticPr fontId="3" type="noConversion"/>
  </si>
  <si>
    <t>VIP_AFE</t>
    <phoneticPr fontId="3" type="noConversion"/>
  </si>
  <si>
    <t>VIN_AFE</t>
    <phoneticPr fontId="3" type="noConversion"/>
  </si>
  <si>
    <t>VREF_ADC</t>
    <phoneticPr fontId="3" type="noConversion"/>
  </si>
  <si>
    <t>GND_S</t>
    <phoneticPr fontId="3" type="noConversion"/>
  </si>
  <si>
    <t>VCM_AFE</t>
    <phoneticPr fontId="3" type="noConversion"/>
  </si>
  <si>
    <t>IBSP_BIAS_1U</t>
    <phoneticPr fontId="3" type="noConversion"/>
  </si>
  <si>
    <t>IBSP_CAS_1U</t>
    <phoneticPr fontId="3" type="noConversion"/>
  </si>
  <si>
    <t>IBSP_LVL_CTRL_50N</t>
    <phoneticPr fontId="3" type="noConversion"/>
  </si>
  <si>
    <t>IBSP_LVL_VCM_CTRL_50N</t>
    <phoneticPr fontId="3" type="noConversion"/>
  </si>
  <si>
    <t>IBSP_LVL_VIN_CTRL_50N</t>
    <phoneticPr fontId="3" type="noConversion"/>
  </si>
  <si>
    <t>IBSP_REG_VIN_CTRL_50N</t>
    <phoneticPr fontId="3" type="noConversion"/>
  </si>
  <si>
    <t>RSTB_VDD5V</t>
    <phoneticPr fontId="3" type="noConversion"/>
  </si>
  <si>
    <t>EN_CH</t>
    <phoneticPr fontId="3" type="noConversion"/>
  </si>
  <si>
    <t>VDC</t>
    <phoneticPr fontId="3" type="noConversion"/>
  </si>
  <si>
    <t>VDD5V_ANA</t>
    <phoneticPr fontId="3" type="noConversion"/>
  </si>
  <si>
    <t>VDD5V_DIG</t>
    <phoneticPr fontId="3" type="noConversion"/>
  </si>
  <si>
    <t>GND_ANA</t>
    <phoneticPr fontId="3" type="noConversion"/>
  </si>
  <si>
    <t>GND_DIG</t>
    <phoneticPr fontId="3" type="noConversion"/>
  </si>
  <si>
    <t>CLKIN_1M</t>
    <phoneticPr fontId="3" type="noConversion"/>
  </si>
  <si>
    <t>EN_SH_VRFEF</t>
    <phoneticPr fontId="3" type="noConversion"/>
  </si>
  <si>
    <t>EN_ALG</t>
    <phoneticPr fontId="3" type="noConversion"/>
  </si>
  <si>
    <t>BM02 AFE&amp;ADC(single channel) I/O description</t>
    <phoneticPr fontId="3" type="noConversion"/>
  </si>
  <si>
    <t>SDM_POS&lt;9:0&gt;</t>
    <phoneticPr fontId="3" type="noConversion"/>
  </si>
  <si>
    <t>ALG_POS&lt;11:0&gt;</t>
    <phoneticPr fontId="3" type="noConversion"/>
  </si>
  <si>
    <t>Data</t>
    <phoneticPr fontId="1" type="noConversion"/>
  </si>
  <si>
    <t>Analog Input</t>
    <phoneticPr fontId="1" type="noConversion"/>
  </si>
  <si>
    <t>Analog Input</t>
    <phoneticPr fontId="3" type="noConversion"/>
  </si>
  <si>
    <t>Power Supply</t>
    <phoneticPr fontId="3" type="noConversion"/>
  </si>
  <si>
    <t>Ground</t>
    <phoneticPr fontId="3" type="noConversion"/>
  </si>
  <si>
    <t>VOP_AFE</t>
    <phoneticPr fontId="3" type="noConversion"/>
  </si>
  <si>
    <t>VON_AFE</t>
    <phoneticPr fontId="3" type="noConversion"/>
  </si>
  <si>
    <t>VOP_INT</t>
    <phoneticPr fontId="3" type="noConversion"/>
  </si>
  <si>
    <t>VON_INT</t>
    <phoneticPr fontId="3" type="noConversion"/>
  </si>
  <si>
    <t>Analog output</t>
    <phoneticPr fontId="3" type="noConversion"/>
  </si>
  <si>
    <t>SDM_NEG&lt;9:0&gt;</t>
    <phoneticPr fontId="3" type="noConversion"/>
  </si>
  <si>
    <t>ALG_NEG&lt;11:0&gt;</t>
    <phoneticPr fontId="3" type="noConversion"/>
  </si>
  <si>
    <t>Analog output</t>
    <phoneticPr fontId="1" type="noConversion"/>
  </si>
  <si>
    <t>10b'</t>
    <phoneticPr fontId="1" type="noConversion"/>
  </si>
  <si>
    <t>12b'</t>
    <phoneticPr fontId="1" type="noConversion"/>
  </si>
  <si>
    <t>N/A</t>
    <phoneticPr fontId="1" type="noConversion"/>
  </si>
  <si>
    <t>Clock</t>
    <phoneticPr fontId="1" type="noConversion"/>
  </si>
  <si>
    <t>Power on reset</t>
    <phoneticPr fontId="3" type="noConversion"/>
  </si>
  <si>
    <t>Analog input</t>
    <phoneticPr fontId="3" type="noConversion"/>
  </si>
  <si>
    <t>b'1</t>
    <phoneticPr fontId="3" type="noConversion"/>
  </si>
  <si>
    <t>Positive input signal from Cell selection swithes</t>
    <phoneticPr fontId="3" type="noConversion"/>
  </si>
  <si>
    <t>Negative input signal from Cell selection switches</t>
    <phoneticPr fontId="3" type="noConversion"/>
  </si>
  <si>
    <t>1. Common mode voltage varies from 0~90V
2. Differential voltage varies from -2V~5V</t>
    <phoneticPr fontId="3" type="noConversion"/>
  </si>
  <si>
    <t>1. Typical 1.2V, the absolute value is not important, since it's only affect ADC's gain error which can be trimmed back if trimming bits is enough.
2. This voltgae should directly drive sampling capacitor of ADC(6pF for each channel)</t>
    <phoneticPr fontId="3" type="noConversion"/>
  </si>
  <si>
    <t>Supply voltage of chip, voltage range is 9~90V</t>
    <phoneticPr fontId="1" type="noConversion"/>
  </si>
  <si>
    <t>Positive reference voltage of ADC</t>
    <phoneticPr fontId="3" type="noConversion"/>
  </si>
  <si>
    <t>Negative reference voltage of ADC</t>
    <phoneticPr fontId="3" type="noConversion"/>
  </si>
  <si>
    <t>Common mode voltage of AFE</t>
    <phoneticPr fontId="3" type="noConversion"/>
  </si>
  <si>
    <t>Negative reference of ADC, should be directly connect to a "clean" ground. I suggest to connect to the same ground of ADC reference generator, and connect to GND PAD by star connection.</t>
    <phoneticPr fontId="1" type="noConversion"/>
  </si>
  <si>
    <t>1/2 VDC voltage, already connect to buffer, only need a voltage divider of VDC</t>
    <phoneticPr fontId="1" type="noConversion"/>
  </si>
  <si>
    <t>Supply voltage of whole chip</t>
    <phoneticPr fontId="3" type="noConversion"/>
  </si>
  <si>
    <t xml:space="preserve">Supplied by internal LDO, voltage range is 4.8V~5.2V </t>
    <phoneticPr fontId="3" type="noConversion"/>
  </si>
  <si>
    <t>Analog ground of AFE&amp;ADC</t>
    <phoneticPr fontId="3" type="noConversion"/>
  </si>
  <si>
    <t>Ground of analog blocks, should be decoupled to VDD5V_ANA</t>
    <phoneticPr fontId="1" type="noConversion"/>
  </si>
  <si>
    <r>
      <t>Supplied by internal LDO, voltage range is 4.8V~5.2V</t>
    </r>
    <r>
      <rPr>
        <sz val="11"/>
        <rFont val="Calibri"/>
        <family val="2"/>
      </rPr>
      <t xml:space="preserve"> </t>
    </r>
    <phoneticPr fontId="3" type="noConversion"/>
  </si>
  <si>
    <t>Supply voltage form internal LDO, for analog blocks only</t>
    <phoneticPr fontId="1" type="noConversion"/>
  </si>
  <si>
    <t>Supply voltage form internal LDO, for digital blocks only</t>
    <phoneticPr fontId="1" type="noConversion"/>
  </si>
  <si>
    <t>Ground of digital blocks, should be decoupled to VDD5V_DIG</t>
    <phoneticPr fontId="1" type="noConversion"/>
  </si>
  <si>
    <t xml:space="preserve">These signals are ADC timming control signal, since ADC has 4 different modes(ADC Architecture), the related timming of control signals is different. 
For further detailed information about ADC conversion and data processing,  please check work space "ADC_Ctrl" in this excel </t>
    <phoneticPr fontId="3" type="noConversion"/>
  </si>
  <si>
    <t>Original bias current of AFE&amp;ADC top</t>
    <phoneticPr fontId="3" type="noConversion"/>
  </si>
  <si>
    <t>1. Should comes from ibias block, can be shut down in power-off mode
2. The accuracy of these current determine the power consumption of AFE&amp;ADC</t>
    <phoneticPr fontId="1" type="noConversion"/>
  </si>
  <si>
    <t>Weak bias from high voltage level shifter</t>
    <phoneticPr fontId="3" type="noConversion"/>
  </si>
  <si>
    <t>1. Should be "always on" when VDC up
2. The absolute value affect shut down power</t>
    <phoneticPr fontId="1" type="noConversion"/>
  </si>
  <si>
    <t>Power on reset signal of ADC registers</t>
    <phoneticPr fontId="3" type="noConversion"/>
  </si>
  <si>
    <t>b'0</t>
    <phoneticPr fontId="3" type="noConversion"/>
  </si>
  <si>
    <t>changes from "L" to "H" when power is ready</t>
    <phoneticPr fontId="3" type="noConversion"/>
  </si>
  <si>
    <t>Enable control of AFE&amp;ADC channel</t>
    <phoneticPr fontId="1" type="noConversion"/>
  </si>
  <si>
    <t>"H" enable AFE&amp;ADC channel
"L" disable AFE&amp;ADC channel</t>
    <phoneticPr fontId="1" type="noConversion"/>
  </si>
  <si>
    <t xml:space="preserve">Clock signal from internal clock generator, typical frequency is 1MHz </t>
    <phoneticPr fontId="1" type="noConversion"/>
  </si>
  <si>
    <t>Polarity control of ADC, "H" polarity is positive, "L" polarity is negative</t>
    <phoneticPr fontId="1" type="noConversion"/>
  </si>
  <si>
    <t>Reset signal of ADC , when "RST_INT" is "high", integrator is in reset mode, the integration capacitor will be reset in every cycle.</t>
    <phoneticPr fontId="1" type="noConversion"/>
  </si>
  <si>
    <t>Enable signal of input sample of integrator. The integrator will sample Vshunt or Vbus only if EN_SH_VIN is "high"</t>
    <phoneticPr fontId="1" type="noConversion"/>
  </si>
  <si>
    <t>Enable signal of reference feedback in ADC. The integrator will feedback reference voltage only if EN_SH_VREF is "high"</t>
    <phoneticPr fontId="1" type="noConversion"/>
  </si>
  <si>
    <t>Enable signal of ADC gain2 function. EN_ALG is "high", the integrator is in GAIN2 mode, the redundant signal in INT_CAP will amplified by 2X.</t>
    <phoneticPr fontId="1" type="noConversion"/>
  </si>
  <si>
    <t>Sample signal of ADC SDM mode result registers, rising effective</t>
    <phoneticPr fontId="1" type="noConversion"/>
  </si>
  <si>
    <t>Sample signal of ADC Algorithmic mode result registers, rising effective</t>
    <phoneticPr fontId="1" type="noConversion"/>
  </si>
  <si>
    <t>Output nodes for AFE block</t>
    <phoneticPr fontId="3" type="noConversion"/>
  </si>
  <si>
    <t>Output nodes for ADC integrator block</t>
    <phoneticPr fontId="3" type="noConversion"/>
  </si>
  <si>
    <t>Add by post layout simulation debug</t>
    <phoneticPr fontId="3" type="noConversion"/>
  </si>
  <si>
    <t>Positive output from ADC register, see further detail in "ADC_Data_Ctrl"</t>
    <phoneticPr fontId="1" type="noConversion"/>
  </si>
  <si>
    <t>Negative output from ADC register, see further detail in "ADC_Data_Ctrl"</t>
    <phoneticPr fontId="1" type="noConversion"/>
  </si>
  <si>
    <t>D2A</t>
    <phoneticPr fontId="3" type="noConversion"/>
  </si>
  <si>
    <t>1b'</t>
    <phoneticPr fontId="3" type="noConversion"/>
  </si>
  <si>
    <t>N/A</t>
    <phoneticPr fontId="3" type="noConversion"/>
  </si>
  <si>
    <t>Data</t>
    <phoneticPr fontId="3" type="noConversion"/>
  </si>
  <si>
    <t>Output data of positive comparator</t>
    <phoneticPr fontId="3" type="noConversion"/>
  </si>
  <si>
    <t>Output data of negative comparator</t>
    <phoneticPr fontId="3" type="noConversion"/>
  </si>
  <si>
    <t>A2D</t>
    <phoneticPr fontId="3" type="noConversion"/>
  </si>
  <si>
    <r>
      <t xml:space="preserve">1 </t>
    </r>
    <r>
      <rPr>
        <sz val="14"/>
        <color theme="1"/>
        <rFont val="宋体"/>
        <family val="2"/>
        <charset val="134"/>
      </rPr>
      <t>根据</t>
    </r>
    <r>
      <rPr>
        <sz val="14"/>
        <color theme="1"/>
        <rFont val="Times New Roman"/>
        <family val="1"/>
      </rPr>
      <t>POLAR</t>
    </r>
    <r>
      <rPr>
        <sz val="14"/>
        <color theme="1"/>
        <rFont val="宋体"/>
        <family val="2"/>
        <charset val="134"/>
      </rPr>
      <t>值，将</t>
    </r>
    <r>
      <rPr>
        <sz val="14"/>
        <color theme="1"/>
        <rFont val="Times New Roman"/>
        <family val="1"/>
      </rPr>
      <t>ADC_POS[17:0]</t>
    </r>
    <r>
      <rPr>
        <sz val="14"/>
        <color theme="1"/>
        <rFont val="宋体"/>
        <family val="2"/>
        <charset val="134"/>
      </rPr>
      <t>和</t>
    </r>
    <r>
      <rPr>
        <sz val="14"/>
        <color theme="1"/>
        <rFont val="Times New Roman"/>
        <family val="1"/>
      </rPr>
      <t>ADC_NEG[17:0]</t>
    </r>
    <r>
      <rPr>
        <sz val="14"/>
        <color theme="1"/>
        <rFont val="宋体"/>
        <family val="2"/>
        <charset val="134"/>
      </rPr>
      <t>相减，得到</t>
    </r>
    <r>
      <rPr>
        <sz val="14"/>
        <color theme="1"/>
        <rFont val="Times New Roman"/>
        <family val="1"/>
      </rPr>
      <t>ADC_OUT1[18:0]</t>
    </r>
    <r>
      <rPr>
        <sz val="14"/>
        <color theme="1"/>
        <rFont val="宋体"/>
        <family val="2"/>
        <charset val="134"/>
      </rPr>
      <t>和</t>
    </r>
    <r>
      <rPr>
        <sz val="14"/>
        <color theme="1"/>
        <rFont val="Times New Roman"/>
        <family val="1"/>
      </rPr>
      <t>ADC_OUT0[18:0]</t>
    </r>
    <phoneticPr fontId="1" type="noConversion"/>
  </si>
  <si>
    <t>NOTE</t>
    <phoneticPr fontId="1" type="noConversion"/>
  </si>
  <si>
    <t>fs=1000000/Ts(Hz)</t>
    <phoneticPr fontId="1" type="noConversion"/>
  </si>
  <si>
    <t>fc(Hz)=fs/(2*pi*(2^n-1))</t>
    <phoneticPr fontId="1" type="noConversion"/>
  </si>
  <si>
    <t>n</t>
    <phoneticPr fontId="1" type="noConversion"/>
  </si>
  <si>
    <t>4'b</t>
    <phoneticPr fontId="1" type="noConversion"/>
  </si>
  <si>
    <t>D2D</t>
    <phoneticPr fontId="3" type="noConversion"/>
  </si>
  <si>
    <t>4'b0101</t>
    <phoneticPr fontId="1" type="noConversion"/>
  </si>
  <si>
    <t>enable signal</t>
    <phoneticPr fontId="3" type="noConversion"/>
  </si>
  <si>
    <t>1'b</t>
    <phoneticPr fontId="3" type="noConversion"/>
  </si>
  <si>
    <t>enable signal for analog</t>
    <phoneticPr fontId="3" type="noConversion"/>
  </si>
  <si>
    <t>D2A_CELL_ADC_EN</t>
    <phoneticPr fontId="3" type="noConversion"/>
  </si>
  <si>
    <t>18'b</t>
    <phoneticPr fontId="3" type="noConversion"/>
  </si>
  <si>
    <t>D2A_AUX_ADC_EN</t>
    <phoneticPr fontId="3" type="noConversion"/>
  </si>
  <si>
    <t>Ts=ADC Final Conversion Time(uS)*18</t>
    <phoneticPr fontId="1" type="noConversion"/>
  </si>
  <si>
    <t>ADC_CHP_EN</t>
    <phoneticPr fontId="1" type="noConversion"/>
  </si>
  <si>
    <t>ADC Clock Frequency(Mhz)</t>
    <phoneticPr fontId="3" type="noConversion"/>
  </si>
  <si>
    <t>Common</t>
    <phoneticPr fontId="1" type="noConversion"/>
  </si>
  <si>
    <r>
      <t xml:space="preserve">0.1  </t>
    </r>
    <r>
      <rPr>
        <i/>
        <sz val="14"/>
        <color theme="1"/>
        <rFont val="Times New Roman"/>
        <family val="1"/>
      </rPr>
      <t>ADC_POS[17:0]</t>
    </r>
    <r>
      <rPr>
        <sz val="14"/>
        <color theme="1"/>
        <rFont val="Times New Roman"/>
        <family val="1"/>
      </rPr>
      <t>=</t>
    </r>
    <r>
      <rPr>
        <i/>
        <sz val="14"/>
        <color theme="1"/>
        <rFont val="Times New Roman"/>
        <family val="1"/>
      </rPr>
      <t>SDM_OUT_LCH_POS</t>
    </r>
    <r>
      <rPr>
        <sz val="14"/>
        <color theme="1"/>
        <rFont val="Times New Roman"/>
        <family val="1"/>
      </rPr>
      <t>*2^N+</t>
    </r>
    <r>
      <rPr>
        <i/>
        <sz val="14"/>
        <color theme="1"/>
        <rFont val="Times New Roman"/>
        <family val="1"/>
      </rPr>
      <t>ALG_OUT_LCH_POS+ALG_OUT_LCH_POS*ALG_GAINERR1[7:0]</t>
    </r>
    <r>
      <rPr>
        <sz val="14"/>
        <color theme="1"/>
        <rFont val="Times New Roman"/>
        <family val="1"/>
      </rPr>
      <t xml:space="preserve">/2^12
0.2 </t>
    </r>
    <r>
      <rPr>
        <i/>
        <sz val="14"/>
        <color theme="1"/>
        <rFont val="Times New Roman"/>
        <family val="1"/>
      </rPr>
      <t xml:space="preserve"> ADC_NEG[17:0]</t>
    </r>
    <r>
      <rPr>
        <sz val="14"/>
        <color theme="1"/>
        <rFont val="Times New Roman"/>
        <family val="1"/>
      </rPr>
      <t>=</t>
    </r>
    <r>
      <rPr>
        <i/>
        <sz val="14"/>
        <color theme="1"/>
        <rFont val="Times New Roman"/>
        <family val="1"/>
      </rPr>
      <t>SDM_OUT_LCH_NEG</t>
    </r>
    <r>
      <rPr>
        <sz val="14"/>
        <color theme="1"/>
        <rFont val="Times New Roman"/>
        <family val="1"/>
      </rPr>
      <t>*2^N+</t>
    </r>
    <r>
      <rPr>
        <i/>
        <sz val="14"/>
        <color theme="1"/>
        <rFont val="Times New Roman"/>
        <family val="1"/>
      </rPr>
      <t>ALG_OUT_LCH_NEG</t>
    </r>
    <r>
      <rPr>
        <sz val="14"/>
        <color theme="1"/>
        <rFont val="Times New Roman"/>
        <family val="1"/>
      </rPr>
      <t>+</t>
    </r>
    <r>
      <rPr>
        <i/>
        <sz val="14"/>
        <color theme="1"/>
        <rFont val="Times New Roman"/>
        <family val="1"/>
      </rPr>
      <t>ALG_OUT_LCH_NEG</t>
    </r>
    <r>
      <rPr>
        <sz val="14"/>
        <color theme="1"/>
        <rFont val="Times New Roman"/>
        <family val="1"/>
      </rPr>
      <t>*A</t>
    </r>
    <r>
      <rPr>
        <i/>
        <sz val="14"/>
        <color theme="1"/>
        <rFont val="Times New Roman"/>
        <family val="1"/>
      </rPr>
      <t>LG_GAINERR1[7:0]</t>
    </r>
    <r>
      <rPr>
        <sz val="14"/>
        <color theme="1"/>
        <rFont val="Times New Roman"/>
        <family val="1"/>
      </rPr>
      <t>/2^12</t>
    </r>
    <phoneticPr fontId="1" type="noConversion"/>
  </si>
  <si>
    <r>
      <rPr>
        <sz val="12"/>
        <color theme="1"/>
        <rFont val="宋体"/>
        <family val="3"/>
        <charset val="134"/>
      </rPr>
      <t xml:space="preserve">1 </t>
    </r>
    <r>
      <rPr>
        <b/>
        <i/>
        <sz val="12"/>
        <color theme="1"/>
        <rFont val="宋体"/>
        <family val="3"/>
        <charset val="134"/>
      </rPr>
      <t xml:space="preserve"> DIE_TEMP_ADC_DATA[15:0]</t>
    </r>
    <r>
      <rPr>
        <sz val="12"/>
        <color theme="1"/>
        <rFont val="宋体"/>
        <family val="3"/>
        <charset val="134"/>
      </rPr>
      <t xml:space="preserve">为VPTAT ADC 转换结果，LSB 0.05°C,绝对温度；有符号补码，参考block diagram 中OTH_ADC_DATA
2 </t>
    </r>
    <r>
      <rPr>
        <b/>
        <i/>
        <sz val="12"/>
        <color theme="1"/>
        <rFont val="Times New Roman"/>
        <family val="1"/>
      </rPr>
      <t>ADC_TEMP_code_L[7:0]/ADC_TEMP_code_H[7:0]</t>
    </r>
    <r>
      <rPr>
        <sz val="12"/>
        <color theme="1"/>
        <rFont val="Times New Roman"/>
        <family val="1"/>
      </rPr>
      <t xml:space="preserve"> </t>
    </r>
    <r>
      <rPr>
        <sz val="12"/>
        <color theme="1"/>
        <rFont val="宋体"/>
        <family val="3"/>
        <charset val="134"/>
      </rPr>
      <t xml:space="preserve">为ADC结果温度系数trim code，有符号补码，单位为1.25/2^21 每度.
3 </t>
    </r>
    <r>
      <rPr>
        <b/>
        <i/>
        <sz val="12"/>
        <color theme="1"/>
        <rFont val="宋体"/>
        <family val="3"/>
        <charset val="134"/>
      </rPr>
      <t>ADC_TEMP_COM_EN</t>
    </r>
    <r>
      <rPr>
        <sz val="12"/>
        <color theme="1"/>
        <rFont val="宋体"/>
        <family val="3"/>
        <charset val="134"/>
      </rPr>
      <t xml:space="preserve">为寄存器配置bit，default 1；
4 </t>
    </r>
    <r>
      <rPr>
        <b/>
        <i/>
        <sz val="12"/>
        <color theme="1"/>
        <rFont val="宋体"/>
        <family val="3"/>
        <charset val="134"/>
      </rPr>
      <t>Temp_factor</t>
    </r>
    <r>
      <rPr>
        <sz val="12"/>
        <color theme="1"/>
        <rFont val="宋体"/>
        <family val="3"/>
        <charset val="134"/>
      </rPr>
      <t xml:space="preserve"> 为1/2^21
5 375为27°对应的绝对温度300K除以DIE_TEMP_ADC_DATA[4]对应的权重0.8°
</t>
    </r>
    <phoneticPr fontId="1" type="noConversion"/>
  </si>
  <si>
    <t>for GPIO1-12</t>
    <phoneticPr fontId="1" type="noConversion"/>
  </si>
  <si>
    <r>
      <rPr>
        <sz val="12"/>
        <color theme="1"/>
        <rFont val="宋体"/>
        <family val="3"/>
        <charset val="134"/>
      </rPr>
      <t>溢出指</t>
    </r>
    <r>
      <rPr>
        <sz val="12"/>
        <color theme="1"/>
        <rFont val="Times New Roman"/>
        <family val="1"/>
      </rPr>
      <t>ADC_OUT_TEMP_TRIM</t>
    </r>
    <r>
      <rPr>
        <sz val="12"/>
        <color rgb="FFFF0000"/>
        <rFont val="Times New Roman"/>
        <family val="1"/>
      </rPr>
      <t>[19:17]</t>
    </r>
    <r>
      <rPr>
        <sz val="12"/>
        <color theme="1"/>
        <rFont val="宋体"/>
        <family val="3"/>
        <charset val="134"/>
      </rPr>
      <t>正值时不等于</t>
    </r>
    <r>
      <rPr>
        <sz val="12"/>
        <color rgb="FFFF0000"/>
        <rFont val="Times New Roman"/>
        <family val="1"/>
      </rPr>
      <t>000</t>
    </r>
    <r>
      <rPr>
        <sz val="12"/>
        <color theme="1"/>
        <rFont val="宋体"/>
        <family val="3"/>
        <charset val="134"/>
      </rPr>
      <t>或者负值时不等于</t>
    </r>
    <r>
      <rPr>
        <sz val="12"/>
        <color rgb="FFFF0000"/>
        <rFont val="Times New Roman"/>
        <family val="1"/>
      </rPr>
      <t>111</t>
    </r>
    <phoneticPr fontId="1" type="noConversion"/>
  </si>
  <si>
    <r>
      <t xml:space="preserve">4 for CELL1-18
</t>
    </r>
    <r>
      <rPr>
        <i/>
        <sz val="14"/>
        <color rgb="FFC00000"/>
        <rFont val="Times New Roman"/>
        <family val="1"/>
      </rPr>
      <t>ADC_OUT_OS[20:0]</t>
    </r>
    <r>
      <rPr>
        <sz val="14"/>
        <color theme="1"/>
        <rFont val="Times New Roman"/>
        <family val="1"/>
      </rPr>
      <t>=</t>
    </r>
    <r>
      <rPr>
        <i/>
        <sz val="14"/>
        <color rgb="FFFF0000"/>
        <rFont val="Times New Roman"/>
        <family val="1"/>
      </rPr>
      <t>ADC_OUT_ORG[19:0]</t>
    </r>
    <r>
      <rPr>
        <sz val="14"/>
        <color theme="1"/>
        <rFont val="Times New Roman"/>
        <family val="1"/>
      </rPr>
      <t>+(</t>
    </r>
    <r>
      <rPr>
        <i/>
        <sz val="14"/>
        <color theme="1"/>
        <rFont val="Times New Roman"/>
        <family val="1"/>
      </rPr>
      <t>Vos_code_Cellx[5:0]</t>
    </r>
    <r>
      <rPr>
        <sz val="14"/>
        <color theme="1"/>
        <rFont val="Times New Roman"/>
        <family val="1"/>
      </rPr>
      <t>+</t>
    </r>
    <r>
      <rPr>
        <i/>
        <sz val="14"/>
        <color theme="1"/>
        <rFont val="Times New Roman"/>
        <family val="1"/>
      </rPr>
      <t>Vos_code_comm[7:0]</t>
    </r>
    <r>
      <rPr>
        <sz val="14"/>
        <color theme="1"/>
        <rFont val="Times New Roman"/>
        <family val="1"/>
      </rPr>
      <t xml:space="preserve">)*Offset_factor
for GPIO1-12/VPTAT/others
</t>
    </r>
    <r>
      <rPr>
        <i/>
        <sz val="14"/>
        <color rgb="FFC00000"/>
        <rFont val="Times New Roman"/>
        <family val="1"/>
      </rPr>
      <t>ADC_OUT_OS[20:0]</t>
    </r>
    <r>
      <rPr>
        <sz val="14"/>
        <color theme="1"/>
        <rFont val="Times New Roman"/>
        <family val="1"/>
      </rPr>
      <t>=</t>
    </r>
    <r>
      <rPr>
        <i/>
        <sz val="14"/>
        <color rgb="FFFF0000"/>
        <rFont val="Times New Roman"/>
        <family val="1"/>
      </rPr>
      <t>ADC_OUT_ORG[19:0]</t>
    </r>
    <r>
      <rPr>
        <sz val="14"/>
        <color theme="1"/>
        <rFont val="Times New Roman"/>
        <family val="1"/>
      </rPr>
      <t>+</t>
    </r>
    <r>
      <rPr>
        <i/>
        <sz val="14"/>
        <color theme="1"/>
        <rFont val="Times New Roman"/>
        <family val="1"/>
      </rPr>
      <t>Vos_code_GPIO[7:0]</t>
    </r>
    <r>
      <rPr>
        <sz val="14"/>
        <color theme="1"/>
        <rFont val="Times New Roman"/>
        <family val="1"/>
      </rPr>
      <t>*Offset_factor</t>
    </r>
    <phoneticPr fontId="1" type="noConversion"/>
  </si>
  <si>
    <r>
      <t xml:space="preserve">trim offset;
1  Offset_factor=4
2   </t>
    </r>
    <r>
      <rPr>
        <i/>
        <sz val="12"/>
        <color theme="1"/>
        <rFont val="Times New Roman"/>
        <family val="1"/>
      </rPr>
      <t>Vos_code_comm[7:0]</t>
    </r>
    <r>
      <rPr>
        <sz val="12"/>
        <color theme="1"/>
        <rFont val="宋体"/>
        <family val="3"/>
        <charset val="134"/>
      </rPr>
      <t>为</t>
    </r>
    <r>
      <rPr>
        <sz val="12"/>
        <color theme="1"/>
        <rFont val="Times New Roman"/>
        <family val="1"/>
      </rPr>
      <t>main ADC 18</t>
    </r>
    <r>
      <rPr>
        <sz val="12"/>
        <color theme="1"/>
        <rFont val="宋体"/>
        <family val="3"/>
        <charset val="134"/>
      </rPr>
      <t>路公用的</t>
    </r>
    <r>
      <rPr>
        <sz val="12"/>
        <color theme="1"/>
        <rFont val="Times New Roman"/>
        <family val="1"/>
      </rPr>
      <t>trim code</t>
    </r>
    <r>
      <rPr>
        <sz val="12"/>
        <color theme="1"/>
        <rFont val="宋体"/>
        <family val="3"/>
        <charset val="134"/>
      </rPr>
      <t xml:space="preserve">，符号数补码
3  </t>
    </r>
    <r>
      <rPr>
        <i/>
        <sz val="12"/>
        <color theme="1"/>
        <rFont val="Times New Roman"/>
        <family val="1"/>
      </rPr>
      <t>Vos_code_Cellx</t>
    </r>
    <r>
      <rPr>
        <sz val="12"/>
        <color theme="1"/>
        <rFont val="宋体"/>
        <family val="3"/>
        <charset val="134"/>
      </rPr>
      <t>为</t>
    </r>
    <r>
      <rPr>
        <sz val="12"/>
        <color theme="1"/>
        <rFont val="Times New Roman"/>
        <family val="1"/>
      </rPr>
      <t>main ADC</t>
    </r>
    <r>
      <rPr>
        <sz val="12"/>
        <color theme="1"/>
        <rFont val="宋体"/>
        <family val="3"/>
        <charset val="134"/>
      </rPr>
      <t xml:space="preserve">第x路（1-18）offset trim code，符号数补码
4 </t>
    </r>
    <r>
      <rPr>
        <i/>
        <sz val="12"/>
        <color theme="1"/>
        <rFont val="宋体"/>
        <family val="3"/>
        <charset val="134"/>
      </rPr>
      <t>Vos_code_GPIO[7:0]</t>
    </r>
    <r>
      <rPr>
        <sz val="12"/>
        <color theme="1"/>
        <rFont val="宋体"/>
        <family val="3"/>
        <charset val="134"/>
      </rPr>
      <t>为main ADC GPIO1-12 通用的 VOS trim code，有符号补码</t>
    </r>
    <phoneticPr fontId="1" type="noConversion"/>
  </si>
  <si>
    <r>
      <t xml:space="preserve">5 for CELL1-18 
</t>
    </r>
    <r>
      <rPr>
        <i/>
        <sz val="14"/>
        <color rgb="FF00B050"/>
        <rFont val="Times New Roman"/>
        <family val="1"/>
      </rPr>
      <t>ADC_OUT_OS_GAIN[20:0]</t>
    </r>
    <r>
      <rPr>
        <sz val="14"/>
        <color theme="1"/>
        <rFont val="Times New Roman"/>
        <family val="1"/>
      </rPr>
      <t xml:space="preserve"> = </t>
    </r>
    <r>
      <rPr>
        <i/>
        <sz val="14"/>
        <color rgb="FFC00000"/>
        <rFont val="Times New Roman"/>
        <family val="1"/>
      </rPr>
      <t>ADC_OUT_OS[20:0]</t>
    </r>
    <r>
      <rPr>
        <sz val="14"/>
        <color rgb="FFFF0000"/>
        <rFont val="Times New Roman"/>
        <family val="1"/>
      </rPr>
      <t>+</t>
    </r>
    <r>
      <rPr>
        <i/>
        <sz val="14"/>
        <color rgb="FFC00000"/>
        <rFont val="Times New Roman"/>
        <family val="1"/>
      </rPr>
      <t>ADC_OUT_OS[20:0]</t>
    </r>
    <r>
      <rPr>
        <sz val="14"/>
        <color theme="1"/>
        <rFont val="Times New Roman"/>
        <family val="1"/>
      </rPr>
      <t>*</t>
    </r>
    <r>
      <rPr>
        <sz val="14"/>
        <color rgb="FFFF0000"/>
        <rFont val="Times New Roman"/>
        <family val="1"/>
      </rPr>
      <t>(</t>
    </r>
    <r>
      <rPr>
        <i/>
        <sz val="14"/>
        <color theme="1"/>
        <rFont val="Times New Roman"/>
        <family val="1"/>
      </rPr>
      <t>GainErr_code_Cellx[</t>
    </r>
    <r>
      <rPr>
        <i/>
        <sz val="14"/>
        <color rgb="FFC00000"/>
        <rFont val="Times New Roman"/>
        <family val="1"/>
      </rPr>
      <t>6</t>
    </r>
    <r>
      <rPr>
        <i/>
        <sz val="14"/>
        <color theme="1"/>
        <rFont val="Times New Roman"/>
        <family val="1"/>
      </rPr>
      <t>:0]</t>
    </r>
    <r>
      <rPr>
        <sz val="14"/>
        <color theme="1"/>
        <rFont val="Times New Roman"/>
        <family val="1"/>
      </rPr>
      <t>+</t>
    </r>
    <r>
      <rPr>
        <i/>
        <sz val="14"/>
        <color theme="1"/>
        <rFont val="Times New Roman"/>
        <family val="1"/>
      </rPr>
      <t>GainErr_code_comm[11:0]</t>
    </r>
    <r>
      <rPr>
        <sz val="14"/>
        <color rgb="FFFF0000"/>
        <rFont val="Times New Roman"/>
        <family val="1"/>
      </rPr>
      <t>)</t>
    </r>
    <r>
      <rPr>
        <sz val="14"/>
        <color theme="1"/>
        <rFont val="Times New Roman"/>
        <family val="1"/>
      </rPr>
      <t xml:space="preserve">*Gain_factor
for GPIO1-12/others
</t>
    </r>
    <r>
      <rPr>
        <i/>
        <sz val="14"/>
        <color rgb="FF33CC33"/>
        <rFont val="Times New Roman"/>
        <family val="1"/>
      </rPr>
      <t>ADC_OUT_OS_GAIN[20:0]</t>
    </r>
    <r>
      <rPr>
        <sz val="14"/>
        <color theme="1"/>
        <rFont val="Times New Roman"/>
        <family val="1"/>
      </rPr>
      <t xml:space="preserve"> = </t>
    </r>
    <r>
      <rPr>
        <i/>
        <sz val="14"/>
        <color rgb="FFC00000"/>
        <rFont val="Times New Roman"/>
        <family val="1"/>
      </rPr>
      <t>ADC_OUT_OS[20:0]</t>
    </r>
    <r>
      <rPr>
        <sz val="14"/>
        <color theme="1"/>
        <rFont val="Times New Roman"/>
        <family val="1"/>
      </rPr>
      <t>+</t>
    </r>
    <r>
      <rPr>
        <i/>
        <sz val="14"/>
        <color rgb="FFC00000"/>
        <rFont val="Times New Roman"/>
        <family val="1"/>
      </rPr>
      <t>ADC_OUT_OS[20:0]</t>
    </r>
    <r>
      <rPr>
        <sz val="14"/>
        <color theme="1"/>
        <rFont val="Times New Roman"/>
        <family val="1"/>
      </rPr>
      <t>*</t>
    </r>
    <r>
      <rPr>
        <i/>
        <sz val="14"/>
        <color theme="1"/>
        <rFont val="Times New Roman"/>
        <family val="1"/>
      </rPr>
      <t>GainErr_code_GPIO[11:0]</t>
    </r>
    <r>
      <rPr>
        <sz val="14"/>
        <color theme="1"/>
        <rFont val="Times New Roman"/>
        <family val="1"/>
      </rPr>
      <t xml:space="preserve">*Gain_factor
for VPTAT 
</t>
    </r>
    <r>
      <rPr>
        <i/>
        <sz val="14"/>
        <color rgb="FF33CC33"/>
        <rFont val="Times New Roman"/>
        <family val="1"/>
      </rPr>
      <t xml:space="preserve">ADC_OUT_OS_GAIN[20:0] </t>
    </r>
    <r>
      <rPr>
        <sz val="14"/>
        <color theme="1"/>
        <rFont val="Times New Roman"/>
        <family val="1"/>
      </rPr>
      <t xml:space="preserve">= </t>
    </r>
    <r>
      <rPr>
        <i/>
        <sz val="14"/>
        <color rgb="FFC00000"/>
        <rFont val="Times New Roman"/>
        <family val="1"/>
      </rPr>
      <t>ADC_OUT_OS[20:0]</t>
    </r>
    <r>
      <rPr>
        <sz val="14"/>
        <color theme="1"/>
        <rFont val="Times New Roman"/>
        <family val="1"/>
      </rPr>
      <t>+</t>
    </r>
    <r>
      <rPr>
        <i/>
        <sz val="14"/>
        <color rgb="FFC00000"/>
        <rFont val="Times New Roman"/>
        <family val="1"/>
      </rPr>
      <t>ADC_OUT_OS[20:0]</t>
    </r>
    <r>
      <rPr>
        <sz val="14"/>
        <color theme="1"/>
        <rFont val="Times New Roman"/>
        <family val="1"/>
      </rPr>
      <t>*</t>
    </r>
    <r>
      <rPr>
        <i/>
        <sz val="14"/>
        <color theme="1"/>
        <rFont val="Times New Roman"/>
        <family val="1"/>
      </rPr>
      <t>GainErr_code_VPTAT[11:0]*</t>
    </r>
    <r>
      <rPr>
        <sz val="14"/>
        <color theme="1"/>
        <rFont val="Times New Roman"/>
        <family val="1"/>
      </rPr>
      <t>Gain_factor</t>
    </r>
    <phoneticPr fontId="1" type="noConversion"/>
  </si>
  <si>
    <r>
      <t xml:space="preserve">1 </t>
    </r>
    <r>
      <rPr>
        <b/>
        <sz val="12"/>
        <color theme="1"/>
        <rFont val="Times New Roman"/>
        <family val="1"/>
      </rPr>
      <t>GainErr_code_comm[11:0]</t>
    </r>
    <r>
      <rPr>
        <sz val="12"/>
        <color theme="1"/>
        <rFont val="Times New Roman"/>
        <family val="1"/>
      </rPr>
      <t xml:space="preserve"> </t>
    </r>
    <r>
      <rPr>
        <sz val="12"/>
        <color theme="1"/>
        <rFont val="宋体"/>
        <family val="3"/>
        <charset val="134"/>
      </rPr>
      <t xml:space="preserve">为main ADC 18路公用的gain error trim code, 有符号补码
2 </t>
    </r>
    <r>
      <rPr>
        <b/>
        <sz val="12"/>
        <color theme="1"/>
        <rFont val="宋体"/>
        <family val="3"/>
        <charset val="134"/>
      </rPr>
      <t>GainErr_code_Cellx[</t>
    </r>
    <r>
      <rPr>
        <b/>
        <sz val="12"/>
        <color rgb="FFC00000"/>
        <rFont val="宋体"/>
        <family val="3"/>
        <charset val="134"/>
      </rPr>
      <t>6</t>
    </r>
    <r>
      <rPr>
        <b/>
        <sz val="12"/>
        <color theme="1"/>
        <rFont val="宋体"/>
        <family val="3"/>
        <charset val="134"/>
      </rPr>
      <t>:0]</t>
    </r>
    <r>
      <rPr>
        <sz val="12"/>
        <color theme="1"/>
        <rFont val="宋体"/>
        <family val="3"/>
        <charset val="134"/>
      </rPr>
      <t xml:space="preserve"> 为main ADC 第x路（1-18）的gain error trim code,有符号补码
3 </t>
    </r>
    <r>
      <rPr>
        <b/>
        <sz val="12"/>
        <color theme="1"/>
        <rFont val="宋体"/>
        <family val="3"/>
        <charset val="134"/>
      </rPr>
      <t>Gain_factor</t>
    </r>
    <r>
      <rPr>
        <sz val="12"/>
        <color theme="1"/>
        <rFont val="宋体"/>
        <family val="3"/>
        <charset val="134"/>
      </rPr>
      <t xml:space="preserve">=1/2^15
4 </t>
    </r>
    <r>
      <rPr>
        <b/>
        <sz val="12"/>
        <color theme="1"/>
        <rFont val="宋体"/>
        <family val="3"/>
        <charset val="134"/>
      </rPr>
      <t xml:space="preserve">GainErr_code_GPIO[11:0] </t>
    </r>
    <r>
      <rPr>
        <sz val="12"/>
        <color theme="1"/>
        <rFont val="宋体"/>
        <family val="3"/>
        <charset val="134"/>
      </rPr>
      <t xml:space="preserve">为main ADC GPIO1-12 通用的gain error trim code,有符号补码
5 </t>
    </r>
    <r>
      <rPr>
        <b/>
        <sz val="12"/>
        <color theme="1"/>
        <rFont val="宋体"/>
        <family val="3"/>
        <charset val="134"/>
      </rPr>
      <t>GainErr_code_VPTAT[11:0]</t>
    </r>
    <r>
      <rPr>
        <sz val="12"/>
        <color theme="1"/>
        <rFont val="宋体"/>
        <family val="3"/>
        <charset val="134"/>
      </rPr>
      <t xml:space="preserve"> 为main ADC VPTAT 的gain error trim code,有符号补码</t>
    </r>
    <phoneticPr fontId="1" type="noConversion"/>
  </si>
  <si>
    <r>
      <t>7 for all channels 
 if  (</t>
    </r>
    <r>
      <rPr>
        <i/>
        <sz val="14"/>
        <color theme="1"/>
        <rFont val="Times New Roman"/>
        <family val="1"/>
      </rPr>
      <t>DIE_TEMP_ADC_DATA[15:0]</t>
    </r>
    <r>
      <rPr>
        <sz val="14"/>
        <color theme="1"/>
        <rFont val="Times New Roman"/>
        <family val="1"/>
      </rPr>
      <t xml:space="preserve">=16'h8000 or ADC_TEMP_COM_EN=0)
</t>
    </r>
    <r>
      <rPr>
        <i/>
        <sz val="14"/>
        <color rgb="FFFF0000"/>
        <rFont val="Times New Roman"/>
        <family val="1"/>
      </rPr>
      <t xml:space="preserve">ADC_OUT_TEMP_TRIM[20:0] </t>
    </r>
    <r>
      <rPr>
        <sz val="14"/>
        <color theme="1"/>
        <rFont val="Times New Roman"/>
        <family val="1"/>
      </rPr>
      <t xml:space="preserve">= </t>
    </r>
    <r>
      <rPr>
        <i/>
        <sz val="14"/>
        <color rgb="FF7030A0"/>
        <rFont val="Times New Roman"/>
        <family val="1"/>
      </rPr>
      <t>ADC_OUT_CM_TRIM[20:0]</t>
    </r>
    <r>
      <rPr>
        <sz val="14"/>
        <color theme="1"/>
        <rFont val="Times New Roman"/>
        <family val="1"/>
      </rPr>
      <t xml:space="preserve"> )
else if (DIE_TEMP_ADC_DATA[15:4] &gt;375)
</t>
    </r>
    <r>
      <rPr>
        <i/>
        <sz val="14"/>
        <color rgb="FFFF0000"/>
        <rFont val="Times New Roman"/>
        <family val="1"/>
      </rPr>
      <t>ADC_OUT_TEMP_TRIM[20:0]</t>
    </r>
    <r>
      <rPr>
        <sz val="14"/>
        <color theme="1"/>
        <rFont val="Times New Roman"/>
        <family val="1"/>
      </rPr>
      <t xml:space="preserve"> = </t>
    </r>
    <r>
      <rPr>
        <i/>
        <sz val="14"/>
        <color rgb="FF7030A0"/>
        <rFont val="Times New Roman"/>
        <family val="1"/>
      </rPr>
      <t>ADC_OUT_CM_TRIM[20:0]</t>
    </r>
    <r>
      <rPr>
        <sz val="14"/>
        <color theme="1"/>
        <rFont val="Times New Roman"/>
        <family val="1"/>
      </rPr>
      <t xml:space="preserve"> +</t>
    </r>
    <r>
      <rPr>
        <i/>
        <sz val="14"/>
        <color rgb="FF7030A0"/>
        <rFont val="Times New Roman"/>
        <family val="1"/>
      </rPr>
      <t>ADC_OUT_CM_TRIM[20:0]</t>
    </r>
    <r>
      <rPr>
        <sz val="14"/>
        <color theme="1"/>
        <rFont val="Times New Roman"/>
        <family val="1"/>
      </rPr>
      <t>*(DIE_TEMP_ADC_DATA[15:4]-375)*</t>
    </r>
    <r>
      <rPr>
        <i/>
        <sz val="14"/>
        <color theme="1"/>
        <rFont val="Times New Roman"/>
        <family val="1"/>
      </rPr>
      <t>ADC_TEMP_code_H[7:0]</t>
    </r>
    <r>
      <rPr>
        <sz val="14"/>
        <color theme="1"/>
        <rFont val="Times New Roman"/>
        <family val="1"/>
      </rPr>
      <t xml:space="preserve">*Temp_factor
else if (DIE_TEMP_ADC_DATA[15:4] &lt;375)
</t>
    </r>
    <r>
      <rPr>
        <i/>
        <sz val="14"/>
        <color rgb="FFFF0000"/>
        <rFont val="Times New Roman"/>
        <family val="1"/>
      </rPr>
      <t xml:space="preserve">ADC_OUT_TEMP_TRIM[20:0] </t>
    </r>
    <r>
      <rPr>
        <sz val="14"/>
        <color theme="1"/>
        <rFont val="Times New Roman"/>
        <family val="1"/>
      </rPr>
      <t xml:space="preserve">= </t>
    </r>
    <r>
      <rPr>
        <i/>
        <sz val="14"/>
        <color rgb="FF7030A0"/>
        <rFont val="Times New Roman"/>
        <family val="1"/>
      </rPr>
      <t>ADC_OUT_CM_TRIM[20:0]</t>
    </r>
    <r>
      <rPr>
        <sz val="14"/>
        <color theme="1"/>
        <rFont val="Times New Roman"/>
        <family val="1"/>
      </rPr>
      <t xml:space="preserve"> +</t>
    </r>
    <r>
      <rPr>
        <i/>
        <sz val="14"/>
        <color rgb="FF7030A0"/>
        <rFont val="Times New Roman"/>
        <family val="1"/>
      </rPr>
      <t>ADC_OUT_CM_TRIM[20:0]</t>
    </r>
    <r>
      <rPr>
        <sz val="14"/>
        <color theme="1"/>
        <rFont val="Times New Roman"/>
        <family val="1"/>
      </rPr>
      <t>*(DIE_TEMP_ADC_DATA[15:4]-375)*</t>
    </r>
    <r>
      <rPr>
        <i/>
        <sz val="14"/>
        <color theme="1"/>
        <rFont val="Times New Roman"/>
        <family val="1"/>
      </rPr>
      <t>ADC_TEMP_code_L[7:0]</t>
    </r>
    <r>
      <rPr>
        <sz val="14"/>
        <color theme="1"/>
        <rFont val="Times New Roman"/>
        <family val="1"/>
      </rPr>
      <t>*Temp_factor</t>
    </r>
    <phoneticPr fontId="1" type="noConversion"/>
  </si>
  <si>
    <r>
      <t xml:space="preserve">3. for VPTAT
</t>
    </r>
    <r>
      <rPr>
        <i/>
        <sz val="14"/>
        <color rgb="FFFF0000"/>
        <rFont val="Times New Roman"/>
        <family val="1"/>
      </rPr>
      <t>ADC_OUT_ORG[19:0]</t>
    </r>
    <r>
      <rPr>
        <sz val="14"/>
        <color theme="1"/>
        <rFont val="Times New Roman"/>
        <family val="1"/>
      </rPr>
      <t xml:space="preserve">=ADC_OUT_F[18:0]* Scal_factor_VPTAT
 for other channel
</t>
    </r>
    <r>
      <rPr>
        <i/>
        <sz val="14"/>
        <color rgb="FFFF0000"/>
        <rFont val="Times New Roman"/>
        <family val="1"/>
      </rPr>
      <t>ADC_OUT_ORG[19:0]</t>
    </r>
    <r>
      <rPr>
        <sz val="14"/>
        <color theme="1"/>
        <rFont val="Times New Roman"/>
        <family val="1"/>
      </rPr>
      <t>=ADC_OUT_F[18:0]* Scal_factor</t>
    </r>
    <phoneticPr fontId="1" type="noConversion"/>
  </si>
  <si>
    <r>
      <t>1  scal_factor=</t>
    </r>
    <r>
      <rPr>
        <sz val="12"/>
        <color rgb="FFFF0000"/>
        <rFont val="Times New Roman"/>
        <family val="1"/>
      </rPr>
      <t>10/6.5536=1+3125/2^11=1.52587890625
2  scal_factor_VPTAT= 12/6.5536 (TBD)</t>
    </r>
    <phoneticPr fontId="1" type="noConversion"/>
  </si>
  <si>
    <r>
      <t>2 if ADC_CHP_EN=1
ADC_OUT1[18:0]</t>
    </r>
    <r>
      <rPr>
        <sz val="14"/>
        <color theme="1"/>
        <rFont val="宋体"/>
        <family val="2"/>
        <charset val="134"/>
      </rPr>
      <t>和</t>
    </r>
    <r>
      <rPr>
        <sz val="14"/>
        <color theme="1"/>
        <rFont val="Times New Roman"/>
        <family val="1"/>
      </rPr>
      <t xml:space="preserve">ADC_OUT0[18:0] </t>
    </r>
    <r>
      <rPr>
        <sz val="14"/>
        <color theme="1"/>
        <rFont val="宋体"/>
        <family val="2"/>
        <charset val="134"/>
      </rPr>
      <t>相减的差除以</t>
    </r>
    <r>
      <rPr>
        <sz val="14"/>
        <color theme="1"/>
        <rFont val="Times New Roman"/>
        <family val="1"/>
      </rPr>
      <t>2</t>
    </r>
    <r>
      <rPr>
        <sz val="14"/>
        <color theme="1"/>
        <rFont val="宋体"/>
        <family val="2"/>
        <charset val="134"/>
      </rPr>
      <t>，得到</t>
    </r>
    <r>
      <rPr>
        <sz val="14"/>
        <color theme="1"/>
        <rFont val="Times New Roman"/>
        <family val="1"/>
      </rPr>
      <t>ADC_OUT_F[18:0]
  else 
ADC_OUT_F[18:0]=ADC_OUT1[18:0]</t>
    </r>
    <phoneticPr fontId="1" type="noConversion"/>
  </si>
  <si>
    <r>
      <t xml:space="preserve">1 ADC_CHP_EN </t>
    </r>
    <r>
      <rPr>
        <sz val="12"/>
        <color theme="1"/>
        <rFont val="宋体"/>
        <family val="3"/>
        <charset val="134"/>
      </rPr>
      <t>为寄存器配置bit，default 1</t>
    </r>
    <phoneticPr fontId="1" type="noConversion"/>
  </si>
  <si>
    <t xml:space="preserve">(1) The ADC data in all modes should be 17Bit format, from mode 00 to 11. In mode "00" the LSB bit D0 is empty, can be set to a random number .
(2) &lt;D17&gt; only use to judge “overlow" of input range, not use for data caculation. For example,
        (1)  In mode "00", when POLAR=1, D17 of "SDM_POS&lt;4&gt;"=1 and  "SDM_NEG&lt;4&gt;"=0, ADC is in overflow, set output data is 7FFF, and sign is positive
        (2)  In mode "00", when POLAR=1, D17 of "SDM_POS&lt;4&gt;"=0 and  "SDM_NEG&lt;4&gt;"=1 ADC is in overflow, set output data is 8001, and sign is negative </t>
    <phoneticPr fontId="3" type="noConversion"/>
  </si>
  <si>
    <t>ADC_POLAR</t>
    <phoneticPr fontId="3" type="noConversion"/>
  </si>
  <si>
    <t>ADC_CLK_H</t>
    <phoneticPr fontId="3" type="noConversion"/>
  </si>
  <si>
    <t>ADC_CLK</t>
    <phoneticPr fontId="3" type="noConversion"/>
  </si>
  <si>
    <t>ADC_RST_INT</t>
    <phoneticPr fontId="3" type="noConversion"/>
  </si>
  <si>
    <t>ADC_EN_SH_VIN</t>
    <phoneticPr fontId="3" type="noConversion"/>
  </si>
  <si>
    <t>ADC_EN_SH_VRFEF</t>
    <phoneticPr fontId="3" type="noConversion"/>
  </si>
  <si>
    <t>ADC_EN_ALG</t>
    <phoneticPr fontId="3" type="noConversion"/>
  </si>
  <si>
    <t>1. Data refresh frequency is same with CLK_ADC, refreshed at rising edge of CLK_ADC
2. Suggest to sample these data by the falling edge of CLK_ADC</t>
    <phoneticPr fontId="3" type="noConversion"/>
  </si>
  <si>
    <t>D2D</t>
    <phoneticPr fontId="3" type="noConversion"/>
  </si>
  <si>
    <t>2'b01</t>
    <phoneticPr fontId="1" type="noConversion"/>
  </si>
  <si>
    <r>
      <t xml:space="preserve">settling time for adc after channel enable is high,times </t>
    </r>
    <r>
      <rPr>
        <sz val="11"/>
        <color rgb="FFFF0000"/>
        <rFont val="宋体"/>
        <family val="3"/>
        <charset val="134"/>
        <scheme val="minor"/>
      </rPr>
      <t>2*ADC_CLK</t>
    </r>
    <r>
      <rPr>
        <sz val="11"/>
        <color rgb="FF006100"/>
        <rFont val="宋体"/>
        <family val="3"/>
        <charset val="134"/>
        <scheme val="minor"/>
      </rPr>
      <t xml:space="preserve"> period</t>
    </r>
    <phoneticPr fontId="1" type="noConversion"/>
  </si>
  <si>
    <r>
      <t>dead time between different channel enable signal,</t>
    </r>
    <r>
      <rPr>
        <sz val="11"/>
        <color rgb="FFFF0000"/>
        <rFont val="宋体"/>
        <family val="3"/>
        <charset val="134"/>
        <scheme val="minor"/>
      </rPr>
      <t>times ADC_CLK</t>
    </r>
    <r>
      <rPr>
        <sz val="11"/>
        <color rgb="FF006100"/>
        <rFont val="宋体"/>
        <family val="3"/>
        <charset val="134"/>
        <scheme val="minor"/>
      </rPr>
      <t xml:space="preserve"> period</t>
    </r>
    <phoneticPr fontId="1" type="noConversion"/>
  </si>
  <si>
    <t>CLK freq setting</t>
    <phoneticPr fontId="1" type="noConversion"/>
  </si>
  <si>
    <t>2'b</t>
    <phoneticPr fontId="1" type="noConversion"/>
  </si>
  <si>
    <t>2'b10</t>
    <phoneticPr fontId="1" type="noConversion"/>
  </si>
  <si>
    <t>ADC_CELL_CH_SEL&lt;17:0&gt;</t>
    <phoneticPr fontId="3" type="noConversion"/>
  </si>
  <si>
    <t>ADC_GPIO_CH_SEL&lt;11:0&gt;</t>
    <phoneticPr fontId="3" type="noConversion"/>
  </si>
  <si>
    <t>12'b</t>
    <phoneticPr fontId="3" type="noConversion"/>
  </si>
  <si>
    <t>GPIO11-0 channel selection signal</t>
    <phoneticPr fontId="3" type="noConversion"/>
  </si>
  <si>
    <t>cell17-0 channel selection signal</t>
    <phoneticPr fontId="3" type="noConversion"/>
  </si>
  <si>
    <t>VPTAT channel selection signal</t>
    <phoneticPr fontId="3" type="noConversion"/>
  </si>
  <si>
    <t>ADC_VPTAT_SEL</t>
    <phoneticPr fontId="3" type="noConversion"/>
  </si>
  <si>
    <t>ADC_VBG_SEL</t>
    <phoneticPr fontId="3" type="noConversion"/>
  </si>
  <si>
    <t>VBG channel selection signal</t>
    <phoneticPr fontId="3" type="noConversion"/>
  </si>
  <si>
    <t>ADC_VBG2_SEL</t>
    <phoneticPr fontId="3" type="noConversion"/>
  </si>
  <si>
    <t>VBG2 channel selection signal</t>
    <phoneticPr fontId="3" type="noConversion"/>
  </si>
  <si>
    <t>GPIO_REF_SEL&lt;11:0&gt;</t>
    <phoneticPr fontId="3" type="noConversion"/>
  </si>
  <si>
    <t>GPIO11-0 REF selection signal, from DS_REG, updated  by ADC_GO</t>
    <phoneticPr fontId="3" type="noConversion"/>
  </si>
  <si>
    <t>2'b</t>
    <phoneticPr fontId="1" type="noConversion"/>
  </si>
  <si>
    <t>1'b</t>
    <phoneticPr fontId="1" type="noConversion"/>
  </si>
  <si>
    <t>1'b1</t>
    <phoneticPr fontId="1" type="noConversion"/>
  </si>
  <si>
    <r>
      <t xml:space="preserve">settling time for adc after top channel enable is high,times </t>
    </r>
    <r>
      <rPr>
        <sz val="11"/>
        <color rgb="FFFF0000"/>
        <rFont val="宋体"/>
        <family val="3"/>
        <charset val="134"/>
        <scheme val="minor"/>
      </rPr>
      <t>4*ADC_CLK</t>
    </r>
    <r>
      <rPr>
        <sz val="11"/>
        <color rgb="FF006100"/>
        <rFont val="宋体"/>
        <family val="3"/>
        <charset val="134"/>
        <scheme val="minor"/>
      </rPr>
      <t xml:space="preserve"> period</t>
    </r>
    <phoneticPr fontId="1" type="noConversion"/>
  </si>
  <si>
    <t>ADC_CMP_OUT_POS</t>
    <phoneticPr fontId="3" type="noConversion"/>
  </si>
  <si>
    <t>ADC_CMP_OUT_NEG</t>
    <phoneticPr fontId="3" type="noConversion"/>
  </si>
  <si>
    <t>AUX_ADC_CLK</t>
    <phoneticPr fontId="3" type="noConversion"/>
  </si>
  <si>
    <t>AUX_ADC_POLAR</t>
    <phoneticPr fontId="3" type="noConversion"/>
  </si>
  <si>
    <t>AUX_ADC_RST_INT</t>
    <phoneticPr fontId="3" type="noConversion"/>
  </si>
  <si>
    <t>AUX_ADC_EN_SH_VIN</t>
    <phoneticPr fontId="3" type="noConversion"/>
  </si>
  <si>
    <t>AUX_ADC_EN_SH_VRFEF</t>
    <phoneticPr fontId="3" type="noConversion"/>
  </si>
  <si>
    <t>AUX_ADC_EN_ALG</t>
    <phoneticPr fontId="3" type="noConversion"/>
  </si>
  <si>
    <t>AUX_ADC_CMP_OUT_POS</t>
    <phoneticPr fontId="3" type="noConversion"/>
  </si>
  <si>
    <t>AUX_ADC_CMP_OUT_NEG</t>
    <phoneticPr fontId="3" type="noConversion"/>
  </si>
  <si>
    <t>AUX_ADC_CELL_CH_SEL&lt;17:0&gt;</t>
    <phoneticPr fontId="3" type="noConversion"/>
  </si>
  <si>
    <t>AUX_ADC_GPIO_CH_SEL&lt;11:0&gt;</t>
    <phoneticPr fontId="3" type="noConversion"/>
  </si>
  <si>
    <t>AUX_ADC_VPTAT_SEL</t>
    <phoneticPr fontId="3" type="noConversion"/>
  </si>
  <si>
    <t>AUX_ADC_VBG_SEL</t>
    <phoneticPr fontId="3" type="noConversion"/>
  </si>
  <si>
    <t>AUX_ADC_VBG2_SEL</t>
    <phoneticPr fontId="3" type="noConversion"/>
  </si>
  <si>
    <t>AUX_GPIO_REF_SEL&lt;11:0&gt;</t>
    <phoneticPr fontId="3" type="noConversion"/>
  </si>
  <si>
    <t xml:space="preserve">same with Main ADC , just different pin name </t>
    <phoneticPr fontId="3" type="noConversion"/>
  </si>
  <si>
    <t>BM20 AFE&amp;ADC(single channel) I/O description</t>
    <phoneticPr fontId="3" type="noConversion"/>
  </si>
  <si>
    <t>ADC mode setting , see "ADC_DATA_CTRL" sheet, from DS_REG</t>
    <phoneticPr fontId="1" type="noConversion"/>
  </si>
  <si>
    <t>CH_DT_REG</t>
    <phoneticPr fontId="1" type="noConversion"/>
  </si>
  <si>
    <t>CH_STL_REG</t>
    <phoneticPr fontId="1" type="noConversion"/>
  </si>
  <si>
    <t>CH_TOP_STL_REG</t>
    <phoneticPr fontId="1" type="noConversion"/>
  </si>
  <si>
    <t xml:space="preserve"> ADC_CLK_SET_REG</t>
    <phoneticPr fontId="1" type="noConversion"/>
  </si>
  <si>
    <t xml:space="preserve"> ADC_MODE_REG</t>
    <phoneticPr fontId="1" type="noConversion"/>
  </si>
  <si>
    <t xml:space="preserve"> ADC_CHP_EN_REG</t>
    <phoneticPr fontId="1" type="noConversion"/>
  </si>
  <si>
    <t>DLPF_FC_REG</t>
    <phoneticPr fontId="1" type="noConversion"/>
  </si>
  <si>
    <t>GPIO_REF_SEL_REG</t>
    <phoneticPr fontId="1" type="noConversion"/>
  </si>
  <si>
    <t>D2D</t>
  </si>
  <si>
    <t>output to GPIO_REG_SEL after updaing</t>
    <phoneticPr fontId="3" type="noConversion"/>
  </si>
  <si>
    <t>for DLPF</t>
    <phoneticPr fontId="3" type="noConversion"/>
  </si>
  <si>
    <t>D2D</t>
    <phoneticPr fontId="1" type="noConversion"/>
  </si>
  <si>
    <t>Clock signal from internal clock generator, default frequency is 1MHz,could be changed by ADC_CLK_SET&lt;1:0&gt;</t>
    <phoneticPr fontId="1" type="noConversion"/>
  </si>
  <si>
    <t>D2A</t>
    <phoneticPr fontId="3" type="noConversion"/>
  </si>
  <si>
    <t>Clock</t>
    <phoneticPr fontId="1" type="noConversion"/>
  </si>
  <si>
    <t>Clock signal from internal clock generator, 2 times frequency of ADC_CLK , 7/16 duty</t>
    <phoneticPr fontId="1" type="noConversion"/>
  </si>
  <si>
    <t>D2A</t>
    <phoneticPr fontId="3" type="noConversion"/>
  </si>
  <si>
    <t>Clock</t>
    <phoneticPr fontId="1" type="noConversion"/>
  </si>
  <si>
    <t>AUX_ADC_CLK_H</t>
    <phoneticPr fontId="3" type="noConversion"/>
  </si>
  <si>
    <t>CLK_ADC_SC</t>
    <phoneticPr fontId="1" type="noConversion"/>
  </si>
  <si>
    <t>D2D</t>
    <phoneticPr fontId="1" type="noConversion"/>
  </si>
  <si>
    <t>CLK_AUX_ADC_SC</t>
    <phoneticPr fontId="1" type="noConversion"/>
  </si>
  <si>
    <t>CLK_REG_SC</t>
    <phoneticPr fontId="1" type="noConversion"/>
  </si>
  <si>
    <t>8MHz clock</t>
    <phoneticPr fontId="1" type="noConversion"/>
  </si>
  <si>
    <t>the same frequency as ADC_CLK_H when SCAN_MODE is 0</t>
    <phoneticPr fontId="1" type="noConversion"/>
  </si>
  <si>
    <t>from u_CKGEN</t>
    <phoneticPr fontId="1" type="noConversion"/>
  </si>
  <si>
    <t>from u_CKGEN</t>
    <phoneticPr fontId="1" type="noConversion"/>
  </si>
  <si>
    <t>from u_COMM_REG</t>
    <phoneticPr fontId="1" type="noConversion"/>
  </si>
  <si>
    <t>the same frequency as AUX_ADC_CLK_H when SCAN_MODE is 0</t>
    <phoneticPr fontId="1" type="noConversion"/>
  </si>
  <si>
    <t>CLK_32M_OK</t>
    <phoneticPr fontId="1" type="noConversion"/>
  </si>
  <si>
    <t>D2A</t>
    <phoneticPr fontId="1" type="noConversion"/>
  </si>
  <si>
    <t>When change from 1 to 0, u_ADC_CTRL and u_AUX_ADC_CTRL reset.</t>
    <phoneticPr fontId="1" type="noConversion"/>
  </si>
  <si>
    <t>MON_ADC_GO</t>
    <phoneticPr fontId="1" type="noConversion"/>
  </si>
  <si>
    <t>deal with it samely as ADC_SGLE_GO_DLY</t>
    <phoneticPr fontId="1" type="noConversion"/>
  </si>
  <si>
    <t>C_OW_ADC_GO</t>
    <phoneticPr fontId="1" type="noConversion"/>
  </si>
  <si>
    <t>D2A_CELL_ADC_EN</t>
    <phoneticPr fontId="1" type="noConversion"/>
  </si>
  <si>
    <t>to u_CKGEN</t>
    <phoneticPr fontId="1" type="noConversion"/>
  </si>
  <si>
    <t>D2A_AUX_ADC_EN</t>
    <phoneticPr fontId="1" type="noConversion"/>
  </si>
  <si>
    <t>ADC_CLK_SET</t>
    <phoneticPr fontId="1" type="noConversion"/>
  </si>
  <si>
    <t>AUX_ADC_CLK_SET</t>
    <phoneticPr fontId="1" type="noConversion"/>
  </si>
  <si>
    <t>updated ADC_CLK_SET_REG from u_AUX_ADC_CTRL</t>
    <phoneticPr fontId="1" type="noConversion"/>
  </si>
  <si>
    <t>updated ADC_CLK_SET_REG from u_ADC_CTRL</t>
    <phoneticPr fontId="1" type="noConversion"/>
  </si>
  <si>
    <t>clr_ADC_GO</t>
    <phoneticPr fontId="1" type="noConversion"/>
  </si>
  <si>
    <t>to u_COMM_REG, u_CYC_WAKE, u_C_OW_CTRL</t>
    <phoneticPr fontId="1" type="noConversion"/>
  </si>
  <si>
    <t>output to clear 4 kinds of ADC_GO</t>
    <phoneticPr fontId="3" type="noConversion"/>
  </si>
  <si>
    <t>resetb_SR_CLK</t>
    <phoneticPr fontId="1" type="noConversion"/>
  </si>
  <si>
    <t>from u_RSTGEN</t>
    <phoneticPr fontId="1" type="noConversion"/>
  </si>
  <si>
    <t>CLK_32M domain, hard reset and soft reset</t>
    <phoneticPr fontId="1" type="noConversion"/>
  </si>
  <si>
    <t>RECLK_COMP</t>
    <phoneticPr fontId="1" type="noConversion"/>
  </si>
  <si>
    <t>FREEZE_DLY</t>
    <phoneticPr fontId="1" type="noConversion"/>
  </si>
  <si>
    <t>ADC_SGLE_GO_DLY</t>
    <phoneticPr fontId="1" type="noConversion"/>
  </si>
  <si>
    <t>ADC_CNTI_GO_DLY</t>
    <phoneticPr fontId="1" type="noConversion"/>
  </si>
  <si>
    <t>DEV_NUM</t>
    <phoneticPr fontId="1" type="noConversion"/>
  </si>
  <si>
    <t>CB_SETTLE</t>
    <phoneticPr fontId="1" type="noConversion"/>
  </si>
  <si>
    <t>FREEZE</t>
    <phoneticPr fontId="1" type="noConversion"/>
  </si>
  <si>
    <t>ADC_SGLE_GO</t>
    <phoneticPr fontId="1" type="noConversion"/>
  </si>
  <si>
    <t>ADC_CNTI_GO</t>
    <phoneticPr fontId="1" type="noConversion"/>
  </si>
  <si>
    <t>resetb_SR_CLK</t>
    <phoneticPr fontId="1" type="noConversion"/>
  </si>
  <si>
    <t>CLK freq setting
2'b00 : ADC_CLK 250k
2'b01: ADC_CLK 500k
2'b10 : ADC_CLK 1M
2'b11 : ADC_CLK 1.5M 
output to ADC_CLK_SET and AUX_ADC_CLK_SET after updating</t>
    <phoneticPr fontId="1" type="noConversion"/>
  </si>
  <si>
    <r>
      <t xml:space="preserve">8 </t>
    </r>
    <r>
      <rPr>
        <i/>
        <sz val="14"/>
        <color rgb="FF030671"/>
        <rFont val="Times New Roman"/>
        <family val="1"/>
      </rPr>
      <t>ADC_OUT_CELL_ED[15:0]</t>
    </r>
    <r>
      <rPr>
        <sz val="14"/>
        <color rgb="FF030671"/>
        <rFont val="Times New Roman"/>
        <family val="1"/>
      </rPr>
      <t xml:space="preserve"> </t>
    </r>
    <r>
      <rPr>
        <sz val="14"/>
        <color theme="1"/>
        <rFont val="Times New Roman"/>
        <family val="1"/>
      </rPr>
      <t>={</t>
    </r>
    <r>
      <rPr>
        <i/>
        <sz val="14"/>
        <color rgb="FFFF0000"/>
        <rFont val="Times New Roman"/>
        <family val="1"/>
      </rPr>
      <t>ADC_OUT_TEMP_TRIM[20]</t>
    </r>
    <r>
      <rPr>
        <sz val="14"/>
        <color theme="1"/>
        <rFont val="Times New Roman"/>
        <family val="1"/>
      </rPr>
      <t>,</t>
    </r>
    <r>
      <rPr>
        <i/>
        <sz val="14"/>
        <color rgb="FFFF0000"/>
        <rFont val="Times New Roman"/>
        <family val="1"/>
      </rPr>
      <t>ADC_OUT_TEMP_TRIM[16:2]</t>
    </r>
    <r>
      <rPr>
        <sz val="14"/>
        <color theme="1"/>
        <rFont val="Times New Roman"/>
        <family val="1"/>
      </rPr>
      <t>},</t>
    </r>
    <r>
      <rPr>
        <sz val="14"/>
        <color theme="1"/>
        <rFont val="宋体"/>
        <family val="3"/>
        <charset val="134"/>
      </rPr>
      <t>若溢出</t>
    </r>
    <r>
      <rPr>
        <sz val="14"/>
        <color theme="1"/>
        <rFont val="Times New Roman"/>
        <family val="1"/>
      </rPr>
      <t>,</t>
    </r>
    <r>
      <rPr>
        <sz val="14"/>
        <color theme="1"/>
        <rFont val="宋体"/>
        <family val="3"/>
        <charset val="134"/>
      </rPr>
      <t>则</t>
    </r>
    <r>
      <rPr>
        <i/>
        <sz val="14"/>
        <color rgb="FF030671"/>
        <rFont val="Times New Roman"/>
        <family val="1"/>
      </rPr>
      <t>ADC_OUT_CELL_ED[15:0]</t>
    </r>
    <r>
      <rPr>
        <sz val="14"/>
        <color theme="1"/>
        <rFont val="宋体"/>
        <family val="3"/>
        <charset val="134"/>
      </rPr>
      <t>输出为</t>
    </r>
    <r>
      <rPr>
        <sz val="14"/>
        <color theme="1"/>
        <rFont val="Times New Roman"/>
        <family val="1"/>
      </rPr>
      <t>7FFF/</t>
    </r>
    <r>
      <rPr>
        <sz val="14"/>
        <color rgb="FFFF0000"/>
        <rFont val="Times New Roman"/>
        <family val="1"/>
      </rPr>
      <t>8001</t>
    </r>
    <phoneticPr fontId="1" type="noConversion"/>
  </si>
  <si>
    <r>
      <t xml:space="preserve">9 </t>
    </r>
    <r>
      <rPr>
        <sz val="14"/>
        <color theme="1"/>
        <rFont val="宋体"/>
        <family val="3"/>
        <charset val="134"/>
      </rPr>
      <t>将</t>
    </r>
    <r>
      <rPr>
        <i/>
        <sz val="14"/>
        <color rgb="FF030671"/>
        <rFont val="Times New Roman"/>
        <family val="1"/>
      </rPr>
      <t>ADC_OUT_CELL_ED[15:0]</t>
    </r>
    <r>
      <rPr>
        <sz val="14"/>
        <color theme="1"/>
        <rFont val="宋体"/>
        <family val="3"/>
        <charset val="134"/>
      </rPr>
      <t>的数据刷新到寄存器</t>
    </r>
    <r>
      <rPr>
        <sz val="14"/>
        <color theme="1"/>
        <rFont val="Times New Roman"/>
        <family val="1"/>
      </rPr>
      <t>CELLx_ADC_DATA[15:0]</t>
    </r>
    <r>
      <rPr>
        <sz val="14"/>
        <color theme="1"/>
        <rFont val="宋体"/>
        <family val="3"/>
        <charset val="134"/>
      </rPr>
      <t>x=1-18 和ADC_OTH_DATA 中</t>
    </r>
    <phoneticPr fontId="1" type="noConversion"/>
  </si>
  <si>
    <t>CH_BOT_STL_REG</t>
    <phoneticPr fontId="1" type="noConversion"/>
  </si>
  <si>
    <r>
      <t xml:space="preserve">settling time for adc after BOT channel enable is high,times </t>
    </r>
    <r>
      <rPr>
        <sz val="11"/>
        <color rgb="FFFF0000"/>
        <rFont val="宋体"/>
        <family val="3"/>
        <charset val="134"/>
        <scheme val="minor"/>
      </rPr>
      <t>4*ADC_CLK</t>
    </r>
    <r>
      <rPr>
        <sz val="11"/>
        <color rgb="FF006100"/>
        <rFont val="宋体"/>
        <family val="3"/>
        <charset val="134"/>
        <scheme val="minor"/>
      </rPr>
      <t xml:space="preserve"> period</t>
    </r>
    <phoneticPr fontId="1" type="noConversion"/>
  </si>
  <si>
    <r>
      <rPr>
        <b/>
        <sz val="12"/>
        <color theme="1"/>
        <rFont val="Times New Roman"/>
        <family val="1"/>
      </rPr>
      <t>1</t>
    </r>
    <r>
      <rPr>
        <sz val="12"/>
        <color theme="1"/>
        <rFont val="Times New Roman"/>
        <family val="1"/>
      </rPr>
      <t xml:space="preserve"> for Cell x, </t>
    </r>
    <r>
      <rPr>
        <b/>
        <i/>
        <sz val="12"/>
        <color theme="1"/>
        <rFont val="Times New Roman"/>
        <family val="1"/>
      </rPr>
      <t>SUM_DOWN_CELLx[11:0]</t>
    </r>
    <r>
      <rPr>
        <sz val="12"/>
        <color theme="1"/>
        <rFont val="Times New Roman"/>
        <family val="1"/>
      </rPr>
      <t xml:space="preserve">=CELLx-1_ADC_DATA[15:8]+….+CELL1_ADC_DATA[15:8], Cellx_ADC_DATA </t>
    </r>
    <r>
      <rPr>
        <sz val="12"/>
        <color theme="1"/>
        <rFont val="宋体"/>
        <family val="3"/>
        <charset val="134"/>
      </rPr>
      <t>为</t>
    </r>
    <r>
      <rPr>
        <sz val="12"/>
        <color theme="1"/>
        <rFont val="Times New Roman"/>
        <family val="1"/>
      </rPr>
      <t>ADC</t>
    </r>
    <r>
      <rPr>
        <sz val="12"/>
        <color theme="1"/>
        <rFont val="宋体"/>
        <family val="3"/>
        <charset val="134"/>
      </rPr>
      <t>转换结果数据</t>
    </r>
    <r>
      <rPr>
        <sz val="12"/>
        <color theme="1"/>
        <rFont val="Times New Roman"/>
        <family val="1"/>
      </rPr>
      <t>,</t>
    </r>
    <r>
      <rPr>
        <sz val="12"/>
        <color theme="1"/>
        <rFont val="宋体"/>
        <family val="3"/>
        <charset val="134"/>
      </rPr>
      <t>参考</t>
    </r>
    <r>
      <rPr>
        <sz val="12"/>
        <color theme="1"/>
        <rFont val="Times New Roman"/>
        <family val="1"/>
      </rPr>
      <t>block diagram</t>
    </r>
    <r>
      <rPr>
        <sz val="12"/>
        <color theme="1"/>
        <rFont val="宋体"/>
        <family val="3"/>
        <charset val="134"/>
      </rPr>
      <t>。</t>
    </r>
    <r>
      <rPr>
        <sz val="12"/>
        <color rgb="FFFF0000"/>
        <rFont val="宋体"/>
        <family val="3"/>
        <charset val="134"/>
      </rPr>
      <t>若</t>
    </r>
    <r>
      <rPr>
        <sz val="12"/>
        <color rgb="FFFF0000"/>
        <rFont val="Times New Roman"/>
        <family val="1"/>
      </rPr>
      <t>CELLx-1_ADC_DATA[15:0]=8000</t>
    </r>
    <r>
      <rPr>
        <sz val="12"/>
        <color theme="1"/>
        <rFont val="宋体"/>
        <family val="3"/>
        <charset val="134"/>
      </rPr>
      <t>，</t>
    </r>
    <r>
      <rPr>
        <sz val="12"/>
        <color rgb="FFFF0000"/>
        <rFont val="宋体"/>
        <family val="3"/>
        <charset val="134"/>
      </rPr>
      <t>取</t>
    </r>
    <r>
      <rPr>
        <sz val="12"/>
        <color rgb="FFFF0000"/>
        <rFont val="Times New Roman"/>
        <family val="1"/>
      </rPr>
      <t>CELLx-1_ADC_DATA[15:8]=00</t>
    </r>
    <r>
      <rPr>
        <sz val="12"/>
        <color theme="1"/>
        <rFont val="宋体"/>
        <family val="3"/>
        <charset val="134"/>
      </rPr>
      <t>，其它通道以此类推，参考</t>
    </r>
    <r>
      <rPr>
        <sz val="12"/>
        <color theme="1"/>
        <rFont val="Times New Roman"/>
        <family val="1"/>
      </rPr>
      <t>block diagram</t>
    </r>
    <r>
      <rPr>
        <sz val="12"/>
        <color theme="1"/>
        <rFont val="宋体"/>
        <family val="3"/>
        <charset val="134"/>
      </rPr>
      <t xml:space="preserve">，有符号补码
</t>
    </r>
    <r>
      <rPr>
        <b/>
        <sz val="12"/>
        <color rgb="FFFF0000"/>
        <rFont val="宋体"/>
        <family val="3"/>
        <charset val="134"/>
      </rPr>
      <t>2</t>
    </r>
    <r>
      <rPr>
        <sz val="12"/>
        <color rgb="FFFF0000"/>
        <rFont val="宋体"/>
        <family val="3"/>
        <charset val="134"/>
      </rPr>
      <t xml:space="preserve"> </t>
    </r>
    <r>
      <rPr>
        <b/>
        <sz val="12"/>
        <color rgb="FFFF0000"/>
        <rFont val="宋体"/>
        <family val="3"/>
        <charset val="134"/>
      </rPr>
      <t>Vcm_factor</t>
    </r>
    <r>
      <rPr>
        <sz val="12"/>
        <color rgb="FFFF0000"/>
        <rFont val="宋体"/>
        <family val="3"/>
        <charset val="134"/>
      </rPr>
      <t xml:space="preserve"> = 1/2^19 </t>
    </r>
    <r>
      <rPr>
        <sz val="12"/>
        <color theme="1"/>
        <rFont val="宋体"/>
        <family val="3"/>
        <charset val="134"/>
      </rPr>
      <t xml:space="preserve">. 
</t>
    </r>
    <r>
      <rPr>
        <b/>
        <sz val="12"/>
        <color theme="1"/>
        <rFont val="宋体"/>
        <family val="3"/>
        <charset val="134"/>
      </rPr>
      <t>3</t>
    </r>
    <r>
      <rPr>
        <sz val="12"/>
        <color theme="1"/>
        <rFont val="宋体"/>
        <family val="3"/>
        <charset val="134"/>
      </rPr>
      <t xml:space="preserve"> </t>
    </r>
    <r>
      <rPr>
        <b/>
        <sz val="12"/>
        <color theme="1"/>
        <rFont val="宋体"/>
        <family val="3"/>
        <charset val="134"/>
      </rPr>
      <t xml:space="preserve">Vcm_code_comm[6:0] </t>
    </r>
    <r>
      <rPr>
        <sz val="12"/>
        <color theme="1"/>
        <rFont val="宋体"/>
        <family val="3"/>
        <charset val="134"/>
      </rPr>
      <t xml:space="preserve">为VCM gain error trim code，full scal  6.5536*16, max trim +/- 12.8mV, trim LSB 200uV 
</t>
    </r>
    <r>
      <rPr>
        <b/>
        <sz val="12"/>
        <color theme="1"/>
        <rFont val="宋体"/>
        <family val="3"/>
        <charset val="134"/>
      </rPr>
      <t>4</t>
    </r>
    <r>
      <rPr>
        <sz val="12"/>
        <color theme="1"/>
        <rFont val="宋体"/>
        <family val="3"/>
        <charset val="134"/>
      </rPr>
      <t xml:space="preserve"> </t>
    </r>
    <r>
      <rPr>
        <b/>
        <sz val="12"/>
        <color theme="1"/>
        <rFont val="宋体"/>
        <family val="3"/>
        <charset val="134"/>
      </rPr>
      <t xml:space="preserve">ADC_VCM_GAIN_EN </t>
    </r>
    <r>
      <rPr>
        <sz val="12"/>
        <color theme="1"/>
        <rFont val="宋体"/>
        <family val="3"/>
        <charset val="134"/>
      </rPr>
      <t>为寄存器配置bit</t>
    </r>
    <phoneticPr fontId="1" type="noConversion"/>
  </si>
  <si>
    <r>
      <t xml:space="preserve">6 for Cell1-18
</t>
    </r>
    <r>
      <rPr>
        <i/>
        <sz val="14"/>
        <color rgb="FF7030A0"/>
        <rFont val="Times New Roman"/>
        <family val="1"/>
      </rPr>
      <t>ADC_OUT_CM_TRIM[20:0]</t>
    </r>
    <r>
      <rPr>
        <sz val="14"/>
        <color theme="1"/>
        <rFont val="Times New Roman"/>
        <family val="1"/>
      </rPr>
      <t xml:space="preserve"> = </t>
    </r>
    <r>
      <rPr>
        <i/>
        <sz val="14"/>
        <color rgb="FF33CC33"/>
        <rFont val="Times New Roman"/>
        <family val="1"/>
      </rPr>
      <t xml:space="preserve">ADC_OUT_OS_GAIN[20:0] </t>
    </r>
    <r>
      <rPr>
        <sz val="14"/>
        <color theme="1"/>
        <rFont val="Times New Roman"/>
        <family val="1"/>
      </rPr>
      <t>+</t>
    </r>
    <r>
      <rPr>
        <i/>
        <sz val="14"/>
        <color theme="1"/>
        <rFont val="Times New Roman"/>
        <family val="1"/>
      </rPr>
      <t xml:space="preserve"> </t>
    </r>
    <r>
      <rPr>
        <i/>
        <sz val="14"/>
        <color rgb="FFFF0000"/>
        <rFont val="Times New Roman"/>
        <family val="1"/>
      </rPr>
      <t>ADC_OUT_OS_GAIN[20:11]</t>
    </r>
    <r>
      <rPr>
        <sz val="14"/>
        <color theme="1"/>
        <rFont val="Times New Roman"/>
        <family val="1"/>
      </rPr>
      <t>*</t>
    </r>
    <r>
      <rPr>
        <i/>
        <sz val="14"/>
        <color theme="1"/>
        <rFont val="Times New Roman"/>
        <family val="1"/>
      </rPr>
      <t>SUM_DOWN_CELLx[11:0]</t>
    </r>
    <r>
      <rPr>
        <sz val="14"/>
        <color theme="1"/>
        <rFont val="Times New Roman"/>
        <family val="1"/>
      </rPr>
      <t>*Vcm_code_comm[6:0]*Vcm_factor*ADC_VCM_GAIN_EN
for other channels (VPTAT/GPIO1-12/others</t>
    </r>
    <r>
      <rPr>
        <sz val="14"/>
        <color theme="1"/>
        <rFont val="宋体"/>
        <family val="3"/>
        <charset val="134"/>
      </rPr>
      <t xml:space="preserve">）
</t>
    </r>
    <r>
      <rPr>
        <i/>
        <sz val="14"/>
        <color rgb="FF7030A0"/>
        <rFont val="Times New Roman"/>
        <family val="1"/>
      </rPr>
      <t>ADC_OUT_CM_TRIM[20:0]</t>
    </r>
    <r>
      <rPr>
        <i/>
        <sz val="14"/>
        <color theme="1"/>
        <rFont val="Times New Roman"/>
        <family val="1"/>
      </rPr>
      <t xml:space="preserve"> </t>
    </r>
    <r>
      <rPr>
        <sz val="14"/>
        <color theme="1"/>
        <rFont val="Times New Roman"/>
        <family val="1"/>
      </rPr>
      <t xml:space="preserve">= </t>
    </r>
    <r>
      <rPr>
        <i/>
        <sz val="14"/>
        <color rgb="FF33CC33"/>
        <rFont val="Times New Roman"/>
        <family val="1"/>
      </rPr>
      <t>ADC_OUT_OS_GAIN[20:0]</t>
    </r>
    <phoneticPr fontId="1" type="noConversion"/>
  </si>
  <si>
    <r>
      <t xml:space="preserve">ALG_GAINERR1[7:0]为Main ADC 线性度trim code有符号补码
</t>
    </r>
    <r>
      <rPr>
        <sz val="11"/>
        <color rgb="FFFF0000"/>
        <rFont val="宋体"/>
        <family val="3"/>
        <charset val="134"/>
        <scheme val="minor"/>
      </rPr>
      <t>mode 00 01 10 11
N    13 11 10 8</t>
    </r>
    <phoneticPr fontId="1" type="noConversion"/>
  </si>
  <si>
    <r>
      <t>ALG_OUT_LCH_NEG&lt;</t>
    </r>
    <r>
      <rPr>
        <b/>
        <sz val="10"/>
        <color rgb="FFFF0000"/>
        <rFont val="Arial"/>
        <family val="2"/>
      </rPr>
      <t>12</t>
    </r>
    <r>
      <rPr>
        <b/>
        <sz val="10"/>
        <rFont val="Arial"/>
        <family val="2"/>
      </rPr>
      <t>:0&gt;</t>
    </r>
    <phoneticPr fontId="3" type="noConversion"/>
  </si>
  <si>
    <r>
      <t>ALG_OUT_LCH_POS&lt;</t>
    </r>
    <r>
      <rPr>
        <b/>
        <sz val="10"/>
        <color rgb="FFFF0000"/>
        <rFont val="Arial"/>
        <family val="2"/>
      </rPr>
      <t>12</t>
    </r>
    <r>
      <rPr>
        <b/>
        <sz val="10"/>
        <rFont val="Arial"/>
        <family val="2"/>
      </rPr>
      <t>:0&gt;</t>
    </r>
    <phoneticPr fontId="3" type="noConversion"/>
  </si>
  <si>
    <t>X</t>
    <phoneticPr fontId="1" type="noConversion"/>
  </si>
  <si>
    <t>ADC_OUT_ORG[19:0]</t>
  </si>
  <si>
    <t>CH</t>
    <phoneticPr fontId="1" type="noConversion"/>
  </si>
  <si>
    <t xml:space="preserve">Voltage </t>
    <phoneticPr fontId="1" type="noConversion"/>
  </si>
  <si>
    <t>Vos_code_Cellx[5:0]</t>
  </si>
  <si>
    <t>Vos_code_comm[7:0]</t>
  </si>
  <si>
    <t>Offset_factor</t>
  </si>
  <si>
    <t>ADC_OUT_OS[20:0]</t>
  </si>
  <si>
    <t>GainErr_code_Cellx[6:0]</t>
  </si>
  <si>
    <t>GainErr_code_comm[11:0]</t>
  </si>
  <si>
    <t>Gain_factor</t>
  </si>
  <si>
    <t xml:space="preserve">ADC_OUT_OS_GAIN[20:0] </t>
  </si>
  <si>
    <t>Vcm_code_comm[6:0]</t>
  </si>
  <si>
    <t>SUM_DOWN_CELLx[11:0]</t>
  </si>
  <si>
    <t>ADC_VCM_GAIN_EN</t>
  </si>
  <si>
    <t>Vcm_factor</t>
  </si>
  <si>
    <t>ADC_OUT_CM_TRIM[20:0]</t>
  </si>
  <si>
    <t>vos code</t>
    <phoneticPr fontId="1" type="noConversion"/>
  </si>
  <si>
    <t>vos vol(mV)</t>
    <phoneticPr fontId="1" type="noConversion"/>
  </si>
  <si>
    <t>Vos_x vol(mV)</t>
    <phoneticPr fontId="1" type="noConversion"/>
  </si>
  <si>
    <t>Vos_COMM vol(mV)</t>
    <phoneticPr fontId="1" type="noConversion"/>
  </si>
  <si>
    <t>gain err_x ratio</t>
    <phoneticPr fontId="1" type="noConversion"/>
  </si>
  <si>
    <t>gain err_comm ratio</t>
    <phoneticPr fontId="1" type="noConversion"/>
  </si>
  <si>
    <t>VCM_trim_code</t>
    <phoneticPr fontId="1" type="noConversion"/>
  </si>
  <si>
    <t>N</t>
    <phoneticPr fontId="1" type="noConversion"/>
  </si>
  <si>
    <t>SUM_down</t>
    <phoneticPr fontId="1" type="noConversion"/>
  </si>
  <si>
    <t>SUM_DOWN_MUL</t>
    <phoneticPr fontId="1" type="noConversion"/>
  </si>
  <si>
    <t>SUM_DOWN_MUL shift</t>
    <phoneticPr fontId="1" type="noConversion"/>
  </si>
  <si>
    <t>VDM</t>
    <phoneticPr fontId="1" type="noConversion"/>
  </si>
  <si>
    <t>VDM shift</t>
    <phoneticPr fontId="1" type="noConversion"/>
  </si>
  <si>
    <t>SUM_DOWN_MUL_eco</t>
    <phoneticPr fontId="1" type="noConversion"/>
  </si>
  <si>
    <t>ratio</t>
    <phoneticPr fontId="1" type="noConversion"/>
  </si>
  <si>
    <t>trim code polar</t>
    <phoneticPr fontId="1" type="noConversion"/>
  </si>
  <si>
    <t>SUM_DOWN_MUL_eco shift</t>
    <phoneticPr fontId="1" type="noConversion"/>
  </si>
  <si>
    <t>error</t>
    <phoneticPr fontId="1" type="noConversion"/>
  </si>
  <si>
    <t>full scale +/-0.2%</t>
    <phoneticPr fontId="1" type="noConversion"/>
  </si>
  <si>
    <t>Vcm trim ratio</t>
    <phoneticPr fontId="1" type="noConversion"/>
  </si>
  <si>
    <t>ratio/(6.5536*16V)</t>
    <phoneticPr fontId="1" type="noConversion"/>
  </si>
  <si>
    <t>SUM_DOWN_CELL_MUL[18:0]</t>
    <phoneticPr fontId="1" type="noConversion"/>
  </si>
  <si>
    <t>SUM_DOWN_CELL_MUL_eco_shift[8:0]</t>
    <phoneticPr fontId="1" type="noConversion"/>
  </si>
  <si>
    <t>SUM_DOWN_CELL_MUL[18:11]</t>
    <phoneticPr fontId="1" type="noConversion"/>
  </si>
  <si>
    <t>VCM trim result(LSB)</t>
    <phoneticPr fontId="1" type="noConversion"/>
  </si>
  <si>
    <t>calculate VCM result (LSB)</t>
    <phoneticPr fontId="1" type="noConversion"/>
  </si>
  <si>
    <t>列1</t>
  </si>
  <si>
    <t>ADC_OUT_OS_GAIN[20:0] 2</t>
  </si>
</sst>
</file>

<file path=xl/styles.xml><?xml version="1.0" encoding="utf-8"?>
<styleSheet xmlns="http://schemas.openxmlformats.org/spreadsheetml/2006/main">
  <numFmts count="2">
    <numFmt numFmtId="176" formatCode="#,##0.00_ "/>
    <numFmt numFmtId="177" formatCode="0.00000000_ "/>
  </numFmts>
  <fonts count="70">
    <font>
      <sz val="11"/>
      <color theme="1"/>
      <name val="宋体"/>
      <family val="2"/>
      <charset val="134"/>
      <scheme val="minor"/>
    </font>
    <font>
      <sz val="9"/>
      <name val="宋体"/>
      <family val="2"/>
      <charset val="134"/>
      <scheme val="minor"/>
    </font>
    <font>
      <sz val="10"/>
      <name val="Arial"/>
      <family val="2"/>
    </font>
    <font>
      <sz val="9"/>
      <name val="宋体"/>
      <family val="3"/>
      <charset val="134"/>
      <scheme val="minor"/>
    </font>
    <font>
      <sz val="11"/>
      <color theme="1"/>
      <name val="Calibri"/>
      <family val="2"/>
    </font>
    <font>
      <b/>
      <sz val="12"/>
      <color theme="1"/>
      <name val="Calibri"/>
      <family val="2"/>
    </font>
    <font>
      <b/>
      <sz val="11"/>
      <color theme="1"/>
      <name val="Calibri"/>
      <family val="2"/>
    </font>
    <font>
      <b/>
      <sz val="10"/>
      <color rgb="FFFF0000"/>
      <name val="Calibri"/>
      <family val="2"/>
    </font>
    <font>
      <b/>
      <sz val="10"/>
      <name val="Calibri"/>
      <family val="2"/>
    </font>
    <font>
      <b/>
      <sz val="10"/>
      <color theme="1"/>
      <name val="Calibri"/>
      <family val="2"/>
    </font>
    <font>
      <sz val="10"/>
      <name val="Calibri"/>
      <family val="2"/>
    </font>
    <font>
      <vertAlign val="superscript"/>
      <sz val="10"/>
      <name val="Calibri"/>
      <family val="2"/>
    </font>
    <font>
      <sz val="10"/>
      <color rgb="FF7030A0"/>
      <name val="Calibri"/>
      <family val="2"/>
    </font>
    <font>
      <b/>
      <sz val="10"/>
      <color rgb="FF0000FF"/>
      <name val="Calibri"/>
      <family val="2"/>
    </font>
    <font>
      <sz val="10"/>
      <color theme="9" tint="-0.249977111117893"/>
      <name val="Calibri"/>
      <family val="2"/>
    </font>
    <font>
      <b/>
      <sz val="11"/>
      <color rgb="FFC00000"/>
      <name val="Calibri"/>
      <family val="2"/>
    </font>
    <font>
      <b/>
      <sz val="11"/>
      <color rgb="FFFF0000"/>
      <name val="Calibri"/>
      <family val="2"/>
    </font>
    <font>
      <sz val="9"/>
      <color theme="1"/>
      <name val="Calibri"/>
      <family val="2"/>
    </font>
    <font>
      <sz val="9"/>
      <color theme="1"/>
      <name val="宋体"/>
      <family val="3"/>
      <charset val="134"/>
    </font>
    <font>
      <b/>
      <sz val="11"/>
      <name val="Calibri"/>
      <family val="2"/>
    </font>
    <font>
      <sz val="11"/>
      <name val="Calibri"/>
      <family val="2"/>
    </font>
    <font>
      <sz val="11"/>
      <color theme="1"/>
      <name val="宋体"/>
      <family val="3"/>
      <charset val="134"/>
      <scheme val="minor"/>
    </font>
    <font>
      <b/>
      <sz val="11"/>
      <color theme="1"/>
      <name val="Arial"/>
      <family val="2"/>
    </font>
    <font>
      <b/>
      <sz val="12"/>
      <color theme="1"/>
      <name val="Arial"/>
      <family val="2"/>
    </font>
    <font>
      <b/>
      <sz val="10"/>
      <name val="Arial"/>
      <family val="2"/>
    </font>
    <font>
      <sz val="8"/>
      <color rgb="FFFF0000"/>
      <name val="Arial"/>
      <family val="2"/>
    </font>
    <font>
      <sz val="8"/>
      <color theme="1"/>
      <name val="Arial"/>
      <family val="2"/>
    </font>
    <font>
      <b/>
      <sz val="8"/>
      <color theme="1"/>
      <name val="Arial"/>
      <family val="2"/>
    </font>
    <font>
      <b/>
      <sz val="12"/>
      <color rgb="FFFF0000"/>
      <name val="Calibri"/>
      <family val="2"/>
    </font>
    <font>
      <b/>
      <sz val="11"/>
      <color rgb="FFFF0000"/>
      <name val="Arial"/>
      <family val="2"/>
    </font>
    <font>
      <b/>
      <sz val="20"/>
      <color theme="1"/>
      <name val="Arial"/>
      <family val="2"/>
    </font>
    <font>
      <b/>
      <sz val="20"/>
      <color theme="1"/>
      <name val="Arial Unicode MS"/>
      <family val="2"/>
      <charset val="134"/>
    </font>
    <font>
      <b/>
      <sz val="11"/>
      <color theme="1"/>
      <name val="宋体"/>
      <family val="3"/>
      <charset val="134"/>
      <scheme val="minor"/>
    </font>
    <font>
      <sz val="11"/>
      <color rgb="FFFF0000"/>
      <name val="Calibri"/>
      <family val="2"/>
    </font>
    <font>
      <sz val="11"/>
      <color rgb="FF9C6500"/>
      <name val="宋体"/>
      <family val="2"/>
      <charset val="134"/>
      <scheme val="minor"/>
    </font>
    <font>
      <sz val="14"/>
      <color theme="1"/>
      <name val="Times New Roman"/>
      <family val="1"/>
    </font>
    <font>
      <sz val="14"/>
      <color theme="1"/>
      <name val="宋体"/>
      <family val="2"/>
      <charset val="134"/>
    </font>
    <font>
      <sz val="14"/>
      <color theme="1"/>
      <name val="宋体"/>
      <family val="3"/>
      <charset val="134"/>
    </font>
    <font>
      <sz val="12"/>
      <color theme="1"/>
      <name val="Times New Roman"/>
      <family val="1"/>
    </font>
    <font>
      <sz val="12"/>
      <color theme="1"/>
      <name val="宋体"/>
      <family val="3"/>
      <charset val="134"/>
    </font>
    <font>
      <sz val="9"/>
      <color rgb="FF000000"/>
      <name val="Times New Roman"/>
      <family val="1"/>
    </font>
    <font>
      <sz val="12"/>
      <color rgb="FFFF0000"/>
      <name val="Times New Roman"/>
      <family val="1"/>
    </font>
    <font>
      <sz val="14"/>
      <color rgb="FFFF0000"/>
      <name val="Times New Roman"/>
      <family val="1"/>
    </font>
    <font>
      <sz val="11"/>
      <color rgb="FF006100"/>
      <name val="宋体"/>
      <family val="2"/>
      <charset val="134"/>
      <scheme val="minor"/>
    </font>
    <font>
      <sz val="11"/>
      <color rgb="FF006100"/>
      <name val="宋体"/>
      <family val="3"/>
      <charset val="134"/>
      <scheme val="minor"/>
    </font>
    <font>
      <i/>
      <sz val="14"/>
      <color rgb="FFC00000"/>
      <name val="Times New Roman"/>
      <family val="1"/>
    </font>
    <font>
      <i/>
      <sz val="14"/>
      <color theme="1"/>
      <name val="Times New Roman"/>
      <family val="1"/>
    </font>
    <font>
      <i/>
      <sz val="14"/>
      <color rgb="FFFF0000"/>
      <name val="Times New Roman"/>
      <family val="1"/>
    </font>
    <font>
      <i/>
      <sz val="12"/>
      <color theme="1"/>
      <name val="Times New Roman"/>
      <family val="1"/>
    </font>
    <font>
      <i/>
      <sz val="14"/>
      <color rgb="FF00B050"/>
      <name val="Times New Roman"/>
      <family val="1"/>
    </font>
    <font>
      <b/>
      <sz val="12"/>
      <color theme="1"/>
      <name val="Times New Roman"/>
      <family val="1"/>
    </font>
    <font>
      <b/>
      <sz val="12"/>
      <color theme="1"/>
      <name val="宋体"/>
      <family val="3"/>
      <charset val="134"/>
    </font>
    <font>
      <b/>
      <sz val="12"/>
      <color rgb="FFC00000"/>
      <name val="宋体"/>
      <family val="3"/>
      <charset val="134"/>
    </font>
    <font>
      <i/>
      <sz val="14"/>
      <color rgb="FF33CC33"/>
      <name val="Times New Roman"/>
      <family val="1"/>
    </font>
    <font>
      <i/>
      <sz val="14"/>
      <color rgb="FF7030A0"/>
      <name val="Times New Roman"/>
      <family val="1"/>
    </font>
    <font>
      <b/>
      <i/>
      <sz val="12"/>
      <color theme="1"/>
      <name val="Times New Roman"/>
      <family val="1"/>
    </font>
    <font>
      <i/>
      <sz val="12"/>
      <color theme="1"/>
      <name val="宋体"/>
      <family val="3"/>
      <charset val="134"/>
    </font>
    <font>
      <b/>
      <i/>
      <sz val="12"/>
      <color theme="1"/>
      <name val="宋体"/>
      <family val="3"/>
      <charset val="134"/>
    </font>
    <font>
      <i/>
      <sz val="14"/>
      <color rgb="FF030671"/>
      <name val="Times New Roman"/>
      <family val="1"/>
    </font>
    <font>
      <sz val="14"/>
      <color rgb="FF030671"/>
      <name val="Times New Roman"/>
      <family val="1"/>
    </font>
    <font>
      <sz val="12"/>
      <color rgb="FFFF0000"/>
      <name val="宋体"/>
      <family val="3"/>
      <charset val="134"/>
    </font>
    <font>
      <sz val="11"/>
      <color rgb="FFFF0000"/>
      <name val="宋体"/>
      <family val="3"/>
      <charset val="134"/>
      <scheme val="minor"/>
    </font>
    <font>
      <b/>
      <sz val="11"/>
      <color theme="0" tint="-0.249977111117893"/>
      <name val="Calibri"/>
      <family val="2"/>
    </font>
    <font>
      <sz val="11"/>
      <color theme="0" tint="-0.249977111117893"/>
      <name val="Calibri"/>
      <family val="2"/>
    </font>
    <font>
      <sz val="11"/>
      <color theme="0" tint="-0.249977111117893"/>
      <name val="宋体"/>
      <family val="2"/>
      <charset val="134"/>
      <scheme val="minor"/>
    </font>
    <font>
      <sz val="11"/>
      <color theme="0" tint="-0.249977111117893"/>
      <name val="宋体"/>
      <family val="3"/>
      <charset val="134"/>
      <scheme val="minor"/>
    </font>
    <font>
      <sz val="11"/>
      <color theme="1"/>
      <name val="宋体"/>
      <family val="2"/>
      <scheme val="minor"/>
    </font>
    <font>
      <sz val="11"/>
      <color rgb="FF9C0006"/>
      <name val="宋体"/>
      <family val="3"/>
      <charset val="134"/>
      <scheme val="minor"/>
    </font>
    <font>
      <b/>
      <sz val="12"/>
      <color rgb="FFFF0000"/>
      <name val="宋体"/>
      <family val="3"/>
      <charset val="134"/>
    </font>
    <font>
      <b/>
      <sz val="10"/>
      <color rgb="FFFF0000"/>
      <name val="Arial"/>
      <family val="2"/>
    </font>
  </fonts>
  <fills count="38">
    <fill>
      <patternFill patternType="none"/>
    </fill>
    <fill>
      <patternFill patternType="gray125"/>
    </fill>
    <fill>
      <gradientFill degree="270">
        <stop position="0">
          <color theme="0"/>
        </stop>
        <stop position="1">
          <color theme="7" tint="0.80001220740379042"/>
        </stop>
      </gradientFill>
    </fill>
    <fill>
      <patternFill patternType="solid">
        <fgColor rgb="FFCCCCFF"/>
        <bgColor auto="1"/>
      </patternFill>
    </fill>
    <fill>
      <patternFill patternType="solid">
        <fgColor rgb="FFFFFFCC"/>
        <bgColor auto="1"/>
      </patternFill>
    </fill>
    <fill>
      <patternFill patternType="solid">
        <fgColor rgb="FFFFFF00"/>
        <bgColor indexed="64"/>
      </patternFill>
    </fill>
    <fill>
      <patternFill patternType="solid">
        <fgColor rgb="FF00B0F0"/>
        <bgColor auto="1"/>
      </patternFill>
    </fill>
    <fill>
      <patternFill patternType="solid">
        <fgColor theme="9" tint="0.39994506668294322"/>
        <bgColor auto="1"/>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theme="8" tint="0.59996337778862885"/>
        <bgColor indexed="64"/>
      </patternFill>
    </fill>
    <fill>
      <patternFill patternType="solid">
        <fgColor theme="8" tint="0.39994506668294322"/>
        <bgColor indexed="64"/>
      </patternFill>
    </fill>
    <fill>
      <patternFill patternType="solid">
        <fgColor theme="6" tint="0.59996337778862885"/>
        <bgColor indexed="64"/>
      </patternFill>
    </fill>
    <fill>
      <patternFill patternType="solid">
        <fgColor theme="6" tint="0.39994506668294322"/>
        <bgColor indexed="64"/>
      </patternFill>
    </fill>
    <fill>
      <patternFill patternType="solid">
        <fgColor rgb="FF33CC33"/>
        <bgColor indexed="64"/>
      </patternFill>
    </fill>
    <fill>
      <patternFill patternType="solid">
        <fgColor rgb="FFFFC000"/>
        <bgColor indexed="64"/>
      </patternFill>
    </fill>
    <fill>
      <patternFill patternType="solid">
        <fgColor rgb="FFFFFFCC"/>
        <bgColor indexed="64"/>
      </patternFill>
    </fill>
    <fill>
      <gradientFill degree="90">
        <stop position="0">
          <color theme="0"/>
        </stop>
        <stop position="1">
          <color theme="2" tint="-9.8025452436902985E-2"/>
        </stop>
      </gradientFill>
    </fill>
    <fill>
      <patternFill patternType="solid">
        <fgColor rgb="FF00B050"/>
        <bgColor indexed="64"/>
      </patternFill>
    </fill>
    <fill>
      <patternFill patternType="solid">
        <fgColor theme="5" tint="0.39997558519241921"/>
        <bgColor indexed="64"/>
      </patternFill>
    </fill>
    <fill>
      <patternFill patternType="solid">
        <fgColor rgb="FFFFCC99"/>
        <bgColor indexed="64"/>
      </patternFill>
    </fill>
    <fill>
      <patternFill patternType="solid">
        <fgColor theme="4" tint="0.59999389629810485"/>
        <bgColor indexed="64"/>
      </patternFill>
    </fill>
    <fill>
      <patternFill patternType="solid">
        <fgColor theme="6" tint="0.79998168889431442"/>
        <bgColor auto="1"/>
      </patternFill>
    </fill>
    <fill>
      <patternFill patternType="solid">
        <fgColor rgb="FFFFCC66"/>
        <bgColor indexed="64"/>
      </patternFill>
    </fill>
    <fill>
      <patternFill patternType="solid">
        <fgColor rgb="FFFFEB9C"/>
      </patternFill>
    </fill>
    <fill>
      <patternFill patternType="solid">
        <fgColor theme="7" tint="0.39994506668294322"/>
        <bgColor indexed="64"/>
      </patternFill>
    </fill>
    <fill>
      <patternFill patternType="solid">
        <fgColor theme="0"/>
        <bgColor indexed="64"/>
      </patternFill>
    </fill>
    <fill>
      <patternFill patternType="solid">
        <fgColor theme="2" tint="-9.9978637043366805E-2"/>
        <bgColor indexed="64"/>
      </patternFill>
    </fill>
    <fill>
      <patternFill patternType="solid">
        <fgColor rgb="FFC6EFCE"/>
      </patternFill>
    </fill>
    <fill>
      <patternFill patternType="solid">
        <fgColor rgb="FFFF0000"/>
        <bgColor indexed="64"/>
      </patternFill>
    </fill>
    <fill>
      <patternFill patternType="solid">
        <fgColor rgb="FFFFC7CE"/>
      </patternFill>
    </fill>
    <fill>
      <patternFill patternType="solid">
        <fgColor theme="7" tint="0.59999389629810485"/>
        <bgColor indexed="64"/>
      </patternFill>
    </fill>
  </fills>
  <borders count="48">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style="medium">
        <color indexed="64"/>
      </right>
      <top style="thin">
        <color auto="1"/>
      </top>
      <bottom style="medium">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medium">
        <color indexed="64"/>
      </right>
      <top style="medium">
        <color indexed="64"/>
      </top>
      <bottom/>
      <diagonal/>
    </border>
    <border>
      <left style="medium">
        <color indexed="64"/>
      </left>
      <right style="thin">
        <color indexed="64"/>
      </right>
      <top style="thin">
        <color indexed="64"/>
      </top>
      <bottom/>
      <diagonal/>
    </border>
    <border>
      <left style="thin">
        <color auto="1"/>
      </left>
      <right style="medium">
        <color indexed="64"/>
      </right>
      <top/>
      <bottom/>
      <diagonal/>
    </border>
    <border>
      <left style="medium">
        <color indexed="64"/>
      </left>
      <right style="thin">
        <color indexed="64"/>
      </right>
      <top/>
      <bottom style="thin">
        <color indexed="64"/>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double">
        <color indexed="64"/>
      </top>
      <bottom style="thin">
        <color auto="1"/>
      </bottom>
      <diagonal/>
    </border>
    <border>
      <left style="thin">
        <color auto="1"/>
      </left>
      <right style="thin">
        <color auto="1"/>
      </right>
      <top style="double">
        <color indexed="64"/>
      </top>
      <bottom style="thin">
        <color auto="1"/>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auto="1"/>
      </right>
      <top style="thin">
        <color auto="1"/>
      </top>
      <bottom style="double">
        <color auto="1"/>
      </bottom>
      <diagonal/>
    </border>
    <border>
      <left style="thin">
        <color indexed="64"/>
      </left>
      <right style="medium">
        <color indexed="64"/>
      </right>
      <top style="double">
        <color indexed="64"/>
      </top>
      <bottom style="thin">
        <color indexed="64"/>
      </bottom>
      <diagonal/>
    </border>
    <border>
      <left style="thin">
        <color auto="1"/>
      </left>
      <right/>
      <top style="medium">
        <color auto="1"/>
      </top>
      <bottom/>
      <diagonal/>
    </border>
    <border>
      <left/>
      <right style="thin">
        <color indexed="64"/>
      </right>
      <top style="medium">
        <color auto="1"/>
      </top>
      <bottom/>
      <diagonal/>
    </border>
    <border>
      <left style="thin">
        <color auto="1"/>
      </left>
      <right/>
      <top/>
      <bottom/>
      <diagonal/>
    </border>
    <border>
      <left/>
      <right style="thin">
        <color indexed="64"/>
      </right>
      <top/>
      <bottom/>
      <diagonal/>
    </border>
    <border>
      <left style="thin">
        <color auto="1"/>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bottom style="medium">
        <color indexed="64"/>
      </bottom>
      <diagonal/>
    </border>
    <border>
      <left/>
      <right style="thin">
        <color indexed="64"/>
      </right>
      <top/>
      <bottom style="medium">
        <color indexed="64"/>
      </bottom>
      <diagonal/>
    </border>
    <border>
      <left style="thin">
        <color auto="1"/>
      </left>
      <right style="thin">
        <color indexed="64"/>
      </right>
      <top/>
      <bottom style="medium">
        <color indexed="64"/>
      </bottom>
      <diagonal/>
    </border>
    <border>
      <left style="thin">
        <color auto="1"/>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auto="1"/>
      </bottom>
      <diagonal/>
    </border>
    <border>
      <left/>
      <right/>
      <top style="thin">
        <color indexed="64"/>
      </top>
      <bottom/>
      <diagonal/>
    </border>
    <border>
      <left/>
      <right/>
      <top/>
      <bottom style="thin">
        <color indexed="64"/>
      </bottom>
      <diagonal/>
    </border>
    <border>
      <left style="thin">
        <color indexed="64"/>
      </left>
      <right/>
      <top style="double">
        <color indexed="64"/>
      </top>
      <bottom/>
      <diagonal/>
    </border>
    <border>
      <left style="thin">
        <color auto="1"/>
      </left>
      <right/>
      <top/>
      <bottom style="double">
        <color indexed="64"/>
      </bottom>
      <diagonal/>
    </border>
  </borders>
  <cellStyleXfs count="9">
    <xf numFmtId="0" fontId="0" fillId="0" borderId="0">
      <alignment vertical="center"/>
    </xf>
    <xf numFmtId="0" fontId="2" fillId="0" borderId="0"/>
    <xf numFmtId="0" fontId="21" fillId="0" borderId="0">
      <alignment vertical="center"/>
    </xf>
    <xf numFmtId="0" fontId="21" fillId="0" borderId="0">
      <alignment vertical="center"/>
    </xf>
    <xf numFmtId="0" fontId="34" fillId="30" borderId="0" applyNumberFormat="0" applyBorder="0" applyAlignment="0" applyProtection="0">
      <alignment vertical="center"/>
    </xf>
    <xf numFmtId="0" fontId="43" fillId="34" borderId="0" applyNumberFormat="0" applyBorder="0" applyAlignment="0" applyProtection="0">
      <alignment vertical="center"/>
    </xf>
    <xf numFmtId="0" fontId="66" fillId="0" borderId="0"/>
    <xf numFmtId="0" fontId="67" fillId="36" borderId="0" applyNumberFormat="0" applyBorder="0" applyAlignment="0" applyProtection="0">
      <alignment vertical="center"/>
    </xf>
    <xf numFmtId="0" fontId="44" fillId="34" borderId="0" applyNumberFormat="0" applyBorder="0" applyAlignment="0" applyProtection="0">
      <alignment vertical="center"/>
    </xf>
  </cellStyleXfs>
  <cellXfs count="301">
    <xf numFmtId="0" fontId="0" fillId="0" borderId="0" xfId="0">
      <alignment vertical="center"/>
    </xf>
    <xf numFmtId="0" fontId="4" fillId="0" borderId="0" xfId="0" applyFont="1">
      <alignment vertical="center"/>
    </xf>
    <xf numFmtId="0" fontId="6" fillId="9" borderId="1" xfId="0" applyFont="1" applyFill="1" applyBorder="1" applyAlignment="1">
      <alignment horizontal="center" vertical="center"/>
    </xf>
    <xf numFmtId="0" fontId="4" fillId="9" borderId="2" xfId="0" quotePrefix="1" applyFont="1" applyFill="1" applyBorder="1" applyAlignment="1">
      <alignment horizontal="center" vertical="center"/>
    </xf>
    <xf numFmtId="0" fontId="4" fillId="9" borderId="3" xfId="0" quotePrefix="1" applyFont="1" applyFill="1" applyBorder="1" applyAlignment="1">
      <alignment horizontal="center" vertical="center"/>
    </xf>
    <xf numFmtId="0" fontId="7" fillId="2" borderId="1" xfId="1" applyFont="1" applyFill="1" applyBorder="1" applyAlignment="1">
      <alignment horizontal="center" vertical="center"/>
    </xf>
    <xf numFmtId="0" fontId="8" fillId="3" borderId="1" xfId="1" applyFont="1" applyFill="1" applyBorder="1" applyAlignment="1">
      <alignment horizontal="center" vertical="center"/>
    </xf>
    <xf numFmtId="0" fontId="9" fillId="3" borderId="2" xfId="1" quotePrefix="1" applyFont="1" applyFill="1" applyBorder="1" applyAlignment="1">
      <alignment horizontal="center" vertical="center"/>
    </xf>
    <xf numFmtId="0" fontId="9" fillId="3" borderId="3" xfId="1" quotePrefix="1" applyFont="1" applyFill="1" applyBorder="1" applyAlignment="1">
      <alignment horizontal="center" vertical="center"/>
    </xf>
    <xf numFmtId="0" fontId="8" fillId="4" borderId="1" xfId="1" applyFont="1" applyFill="1" applyBorder="1" applyAlignment="1">
      <alignment horizontal="center" vertical="center"/>
    </xf>
    <xf numFmtId="0" fontId="9" fillId="4" borderId="2" xfId="1" quotePrefix="1" applyFont="1" applyFill="1" applyBorder="1" applyAlignment="1">
      <alignment horizontal="center" vertical="center"/>
    </xf>
    <xf numFmtId="0" fontId="9" fillId="4" borderId="3" xfId="1" quotePrefix="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2" xfId="1" applyFont="1" applyFill="1" applyBorder="1" applyAlignment="1">
      <alignment horizontal="center" vertical="center"/>
    </xf>
    <xf numFmtId="0" fontId="8" fillId="10" borderId="3" xfId="1" applyFont="1" applyFill="1" applyBorder="1" applyAlignment="1">
      <alignment horizontal="center" vertical="center"/>
    </xf>
    <xf numFmtId="0" fontId="10" fillId="2" borderId="1" xfId="1" applyFont="1" applyFill="1" applyBorder="1" applyAlignment="1">
      <alignment horizontal="center" vertical="center"/>
    </xf>
    <xf numFmtId="0" fontId="10" fillId="2" borderId="2" xfId="1" applyFont="1" applyFill="1" applyBorder="1" applyAlignment="1">
      <alignment horizontal="center" vertical="center"/>
    </xf>
    <xf numFmtId="0" fontId="10" fillId="2" borderId="3" xfId="1" applyFont="1" applyFill="1" applyBorder="1" applyAlignment="1">
      <alignment horizontal="center" vertical="center"/>
    </xf>
    <xf numFmtId="0" fontId="10" fillId="2" borderId="1" xfId="1" applyFont="1" applyFill="1" applyBorder="1" applyAlignment="1">
      <alignment horizontal="center" vertical="center" wrapText="1"/>
    </xf>
    <xf numFmtId="0" fontId="10" fillId="9" borderId="2" xfId="1" applyFont="1" applyFill="1" applyBorder="1" applyAlignment="1">
      <alignment horizontal="center" vertical="center"/>
    </xf>
    <xf numFmtId="0" fontId="10" fillId="9" borderId="3" xfId="1" applyFont="1" applyFill="1" applyBorder="1" applyAlignment="1">
      <alignment horizontal="center" vertical="center"/>
    </xf>
    <xf numFmtId="0" fontId="12" fillId="6" borderId="1" xfId="1" applyFont="1" applyFill="1" applyBorder="1" applyAlignment="1">
      <alignment horizontal="center" vertical="center" wrapText="1"/>
    </xf>
    <xf numFmtId="0" fontId="12" fillId="6" borderId="2" xfId="1" applyFont="1" applyFill="1" applyBorder="1" applyAlignment="1">
      <alignment horizontal="center" vertical="center"/>
    </xf>
    <xf numFmtId="0" fontId="12" fillId="6" borderId="3" xfId="1" applyFont="1" applyFill="1" applyBorder="1" applyAlignment="1">
      <alignment horizontal="center" vertical="center"/>
    </xf>
    <xf numFmtId="0" fontId="13" fillId="7" borderId="1" xfId="1" applyFont="1" applyFill="1" applyBorder="1" applyAlignment="1">
      <alignment horizontal="center" vertical="center" wrapText="1"/>
    </xf>
    <xf numFmtId="176" fontId="14" fillId="9" borderId="2" xfId="1" applyNumberFormat="1" applyFont="1" applyFill="1" applyBorder="1" applyAlignment="1">
      <alignment horizontal="center" vertical="center"/>
    </xf>
    <xf numFmtId="176" fontId="14" fillId="9" borderId="3" xfId="1" applyNumberFormat="1" applyFont="1" applyFill="1" applyBorder="1" applyAlignment="1">
      <alignment horizontal="center" vertical="center"/>
    </xf>
    <xf numFmtId="0" fontId="5" fillId="11" borderId="7" xfId="0" applyFont="1" applyFill="1" applyBorder="1" applyAlignment="1">
      <alignment horizontal="center" vertical="center"/>
    </xf>
    <xf numFmtId="0" fontId="6" fillId="11" borderId="8" xfId="0" applyFont="1" applyFill="1" applyBorder="1" applyAlignment="1">
      <alignment horizontal="center" vertical="center"/>
    </xf>
    <xf numFmtId="0" fontId="6" fillId="11" borderId="9" xfId="0" applyFont="1" applyFill="1" applyBorder="1" applyAlignment="1">
      <alignment horizontal="center" vertical="center"/>
    </xf>
    <xf numFmtId="0" fontId="6" fillId="11" borderId="1" xfId="0" applyFont="1" applyFill="1" applyBorder="1" applyAlignment="1">
      <alignment horizontal="center" vertical="center"/>
    </xf>
    <xf numFmtId="0" fontId="4" fillId="9" borderId="2"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2" xfId="0" applyFont="1" applyFill="1" applyBorder="1">
      <alignment vertical="center"/>
    </xf>
    <xf numFmtId="0" fontId="6" fillId="11" borderId="4" xfId="0" applyFont="1" applyFill="1" applyBorder="1" applyAlignment="1">
      <alignment horizontal="center" vertical="center" wrapText="1"/>
    </xf>
    <xf numFmtId="0" fontId="4" fillId="9" borderId="5" xfId="0" applyFont="1" applyFill="1" applyBorder="1">
      <alignment vertical="center"/>
    </xf>
    <xf numFmtId="0" fontId="4" fillId="9" borderId="5" xfId="0" applyFont="1" applyFill="1" applyBorder="1" applyAlignment="1">
      <alignment horizontal="center" vertical="center"/>
    </xf>
    <xf numFmtId="0" fontId="4" fillId="9" borderId="6" xfId="0" applyFont="1" applyFill="1" applyBorder="1" applyAlignment="1">
      <alignment horizontal="center" vertical="center"/>
    </xf>
    <xf numFmtId="0" fontId="19" fillId="5" borderId="2" xfId="0" quotePrefix="1" applyFont="1" applyFill="1" applyBorder="1" applyAlignment="1">
      <alignment horizontal="center" vertical="center" wrapText="1"/>
    </xf>
    <xf numFmtId="0" fontId="0" fillId="0" borderId="0" xfId="0" applyAlignment="1">
      <alignment horizontal="center" vertical="center"/>
    </xf>
    <xf numFmtId="0" fontId="24" fillId="15" borderId="2" xfId="2" applyFont="1" applyFill="1" applyBorder="1" applyAlignment="1">
      <alignment horizontal="center" vertical="center"/>
    </xf>
    <xf numFmtId="0" fontId="24" fillId="16" borderId="2" xfId="2" applyFont="1" applyFill="1" applyBorder="1" applyAlignment="1">
      <alignment horizontal="center" vertical="center"/>
    </xf>
    <xf numFmtId="0" fontId="24" fillId="17" borderId="5" xfId="2" applyFont="1" applyFill="1" applyBorder="1" applyAlignment="1">
      <alignment horizontal="center" vertical="center"/>
    </xf>
    <xf numFmtId="0" fontId="26" fillId="15" borderId="2" xfId="0" applyFont="1" applyFill="1" applyBorder="1" applyAlignment="1">
      <alignment horizontal="center" vertical="center"/>
    </xf>
    <xf numFmtId="0" fontId="25" fillId="16" borderId="2" xfId="0" applyFont="1" applyFill="1" applyBorder="1" applyAlignment="1">
      <alignment horizontal="center" vertical="center"/>
    </xf>
    <xf numFmtId="0" fontId="26" fillId="16" borderId="2" xfId="0" applyFont="1" applyFill="1" applyBorder="1" applyAlignment="1">
      <alignment horizontal="center" vertical="center"/>
    </xf>
    <xf numFmtId="0" fontId="26" fillId="17" borderId="5" xfId="0" applyFont="1" applyFill="1" applyBorder="1" applyAlignment="1">
      <alignment horizontal="center" vertical="center"/>
    </xf>
    <xf numFmtId="0" fontId="29" fillId="5" borderId="12" xfId="0" applyFont="1" applyFill="1" applyBorder="1" applyAlignment="1">
      <alignment horizontal="center" vertical="center"/>
    </xf>
    <xf numFmtId="0" fontId="22" fillId="21" borderId="12" xfId="0" applyFont="1" applyFill="1" applyBorder="1" applyAlignment="1">
      <alignment horizontal="center" vertical="center"/>
    </xf>
    <xf numFmtId="0" fontId="22" fillId="21" borderId="10" xfId="0" applyFont="1" applyFill="1" applyBorder="1" applyAlignment="1">
      <alignment horizontal="center" vertical="center"/>
    </xf>
    <xf numFmtId="0" fontId="19" fillId="12" borderId="1" xfId="2" applyFont="1" applyFill="1" applyBorder="1" applyAlignment="1">
      <alignment horizontal="center" vertical="center"/>
    </xf>
    <xf numFmtId="0" fontId="20" fillId="12" borderId="2" xfId="2" applyFont="1" applyFill="1" applyBorder="1" applyAlignment="1">
      <alignment horizontal="center" vertical="center"/>
    </xf>
    <xf numFmtId="0" fontId="20" fillId="12" borderId="2" xfId="2" applyFont="1" applyFill="1" applyBorder="1" applyAlignment="1">
      <alignment horizontal="center" vertical="center" wrapText="1"/>
    </xf>
    <xf numFmtId="0" fontId="20" fillId="12" borderId="2" xfId="2" applyFont="1" applyFill="1" applyBorder="1" applyAlignment="1">
      <alignment horizontal="left" vertical="center" wrapText="1"/>
    </xf>
    <xf numFmtId="0" fontId="19" fillId="24" borderId="1" xfId="2" applyFont="1" applyFill="1" applyBorder="1" applyAlignment="1">
      <alignment horizontal="center" vertical="center"/>
    </xf>
    <xf numFmtId="0" fontId="20" fillId="24" borderId="2" xfId="2" applyFont="1" applyFill="1" applyBorder="1" applyAlignment="1">
      <alignment horizontal="center" vertical="center"/>
    </xf>
    <xf numFmtId="0" fontId="20" fillId="24" borderId="2" xfId="2" applyFont="1" applyFill="1" applyBorder="1" applyAlignment="1">
      <alignment horizontal="center" vertical="center" wrapText="1"/>
    </xf>
    <xf numFmtId="0" fontId="20" fillId="24" borderId="2" xfId="2" applyFont="1" applyFill="1" applyBorder="1" applyAlignment="1">
      <alignment horizontal="left" vertical="center" wrapText="1"/>
    </xf>
    <xf numFmtId="0" fontId="19" fillId="21" borderId="1" xfId="2" applyFont="1" applyFill="1" applyBorder="1" applyAlignment="1">
      <alignment horizontal="center" vertical="center"/>
    </xf>
    <xf numFmtId="0" fontId="20" fillId="21" borderId="2" xfId="2" applyFont="1" applyFill="1" applyBorder="1" applyAlignment="1">
      <alignment horizontal="center" vertical="center"/>
    </xf>
    <xf numFmtId="0" fontId="20" fillId="21" borderId="2" xfId="2" applyFont="1" applyFill="1" applyBorder="1" applyAlignment="1">
      <alignment horizontal="center" vertical="center" wrapText="1"/>
    </xf>
    <xf numFmtId="0" fontId="20" fillId="21" borderId="2" xfId="2" applyFont="1" applyFill="1" applyBorder="1" applyAlignment="1">
      <alignment horizontal="left" vertical="center" wrapText="1"/>
    </xf>
    <xf numFmtId="0" fontId="6" fillId="23" borderId="19" xfId="2" applyFont="1" applyFill="1" applyBorder="1" applyAlignment="1">
      <alignment horizontal="center" vertical="center"/>
    </xf>
    <xf numFmtId="0" fontId="6" fillId="23" borderId="20" xfId="2" applyFont="1" applyFill="1" applyBorder="1" applyAlignment="1">
      <alignment horizontal="center" vertical="center"/>
    </xf>
    <xf numFmtId="0" fontId="6" fillId="23" borderId="14" xfId="2" applyFont="1" applyFill="1" applyBorder="1" applyAlignment="1">
      <alignment horizontal="center" vertical="center"/>
    </xf>
    <xf numFmtId="0" fontId="19" fillId="21" borderId="7" xfId="2" applyFont="1" applyFill="1" applyBorder="1" applyAlignment="1">
      <alignment horizontal="center" vertical="center"/>
    </xf>
    <xf numFmtId="0" fontId="20" fillId="21" borderId="8" xfId="2" applyFont="1" applyFill="1" applyBorder="1" applyAlignment="1">
      <alignment horizontal="center" vertical="center"/>
    </xf>
    <xf numFmtId="0" fontId="20" fillId="21" borderId="8" xfId="2" applyFont="1" applyFill="1" applyBorder="1" applyAlignment="1">
      <alignment horizontal="center" vertical="center" wrapText="1"/>
    </xf>
    <xf numFmtId="0" fontId="20" fillId="21" borderId="8" xfId="2" applyFont="1" applyFill="1" applyBorder="1" applyAlignment="1">
      <alignment horizontal="left" vertical="center" wrapText="1"/>
    </xf>
    <xf numFmtId="0" fontId="20" fillId="21" borderId="3" xfId="2" applyFont="1" applyFill="1" applyBorder="1" applyAlignment="1">
      <alignment vertical="center" wrapText="1"/>
    </xf>
    <xf numFmtId="0" fontId="19" fillId="21" borderId="4" xfId="2" applyFont="1" applyFill="1" applyBorder="1" applyAlignment="1">
      <alignment horizontal="center" vertical="center"/>
    </xf>
    <xf numFmtId="0" fontId="20" fillId="21" borderId="5" xfId="2" applyFont="1" applyFill="1" applyBorder="1" applyAlignment="1">
      <alignment horizontal="center" vertical="center"/>
    </xf>
    <xf numFmtId="0" fontId="20" fillId="21" borderId="5" xfId="2" applyFont="1" applyFill="1" applyBorder="1" applyAlignment="1">
      <alignment horizontal="center" vertical="center" wrapText="1"/>
    </xf>
    <xf numFmtId="0" fontId="20" fillId="21" borderId="5" xfId="2" applyFont="1" applyFill="1" applyBorder="1" applyAlignment="1">
      <alignment horizontal="left" vertical="center" wrapText="1"/>
    </xf>
    <xf numFmtId="0" fontId="20" fillId="21" borderId="6" xfId="2" applyFont="1" applyFill="1" applyBorder="1" applyAlignment="1">
      <alignment vertical="center"/>
    </xf>
    <xf numFmtId="0" fontId="19" fillId="25" borderId="1" xfId="2" applyFont="1" applyFill="1" applyBorder="1" applyAlignment="1">
      <alignment horizontal="center" vertical="center"/>
    </xf>
    <xf numFmtId="0" fontId="20" fillId="25" borderId="2" xfId="2" applyFont="1" applyFill="1" applyBorder="1" applyAlignment="1">
      <alignment horizontal="center" vertical="center"/>
    </xf>
    <xf numFmtId="0" fontId="20" fillId="25" borderId="2" xfId="2" applyFont="1" applyFill="1" applyBorder="1" applyAlignment="1">
      <alignment horizontal="center" vertical="center" wrapText="1"/>
    </xf>
    <xf numFmtId="0" fontId="20" fillId="25" borderId="2" xfId="2" applyFont="1" applyFill="1" applyBorder="1" applyAlignment="1">
      <alignment horizontal="left" vertical="center" wrapText="1"/>
    </xf>
    <xf numFmtId="0" fontId="19" fillId="25" borderId="7" xfId="2" applyFont="1" applyFill="1" applyBorder="1" applyAlignment="1">
      <alignment horizontal="center" vertical="center"/>
    </xf>
    <xf numFmtId="0" fontId="20" fillId="25" borderId="8" xfId="2" applyFont="1" applyFill="1" applyBorder="1" applyAlignment="1">
      <alignment horizontal="center" vertical="center"/>
    </xf>
    <xf numFmtId="0" fontId="20" fillId="25" borderId="8" xfId="2" applyFont="1" applyFill="1" applyBorder="1" applyAlignment="1">
      <alignment horizontal="center" vertical="center" wrapText="1"/>
    </xf>
    <xf numFmtId="0" fontId="20" fillId="25" borderId="8" xfId="2" applyFont="1" applyFill="1" applyBorder="1" applyAlignment="1">
      <alignment horizontal="left" vertical="center" wrapText="1"/>
    </xf>
    <xf numFmtId="0" fontId="20" fillId="25" borderId="9" xfId="2" applyFont="1" applyFill="1" applyBorder="1" applyAlignment="1">
      <alignment vertical="center"/>
    </xf>
    <xf numFmtId="0" fontId="25" fillId="14" borderId="22" xfId="0" applyFont="1" applyFill="1" applyBorder="1" applyAlignment="1">
      <alignment horizontal="center" vertical="center"/>
    </xf>
    <xf numFmtId="0" fontId="26" fillId="14" borderId="22" xfId="0" applyFont="1" applyFill="1" applyBorder="1" applyAlignment="1">
      <alignment horizontal="center" vertical="center"/>
    </xf>
    <xf numFmtId="0" fontId="26" fillId="17" borderId="24" xfId="0" applyFont="1" applyFill="1" applyBorder="1" applyAlignment="1">
      <alignment horizontal="center" vertical="center"/>
    </xf>
    <xf numFmtId="0" fontId="24" fillId="14" borderId="22" xfId="2" applyFont="1" applyFill="1" applyBorder="1" applyAlignment="1">
      <alignment horizontal="center" vertical="center"/>
    </xf>
    <xf numFmtId="0" fontId="26" fillId="15" borderId="3" xfId="0" applyFont="1" applyFill="1" applyBorder="1" applyAlignment="1">
      <alignment horizontal="center" vertical="center"/>
    </xf>
    <xf numFmtId="0" fontId="24" fillId="17" borderId="24" xfId="2" applyFont="1" applyFill="1" applyBorder="1" applyAlignment="1">
      <alignment horizontal="center" vertical="center"/>
    </xf>
    <xf numFmtId="0" fontId="26" fillId="17" borderId="25" xfId="0" applyFont="1" applyFill="1" applyBorder="1" applyAlignment="1">
      <alignment horizontal="center" vertical="center"/>
    </xf>
    <xf numFmtId="0" fontId="26" fillId="17" borderId="6" xfId="0" applyFont="1" applyFill="1" applyBorder="1" applyAlignment="1">
      <alignment horizontal="center" vertical="center"/>
    </xf>
    <xf numFmtId="0" fontId="19" fillId="9" borderId="1" xfId="2" applyFont="1" applyFill="1" applyBorder="1" applyAlignment="1">
      <alignment horizontal="center" vertical="center"/>
    </xf>
    <xf numFmtId="0" fontId="20" fillId="9" borderId="2" xfId="2" applyFont="1" applyFill="1" applyBorder="1" applyAlignment="1">
      <alignment horizontal="center" vertical="center"/>
    </xf>
    <xf numFmtId="0" fontId="20" fillId="9" borderId="2" xfId="2" applyFont="1" applyFill="1" applyBorder="1" applyAlignment="1">
      <alignment horizontal="center" vertical="center" wrapText="1"/>
    </xf>
    <xf numFmtId="0" fontId="20" fillId="25" borderId="3" xfId="2" applyFont="1" applyFill="1" applyBorder="1" applyAlignment="1">
      <alignment vertical="center" wrapText="1"/>
    </xf>
    <xf numFmtId="0" fontId="20" fillId="25" borderId="3" xfId="2" applyFont="1" applyFill="1" applyBorder="1" applyAlignment="1">
      <alignment vertical="center"/>
    </xf>
    <xf numFmtId="0" fontId="19" fillId="22" borderId="1" xfId="2" applyFont="1" applyFill="1" applyBorder="1" applyAlignment="1">
      <alignment horizontal="center" vertical="center"/>
    </xf>
    <xf numFmtId="0" fontId="20" fillId="22" borderId="2" xfId="2" applyFont="1" applyFill="1" applyBorder="1" applyAlignment="1">
      <alignment horizontal="center" vertical="center"/>
    </xf>
    <xf numFmtId="0" fontId="20" fillId="22" borderId="2" xfId="2" applyFont="1" applyFill="1" applyBorder="1" applyAlignment="1">
      <alignment horizontal="center" vertical="center" wrapText="1"/>
    </xf>
    <xf numFmtId="0" fontId="20" fillId="22" borderId="2" xfId="2" applyFont="1" applyFill="1" applyBorder="1" applyAlignment="1">
      <alignment horizontal="left" vertical="center" wrapText="1"/>
    </xf>
    <xf numFmtId="0" fontId="20" fillId="22" borderId="3" xfId="2" applyFont="1" applyFill="1" applyBorder="1" applyAlignment="1">
      <alignment horizontal="left" vertical="center" wrapText="1"/>
    </xf>
    <xf numFmtId="0" fontId="19" fillId="29" borderId="1" xfId="2" applyFont="1" applyFill="1" applyBorder="1" applyAlignment="1">
      <alignment horizontal="center" vertical="center"/>
    </xf>
    <xf numFmtId="0" fontId="20" fillId="29" borderId="2" xfId="2" applyFont="1" applyFill="1" applyBorder="1" applyAlignment="1">
      <alignment horizontal="center" vertical="center"/>
    </xf>
    <xf numFmtId="0" fontId="20" fillId="29" borderId="2" xfId="2" applyFont="1" applyFill="1" applyBorder="1" applyAlignment="1">
      <alignment horizontal="center" vertical="center" wrapText="1"/>
    </xf>
    <xf numFmtId="0" fontId="19" fillId="22" borderId="17" xfId="2" applyFont="1" applyFill="1" applyBorder="1" applyAlignment="1">
      <alignment horizontal="center" vertical="center"/>
    </xf>
    <xf numFmtId="0" fontId="20" fillId="22" borderId="13" xfId="2" applyFont="1" applyFill="1" applyBorder="1" applyAlignment="1">
      <alignment horizontal="center" vertical="center"/>
    </xf>
    <xf numFmtId="0" fontId="20" fillId="22" borderId="13" xfId="2" applyFont="1" applyFill="1" applyBorder="1" applyAlignment="1">
      <alignment horizontal="center" vertical="center" wrapText="1"/>
    </xf>
    <xf numFmtId="0" fontId="20" fillId="22" borderId="13" xfId="2" applyFont="1" applyFill="1" applyBorder="1" applyAlignment="1">
      <alignment horizontal="left" vertical="center" wrapText="1"/>
    </xf>
    <xf numFmtId="0" fontId="20" fillId="22" borderId="11" xfId="2" applyFont="1" applyFill="1" applyBorder="1" applyAlignment="1">
      <alignment horizontal="left" vertical="center" wrapText="1"/>
    </xf>
    <xf numFmtId="0" fontId="19" fillId="29" borderId="7" xfId="2" applyFont="1" applyFill="1" applyBorder="1" applyAlignment="1">
      <alignment horizontal="center" vertical="center"/>
    </xf>
    <xf numFmtId="0" fontId="20" fillId="29" borderId="8" xfId="2" applyFont="1" applyFill="1" applyBorder="1" applyAlignment="1">
      <alignment horizontal="center" vertical="center"/>
    </xf>
    <xf numFmtId="0" fontId="20" fillId="29" borderId="8" xfId="2" applyFont="1" applyFill="1" applyBorder="1" applyAlignment="1">
      <alignment horizontal="center" vertical="center" wrapText="1"/>
    </xf>
    <xf numFmtId="0" fontId="19" fillId="29" borderId="4" xfId="2" applyFont="1" applyFill="1" applyBorder="1" applyAlignment="1">
      <alignment horizontal="center" vertical="center"/>
    </xf>
    <xf numFmtId="0" fontId="20" fillId="29" borderId="5" xfId="2" applyFont="1" applyFill="1" applyBorder="1" applyAlignment="1">
      <alignment horizontal="center" vertical="center"/>
    </xf>
    <xf numFmtId="0" fontId="20" fillId="29" borderId="5" xfId="2" applyFont="1" applyFill="1" applyBorder="1" applyAlignment="1">
      <alignment horizontal="center" vertical="center" wrapText="1"/>
    </xf>
    <xf numFmtId="0" fontId="19" fillId="25" borderId="15" xfId="2" applyFont="1" applyFill="1" applyBorder="1" applyAlignment="1">
      <alignment horizontal="center" vertical="center"/>
    </xf>
    <xf numFmtId="0" fontId="20" fillId="25" borderId="12" xfId="2" applyFont="1" applyFill="1" applyBorder="1" applyAlignment="1">
      <alignment horizontal="center" vertical="center"/>
    </xf>
    <xf numFmtId="0" fontId="20" fillId="25" borderId="12" xfId="2" applyFont="1" applyFill="1" applyBorder="1" applyAlignment="1">
      <alignment horizontal="center" vertical="center" wrapText="1"/>
    </xf>
    <xf numFmtId="0" fontId="20" fillId="25" borderId="12" xfId="2" applyFont="1" applyFill="1" applyBorder="1" applyAlignment="1">
      <alignment horizontal="left" vertical="center" wrapText="1"/>
    </xf>
    <xf numFmtId="0" fontId="20" fillId="25" borderId="10" xfId="2" applyFont="1" applyFill="1" applyBorder="1" applyAlignment="1">
      <alignment vertical="center"/>
    </xf>
    <xf numFmtId="0" fontId="19" fillId="26" borderId="7" xfId="2" applyFont="1" applyFill="1" applyBorder="1" applyAlignment="1">
      <alignment horizontal="center" vertical="center"/>
    </xf>
    <xf numFmtId="0" fontId="20" fillId="26" borderId="8" xfId="2" applyFont="1" applyFill="1" applyBorder="1" applyAlignment="1">
      <alignment horizontal="center" vertical="center"/>
    </xf>
    <xf numFmtId="0" fontId="20" fillId="26" borderId="8" xfId="2" applyFont="1" applyFill="1" applyBorder="1" applyAlignment="1">
      <alignment horizontal="center" vertical="center" wrapText="1"/>
    </xf>
    <xf numFmtId="0" fontId="19" fillId="26" borderId="4" xfId="2" applyFont="1" applyFill="1" applyBorder="1" applyAlignment="1">
      <alignment horizontal="center" vertical="center"/>
    </xf>
    <xf numFmtId="0" fontId="20" fillId="26" borderId="5" xfId="2" applyFont="1" applyFill="1" applyBorder="1" applyAlignment="1">
      <alignment horizontal="center" vertical="center"/>
    </xf>
    <xf numFmtId="0" fontId="20" fillId="26" borderId="5" xfId="2" applyFont="1" applyFill="1" applyBorder="1" applyAlignment="1">
      <alignment horizontal="center" vertical="center" wrapText="1"/>
    </xf>
    <xf numFmtId="0" fontId="32" fillId="0" borderId="0" xfId="0" applyFont="1">
      <alignment vertical="center"/>
    </xf>
    <xf numFmtId="0" fontId="16" fillId="5" borderId="1" xfId="3" applyFont="1" applyFill="1" applyBorder="1" applyAlignment="1">
      <alignment horizontal="center" vertical="center"/>
    </xf>
    <xf numFmtId="0" fontId="33" fillId="5" borderId="2" xfId="3" applyFont="1" applyFill="1" applyBorder="1" applyAlignment="1">
      <alignment horizontal="center" vertical="center"/>
    </xf>
    <xf numFmtId="0" fontId="33" fillId="5" borderId="2" xfId="3" applyFont="1" applyFill="1" applyBorder="1" applyAlignment="1">
      <alignment horizontal="center" vertical="center" wrapText="1"/>
    </xf>
    <xf numFmtId="0" fontId="33" fillId="5" borderId="2" xfId="3" applyFont="1" applyFill="1" applyBorder="1" applyAlignment="1">
      <alignment horizontal="left" vertical="center" wrapText="1"/>
    </xf>
    <xf numFmtId="0" fontId="0" fillId="0" borderId="0" xfId="0" applyAlignment="1"/>
    <xf numFmtId="177" fontId="22" fillId="31" borderId="3" xfId="0" applyNumberFormat="1" applyFont="1" applyFill="1" applyBorder="1" applyAlignment="1">
      <alignment horizontal="center" vertical="center"/>
    </xf>
    <xf numFmtId="0" fontId="0" fillId="0" borderId="0" xfId="0" applyAlignment="1">
      <alignment vertical="center" wrapText="1"/>
    </xf>
    <xf numFmtId="0" fontId="35" fillId="0" borderId="0" xfId="0" applyFont="1" applyAlignment="1">
      <alignment vertical="center" wrapText="1"/>
    </xf>
    <xf numFmtId="0" fontId="34" fillId="30" borderId="0" xfId="4" applyAlignment="1">
      <alignment vertical="center" wrapText="1"/>
    </xf>
    <xf numFmtId="0" fontId="38" fillId="33" borderId="2" xfId="0" applyFont="1" applyFill="1" applyBorder="1" applyAlignment="1">
      <alignment vertical="center" wrapText="1"/>
    </xf>
    <xf numFmtId="0" fontId="0" fillId="33" borderId="2" xfId="0" applyFill="1" applyBorder="1">
      <alignment vertical="center"/>
    </xf>
    <xf numFmtId="0" fontId="15" fillId="0" borderId="15" xfId="0" applyFont="1" applyBorder="1" applyAlignment="1">
      <alignment horizontal="center" vertical="center"/>
    </xf>
    <xf numFmtId="176" fontId="20" fillId="5" borderId="12" xfId="0" applyNumberFormat="1" applyFont="1" applyFill="1" applyBorder="1" applyAlignment="1">
      <alignment horizontal="center" vertical="center"/>
    </xf>
    <xf numFmtId="0" fontId="4" fillId="0" borderId="2" xfId="0" applyFont="1" applyBorder="1">
      <alignment vertical="center"/>
    </xf>
    <xf numFmtId="0" fontId="40" fillId="0" borderId="2" xfId="0" applyFont="1" applyBorder="1">
      <alignment vertical="center"/>
    </xf>
    <xf numFmtId="0" fontId="44" fillId="34" borderId="2" xfId="5" applyFont="1" applyBorder="1" applyAlignment="1">
      <alignment horizontal="center" vertical="center"/>
    </xf>
    <xf numFmtId="0" fontId="34" fillId="5" borderId="0" xfId="4" applyFill="1" applyAlignment="1">
      <alignment vertical="center" wrapText="1"/>
    </xf>
    <xf numFmtId="0" fontId="0" fillId="5" borderId="0" xfId="0" applyFill="1">
      <alignment vertical="center"/>
    </xf>
    <xf numFmtId="0" fontId="16" fillId="9" borderId="1" xfId="0" applyFont="1" applyFill="1" applyBorder="1" applyAlignment="1">
      <alignment horizontal="center" vertical="center"/>
    </xf>
    <xf numFmtId="0" fontId="35" fillId="32" borderId="2" xfId="0" applyFont="1" applyFill="1" applyBorder="1" applyAlignment="1">
      <alignment vertical="center" wrapText="1"/>
    </xf>
    <xf numFmtId="0" fontId="35" fillId="32" borderId="2" xfId="0" applyFont="1" applyFill="1" applyBorder="1" applyAlignment="1">
      <alignment horizontal="left" vertical="center" wrapText="1"/>
    </xf>
    <xf numFmtId="0" fontId="35" fillId="32" borderId="0" xfId="0" applyFont="1" applyFill="1" applyAlignment="1">
      <alignment vertical="center" wrapText="1"/>
    </xf>
    <xf numFmtId="0" fontId="44" fillId="34" borderId="2" xfId="5" applyFont="1" applyBorder="1" applyAlignment="1">
      <alignment horizontal="center" vertical="center" wrapText="1"/>
    </xf>
    <xf numFmtId="0" fontId="44" fillId="34" borderId="13" xfId="5" applyFont="1" applyBorder="1" applyAlignment="1">
      <alignment horizontal="center" vertical="center"/>
    </xf>
    <xf numFmtId="0" fontId="44" fillId="34" borderId="13" xfId="5" applyFont="1" applyBorder="1" applyAlignment="1">
      <alignment horizontal="center" vertical="center" wrapText="1"/>
    </xf>
    <xf numFmtId="0" fontId="20" fillId="0" borderId="0" xfId="2" applyFont="1" applyFill="1" applyBorder="1" applyAlignment="1">
      <alignment horizontal="center" vertical="center"/>
    </xf>
    <xf numFmtId="0" fontId="44" fillId="0" borderId="0" xfId="5" applyFont="1" applyFill="1" applyBorder="1">
      <alignment vertical="center"/>
    </xf>
    <xf numFmtId="0" fontId="19" fillId="12" borderId="42" xfId="2" applyFont="1" applyFill="1" applyBorder="1" applyAlignment="1">
      <alignment horizontal="center" vertical="center"/>
    </xf>
    <xf numFmtId="0" fontId="62" fillId="12" borderId="1" xfId="2" applyFont="1" applyFill="1" applyBorder="1" applyAlignment="1">
      <alignment horizontal="center" vertical="center"/>
    </xf>
    <xf numFmtId="0" fontId="63" fillId="22" borderId="13" xfId="2" applyFont="1" applyFill="1" applyBorder="1" applyAlignment="1">
      <alignment horizontal="center" vertical="center"/>
    </xf>
    <xf numFmtId="0" fontId="63" fillId="12" borderId="2" xfId="2" applyFont="1" applyFill="1" applyBorder="1" applyAlignment="1">
      <alignment horizontal="center" vertical="center" wrapText="1"/>
    </xf>
    <xf numFmtId="0" fontId="63" fillId="12" borderId="2" xfId="2" applyFont="1" applyFill="1" applyBorder="1" applyAlignment="1">
      <alignment horizontal="center" vertical="center"/>
    </xf>
    <xf numFmtId="0" fontId="63" fillId="12" borderId="2" xfId="2" applyFont="1" applyFill="1" applyBorder="1" applyAlignment="1">
      <alignment horizontal="left" vertical="center" wrapText="1"/>
    </xf>
    <xf numFmtId="0" fontId="64" fillId="0" borderId="0" xfId="0" applyFont="1">
      <alignment vertical="center"/>
    </xf>
    <xf numFmtId="0" fontId="0" fillId="0" borderId="0" xfId="0" applyFill="1">
      <alignment vertical="center"/>
    </xf>
    <xf numFmtId="0" fontId="19" fillId="0" borderId="0" xfId="2" applyFont="1" applyFill="1" applyBorder="1" applyAlignment="1">
      <alignment horizontal="center" vertical="center"/>
    </xf>
    <xf numFmtId="0" fontId="20" fillId="0" borderId="0" xfId="2" applyFont="1" applyFill="1" applyBorder="1" applyAlignment="1">
      <alignment horizontal="center" vertical="center" wrapText="1"/>
    </xf>
    <xf numFmtId="0" fontId="19" fillId="12" borderId="2" xfId="2" applyFont="1" applyFill="1" applyBorder="1" applyAlignment="1">
      <alignment horizontal="center" vertical="center"/>
    </xf>
    <xf numFmtId="0" fontId="44" fillId="10" borderId="2" xfId="5" applyFont="1" applyFill="1" applyBorder="1" applyAlignment="1">
      <alignment horizontal="center" vertical="center"/>
    </xf>
    <xf numFmtId="0" fontId="0" fillId="10" borderId="2" xfId="0" applyFill="1" applyBorder="1" applyAlignment="1">
      <alignment horizontal="center" vertical="center"/>
    </xf>
    <xf numFmtId="0" fontId="0" fillId="10" borderId="2" xfId="0" applyFill="1" applyBorder="1">
      <alignment vertical="center"/>
    </xf>
    <xf numFmtId="0" fontId="44" fillId="10" borderId="2" xfId="5" applyFont="1" applyFill="1" applyBorder="1" applyAlignment="1">
      <alignment horizontal="center" vertical="center" wrapText="1"/>
    </xf>
    <xf numFmtId="0" fontId="65" fillId="10" borderId="2" xfId="5" applyFont="1" applyFill="1" applyBorder="1" applyAlignment="1">
      <alignment horizontal="center" vertical="center"/>
    </xf>
    <xf numFmtId="0" fontId="63" fillId="22" borderId="2" xfId="2" applyFont="1" applyFill="1" applyBorder="1" applyAlignment="1">
      <alignment horizontal="center" vertical="center"/>
    </xf>
    <xf numFmtId="0" fontId="64" fillId="10" borderId="2" xfId="0" applyFont="1" applyFill="1" applyBorder="1">
      <alignment vertical="center"/>
    </xf>
    <xf numFmtId="0" fontId="65" fillId="10" borderId="2" xfId="5" applyFont="1" applyFill="1" applyBorder="1" applyAlignment="1">
      <alignment horizontal="center" vertical="center" wrapText="1"/>
    </xf>
    <xf numFmtId="0" fontId="44" fillId="37" borderId="2" xfId="5" applyFont="1" applyFill="1" applyBorder="1" applyAlignment="1">
      <alignment horizontal="center" vertical="center"/>
    </xf>
    <xf numFmtId="0" fontId="0" fillId="0" borderId="0" xfId="0">
      <alignment vertical="center"/>
    </xf>
    <xf numFmtId="0" fontId="20" fillId="9" borderId="2" xfId="2" applyFont="1" applyFill="1" applyBorder="1" applyAlignment="1">
      <alignment horizontal="center" vertical="center" wrapText="1"/>
    </xf>
    <xf numFmtId="0" fontId="20" fillId="22" borderId="2" xfId="2" applyFont="1" applyFill="1" applyBorder="1" applyAlignment="1">
      <alignment horizontal="center" vertical="center"/>
    </xf>
    <xf numFmtId="0" fontId="20" fillId="22" borderId="13" xfId="2" applyFont="1" applyFill="1" applyBorder="1" applyAlignment="1">
      <alignment horizontal="center" vertical="center"/>
    </xf>
    <xf numFmtId="0" fontId="44" fillId="37" borderId="2" xfId="5" applyFont="1" applyFill="1" applyBorder="1" applyAlignment="1">
      <alignment horizontal="center" vertical="center" wrapText="1"/>
    </xf>
    <xf numFmtId="0" fontId="0" fillId="37" borderId="2" xfId="0" applyFill="1" applyBorder="1">
      <alignment vertical="center"/>
    </xf>
    <xf numFmtId="0" fontId="0" fillId="37" borderId="2" xfId="0" applyFill="1" applyBorder="1" applyAlignment="1">
      <alignment horizontal="center" vertical="center"/>
    </xf>
    <xf numFmtId="0" fontId="20" fillId="9" borderId="1" xfId="2" applyFont="1" applyFill="1" applyBorder="1" applyAlignment="1">
      <alignment horizontal="center" vertical="center"/>
    </xf>
    <xf numFmtId="0" fontId="44" fillId="5" borderId="2" xfId="5" applyFont="1" applyFill="1" applyBorder="1" applyAlignment="1">
      <alignment horizontal="center" vertical="center"/>
    </xf>
    <xf numFmtId="0" fontId="20" fillId="5" borderId="13" xfId="2" applyFont="1" applyFill="1" applyBorder="1" applyAlignment="1">
      <alignment horizontal="center" vertical="center"/>
    </xf>
    <xf numFmtId="0" fontId="44" fillId="5" borderId="2" xfId="5" applyFont="1" applyFill="1" applyBorder="1" applyAlignment="1">
      <alignment horizontal="center" vertical="center" wrapText="1"/>
    </xf>
    <xf numFmtId="0" fontId="44" fillId="5" borderId="0" xfId="5" applyFont="1" applyFill="1" applyBorder="1">
      <alignment vertical="center"/>
    </xf>
    <xf numFmtId="0" fontId="26" fillId="27" borderId="2" xfId="0" applyFont="1" applyFill="1" applyBorder="1" applyAlignment="1">
      <alignment horizontal="center" vertical="center"/>
    </xf>
    <xf numFmtId="0" fontId="26" fillId="13" borderId="22" xfId="0" applyFont="1" applyFill="1" applyBorder="1" applyAlignment="1">
      <alignment horizontal="center" vertical="center"/>
    </xf>
    <xf numFmtId="0" fontId="0" fillId="0" borderId="0" xfId="0" applyNumberFormat="1">
      <alignment vertical="center"/>
    </xf>
    <xf numFmtId="0" fontId="5" fillId="8" borderId="7" xfId="0" applyFont="1" applyFill="1" applyBorder="1" applyAlignment="1">
      <alignment horizontal="center" vertical="center"/>
    </xf>
    <xf numFmtId="0" fontId="5" fillId="8" borderId="8" xfId="0" applyFont="1" applyFill="1" applyBorder="1" applyAlignment="1">
      <alignment horizontal="center" vertical="center"/>
    </xf>
    <xf numFmtId="0" fontId="5" fillId="8" borderId="9" xfId="0" applyFont="1" applyFill="1" applyBorder="1" applyAlignment="1">
      <alignment horizontal="center" vertical="center"/>
    </xf>
    <xf numFmtId="0" fontId="7" fillId="2" borderId="2" xfId="1" applyFont="1" applyFill="1" applyBorder="1" applyAlignment="1">
      <alignment horizontal="center" vertical="center"/>
    </xf>
    <xf numFmtId="0" fontId="7" fillId="2" borderId="3" xfId="1" applyFont="1" applyFill="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42" xfId="0" applyFont="1" applyBorder="1" applyAlignment="1">
      <alignment horizontal="center" vertical="center"/>
    </xf>
    <xf numFmtId="0" fontId="4" fillId="9" borderId="40" xfId="0" quotePrefix="1" applyFont="1" applyFill="1" applyBorder="1" applyAlignment="1">
      <alignment horizontal="center" vertical="center"/>
    </xf>
    <xf numFmtId="0" fontId="4" fillId="9" borderId="41" xfId="0" quotePrefix="1" applyFont="1" applyFill="1" applyBorder="1" applyAlignment="1">
      <alignment horizontal="center" vertical="center"/>
    </xf>
    <xf numFmtId="0" fontId="4" fillId="9" borderId="43" xfId="0" quotePrefix="1" applyFont="1" applyFill="1" applyBorder="1" applyAlignment="1">
      <alignment horizontal="center" vertical="center"/>
    </xf>
    <xf numFmtId="0" fontId="0" fillId="0" borderId="0" xfId="0" applyAlignment="1">
      <alignment horizontal="center" vertical="center"/>
    </xf>
    <xf numFmtId="0" fontId="25" fillId="27" borderId="24" xfId="0" applyFont="1" applyFill="1" applyBorder="1" applyAlignment="1">
      <alignment horizontal="center" vertical="center"/>
    </xf>
    <xf numFmtId="0" fontId="26" fillId="13" borderId="22" xfId="0" applyFont="1" applyFill="1" applyBorder="1" applyAlignment="1">
      <alignment horizontal="center" vertical="center"/>
    </xf>
    <xf numFmtId="0" fontId="26" fillId="13" borderId="26" xfId="0" applyFont="1" applyFill="1" applyBorder="1" applyAlignment="1">
      <alignment horizontal="center" vertical="center"/>
    </xf>
    <xf numFmtId="0" fontId="25" fillId="13" borderId="2" xfId="0" applyFont="1" applyFill="1" applyBorder="1" applyAlignment="1">
      <alignment horizontal="center" vertical="center"/>
    </xf>
    <xf numFmtId="0" fontId="26" fillId="27" borderId="2" xfId="0" applyFont="1" applyFill="1" applyBorder="1" applyAlignment="1">
      <alignment horizontal="center" vertical="center"/>
    </xf>
    <xf numFmtId="0" fontId="26" fillId="27" borderId="3" xfId="0" applyFont="1" applyFill="1" applyBorder="1" applyAlignment="1">
      <alignment horizontal="center" vertical="center"/>
    </xf>
    <xf numFmtId="0" fontId="28" fillId="8" borderId="17" xfId="0" applyFont="1" applyFill="1" applyBorder="1" applyAlignment="1">
      <alignment horizontal="left" vertical="center" wrapText="1"/>
    </xf>
    <xf numFmtId="0" fontId="28" fillId="8" borderId="13" xfId="0" applyFont="1" applyFill="1" applyBorder="1" applyAlignment="1">
      <alignment horizontal="left" vertical="center"/>
    </xf>
    <xf numFmtId="0" fontId="28" fillId="8" borderId="11" xfId="0" applyFont="1" applyFill="1" applyBorder="1" applyAlignment="1">
      <alignment horizontal="left" vertical="center"/>
    </xf>
    <xf numFmtId="0" fontId="28" fillId="8" borderId="1" xfId="0" applyFont="1" applyFill="1" applyBorder="1" applyAlignment="1">
      <alignment horizontal="left" vertical="center"/>
    </xf>
    <xf numFmtId="0" fontId="28" fillId="8" borderId="2" xfId="0" applyFont="1" applyFill="1" applyBorder="1" applyAlignment="1">
      <alignment horizontal="left" vertical="center"/>
    </xf>
    <xf numFmtId="0" fontId="28" fillId="8" borderId="3" xfId="0" applyFont="1" applyFill="1" applyBorder="1" applyAlignment="1">
      <alignment horizontal="left" vertical="center"/>
    </xf>
    <xf numFmtId="0" fontId="28" fillId="8" borderId="4" xfId="0" applyFont="1" applyFill="1" applyBorder="1" applyAlignment="1">
      <alignment horizontal="left" vertical="center"/>
    </xf>
    <xf numFmtId="0" fontId="28" fillId="8" borderId="5" xfId="0" applyFont="1" applyFill="1" applyBorder="1" applyAlignment="1">
      <alignment horizontal="left" vertical="center"/>
    </xf>
    <xf numFmtId="0" fontId="28" fillId="8" borderId="6" xfId="0" applyFont="1" applyFill="1" applyBorder="1" applyAlignment="1">
      <alignment horizontal="left" vertical="center"/>
    </xf>
    <xf numFmtId="0" fontId="23" fillId="19" borderId="21" xfId="0" quotePrefix="1" applyFont="1" applyFill="1" applyBorder="1" applyAlignment="1">
      <alignment horizontal="center" vertical="center"/>
    </xf>
    <xf numFmtId="0" fontId="23" fillId="19" borderId="1" xfId="0" quotePrefix="1" applyFont="1" applyFill="1" applyBorder="1" applyAlignment="1">
      <alignment horizontal="center" vertical="center"/>
    </xf>
    <xf numFmtId="0" fontId="23" fillId="19" borderId="23" xfId="0" quotePrefix="1" applyFont="1" applyFill="1" applyBorder="1" applyAlignment="1">
      <alignment horizontal="center" vertical="center"/>
    </xf>
    <xf numFmtId="0" fontId="23" fillId="20" borderId="21" xfId="0" quotePrefix="1" applyFont="1" applyFill="1" applyBorder="1" applyAlignment="1">
      <alignment horizontal="center" vertical="center"/>
    </xf>
    <xf numFmtId="0" fontId="23" fillId="20" borderId="1" xfId="0" quotePrefix="1" applyFont="1" applyFill="1" applyBorder="1" applyAlignment="1">
      <alignment horizontal="center" vertical="center"/>
    </xf>
    <xf numFmtId="0" fontId="23" fillId="20" borderId="4" xfId="0" quotePrefix="1" applyFont="1" applyFill="1" applyBorder="1" applyAlignment="1">
      <alignment horizontal="center" vertical="center"/>
    </xf>
    <xf numFmtId="0" fontId="23" fillId="18" borderId="21" xfId="0" quotePrefix="1" applyFont="1" applyFill="1" applyBorder="1" applyAlignment="1">
      <alignment horizontal="center" vertical="center"/>
    </xf>
    <xf numFmtId="0" fontId="23" fillId="18" borderId="1" xfId="0" quotePrefix="1" applyFont="1" applyFill="1" applyBorder="1" applyAlignment="1">
      <alignment horizontal="center" vertical="center"/>
    </xf>
    <xf numFmtId="0" fontId="23" fillId="18" borderId="23" xfId="0" quotePrefix="1" applyFont="1" applyFill="1" applyBorder="1" applyAlignment="1">
      <alignment horizontal="center" vertical="center"/>
    </xf>
    <xf numFmtId="0" fontId="25" fillId="27" borderId="5" xfId="0" applyFont="1" applyFill="1" applyBorder="1" applyAlignment="1">
      <alignment horizontal="center" vertical="center"/>
    </xf>
    <xf numFmtId="0" fontId="30" fillId="22" borderId="7" xfId="0" applyFont="1" applyFill="1" applyBorder="1" applyAlignment="1">
      <alignment horizontal="center" vertical="center"/>
    </xf>
    <xf numFmtId="0" fontId="30" fillId="22" borderId="8" xfId="0" applyFont="1" applyFill="1" applyBorder="1" applyAlignment="1">
      <alignment horizontal="center" vertical="center"/>
    </xf>
    <xf numFmtId="0" fontId="30" fillId="22" borderId="9" xfId="0" applyFont="1" applyFill="1" applyBorder="1" applyAlignment="1">
      <alignment horizontal="center" vertical="center"/>
    </xf>
    <xf numFmtId="0" fontId="22" fillId="12" borderId="1" xfId="0" applyFont="1" applyFill="1" applyBorder="1" applyAlignment="1">
      <alignment horizontal="center" vertical="center"/>
    </xf>
    <xf numFmtId="0" fontId="22" fillId="12" borderId="15" xfId="0" applyFont="1" applyFill="1" applyBorder="1" applyAlignment="1">
      <alignment horizontal="center" vertical="center"/>
    </xf>
    <xf numFmtId="0" fontId="22" fillId="13" borderId="2" xfId="0" applyFont="1" applyFill="1" applyBorder="1" applyAlignment="1">
      <alignment horizontal="center" vertical="center" wrapText="1"/>
    </xf>
    <xf numFmtId="0" fontId="22" fillId="13" borderId="12" xfId="0" applyFont="1" applyFill="1" applyBorder="1" applyAlignment="1">
      <alignment horizontal="center" vertical="center"/>
    </xf>
    <xf numFmtId="0" fontId="23" fillId="21" borderId="2" xfId="0" applyFont="1" applyFill="1" applyBorder="1" applyAlignment="1">
      <alignment horizontal="center" vertical="center"/>
    </xf>
    <xf numFmtId="0" fontId="23" fillId="21" borderId="3" xfId="0" applyFont="1" applyFill="1" applyBorder="1" applyAlignment="1">
      <alignment horizontal="center" vertical="center"/>
    </xf>
    <xf numFmtId="0" fontId="23" fillId="9" borderId="21" xfId="0" quotePrefix="1" applyFont="1" applyFill="1" applyBorder="1" applyAlignment="1">
      <alignment horizontal="center" vertical="center"/>
    </xf>
    <xf numFmtId="0" fontId="23" fillId="9" borderId="1" xfId="0" quotePrefix="1" applyFont="1" applyFill="1" applyBorder="1" applyAlignment="1">
      <alignment horizontal="center" vertical="center"/>
    </xf>
    <xf numFmtId="0" fontId="23" fillId="9" borderId="23" xfId="0" quotePrefix="1" applyFont="1" applyFill="1" applyBorder="1" applyAlignment="1">
      <alignment horizontal="center" vertical="center"/>
    </xf>
    <xf numFmtId="0" fontId="26" fillId="13" borderId="2" xfId="0" applyFont="1" applyFill="1" applyBorder="1" applyAlignment="1">
      <alignment horizontal="center" vertical="center"/>
    </xf>
    <xf numFmtId="0" fontId="27" fillId="5" borderId="46" xfId="0" applyFont="1" applyFill="1" applyBorder="1" applyAlignment="1">
      <alignment horizontal="center" vertical="center"/>
    </xf>
    <xf numFmtId="0" fontId="27" fillId="5" borderId="31" xfId="0" applyFont="1" applyFill="1" applyBorder="1" applyAlignment="1">
      <alignment horizontal="center" vertical="center"/>
    </xf>
    <xf numFmtId="0" fontId="27" fillId="5" borderId="34" xfId="0" applyFont="1" applyFill="1" applyBorder="1" applyAlignment="1">
      <alignment horizontal="center" vertical="center"/>
    </xf>
    <xf numFmtId="0" fontId="27" fillId="5" borderId="47" xfId="0" applyFont="1" applyFill="1" applyBorder="1" applyAlignment="1">
      <alignment horizontal="center" vertical="center"/>
    </xf>
    <xf numFmtId="0" fontId="0" fillId="35" borderId="30" xfId="0" applyFill="1" applyBorder="1" applyAlignment="1">
      <alignment horizontal="center" vertical="center"/>
    </xf>
    <xf numFmtId="0" fontId="20" fillId="9" borderId="12" xfId="2" applyFont="1" applyFill="1" applyBorder="1" applyAlignment="1">
      <alignment horizontal="left" vertical="center" wrapText="1"/>
    </xf>
    <xf numFmtId="0" fontId="20" fillId="9" borderId="33" xfId="2" applyFont="1" applyFill="1" applyBorder="1" applyAlignment="1">
      <alignment horizontal="left" vertical="center" wrapText="1"/>
    </xf>
    <xf numFmtId="0" fontId="20" fillId="9" borderId="13" xfId="2" applyFont="1" applyFill="1" applyBorder="1" applyAlignment="1">
      <alignment horizontal="left" vertical="center" wrapText="1"/>
    </xf>
    <xf numFmtId="0" fontId="20" fillId="24" borderId="10" xfId="2" applyFont="1" applyFill="1" applyBorder="1" applyAlignment="1">
      <alignment horizontal="left" vertical="center"/>
    </xf>
    <xf numFmtId="0" fontId="20" fillId="24" borderId="11" xfId="2" applyFont="1" applyFill="1" applyBorder="1" applyAlignment="1">
      <alignment horizontal="left" vertical="center"/>
    </xf>
    <xf numFmtId="0" fontId="20" fillId="9" borderId="34" xfId="2" applyFont="1" applyFill="1" applyBorder="1" applyAlignment="1">
      <alignment horizontal="center" vertical="center"/>
    </xf>
    <xf numFmtId="0" fontId="20" fillId="9" borderId="35" xfId="2" applyFont="1" applyFill="1" applyBorder="1" applyAlignment="1">
      <alignment horizontal="center" vertical="center"/>
    </xf>
    <xf numFmtId="0" fontId="20" fillId="9" borderId="29" xfId="2" applyFont="1" applyFill="1" applyBorder="1" applyAlignment="1">
      <alignment horizontal="center" vertical="center"/>
    </xf>
    <xf numFmtId="0" fontId="20" fillId="9" borderId="30" xfId="2" applyFont="1" applyFill="1" applyBorder="1" applyAlignment="1">
      <alignment horizontal="center" vertical="center"/>
    </xf>
    <xf numFmtId="0" fontId="20" fillId="9" borderId="31" xfId="2" applyFont="1" applyFill="1" applyBorder="1" applyAlignment="1">
      <alignment horizontal="center" vertical="center"/>
    </xf>
    <xf numFmtId="0" fontId="20" fillId="9" borderId="32" xfId="2" applyFont="1" applyFill="1" applyBorder="1" applyAlignment="1">
      <alignment horizontal="center" vertical="center"/>
    </xf>
    <xf numFmtId="0" fontId="20" fillId="24" borderId="12" xfId="2" applyFont="1" applyFill="1" applyBorder="1" applyAlignment="1">
      <alignment horizontal="center" vertical="center" wrapText="1"/>
    </xf>
    <xf numFmtId="0" fontId="20" fillId="24" borderId="33" xfId="2" applyFont="1" applyFill="1" applyBorder="1" applyAlignment="1">
      <alignment horizontal="center" vertical="center" wrapText="1"/>
    </xf>
    <xf numFmtId="0" fontId="20" fillId="24" borderId="13" xfId="2" applyFont="1" applyFill="1" applyBorder="1" applyAlignment="1">
      <alignment horizontal="center" vertical="center" wrapText="1"/>
    </xf>
    <xf numFmtId="0" fontId="31" fillId="28" borderId="18" xfId="0" applyFont="1" applyFill="1" applyBorder="1" applyAlignment="1">
      <alignment horizontal="center" vertical="center"/>
    </xf>
    <xf numFmtId="0" fontId="20" fillId="12" borderId="10" xfId="2" applyFont="1" applyFill="1" applyBorder="1" applyAlignment="1">
      <alignment horizontal="left" vertical="center" wrapText="1"/>
    </xf>
    <xf numFmtId="0" fontId="20" fillId="12" borderId="16" xfId="2" applyFont="1" applyFill="1" applyBorder="1" applyAlignment="1">
      <alignment horizontal="left" vertical="center" wrapText="1"/>
    </xf>
    <xf numFmtId="0" fontId="20" fillId="12" borderId="11" xfId="2" applyFont="1" applyFill="1" applyBorder="1" applyAlignment="1">
      <alignment horizontal="left" vertical="center" wrapText="1"/>
    </xf>
    <xf numFmtId="0" fontId="20" fillId="12" borderId="12" xfId="2" applyFont="1" applyFill="1" applyBorder="1" applyAlignment="1">
      <alignment horizontal="center" vertical="center" wrapText="1"/>
    </xf>
    <xf numFmtId="0" fontId="20" fillId="12" borderId="33" xfId="2" applyFont="1" applyFill="1" applyBorder="1" applyAlignment="1">
      <alignment horizontal="center" vertical="center" wrapText="1"/>
    </xf>
    <xf numFmtId="0" fontId="20" fillId="12" borderId="13" xfId="2" applyFont="1" applyFill="1" applyBorder="1" applyAlignment="1">
      <alignment horizontal="center" vertical="center" wrapText="1"/>
    </xf>
    <xf numFmtId="0" fontId="20" fillId="21" borderId="14" xfId="2" applyFont="1" applyFill="1" applyBorder="1" applyAlignment="1">
      <alignment horizontal="left" vertical="center" wrapText="1"/>
    </xf>
    <xf numFmtId="0" fontId="20" fillId="21" borderId="11" xfId="2" applyFont="1" applyFill="1" applyBorder="1" applyAlignment="1">
      <alignment horizontal="left" vertical="center"/>
    </xf>
    <xf numFmtId="0" fontId="20" fillId="21" borderId="27" xfId="2" applyFont="1" applyFill="1" applyBorder="1" applyAlignment="1">
      <alignment horizontal="center" vertical="center"/>
    </xf>
    <xf numFmtId="0" fontId="20" fillId="21" borderId="28" xfId="2" applyFont="1" applyFill="1" applyBorder="1" applyAlignment="1">
      <alignment horizontal="center" vertical="center"/>
    </xf>
    <xf numFmtId="0" fontId="20" fillId="21" borderId="29" xfId="2" applyFont="1" applyFill="1" applyBorder="1" applyAlignment="1">
      <alignment horizontal="center" vertical="center"/>
    </xf>
    <xf numFmtId="0" fontId="20" fillId="21" borderId="30" xfId="2" applyFont="1" applyFill="1" applyBorder="1" applyAlignment="1">
      <alignment horizontal="center" vertical="center"/>
    </xf>
    <xf numFmtId="0" fontId="20" fillId="25" borderId="27" xfId="2" applyFont="1" applyFill="1" applyBorder="1" applyAlignment="1">
      <alignment horizontal="center" vertical="center" wrapText="1"/>
    </xf>
    <xf numFmtId="0" fontId="20" fillId="25" borderId="28" xfId="2" applyFont="1" applyFill="1" applyBorder="1" applyAlignment="1">
      <alignment horizontal="center" vertical="center" wrapText="1"/>
    </xf>
    <xf numFmtId="0" fontId="20" fillId="25" borderId="29" xfId="2" applyFont="1" applyFill="1" applyBorder="1" applyAlignment="1">
      <alignment horizontal="center" vertical="center" wrapText="1"/>
    </xf>
    <xf numFmtId="0" fontId="20" fillId="25" borderId="30" xfId="2" applyFont="1" applyFill="1" applyBorder="1" applyAlignment="1">
      <alignment horizontal="center" vertical="center" wrapText="1"/>
    </xf>
    <xf numFmtId="0" fontId="20" fillId="26" borderId="27" xfId="2" applyFont="1" applyFill="1" applyBorder="1" applyAlignment="1">
      <alignment horizontal="center" vertical="center" wrapText="1"/>
    </xf>
    <xf numFmtId="0" fontId="20" fillId="26" borderId="28" xfId="2" applyFont="1" applyFill="1" applyBorder="1" applyAlignment="1">
      <alignment horizontal="center" vertical="center" wrapText="1"/>
    </xf>
    <xf numFmtId="0" fontId="20" fillId="26" borderId="36" xfId="2" applyFont="1" applyFill="1" applyBorder="1" applyAlignment="1">
      <alignment horizontal="center" vertical="center" wrapText="1"/>
    </xf>
    <xf numFmtId="0" fontId="20" fillId="26" borderId="37" xfId="2" applyFont="1" applyFill="1" applyBorder="1" applyAlignment="1">
      <alignment horizontal="center" vertical="center" wrapText="1"/>
    </xf>
    <xf numFmtId="0" fontId="20" fillId="29" borderId="27" xfId="2" applyFont="1" applyFill="1" applyBorder="1" applyAlignment="1">
      <alignment horizontal="center" vertical="center" wrapText="1"/>
    </xf>
    <xf numFmtId="0" fontId="20" fillId="29" borderId="28" xfId="2" applyFont="1" applyFill="1" applyBorder="1" applyAlignment="1">
      <alignment horizontal="center" vertical="center" wrapText="1"/>
    </xf>
    <xf numFmtId="0" fontId="20" fillId="29" borderId="29" xfId="2" applyFont="1" applyFill="1" applyBorder="1" applyAlignment="1">
      <alignment horizontal="center" vertical="center" wrapText="1"/>
    </xf>
    <xf numFmtId="0" fontId="20" fillId="29" borderId="30" xfId="2" applyFont="1" applyFill="1" applyBorder="1" applyAlignment="1">
      <alignment horizontal="center" vertical="center" wrapText="1"/>
    </xf>
    <xf numFmtId="0" fontId="20" fillId="29" borderId="36" xfId="2" applyFont="1" applyFill="1" applyBorder="1" applyAlignment="1">
      <alignment horizontal="center" vertical="center" wrapText="1"/>
    </xf>
    <xf numFmtId="0" fontId="20" fillId="29" borderId="37" xfId="2" applyFont="1" applyFill="1" applyBorder="1" applyAlignment="1">
      <alignment horizontal="center" vertical="center" wrapText="1"/>
    </xf>
    <xf numFmtId="0" fontId="20" fillId="26" borderId="20" xfId="2" applyFont="1" applyFill="1" applyBorder="1" applyAlignment="1">
      <alignment horizontal="left" vertical="center" wrapText="1"/>
    </xf>
    <xf numFmtId="0" fontId="20" fillId="26" borderId="38" xfId="2" applyFont="1" applyFill="1" applyBorder="1" applyAlignment="1">
      <alignment horizontal="left" vertical="center" wrapText="1"/>
    </xf>
    <xf numFmtId="0" fontId="20" fillId="26" borderId="14" xfId="2" applyFont="1" applyFill="1" applyBorder="1" applyAlignment="1">
      <alignment horizontal="left" vertical="center" wrapText="1"/>
    </xf>
    <xf numFmtId="0" fontId="20" fillId="26" borderId="39" xfId="2" applyFont="1" applyFill="1" applyBorder="1" applyAlignment="1">
      <alignment horizontal="left" vertical="center"/>
    </xf>
    <xf numFmtId="0" fontId="20" fillId="29" borderId="20" xfId="2" applyFont="1" applyFill="1" applyBorder="1" applyAlignment="1">
      <alignment horizontal="left" vertical="center" wrapText="1"/>
    </xf>
    <xf numFmtId="0" fontId="20" fillId="29" borderId="33" xfId="2" applyFont="1" applyFill="1" applyBorder="1" applyAlignment="1">
      <alignment horizontal="left" vertical="center" wrapText="1"/>
    </xf>
    <xf numFmtId="0" fontId="20" fillId="29" borderId="38" xfId="2" applyFont="1" applyFill="1" applyBorder="1" applyAlignment="1">
      <alignment horizontal="left" vertical="center" wrapText="1"/>
    </xf>
    <xf numFmtId="0" fontId="20" fillId="29" borderId="14" xfId="2" applyFont="1" applyFill="1" applyBorder="1" applyAlignment="1">
      <alignment horizontal="left" vertical="center" wrapText="1"/>
    </xf>
    <xf numFmtId="0" fontId="20" fillId="29" borderId="16" xfId="2" applyFont="1" applyFill="1" applyBorder="1" applyAlignment="1">
      <alignment horizontal="left" vertical="center" wrapText="1"/>
    </xf>
    <xf numFmtId="0" fontId="20" fillId="29" borderId="39" xfId="2" applyFont="1" applyFill="1" applyBorder="1" applyAlignment="1">
      <alignment horizontal="left" vertical="center" wrapText="1"/>
    </xf>
    <xf numFmtId="0" fontId="33" fillId="5" borderId="10" xfId="3" applyFont="1" applyFill="1" applyBorder="1" applyAlignment="1">
      <alignment horizontal="left" vertical="center" wrapText="1"/>
    </xf>
    <xf numFmtId="0" fontId="33" fillId="5" borderId="16" xfId="3" applyFont="1" applyFill="1" applyBorder="1" applyAlignment="1">
      <alignment horizontal="left" vertical="center" wrapText="1"/>
    </xf>
    <xf numFmtId="0" fontId="19" fillId="12" borderId="44" xfId="2" applyFont="1" applyFill="1" applyBorder="1" applyAlignment="1">
      <alignment horizontal="center" vertical="center"/>
    </xf>
    <xf numFmtId="0" fontId="19" fillId="12" borderId="0" xfId="2" applyFont="1" applyFill="1" applyBorder="1" applyAlignment="1">
      <alignment horizontal="center" vertical="center"/>
    </xf>
    <xf numFmtId="0" fontId="19" fillId="12" borderId="45" xfId="2" applyFont="1" applyFill="1" applyBorder="1" applyAlignment="1">
      <alignment horizontal="center" vertical="center"/>
    </xf>
  </cellXfs>
  <cellStyles count="9">
    <cellStyle name="差_Sheet2" xfId="7"/>
    <cellStyle name="常规" xfId="0" builtinId="0"/>
    <cellStyle name="常规 2" xfId="1"/>
    <cellStyle name="常规 4" xfId="6"/>
    <cellStyle name="常规 7" xfId="2"/>
    <cellStyle name="常规 7 10" xfId="3"/>
    <cellStyle name="好" xfId="5" builtinId="26"/>
    <cellStyle name="好_Sheet2" xfId="8"/>
    <cellStyle name="适中" xfId="4" builtinId="28"/>
  </cellStyles>
  <dxfs count="5">
    <dxf>
      <numFmt numFmtId="0" formatCode="General"/>
    </dxf>
    <dxf>
      <numFmt numFmtId="0" formatCode="General"/>
    </dxf>
    <dxf>
      <numFmt numFmtId="0" formatCode="General"/>
    </dxf>
    <dxf>
      <numFmt numFmtId="0" formatCode="General"/>
    </dxf>
    <dxf>
      <alignment horizontal="general" vertical="center" textRotation="0" wrapText="1" indent="0" relativeIndent="0" justifyLastLine="0" shrinkToFit="0" mergeCell="0" readingOrder="0"/>
    </dxf>
  </dxfs>
  <tableStyles count="0" defaultTableStyle="TableStyleMedium2" defaultPivotStyle="PivotStyleLight16"/>
  <colors>
    <mruColors>
      <color rgb="FF66FF66"/>
      <color rgb="FF33CC33"/>
      <color rgb="FF030671"/>
      <color rgb="FFFFCC66"/>
      <color rgb="FFFFFFCC"/>
      <color rgb="FFFFCC99"/>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tables/table1.xml><?xml version="1.0" encoding="utf-8"?>
<table xmlns="http://schemas.openxmlformats.org/spreadsheetml/2006/main" id="1" name="表1" displayName="表1" ref="E12:AC32" totalsRowShown="0" headerRowDxfId="4">
  <autoFilter ref="E12:AC32">
    <filterColumn colId="22"/>
    <filterColumn colId="23"/>
    <filterColumn colId="24"/>
  </autoFilter>
  <tableColumns count="25">
    <tableColumn id="1" name="CH"/>
    <tableColumn id="2" name="Voltage "/>
    <tableColumn id="3" name="ADC_OUT_ORG[19:0]">
      <calculatedColumnFormula>DEC2HEX(F13*5000*4,10)</calculatedColumnFormula>
    </tableColumn>
    <tableColumn id="4" name="Vos_x vol(mV)"/>
    <tableColumn id="5" name="Vos_code_Cellx[5:0]">
      <calculatedColumnFormula>DEC2HEX(H13*10,10)</calculatedColumnFormula>
    </tableColumn>
    <tableColumn id="6" name="Vos_COMM vol(mV)"/>
    <tableColumn id="7" name="Vos_code_comm[7:0]">
      <calculatedColumnFormula>DEC2HEX(J$15*10,10)</calculatedColumnFormula>
    </tableColumn>
    <tableColumn id="8" name="ADC_OUT_OS[20:0]">
      <calculatedColumnFormula>DEC2HEX(HEX2DEC(G13)+HEX2DEC(I13)*4+HEX2DEC(K13)*4,10)</calculatedColumnFormula>
    </tableColumn>
    <tableColumn id="9" name="gain err_x ratio"/>
    <tableColumn id="10" name="GainErr_code_Cellx[6:0]">
      <calculatedColumnFormula>DEC2HEX(M13*$J$10,10)</calculatedColumnFormula>
    </tableColumn>
    <tableColumn id="11" name="gain err_comm ratio"/>
    <tableColumn id="12" name="GainErr_code_comm[11:0]">
      <calculatedColumnFormula>DEC2HEX($O$15*$J$10,10)</calculatedColumnFormula>
    </tableColumn>
    <tableColumn id="13" name="ADC_OUT_OS_GAIN[20:0] "/>
    <tableColumn id="14" name="Vcm trim ratio"/>
    <tableColumn id="15" name="Vcm_code_comm[6:0]"/>
    <tableColumn id="16" name="SUM_DOWN_CELLx[11:0]"/>
    <tableColumn id="17" name="SUM_DOWN_CELL_MUL[18:0]"/>
    <tableColumn id="18" name="SUM_DOWN_CELL_MUL[18:11]"/>
    <tableColumn id="19" name="ADC_OUT_OS_GAIN[20:0] 2"/>
    <tableColumn id="20" name="SUM_DOWN_CELL_MUL_eco_shift[8:0]"/>
    <tableColumn id="21" name="ADC_VCM_GAIN_EN"/>
    <tableColumn id="22" name="ADC_OUT_CM_TRIM[20:0]" dataDxfId="3">
      <calculatedColumnFormula>DEC2HEX(HEX2DEC(表1[[#This Row],[ADC_OUT_OS_GAIN'[20:0'] ]])+HEX2DEC(表1[[#This Row],[SUM_DOWN_CELL_MUL_eco_shift'[8:0']]])*表1[[#This Row],[ADC_VCM_GAIN_EN]])</calculatedColumnFormula>
    </tableColumn>
    <tableColumn id="23" name="VCM trim result(LSB)" dataDxfId="2">
      <calculatedColumnFormula>HEX2DEC(表1[[#This Row],[SUM_DOWN_CELL_MUL_eco_shift'[8:0']]])/4</calculatedColumnFormula>
    </tableColumn>
    <tableColumn id="24" name="calculate VCM result (LSB)" dataDxfId="0">
      <calculatedColumnFormula>R$15*表1[[#This Row],[Voltage ]]*SUM(F14:F30)/2^15/16*5000*5000</calculatedColumnFormula>
    </tableColumn>
    <tableColumn id="25" name="列1" dataDxfId="1">
      <calculatedColumnFormula>表1[[#This Row],[VCM trim result(LSB)]]*1.11</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oleObject" Target="../embeddings/oleObject2.bin"/></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oleObject" Target="../embeddings/oleObject4.bin"/></Relationships>
</file>

<file path=xl/worksheets/_rels/sheet3.xml.rels><?xml version="1.0" encoding="UTF-8" standalone="yes"?>
<Relationships xmlns="http://schemas.openxmlformats.org/package/2006/relationships"><Relationship Id="rId3" Type="http://schemas.openxmlformats.org/officeDocument/2006/relationships/oleObject" Target="../embeddings/oleObject5.bin"/><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oleObject" Target="../embeddings/oleObject6.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2"/>
  <dimension ref="A1:E33"/>
  <sheetViews>
    <sheetView workbookViewId="0">
      <selection activeCell="G23" sqref="G23"/>
    </sheetView>
  </sheetViews>
  <sheetFormatPr defaultRowHeight="13.5"/>
  <cols>
    <col min="1" max="1" width="31" customWidth="1"/>
    <col min="2" max="5" width="8.625" customWidth="1"/>
  </cols>
  <sheetData>
    <row r="1" spans="1:5" ht="26.45" customHeight="1">
      <c r="A1" s="190" t="s">
        <v>13</v>
      </c>
      <c r="B1" s="191"/>
      <c r="C1" s="191"/>
      <c r="D1" s="191"/>
      <c r="E1" s="192"/>
    </row>
    <row r="2" spans="1:5" ht="30">
      <c r="A2" s="2" t="s">
        <v>9</v>
      </c>
      <c r="B2" s="3" t="s">
        <v>11</v>
      </c>
      <c r="C2" s="38" t="s">
        <v>34</v>
      </c>
      <c r="D2" s="3" t="s">
        <v>10</v>
      </c>
      <c r="E2" s="4" t="s">
        <v>12</v>
      </c>
    </row>
    <row r="3" spans="1:5" ht="15">
      <c r="A3" s="146" t="s">
        <v>244</v>
      </c>
      <c r="B3" s="198">
        <v>1</v>
      </c>
      <c r="C3" s="199"/>
      <c r="D3" s="199"/>
      <c r="E3" s="200"/>
    </row>
    <row r="4" spans="1:5">
      <c r="A4" s="5" t="s">
        <v>245</v>
      </c>
      <c r="B4" s="193">
        <v>1</v>
      </c>
      <c r="C4" s="193"/>
      <c r="D4" s="193"/>
      <c r="E4" s="194"/>
    </row>
    <row r="5" spans="1:5">
      <c r="A5" s="6" t="s">
        <v>0</v>
      </c>
      <c r="B5" s="7">
        <v>15</v>
      </c>
      <c r="C5" s="7">
        <v>15</v>
      </c>
      <c r="D5" s="7">
        <v>15</v>
      </c>
      <c r="E5" s="8">
        <v>15</v>
      </c>
    </row>
    <row r="6" spans="1:5">
      <c r="A6" s="9" t="s">
        <v>1</v>
      </c>
      <c r="B6" s="10">
        <v>16</v>
      </c>
      <c r="C6" s="10">
        <v>17</v>
      </c>
      <c r="D6" s="10">
        <v>17</v>
      </c>
      <c r="E6" s="11">
        <v>17</v>
      </c>
    </row>
    <row r="7" spans="1:5" ht="25.5">
      <c r="A7" s="12" t="s">
        <v>2</v>
      </c>
      <c r="B7" s="13" t="s">
        <v>36</v>
      </c>
      <c r="C7" s="13" t="s">
        <v>3</v>
      </c>
      <c r="D7" s="13" t="s">
        <v>4</v>
      </c>
      <c r="E7" s="14" t="s">
        <v>35</v>
      </c>
    </row>
    <row r="8" spans="1:5" ht="15">
      <c r="A8" s="15" t="s">
        <v>31</v>
      </c>
      <c r="B8" s="16">
        <v>17</v>
      </c>
      <c r="C8" s="16">
        <v>65</v>
      </c>
      <c r="D8" s="16">
        <v>129</v>
      </c>
      <c r="E8" s="17">
        <v>513</v>
      </c>
    </row>
    <row r="9" spans="1:5">
      <c r="A9" s="18" t="s">
        <v>5</v>
      </c>
      <c r="B9" s="19">
        <v>12</v>
      </c>
      <c r="C9" s="19">
        <v>11</v>
      </c>
      <c r="D9" s="19">
        <v>10</v>
      </c>
      <c r="E9" s="20">
        <v>8</v>
      </c>
    </row>
    <row r="10" spans="1:5" ht="15">
      <c r="A10" s="15" t="s">
        <v>32</v>
      </c>
      <c r="B10" s="16">
        <f>B8*$B$3</f>
        <v>17</v>
      </c>
      <c r="C10" s="16">
        <f t="shared" ref="C10:E10" si="0">C8*$B$3</f>
        <v>65</v>
      </c>
      <c r="D10" s="16">
        <f t="shared" si="0"/>
        <v>129</v>
      </c>
      <c r="E10" s="16">
        <f t="shared" si="0"/>
        <v>513</v>
      </c>
    </row>
    <row r="11" spans="1:5">
      <c r="A11" s="18" t="s">
        <v>6</v>
      </c>
      <c r="B11" s="16">
        <f>B9*$B$3</f>
        <v>12</v>
      </c>
      <c r="C11" s="16">
        <f t="shared" ref="C11:E11" si="1">C9*$B$3</f>
        <v>11</v>
      </c>
      <c r="D11" s="16">
        <f t="shared" si="1"/>
        <v>10</v>
      </c>
      <c r="E11" s="16">
        <f t="shared" si="1"/>
        <v>8</v>
      </c>
    </row>
    <row r="12" spans="1:5" ht="25.5">
      <c r="A12" s="21" t="s">
        <v>7</v>
      </c>
      <c r="B12" s="22">
        <f>SUM(B8:B11)</f>
        <v>58</v>
      </c>
      <c r="C12" s="22">
        <f>SUM(C8:C11)</f>
        <v>152</v>
      </c>
      <c r="D12" s="22">
        <f>SUM(D8:D11)</f>
        <v>278</v>
      </c>
      <c r="E12" s="23">
        <f>SUM(E8:E11)</f>
        <v>1042</v>
      </c>
    </row>
    <row r="13" spans="1:5" ht="25.5">
      <c r="A13" s="24" t="s">
        <v>8</v>
      </c>
      <c r="B13" s="25">
        <f>B12/$B$4</f>
        <v>58</v>
      </c>
      <c r="C13" s="25">
        <f>C12/$B$4</f>
        <v>152</v>
      </c>
      <c r="D13" s="25">
        <f>D12/$B$4</f>
        <v>278</v>
      </c>
      <c r="E13" s="26">
        <f>E12/$B$4</f>
        <v>1042</v>
      </c>
    </row>
    <row r="14" spans="1:5" ht="15">
      <c r="A14" s="139" t="s">
        <v>14</v>
      </c>
      <c r="B14" s="140">
        <f>B13+5</f>
        <v>63</v>
      </c>
      <c r="C14" s="140">
        <f t="shared" ref="C14:E14" si="2">C13+5</f>
        <v>157</v>
      </c>
      <c r="D14" s="140">
        <f t="shared" si="2"/>
        <v>283</v>
      </c>
      <c r="E14" s="140">
        <f t="shared" si="2"/>
        <v>1047</v>
      </c>
    </row>
    <row r="15" spans="1:5" ht="15">
      <c r="A15" s="141" t="s">
        <v>243</v>
      </c>
      <c r="B15" s="141">
        <f>18*B14</f>
        <v>1134</v>
      </c>
      <c r="C15" s="141">
        <f t="shared" ref="C15:E15" si="3">18*C14</f>
        <v>2826</v>
      </c>
      <c r="D15" s="141">
        <f t="shared" si="3"/>
        <v>5094</v>
      </c>
      <c r="E15" s="141">
        <f t="shared" si="3"/>
        <v>18846</v>
      </c>
    </row>
    <row r="16" spans="1:5" ht="15">
      <c r="A16" s="141" t="s">
        <v>231</v>
      </c>
      <c r="B16" s="141">
        <f>1000000/B15</f>
        <v>881.83421516754845</v>
      </c>
      <c r="C16" s="141">
        <f t="shared" ref="C16:E16" si="4">1000000/C15</f>
        <v>353.85704175513092</v>
      </c>
      <c r="D16" s="141">
        <f t="shared" si="4"/>
        <v>196.30938358853552</v>
      </c>
      <c r="E16" s="141">
        <f t="shared" si="4"/>
        <v>53.061657646184869</v>
      </c>
    </row>
    <row r="17" spans="1:5" ht="15">
      <c r="A17" t="s">
        <v>233</v>
      </c>
      <c r="B17" s="195" t="s">
        <v>232</v>
      </c>
      <c r="C17" s="196"/>
      <c r="D17" s="196"/>
      <c r="E17" s="197"/>
    </row>
    <row r="18" spans="1:5" ht="15">
      <c r="A18" s="141">
        <v>0</v>
      </c>
      <c r="B18" s="141"/>
      <c r="C18" s="141"/>
      <c r="D18" s="141"/>
      <c r="E18" s="141"/>
    </row>
    <row r="19" spans="1:5" ht="15">
      <c r="A19" s="141">
        <v>1</v>
      </c>
      <c r="B19" s="141">
        <f>B$16/2/3.141592653/(2^$A19-1)</f>
        <v>140.34827435782591</v>
      </c>
      <c r="C19" s="141">
        <f t="shared" ref="C19:E25" si="5">C$16/2/3.141592653/(2^$A19-1)</f>
        <v>56.318097353777283</v>
      </c>
      <c r="D19" s="141">
        <f t="shared" si="5"/>
        <v>31.243608779304004</v>
      </c>
      <c r="E19" s="141">
        <f t="shared" si="5"/>
        <v>8.4450251046256302</v>
      </c>
    </row>
    <row r="20" spans="1:5" ht="15">
      <c r="A20" s="142">
        <v>2</v>
      </c>
      <c r="B20" s="141">
        <f t="shared" ref="B20:B25" si="6">B$16/2/3.141592653/(2^$A20-1)</f>
        <v>46.782758119275307</v>
      </c>
      <c r="C20" s="141">
        <f t="shared" si="5"/>
        <v>18.772699117925761</v>
      </c>
      <c r="D20" s="141">
        <f t="shared" si="5"/>
        <v>10.414536259768001</v>
      </c>
      <c r="E20" s="141">
        <f t="shared" si="5"/>
        <v>2.8150083682085434</v>
      </c>
    </row>
    <row r="21" spans="1:5" ht="15">
      <c r="A21" s="142">
        <v>3</v>
      </c>
      <c r="B21" s="141">
        <f t="shared" si="6"/>
        <v>20.049753479689418</v>
      </c>
      <c r="C21" s="141">
        <f t="shared" si="5"/>
        <v>8.0454424791110402</v>
      </c>
      <c r="D21" s="141">
        <f t="shared" si="5"/>
        <v>4.4633726827577149</v>
      </c>
      <c r="E21" s="141">
        <f t="shared" si="5"/>
        <v>1.2064321578036614</v>
      </c>
    </row>
    <row r="22" spans="1:5" ht="15">
      <c r="A22" s="142">
        <v>4</v>
      </c>
      <c r="B22" s="141">
        <f t="shared" si="6"/>
        <v>9.3565516238550615</v>
      </c>
      <c r="C22" s="141">
        <f t="shared" si="5"/>
        <v>3.7545398235851524</v>
      </c>
      <c r="D22" s="141">
        <f t="shared" si="5"/>
        <v>2.0829072519536003</v>
      </c>
      <c r="E22" s="141">
        <f t="shared" si="5"/>
        <v>0.56300167364170872</v>
      </c>
    </row>
    <row r="23" spans="1:5" ht="15">
      <c r="A23" s="142">
        <v>5</v>
      </c>
      <c r="B23" s="141">
        <f t="shared" si="6"/>
        <v>4.5273636889621267</v>
      </c>
      <c r="C23" s="141">
        <f t="shared" si="5"/>
        <v>1.8167128178637832</v>
      </c>
      <c r="D23" s="141">
        <f t="shared" si="5"/>
        <v>1.007858347719484</v>
      </c>
      <c r="E23" s="141">
        <f t="shared" si="5"/>
        <v>0.27242016466534291</v>
      </c>
    </row>
    <row r="24" spans="1:5" ht="15">
      <c r="A24" s="142">
        <v>6</v>
      </c>
      <c r="B24" s="141">
        <f t="shared" si="6"/>
        <v>2.2277503866321573</v>
      </c>
      <c r="C24" s="141">
        <f t="shared" si="5"/>
        <v>0.89393805323455999</v>
      </c>
      <c r="D24" s="141">
        <f t="shared" si="5"/>
        <v>0.49593029808419054</v>
      </c>
      <c r="E24" s="141">
        <f t="shared" si="5"/>
        <v>0.13404801753374015</v>
      </c>
    </row>
    <row r="25" spans="1:5" ht="15">
      <c r="A25" s="142">
        <v>7</v>
      </c>
      <c r="B25" s="141">
        <f t="shared" si="6"/>
        <v>1.1051045225025662</v>
      </c>
      <c r="C25" s="141">
        <f t="shared" si="5"/>
        <v>0.44344958546281327</v>
      </c>
      <c r="D25" s="141">
        <f t="shared" si="5"/>
        <v>0.24601266755357484</v>
      </c>
      <c r="E25" s="141">
        <f t="shared" si="5"/>
        <v>6.6496260666343551E-2</v>
      </c>
    </row>
    <row r="26" spans="1:5" ht="15.75" thickBot="1">
      <c r="A26" s="1"/>
      <c r="B26" s="1"/>
      <c r="C26" s="1"/>
      <c r="D26" s="1"/>
      <c r="E26" s="1"/>
    </row>
    <row r="27" spans="1:5" ht="15.75">
      <c r="A27" s="27" t="s">
        <v>29</v>
      </c>
      <c r="B27" s="28" t="s">
        <v>17</v>
      </c>
      <c r="C27" s="28" t="s">
        <v>18</v>
      </c>
      <c r="D27" s="28" t="s">
        <v>19</v>
      </c>
      <c r="E27" s="29" t="s">
        <v>20</v>
      </c>
    </row>
    <row r="28" spans="1:5" ht="15">
      <c r="A28" s="30" t="s">
        <v>15</v>
      </c>
      <c r="B28" s="3" t="s">
        <v>28</v>
      </c>
      <c r="C28" s="31"/>
      <c r="D28" s="31">
        <v>6.5536000000000003</v>
      </c>
      <c r="E28" s="32" t="s">
        <v>21</v>
      </c>
    </row>
    <row r="29" spans="1:5" ht="15">
      <c r="A29" s="30" t="s">
        <v>16</v>
      </c>
      <c r="B29" s="31"/>
      <c r="C29" s="31">
        <v>200</v>
      </c>
      <c r="D29" s="31"/>
      <c r="E29" s="32" t="s">
        <v>22</v>
      </c>
    </row>
    <row r="30" spans="1:5" ht="15">
      <c r="A30" s="30" t="s">
        <v>24</v>
      </c>
      <c r="B30" s="31">
        <v>4.5</v>
      </c>
      <c r="C30" s="31">
        <v>5</v>
      </c>
      <c r="D30" s="31">
        <v>5.5</v>
      </c>
      <c r="E30" s="32" t="s">
        <v>21</v>
      </c>
    </row>
    <row r="31" spans="1:5" ht="15">
      <c r="A31" s="30" t="s">
        <v>23</v>
      </c>
      <c r="B31" s="31"/>
      <c r="C31" s="31">
        <v>1.2</v>
      </c>
      <c r="D31" s="31"/>
      <c r="E31" s="32" t="s">
        <v>21</v>
      </c>
    </row>
    <row r="32" spans="1:5" ht="15">
      <c r="A32" s="30" t="s">
        <v>25</v>
      </c>
      <c r="B32" s="33"/>
      <c r="C32" s="31">
        <v>1.5</v>
      </c>
      <c r="D32" s="33"/>
      <c r="E32" s="32" t="s">
        <v>26</v>
      </c>
    </row>
    <row r="33" spans="1:5" ht="27.75" thickBot="1">
      <c r="A33" s="34" t="s">
        <v>33</v>
      </c>
      <c r="B33" s="35"/>
      <c r="C33" s="36" t="s">
        <v>30</v>
      </c>
      <c r="D33" s="35"/>
      <c r="E33" s="37" t="s">
        <v>27</v>
      </c>
    </row>
  </sheetData>
  <mergeCells count="4">
    <mergeCell ref="A1:E1"/>
    <mergeCell ref="B4:E4"/>
    <mergeCell ref="B17:E17"/>
    <mergeCell ref="B3:E3"/>
  </mergeCells>
  <phoneticPr fontId="1" type="noConversion"/>
  <pageMargins left="0.7" right="0.7" top="0.75" bottom="0.75" header="0.3" footer="0.3"/>
  <pageSetup paperSize="9" orientation="portrait" horizontalDpi="200" verticalDpi="200" r:id="rId1"/>
  <legacyDrawing r:id="rId2"/>
  <oleObjects>
    <oleObject progId="Visio.Drawing.11" shapeId="2050" r:id="rId3"/>
    <oleObject progId="Visio.Drawing.11" shapeId="2052" r:id="rId4"/>
  </oleObjects>
</worksheet>
</file>

<file path=xl/worksheets/sheet2.xml><?xml version="1.0" encoding="utf-8"?>
<worksheet xmlns="http://schemas.openxmlformats.org/spreadsheetml/2006/main" xmlns:r="http://schemas.openxmlformats.org/officeDocument/2006/relationships">
  <sheetPr codeName="Sheet3"/>
  <dimension ref="A1:U49"/>
  <sheetViews>
    <sheetView workbookViewId="0">
      <selection activeCell="Q17" sqref="Q17"/>
    </sheetView>
  </sheetViews>
  <sheetFormatPr defaultRowHeight="13.5"/>
  <cols>
    <col min="1" max="1" width="7.5" bestFit="1" customWidth="1"/>
    <col min="2" max="2" width="26" bestFit="1" customWidth="1"/>
    <col min="3" max="7" width="11.125" bestFit="1" customWidth="1"/>
    <col min="8" max="10" width="11.5" bestFit="1" customWidth="1"/>
    <col min="11" max="19" width="10.75" bestFit="1" customWidth="1"/>
    <col min="20" max="20" width="10.75" style="39" bestFit="1" customWidth="1"/>
  </cols>
  <sheetData>
    <row r="1" spans="1:21" ht="37.9" customHeight="1">
      <c r="A1" s="227" t="s">
        <v>112</v>
      </c>
      <c r="B1" s="228"/>
      <c r="C1" s="228"/>
      <c r="D1" s="228"/>
      <c r="E1" s="228"/>
      <c r="F1" s="228"/>
      <c r="G1" s="228"/>
      <c r="H1" s="228"/>
      <c r="I1" s="228"/>
      <c r="J1" s="228"/>
      <c r="K1" s="228"/>
      <c r="L1" s="228"/>
      <c r="M1" s="228"/>
      <c r="N1" s="228"/>
      <c r="O1" s="228"/>
      <c r="P1" s="228"/>
      <c r="Q1" s="228"/>
      <c r="R1" s="228"/>
      <c r="S1" s="228"/>
      <c r="T1" s="229"/>
      <c r="U1" s="127"/>
    </row>
    <row r="2" spans="1:21" ht="21.6" customHeight="1">
      <c r="A2" s="230" t="s">
        <v>111</v>
      </c>
      <c r="B2" s="232" t="s">
        <v>37</v>
      </c>
      <c r="C2" s="234" t="s">
        <v>38</v>
      </c>
      <c r="D2" s="234"/>
      <c r="E2" s="234"/>
      <c r="F2" s="234"/>
      <c r="G2" s="234"/>
      <c r="H2" s="234"/>
      <c r="I2" s="234"/>
      <c r="J2" s="234"/>
      <c r="K2" s="234"/>
      <c r="L2" s="234"/>
      <c r="M2" s="234"/>
      <c r="N2" s="234"/>
      <c r="O2" s="234"/>
      <c r="P2" s="234"/>
      <c r="Q2" s="234"/>
      <c r="R2" s="234"/>
      <c r="S2" s="234"/>
      <c r="T2" s="235"/>
    </row>
    <row r="3" spans="1:21" ht="15.75" thickBot="1">
      <c r="A3" s="231"/>
      <c r="B3" s="233"/>
      <c r="C3" s="47" t="s">
        <v>39</v>
      </c>
      <c r="D3" s="48" t="s">
        <v>40</v>
      </c>
      <c r="E3" s="48" t="s">
        <v>41</v>
      </c>
      <c r="F3" s="48" t="s">
        <v>42</v>
      </c>
      <c r="G3" s="48" t="s">
        <v>43</v>
      </c>
      <c r="H3" s="48" t="s">
        <v>44</v>
      </c>
      <c r="I3" s="48" t="s">
        <v>45</v>
      </c>
      <c r="J3" s="48" t="s">
        <v>46</v>
      </c>
      <c r="K3" s="48" t="s">
        <v>47</v>
      </c>
      <c r="L3" s="48" t="s">
        <v>48</v>
      </c>
      <c r="M3" s="48" t="s">
        <v>49</v>
      </c>
      <c r="N3" s="48" t="s">
        <v>50</v>
      </c>
      <c r="O3" s="48" t="s">
        <v>51</v>
      </c>
      <c r="P3" s="48" t="s">
        <v>52</v>
      </c>
      <c r="Q3" s="48" t="s">
        <v>53</v>
      </c>
      <c r="R3" s="48" t="s">
        <v>54</v>
      </c>
      <c r="S3" s="48" t="s">
        <v>55</v>
      </c>
      <c r="T3" s="49" t="s">
        <v>56</v>
      </c>
    </row>
    <row r="4" spans="1:21" ht="14.25" thickTop="1">
      <c r="A4" s="236" t="s">
        <v>100</v>
      </c>
      <c r="B4" s="87" t="s">
        <v>96</v>
      </c>
      <c r="C4" s="84" t="s">
        <v>57</v>
      </c>
      <c r="D4" s="85" t="s">
        <v>58</v>
      </c>
      <c r="E4" s="85" t="s">
        <v>59</v>
      </c>
      <c r="F4" s="85" t="s">
        <v>60</v>
      </c>
      <c r="G4" s="85" t="s">
        <v>61</v>
      </c>
      <c r="H4" s="188"/>
      <c r="I4" s="188"/>
      <c r="J4" s="188"/>
      <c r="K4" s="188"/>
      <c r="L4" s="188"/>
      <c r="M4" s="188"/>
      <c r="N4" s="188"/>
      <c r="O4" s="188"/>
      <c r="P4" s="188"/>
      <c r="Q4" s="188"/>
      <c r="R4" s="188"/>
      <c r="S4" s="188"/>
      <c r="T4" s="240" t="s">
        <v>380</v>
      </c>
    </row>
    <row r="5" spans="1:21">
      <c r="A5" s="237"/>
      <c r="B5" s="40" t="s">
        <v>379</v>
      </c>
      <c r="C5" s="239"/>
      <c r="D5" s="239"/>
      <c r="E5" s="239"/>
      <c r="F5" s="239"/>
      <c r="G5" s="239"/>
      <c r="H5" s="43" t="s">
        <v>106</v>
      </c>
      <c r="I5" s="43" t="s">
        <v>105</v>
      </c>
      <c r="J5" s="43" t="s">
        <v>104</v>
      </c>
      <c r="K5" s="43" t="s">
        <v>62</v>
      </c>
      <c r="L5" s="43" t="s">
        <v>63</v>
      </c>
      <c r="M5" s="43" t="s">
        <v>64</v>
      </c>
      <c r="N5" s="43" t="s">
        <v>65</v>
      </c>
      <c r="O5" s="43" t="s">
        <v>66</v>
      </c>
      <c r="P5" s="43" t="s">
        <v>67</v>
      </c>
      <c r="Q5" s="43" t="s">
        <v>68</v>
      </c>
      <c r="R5" s="43" t="s">
        <v>69</v>
      </c>
      <c r="S5" s="43" t="s">
        <v>70</v>
      </c>
      <c r="T5" s="241"/>
    </row>
    <row r="6" spans="1:21">
      <c r="A6" s="237"/>
      <c r="B6" s="41" t="s">
        <v>98</v>
      </c>
      <c r="C6" s="44" t="s">
        <v>71</v>
      </c>
      <c r="D6" s="45" t="s">
        <v>72</v>
      </c>
      <c r="E6" s="45" t="s">
        <v>73</v>
      </c>
      <c r="F6" s="45" t="s">
        <v>74</v>
      </c>
      <c r="G6" s="45" t="s">
        <v>75</v>
      </c>
      <c r="H6" s="187"/>
      <c r="I6" s="187"/>
      <c r="J6" s="187"/>
      <c r="K6" s="187"/>
      <c r="L6" s="187"/>
      <c r="M6" s="187"/>
      <c r="N6" s="187"/>
      <c r="O6" s="187"/>
      <c r="P6" s="187"/>
      <c r="Q6" s="187"/>
      <c r="R6" s="187"/>
      <c r="S6" s="187"/>
      <c r="T6" s="242" t="s">
        <v>380</v>
      </c>
    </row>
    <row r="7" spans="1:21" ht="14.25" thickBot="1">
      <c r="A7" s="238"/>
      <c r="B7" s="89" t="s">
        <v>378</v>
      </c>
      <c r="C7" s="202"/>
      <c r="D7" s="202"/>
      <c r="E7" s="202"/>
      <c r="F7" s="202"/>
      <c r="G7" s="202"/>
      <c r="H7" s="86" t="s">
        <v>107</v>
      </c>
      <c r="I7" s="86" t="s">
        <v>108</v>
      </c>
      <c r="J7" s="86" t="s">
        <v>109</v>
      </c>
      <c r="K7" s="86" t="s">
        <v>76</v>
      </c>
      <c r="L7" s="86" t="s">
        <v>77</v>
      </c>
      <c r="M7" s="86" t="s">
        <v>78</v>
      </c>
      <c r="N7" s="86" t="s">
        <v>79</v>
      </c>
      <c r="O7" s="86" t="s">
        <v>80</v>
      </c>
      <c r="P7" s="86" t="s">
        <v>81</v>
      </c>
      <c r="Q7" s="86" t="s">
        <v>82</v>
      </c>
      <c r="R7" s="86" t="s">
        <v>83</v>
      </c>
      <c r="S7" s="86" t="s">
        <v>84</v>
      </c>
      <c r="T7" s="243"/>
    </row>
    <row r="8" spans="1:21" ht="14.25" thickTop="1">
      <c r="A8" s="223" t="s">
        <v>101</v>
      </c>
      <c r="B8" s="87" t="s">
        <v>96</v>
      </c>
      <c r="C8" s="84" t="s">
        <v>87</v>
      </c>
      <c r="D8" s="85" t="s">
        <v>85</v>
      </c>
      <c r="E8" s="85" t="s">
        <v>57</v>
      </c>
      <c r="F8" s="85" t="s">
        <v>58</v>
      </c>
      <c r="G8" s="85" t="s">
        <v>59</v>
      </c>
      <c r="H8" s="85" t="s">
        <v>60</v>
      </c>
      <c r="I8" s="85" t="s">
        <v>61</v>
      </c>
      <c r="J8" s="203"/>
      <c r="K8" s="203"/>
      <c r="L8" s="203"/>
      <c r="M8" s="203"/>
      <c r="N8" s="203"/>
      <c r="O8" s="203"/>
      <c r="P8" s="203"/>
      <c r="Q8" s="203"/>
      <c r="R8" s="203"/>
      <c r="S8" s="203"/>
      <c r="T8" s="204"/>
    </row>
    <row r="9" spans="1:21">
      <c r="A9" s="224"/>
      <c r="B9" s="40" t="s">
        <v>97</v>
      </c>
      <c r="C9" s="205"/>
      <c r="D9" s="205"/>
      <c r="E9" s="205"/>
      <c r="F9" s="205"/>
      <c r="G9" s="205"/>
      <c r="H9" s="205"/>
      <c r="I9" s="205"/>
      <c r="J9" s="43" t="s">
        <v>106</v>
      </c>
      <c r="K9" s="43" t="s">
        <v>105</v>
      </c>
      <c r="L9" s="43" t="s">
        <v>104</v>
      </c>
      <c r="M9" s="43" t="s">
        <v>62</v>
      </c>
      <c r="N9" s="43" t="s">
        <v>63</v>
      </c>
      <c r="O9" s="43" t="s">
        <v>64</v>
      </c>
      <c r="P9" s="43" t="s">
        <v>65</v>
      </c>
      <c r="Q9" s="43" t="s">
        <v>66</v>
      </c>
      <c r="R9" s="43" t="s">
        <v>67</v>
      </c>
      <c r="S9" s="43" t="s">
        <v>68</v>
      </c>
      <c r="T9" s="88" t="s">
        <v>69</v>
      </c>
    </row>
    <row r="10" spans="1:21">
      <c r="A10" s="224"/>
      <c r="B10" s="41" t="s">
        <v>98</v>
      </c>
      <c r="C10" s="44" t="s">
        <v>88</v>
      </c>
      <c r="D10" s="45" t="s">
        <v>86</v>
      </c>
      <c r="E10" s="45" t="s">
        <v>71</v>
      </c>
      <c r="F10" s="45" t="s">
        <v>72</v>
      </c>
      <c r="G10" s="45" t="s">
        <v>73</v>
      </c>
      <c r="H10" s="45" t="s">
        <v>74</v>
      </c>
      <c r="I10" s="45" t="s">
        <v>75</v>
      </c>
      <c r="J10" s="206"/>
      <c r="K10" s="206"/>
      <c r="L10" s="206"/>
      <c r="M10" s="206"/>
      <c r="N10" s="206"/>
      <c r="O10" s="206"/>
      <c r="P10" s="206"/>
      <c r="Q10" s="206"/>
      <c r="R10" s="206"/>
      <c r="S10" s="206"/>
      <c r="T10" s="207"/>
    </row>
    <row r="11" spans="1:21" ht="14.25" thickBot="1">
      <c r="A11" s="225"/>
      <c r="B11" s="89" t="s">
        <v>99</v>
      </c>
      <c r="C11" s="202"/>
      <c r="D11" s="202"/>
      <c r="E11" s="202"/>
      <c r="F11" s="202"/>
      <c r="G11" s="202"/>
      <c r="H11" s="202"/>
      <c r="I11" s="202"/>
      <c r="J11" s="86" t="s">
        <v>107</v>
      </c>
      <c r="K11" s="86" t="s">
        <v>108</v>
      </c>
      <c r="L11" s="86" t="s">
        <v>109</v>
      </c>
      <c r="M11" s="86" t="s">
        <v>76</v>
      </c>
      <c r="N11" s="86" t="s">
        <v>77</v>
      </c>
      <c r="O11" s="86" t="s">
        <v>78</v>
      </c>
      <c r="P11" s="86" t="s">
        <v>79</v>
      </c>
      <c r="Q11" s="86" t="s">
        <v>80</v>
      </c>
      <c r="R11" s="86" t="s">
        <v>81</v>
      </c>
      <c r="S11" s="86" t="s">
        <v>82</v>
      </c>
      <c r="T11" s="90" t="s">
        <v>83</v>
      </c>
    </row>
    <row r="12" spans="1:21" ht="14.25" thickTop="1">
      <c r="A12" s="217" t="s">
        <v>102</v>
      </c>
      <c r="B12" s="87" t="s">
        <v>96</v>
      </c>
      <c r="C12" s="84" t="s">
        <v>89</v>
      </c>
      <c r="D12" s="85" t="s">
        <v>87</v>
      </c>
      <c r="E12" s="85" t="s">
        <v>85</v>
      </c>
      <c r="F12" s="85" t="s">
        <v>57</v>
      </c>
      <c r="G12" s="85" t="s">
        <v>58</v>
      </c>
      <c r="H12" s="85" t="s">
        <v>59</v>
      </c>
      <c r="I12" s="85" t="s">
        <v>60</v>
      </c>
      <c r="J12" s="85" t="s">
        <v>110</v>
      </c>
      <c r="K12" s="203"/>
      <c r="L12" s="203"/>
      <c r="M12" s="203"/>
      <c r="N12" s="203"/>
      <c r="O12" s="203"/>
      <c r="P12" s="203"/>
      <c r="Q12" s="203"/>
      <c r="R12" s="203"/>
      <c r="S12" s="203"/>
      <c r="T12" s="204"/>
    </row>
    <row r="13" spans="1:21">
      <c r="A13" s="218"/>
      <c r="B13" s="40" t="s">
        <v>97</v>
      </c>
      <c r="C13" s="205"/>
      <c r="D13" s="205"/>
      <c r="E13" s="205"/>
      <c r="F13" s="205"/>
      <c r="G13" s="205"/>
      <c r="H13" s="205"/>
      <c r="I13" s="205"/>
      <c r="J13" s="205"/>
      <c r="K13" s="43" t="s">
        <v>106</v>
      </c>
      <c r="L13" s="43" t="s">
        <v>105</v>
      </c>
      <c r="M13" s="43" t="s">
        <v>104</v>
      </c>
      <c r="N13" s="43" t="s">
        <v>62</v>
      </c>
      <c r="O13" s="43" t="s">
        <v>63</v>
      </c>
      <c r="P13" s="43" t="s">
        <v>64</v>
      </c>
      <c r="Q13" s="43" t="s">
        <v>65</v>
      </c>
      <c r="R13" s="43" t="s">
        <v>66</v>
      </c>
      <c r="S13" s="43" t="s">
        <v>67</v>
      </c>
      <c r="T13" s="88" t="s">
        <v>68</v>
      </c>
    </row>
    <row r="14" spans="1:21">
      <c r="A14" s="218"/>
      <c r="B14" s="41" t="s">
        <v>98</v>
      </c>
      <c r="C14" s="44" t="s">
        <v>91</v>
      </c>
      <c r="D14" s="45" t="s">
        <v>88</v>
      </c>
      <c r="E14" s="45" t="s">
        <v>86</v>
      </c>
      <c r="F14" s="45" t="s">
        <v>71</v>
      </c>
      <c r="G14" s="45" t="s">
        <v>72</v>
      </c>
      <c r="H14" s="45" t="s">
        <v>73</v>
      </c>
      <c r="I14" s="45" t="s">
        <v>74</v>
      </c>
      <c r="J14" s="45" t="s">
        <v>75</v>
      </c>
      <c r="K14" s="206"/>
      <c r="L14" s="206"/>
      <c r="M14" s="206"/>
      <c r="N14" s="206"/>
      <c r="O14" s="206"/>
      <c r="P14" s="206"/>
      <c r="Q14" s="206"/>
      <c r="R14" s="206"/>
      <c r="S14" s="206"/>
      <c r="T14" s="207"/>
    </row>
    <row r="15" spans="1:21" ht="14.25" thickBot="1">
      <c r="A15" s="219"/>
      <c r="B15" s="89" t="s">
        <v>99</v>
      </c>
      <c r="C15" s="202"/>
      <c r="D15" s="202"/>
      <c r="E15" s="202"/>
      <c r="F15" s="202"/>
      <c r="G15" s="202"/>
      <c r="H15" s="202"/>
      <c r="I15" s="202"/>
      <c r="J15" s="202"/>
      <c r="K15" s="86" t="s">
        <v>107</v>
      </c>
      <c r="L15" s="86" t="s">
        <v>108</v>
      </c>
      <c r="M15" s="86" t="s">
        <v>109</v>
      </c>
      <c r="N15" s="86" t="s">
        <v>76</v>
      </c>
      <c r="O15" s="86" t="s">
        <v>77</v>
      </c>
      <c r="P15" s="86" t="s">
        <v>78</v>
      </c>
      <c r="Q15" s="86" t="s">
        <v>79</v>
      </c>
      <c r="R15" s="86" t="s">
        <v>80</v>
      </c>
      <c r="S15" s="86" t="s">
        <v>81</v>
      </c>
      <c r="T15" s="90" t="s">
        <v>82</v>
      </c>
    </row>
    <row r="16" spans="1:21" ht="14.25" thickTop="1">
      <c r="A16" s="220" t="s">
        <v>103</v>
      </c>
      <c r="B16" s="87" t="s">
        <v>96</v>
      </c>
      <c r="C16" s="84" t="s">
        <v>94</v>
      </c>
      <c r="D16" s="85" t="s">
        <v>92</v>
      </c>
      <c r="E16" s="85" t="s">
        <v>89</v>
      </c>
      <c r="F16" s="85" t="s">
        <v>87</v>
      </c>
      <c r="G16" s="85" t="s">
        <v>85</v>
      </c>
      <c r="H16" s="85" t="s">
        <v>57</v>
      </c>
      <c r="I16" s="85" t="s">
        <v>58</v>
      </c>
      <c r="J16" s="85" t="s">
        <v>59</v>
      </c>
      <c r="K16" s="85" t="s">
        <v>90</v>
      </c>
      <c r="L16" s="85" t="s">
        <v>61</v>
      </c>
      <c r="M16" s="203"/>
      <c r="N16" s="203"/>
      <c r="O16" s="203"/>
      <c r="P16" s="203"/>
      <c r="Q16" s="203"/>
      <c r="R16" s="203"/>
      <c r="S16" s="203"/>
      <c r="T16" s="204"/>
    </row>
    <row r="17" spans="1:20">
      <c r="A17" s="221"/>
      <c r="B17" s="40" t="s">
        <v>97</v>
      </c>
      <c r="C17" s="205"/>
      <c r="D17" s="205"/>
      <c r="E17" s="205"/>
      <c r="F17" s="205"/>
      <c r="G17" s="205"/>
      <c r="H17" s="205"/>
      <c r="I17" s="205"/>
      <c r="J17" s="205"/>
      <c r="K17" s="205"/>
      <c r="L17" s="205"/>
      <c r="M17" s="43" t="s">
        <v>106</v>
      </c>
      <c r="N17" s="43" t="s">
        <v>105</v>
      </c>
      <c r="O17" s="43" t="s">
        <v>104</v>
      </c>
      <c r="P17" s="43" t="s">
        <v>62</v>
      </c>
      <c r="Q17" s="43" t="s">
        <v>63</v>
      </c>
      <c r="R17" s="43" t="s">
        <v>64</v>
      </c>
      <c r="S17" s="43" t="s">
        <v>65</v>
      </c>
      <c r="T17" s="88" t="s">
        <v>66</v>
      </c>
    </row>
    <row r="18" spans="1:20">
      <c r="A18" s="221"/>
      <c r="B18" s="41" t="s">
        <v>98</v>
      </c>
      <c r="C18" s="44" t="s">
        <v>95</v>
      </c>
      <c r="D18" s="45" t="s">
        <v>93</v>
      </c>
      <c r="E18" s="45" t="s">
        <v>91</v>
      </c>
      <c r="F18" s="45" t="s">
        <v>88</v>
      </c>
      <c r="G18" s="45" t="s">
        <v>86</v>
      </c>
      <c r="H18" s="45" t="s">
        <v>71</v>
      </c>
      <c r="I18" s="45" t="s">
        <v>72</v>
      </c>
      <c r="J18" s="45" t="s">
        <v>73</v>
      </c>
      <c r="K18" s="45" t="s">
        <v>74</v>
      </c>
      <c r="L18" s="45" t="s">
        <v>75</v>
      </c>
      <c r="M18" s="206"/>
      <c r="N18" s="206"/>
      <c r="O18" s="206"/>
      <c r="P18" s="206"/>
      <c r="Q18" s="206"/>
      <c r="R18" s="206"/>
      <c r="S18" s="206"/>
      <c r="T18" s="207"/>
    </row>
    <row r="19" spans="1:20" ht="14.25" thickBot="1">
      <c r="A19" s="222"/>
      <c r="B19" s="42" t="s">
        <v>99</v>
      </c>
      <c r="C19" s="226"/>
      <c r="D19" s="226"/>
      <c r="E19" s="226"/>
      <c r="F19" s="226"/>
      <c r="G19" s="226"/>
      <c r="H19" s="226"/>
      <c r="I19" s="226"/>
      <c r="J19" s="226"/>
      <c r="K19" s="226"/>
      <c r="L19" s="226"/>
      <c r="M19" s="46" t="s">
        <v>107</v>
      </c>
      <c r="N19" s="46" t="s">
        <v>108</v>
      </c>
      <c r="O19" s="46" t="s">
        <v>109</v>
      </c>
      <c r="P19" s="46" t="s">
        <v>76</v>
      </c>
      <c r="Q19" s="46" t="s">
        <v>77</v>
      </c>
      <c r="R19" s="46" t="s">
        <v>78</v>
      </c>
      <c r="S19" s="46" t="s">
        <v>79</v>
      </c>
      <c r="T19" s="91" t="s">
        <v>80</v>
      </c>
    </row>
    <row r="20" spans="1:20" ht="21.6" customHeight="1">
      <c r="A20" s="208" t="s">
        <v>260</v>
      </c>
      <c r="B20" s="209"/>
      <c r="C20" s="209"/>
      <c r="D20" s="209"/>
      <c r="E20" s="209"/>
      <c r="F20" s="209"/>
      <c r="G20" s="209"/>
      <c r="H20" s="209"/>
      <c r="I20" s="209"/>
      <c r="J20" s="209"/>
      <c r="K20" s="209"/>
      <c r="L20" s="209"/>
      <c r="M20" s="209"/>
      <c r="N20" s="209"/>
      <c r="O20" s="209"/>
      <c r="P20" s="209"/>
      <c r="Q20" s="209"/>
      <c r="R20" s="209"/>
      <c r="S20" s="209"/>
      <c r="T20" s="210"/>
    </row>
    <row r="21" spans="1:20" ht="21.6" customHeight="1">
      <c r="A21" s="211"/>
      <c r="B21" s="212"/>
      <c r="C21" s="212"/>
      <c r="D21" s="212"/>
      <c r="E21" s="212"/>
      <c r="F21" s="212"/>
      <c r="G21" s="212"/>
      <c r="H21" s="212"/>
      <c r="I21" s="212"/>
      <c r="J21" s="212"/>
      <c r="K21" s="212"/>
      <c r="L21" s="212"/>
      <c r="M21" s="212"/>
      <c r="N21" s="212"/>
      <c r="O21" s="212"/>
      <c r="P21" s="212"/>
      <c r="Q21" s="212"/>
      <c r="R21" s="212"/>
      <c r="S21" s="212"/>
      <c r="T21" s="213"/>
    </row>
    <row r="22" spans="1:20" ht="21.6" customHeight="1">
      <c r="A22" s="211"/>
      <c r="B22" s="212"/>
      <c r="C22" s="212"/>
      <c r="D22" s="212"/>
      <c r="E22" s="212"/>
      <c r="F22" s="212"/>
      <c r="G22" s="212"/>
      <c r="H22" s="212"/>
      <c r="I22" s="212"/>
      <c r="J22" s="212"/>
      <c r="K22" s="212"/>
      <c r="L22" s="212"/>
      <c r="M22" s="212"/>
      <c r="N22" s="212"/>
      <c r="O22" s="212"/>
      <c r="P22" s="212"/>
      <c r="Q22" s="212"/>
      <c r="R22" s="212"/>
      <c r="S22" s="212"/>
      <c r="T22" s="213"/>
    </row>
    <row r="23" spans="1:20" ht="21.6" customHeight="1" thickBot="1">
      <c r="A23" s="214"/>
      <c r="B23" s="215"/>
      <c r="C23" s="215"/>
      <c r="D23" s="215"/>
      <c r="E23" s="215"/>
      <c r="F23" s="215"/>
      <c r="G23" s="215"/>
      <c r="H23" s="215"/>
      <c r="I23" s="215"/>
      <c r="J23" s="215"/>
      <c r="K23" s="215"/>
      <c r="L23" s="215"/>
      <c r="M23" s="215"/>
      <c r="N23" s="215"/>
      <c r="O23" s="215"/>
      <c r="P23" s="215"/>
      <c r="Q23" s="215"/>
      <c r="R23" s="215"/>
      <c r="S23" s="215"/>
      <c r="T23" s="216"/>
    </row>
    <row r="49" spans="2:16">
      <c r="B49" s="201"/>
      <c r="C49" s="201"/>
      <c r="D49" s="201"/>
      <c r="E49" s="201"/>
      <c r="F49" s="201"/>
      <c r="G49" s="201"/>
      <c r="H49" s="201"/>
      <c r="I49" s="201"/>
      <c r="J49" s="201"/>
      <c r="K49" s="201"/>
      <c r="L49" s="201"/>
      <c r="M49" s="201"/>
      <c r="N49" s="201"/>
      <c r="O49" s="201"/>
      <c r="P49" s="201"/>
    </row>
  </sheetData>
  <mergeCells count="27">
    <mergeCell ref="J10:T10"/>
    <mergeCell ref="A1:T1"/>
    <mergeCell ref="A2:A3"/>
    <mergeCell ref="B2:B3"/>
    <mergeCell ref="C2:T2"/>
    <mergeCell ref="A4:A7"/>
    <mergeCell ref="C5:G5"/>
    <mergeCell ref="C7:G7"/>
    <mergeCell ref="J8:T8"/>
    <mergeCell ref="T4:T5"/>
    <mergeCell ref="T6:T7"/>
    <mergeCell ref="B49:H49"/>
    <mergeCell ref="I49:P49"/>
    <mergeCell ref="C11:I11"/>
    <mergeCell ref="K12:T12"/>
    <mergeCell ref="C13:J13"/>
    <mergeCell ref="C15:J15"/>
    <mergeCell ref="K14:T14"/>
    <mergeCell ref="A20:T23"/>
    <mergeCell ref="A12:A15"/>
    <mergeCell ref="A16:A19"/>
    <mergeCell ref="A8:A11"/>
    <mergeCell ref="M16:T16"/>
    <mergeCell ref="C17:L17"/>
    <mergeCell ref="C19:L19"/>
    <mergeCell ref="M18:T18"/>
    <mergeCell ref="C9:I9"/>
  </mergeCells>
  <phoneticPr fontId="1" type="noConversion"/>
  <pageMargins left="0.7" right="0.7" top="0.75" bottom="0.75" header="0.3" footer="0.3"/>
  <pageSetup paperSize="9" orientation="portrait" horizontalDpi="200" verticalDpi="200" r:id="rId1"/>
  <legacyDrawing r:id="rId2"/>
  <oleObjects>
    <oleObject progId="Visio.Drawing.11" shapeId="3087" r:id="rId3"/>
    <oleObject progId="Visio.Drawing.11" shapeId="3088" r:id="rId4"/>
  </oleObjects>
</worksheet>
</file>

<file path=xl/worksheets/sheet3.xml><?xml version="1.0" encoding="utf-8"?>
<worksheet xmlns="http://schemas.openxmlformats.org/spreadsheetml/2006/main" xmlns:r="http://schemas.openxmlformats.org/officeDocument/2006/relationships">
  <dimension ref="A2:E54"/>
  <sheetViews>
    <sheetView topLeftCell="A43" zoomScale="85" zoomScaleNormal="85" workbookViewId="0">
      <selection activeCell="B47" sqref="B47"/>
    </sheetView>
  </sheetViews>
  <sheetFormatPr defaultRowHeight="13.5"/>
  <cols>
    <col min="1" max="1" width="14.75" customWidth="1"/>
    <col min="2" max="2" width="149" style="134" customWidth="1"/>
    <col min="3" max="3" width="75.125" customWidth="1"/>
    <col min="4" max="4" width="12.875" customWidth="1"/>
  </cols>
  <sheetData>
    <row r="2" spans="3:3" ht="90.75" customHeight="1"/>
    <row r="5" spans="3:3" ht="15">
      <c r="C5" s="133"/>
    </row>
    <row r="9" spans="3:3" ht="21.75" customHeight="1">
      <c r="C9" s="136" t="s">
        <v>230</v>
      </c>
    </row>
    <row r="10" spans="3:3" ht="26.25" customHeight="1"/>
    <row r="14" spans="3:3" ht="15">
      <c r="C14" s="133"/>
    </row>
    <row r="18" spans="2:3" ht="21.75" customHeight="1">
      <c r="C18" s="136" t="s">
        <v>230</v>
      </c>
    </row>
    <row r="29" spans="2:3" ht="18.75">
      <c r="B29" s="135"/>
    </row>
    <row r="30" spans="2:3" ht="18.75">
      <c r="B30" s="135"/>
    </row>
    <row r="31" spans="2:3" ht="18.75">
      <c r="B31" s="135"/>
    </row>
    <row r="32" spans="2:3" ht="18.75">
      <c r="B32" s="135"/>
    </row>
    <row r="33" spans="1:5" ht="18.75">
      <c r="B33" s="135"/>
    </row>
    <row r="34" spans="1:5" ht="18.75">
      <c r="B34" s="135"/>
    </row>
    <row r="35" spans="1:5" ht="18.75">
      <c r="B35" s="135"/>
    </row>
    <row r="36" spans="1:5" ht="18.75">
      <c r="B36" s="135"/>
    </row>
    <row r="37" spans="1:5" ht="18.75">
      <c r="B37" s="135"/>
    </row>
    <row r="38" spans="1:5" ht="18.75">
      <c r="B38" s="135"/>
    </row>
    <row r="39" spans="1:5" s="145" customFormat="1" ht="66.75" customHeight="1">
      <c r="A39" s="244" t="s">
        <v>246</v>
      </c>
      <c r="B39" s="147" t="s">
        <v>247</v>
      </c>
      <c r="C39" s="144" t="s">
        <v>377</v>
      </c>
      <c r="E39" s="145">
        <v>8</v>
      </c>
    </row>
    <row r="40" spans="1:5" ht="19.5" customHeight="1">
      <c r="A40" s="244"/>
      <c r="B40" s="147" t="s">
        <v>229</v>
      </c>
      <c r="C40" s="137"/>
    </row>
    <row r="41" spans="1:5" ht="93" customHeight="1">
      <c r="A41" s="244"/>
      <c r="B41" s="147" t="s">
        <v>258</v>
      </c>
      <c r="C41" s="137" t="s">
        <v>259</v>
      </c>
    </row>
    <row r="42" spans="1:5" ht="75.75" customHeight="1">
      <c r="A42" s="244"/>
      <c r="B42" s="147" t="s">
        <v>256</v>
      </c>
      <c r="C42" s="137" t="s">
        <v>257</v>
      </c>
    </row>
    <row r="43" spans="1:5" ht="114.75" customHeight="1">
      <c r="A43" s="145"/>
      <c r="B43" s="147" t="s">
        <v>251</v>
      </c>
      <c r="C43" s="137" t="s">
        <v>252</v>
      </c>
      <c r="D43" t="s">
        <v>249</v>
      </c>
      <c r="E43">
        <f>8*18+8+8</f>
        <v>160</v>
      </c>
    </row>
    <row r="44" spans="1:5" ht="150" customHeight="1">
      <c r="B44" s="147" t="s">
        <v>253</v>
      </c>
      <c r="C44" s="137" t="s">
        <v>254</v>
      </c>
      <c r="E44">
        <f>8*18+12+12+12</f>
        <v>180</v>
      </c>
    </row>
    <row r="45" spans="1:5" ht="123.75" customHeight="1">
      <c r="B45" s="147" t="s">
        <v>376</v>
      </c>
      <c r="C45" s="137" t="s">
        <v>375</v>
      </c>
      <c r="E45">
        <f>8</f>
        <v>8</v>
      </c>
    </row>
    <row r="46" spans="1:5" ht="173.25" customHeight="1">
      <c r="A46" s="145"/>
      <c r="B46" s="147" t="s">
        <v>255</v>
      </c>
      <c r="C46" s="137" t="s">
        <v>248</v>
      </c>
      <c r="E46">
        <f>8+8</f>
        <v>16</v>
      </c>
    </row>
    <row r="47" spans="1:5" ht="38.25">
      <c r="B47" s="148" t="s">
        <v>371</v>
      </c>
      <c r="C47" s="137" t="s">
        <v>250</v>
      </c>
    </row>
    <row r="48" spans="1:5" ht="19.5">
      <c r="B48" s="147" t="s">
        <v>372</v>
      </c>
      <c r="C48" s="138"/>
    </row>
    <row r="49" spans="2:5" ht="18.75">
      <c r="B49" s="149"/>
      <c r="E49">
        <f>SUM(E39:E47)</f>
        <v>372</v>
      </c>
    </row>
    <row r="50" spans="2:5" ht="18.75">
      <c r="B50" s="135"/>
    </row>
    <row r="51" spans="2:5" ht="18.75">
      <c r="B51" s="135"/>
    </row>
    <row r="52" spans="2:5" ht="18.75">
      <c r="B52" s="135"/>
    </row>
    <row r="53" spans="2:5" ht="18.75">
      <c r="B53" s="135"/>
    </row>
    <row r="54" spans="2:5" ht="18.75">
      <c r="B54" s="135"/>
    </row>
  </sheetData>
  <mergeCells count="1">
    <mergeCell ref="A39:A42"/>
  </mergeCells>
  <phoneticPr fontId="1" type="noConversion"/>
  <pageMargins left="0.7" right="0.7" top="0.75" bottom="0.75" header="0.3" footer="0.3"/>
  <pageSetup paperSize="9" orientation="portrait" horizontalDpi="300" verticalDpi="300" r:id="rId1"/>
  <legacyDrawing r:id="rId2"/>
  <oleObjects>
    <oleObject progId="Visio.Drawing.11" shapeId="4097" r:id="rId3"/>
    <oleObject progId="Visio.Drawing.11" shapeId="4098" r:id="rId4"/>
  </oleObjects>
</worksheet>
</file>

<file path=xl/worksheets/sheet4.xml><?xml version="1.0" encoding="utf-8"?>
<worksheet xmlns="http://schemas.openxmlformats.org/spreadsheetml/2006/main" xmlns:r="http://schemas.openxmlformats.org/officeDocument/2006/relationships">
  <dimension ref="E3:AI32"/>
  <sheetViews>
    <sheetView tabSelected="1" topLeftCell="A3" zoomScale="85" zoomScaleNormal="85" workbookViewId="0">
      <selection activeCell="J40" sqref="J40"/>
    </sheetView>
  </sheetViews>
  <sheetFormatPr defaultColWidth="10.625" defaultRowHeight="13.5"/>
  <cols>
    <col min="1" max="5" width="10.625" style="175"/>
    <col min="6" max="6" width="12.375" style="175" customWidth="1"/>
    <col min="7" max="7" width="19.5" style="175" customWidth="1"/>
    <col min="8" max="8" width="15.125" style="175" customWidth="1"/>
    <col min="9" max="9" width="19.875" style="175" customWidth="1"/>
    <col min="10" max="10" width="17.125" style="175" customWidth="1"/>
    <col min="11" max="11" width="18.875" style="175" customWidth="1"/>
    <col min="12" max="13" width="17.125" style="175" customWidth="1"/>
    <col min="14" max="14" width="23.375" style="175" customWidth="1"/>
    <col min="15" max="15" width="19.875" style="175" customWidth="1"/>
    <col min="16" max="16" width="23.375" style="175" customWidth="1"/>
    <col min="17" max="17" width="22.5" style="175" customWidth="1"/>
    <col min="18" max="18" width="18.5" style="175" customWidth="1"/>
    <col min="19" max="19" width="18.875" style="175" customWidth="1"/>
    <col min="20" max="20" width="20.75" style="175" customWidth="1"/>
    <col min="21" max="21" width="23.375" style="175" customWidth="1"/>
    <col min="22" max="22" width="24.25" style="175" customWidth="1"/>
    <col min="23" max="23" width="15.625" style="175" customWidth="1"/>
    <col min="24" max="24" width="18.5" style="175" customWidth="1"/>
    <col min="25" max="25" width="16.25" style="175" customWidth="1"/>
    <col min="26" max="26" width="21.625" style="175" customWidth="1"/>
    <col min="27" max="27" width="20.625" style="175" customWidth="1"/>
    <col min="28" max="28" width="19.75" style="175" customWidth="1"/>
    <col min="29" max="31" width="10.625" style="175"/>
    <col min="32" max="32" width="23.625" style="175" customWidth="1"/>
    <col min="33" max="33" width="12.75" style="175" bestFit="1" customWidth="1"/>
    <col min="34" max="16384" width="10.625" style="175"/>
  </cols>
  <sheetData>
    <row r="3" spans="5:35">
      <c r="F3" s="175" t="s">
        <v>398</v>
      </c>
      <c r="G3" s="175" t="s">
        <v>397</v>
      </c>
      <c r="L3" s="175">
        <v>-10</v>
      </c>
      <c r="N3" s="175" t="str">
        <f>DEC2BIN(L3,5)</f>
        <v>1111110110</v>
      </c>
    </row>
    <row r="4" spans="5:35">
      <c r="F4" s="175">
        <v>2</v>
      </c>
      <c r="G4" s="175" t="str">
        <f>DEC2HEX(F4*10,10)</f>
        <v>0000000014</v>
      </c>
      <c r="L4" s="175">
        <v>10</v>
      </c>
    </row>
    <row r="5" spans="5:35">
      <c r="AE5" s="175">
        <v>127</v>
      </c>
      <c r="AF5" s="175">
        <v>127</v>
      </c>
      <c r="AG5" s="175">
        <f>AE5*AF5</f>
        <v>16129</v>
      </c>
      <c r="AH5" s="175" t="str">
        <f>DEC2HEX(AG5)</f>
        <v>3F01</v>
      </c>
    </row>
    <row r="7" spans="5:35">
      <c r="N7" s="175">
        <f>HEX2DEC(L15)</f>
        <v>70000</v>
      </c>
      <c r="O7" s="175">
        <f>N7*(1+N9+P9)</f>
        <v>70000</v>
      </c>
      <c r="P7" s="175" t="str">
        <f>DEC2HEX(O7,10)</f>
        <v>0000011170</v>
      </c>
      <c r="AF7" s="175" t="s">
        <v>412</v>
      </c>
      <c r="AG7" s="175">
        <v>1</v>
      </c>
    </row>
    <row r="8" spans="5:35">
      <c r="T8" s="175">
        <f>HEX2DEC(T15)</f>
        <v>1660</v>
      </c>
      <c r="AE8" s="175">
        <v>63</v>
      </c>
      <c r="AF8" s="175" t="s">
        <v>403</v>
      </c>
      <c r="AG8" s="175" t="str">
        <f>DEC2HEX(AE8)</f>
        <v>3F</v>
      </c>
      <c r="AI8" s="175" t="s">
        <v>404</v>
      </c>
    </row>
    <row r="9" spans="5:35">
      <c r="N9" s="175">
        <f>HEX2DEC(N15)</f>
        <v>0</v>
      </c>
      <c r="P9" s="175">
        <f>HEX2DEC(P15)</f>
        <v>0</v>
      </c>
      <c r="R9" s="145">
        <v>-63</v>
      </c>
      <c r="AF9" s="175" t="s">
        <v>405</v>
      </c>
      <c r="AG9" s="175" t="str">
        <f>DEC2HEX((2^15*16/2^8)/2^AI9)</f>
        <v>800</v>
      </c>
      <c r="AI9" s="175">
        <v>0</v>
      </c>
    </row>
    <row r="10" spans="5:35" s="134" customFormat="1" ht="27">
      <c r="F10" s="134" t="s">
        <v>386</v>
      </c>
      <c r="G10" s="134">
        <v>4</v>
      </c>
      <c r="I10" s="134" t="s">
        <v>390</v>
      </c>
      <c r="J10" s="134">
        <f>2^15</f>
        <v>32768</v>
      </c>
      <c r="L10" s="134" t="s">
        <v>395</v>
      </c>
      <c r="AE10" s="175"/>
      <c r="AF10" s="175" t="s">
        <v>406</v>
      </c>
      <c r="AG10" s="175" t="str">
        <f>DEC2HEX(HEX2DEC(AG8)*HEX2DEC(AG9)*AG7)</f>
        <v>1F800</v>
      </c>
      <c r="AH10" s="175"/>
      <c r="AI10" s="175"/>
    </row>
    <row r="11" spans="5:35">
      <c r="AF11" s="175" t="s">
        <v>407</v>
      </c>
      <c r="AG11" s="175" t="str">
        <f>DEC2HEX(HEX2DEC(AG10)/2^10)</f>
        <v>7E</v>
      </c>
    </row>
    <row r="12" spans="5:35" s="134" customFormat="1" ht="40.5" customHeight="1">
      <c r="E12" s="134" t="s">
        <v>382</v>
      </c>
      <c r="F12" s="134" t="s">
        <v>383</v>
      </c>
      <c r="G12" s="134" t="s">
        <v>381</v>
      </c>
      <c r="H12" s="134" t="s">
        <v>399</v>
      </c>
      <c r="I12" s="134" t="s">
        <v>384</v>
      </c>
      <c r="J12" s="134" t="s">
        <v>400</v>
      </c>
      <c r="K12" s="134" t="s">
        <v>385</v>
      </c>
      <c r="L12" s="134" t="s">
        <v>387</v>
      </c>
      <c r="M12" s="134" t="s">
        <v>401</v>
      </c>
      <c r="N12" s="134" t="s">
        <v>388</v>
      </c>
      <c r="O12" s="134" t="s">
        <v>402</v>
      </c>
      <c r="P12" s="134" t="s">
        <v>389</v>
      </c>
      <c r="Q12" s="134" t="s">
        <v>391</v>
      </c>
      <c r="R12" s="134" t="s">
        <v>416</v>
      </c>
      <c r="S12" s="134" t="s">
        <v>392</v>
      </c>
      <c r="T12" s="134" t="s">
        <v>393</v>
      </c>
      <c r="U12" s="134" t="s">
        <v>418</v>
      </c>
      <c r="V12" s="134" t="s">
        <v>420</v>
      </c>
      <c r="W12" s="134" t="s">
        <v>424</v>
      </c>
      <c r="X12" s="134" t="s">
        <v>419</v>
      </c>
      <c r="Y12" s="134" t="s">
        <v>394</v>
      </c>
      <c r="Z12" s="134" t="s">
        <v>396</v>
      </c>
      <c r="AA12" s="134" t="s">
        <v>421</v>
      </c>
      <c r="AB12" s="134" t="s">
        <v>422</v>
      </c>
      <c r="AC12" s="134" t="s">
        <v>423</v>
      </c>
      <c r="AE12" s="175"/>
      <c r="AF12" s="175" t="s">
        <v>408</v>
      </c>
      <c r="AG12" s="175" t="str">
        <f>DEC2HEX(2^15/2^AI12-1)</f>
        <v>7FFF</v>
      </c>
      <c r="AH12" s="175"/>
      <c r="AI12" s="175">
        <v>0</v>
      </c>
    </row>
    <row r="13" spans="5:35">
      <c r="R13" s="175" t="s">
        <v>417</v>
      </c>
      <c r="Z13" s="189" t="str">
        <f>DEC2HEX(HEX2DEC(表1[[#This Row],[ADC_OUT_OS_GAIN'[20:0'] ]])+HEX2DEC(表1[[#This Row],[SUM_DOWN_CELL_MUL_eco_shift'[8:0']]])*表1[[#This Row],[ADC_VCM_GAIN_EN]])</f>
        <v>0</v>
      </c>
      <c r="AA13" s="189">
        <f>HEX2DEC(表1[[#This Row],[SUM_DOWN_CELL_MUL_eco_shift'[8:0']]])/4</f>
        <v>0</v>
      </c>
      <c r="AB13" s="189">
        <f>R$15*表1[[#This Row],[Voltage ]]*SUM(F14:F30)/2^15/16*5000*5000</f>
        <v>0</v>
      </c>
      <c r="AC13" s="189">
        <f>表1[[#This Row],[VCM trim result(LSB)]]*1.11</f>
        <v>0</v>
      </c>
      <c r="AD13" s="189"/>
      <c r="AE13" s="134"/>
      <c r="AF13" s="175" t="s">
        <v>409</v>
      </c>
      <c r="AG13" s="175" t="str">
        <f>DEC2HEX(HEX2DEC(AG12)/2^9)</f>
        <v>3F</v>
      </c>
      <c r="AH13" s="134"/>
      <c r="AI13" s="134"/>
    </row>
    <row r="14" spans="5:35">
      <c r="R14" s="175" t="s">
        <v>415</v>
      </c>
      <c r="Z14" s="189" t="str">
        <f>DEC2HEX(HEX2DEC(表1[[#This Row],[ADC_OUT_OS_GAIN'[20:0'] ]])+HEX2DEC(表1[[#This Row],[SUM_DOWN_CELL_MUL_eco_shift'[8:0']]])*表1[[#This Row],[ADC_VCM_GAIN_EN]])</f>
        <v>0</v>
      </c>
      <c r="AA14" s="189">
        <f>HEX2DEC(表1[[#This Row],[SUM_DOWN_CELL_MUL_eco_shift'[8:0']]])/4</f>
        <v>0</v>
      </c>
      <c r="AB14" s="189">
        <f>R$15*表1[[#This Row],[Voltage ]]*SUM(F15:F31)/2^15/16*5000*5000</f>
        <v>0</v>
      </c>
      <c r="AC14" s="189">
        <f>表1[[#This Row],[VCM trim result(LSB)]]*1.11</f>
        <v>0</v>
      </c>
      <c r="AD14" s="189"/>
      <c r="AF14" s="175" t="s">
        <v>410</v>
      </c>
      <c r="AG14" s="175" t="str">
        <f>DEC2HEX(HEX2DEC(AG13)*HEX2DEC(AG11))</f>
        <v>1F02</v>
      </c>
    </row>
    <row r="15" spans="5:35">
      <c r="E15" s="175">
        <v>18</v>
      </c>
      <c r="F15" s="175">
        <v>3.5</v>
      </c>
      <c r="G15" s="175" t="str">
        <f>DEC2HEX(F15*5000*4,10)</f>
        <v>0000011170</v>
      </c>
      <c r="H15" s="175">
        <v>0</v>
      </c>
      <c r="I15" s="175" t="str">
        <f>DEC2HEX(H15*10,10)</f>
        <v>0000000000</v>
      </c>
      <c r="J15" s="175">
        <v>0</v>
      </c>
      <c r="K15" s="175" t="str">
        <f>DEC2HEX(J$15*10,10)</f>
        <v>0000000000</v>
      </c>
      <c r="L15" s="175" t="str">
        <f>DEC2HEX(HEX2DEC(G15)+HEX2DEC(I15)*4+HEX2DEC(K15)*4,10)</f>
        <v>0000011170</v>
      </c>
      <c r="M15" s="175">
        <v>0</v>
      </c>
      <c r="N15" s="175" t="str">
        <f>DEC2HEX(M15*$J$10,10)</f>
        <v>0000000000</v>
      </c>
      <c r="O15" s="175">
        <v>0</v>
      </c>
      <c r="P15" s="175" t="str">
        <f>DEC2HEX($O$15*$J$10,10)</f>
        <v>0000000000</v>
      </c>
      <c r="Q15" s="175" t="str">
        <f>DEC2HEX((HEX2DEC(L15)+(HEX2DEC(N15)+HEX2DEC(P15))*HEX2DEC(L15)/2^15),10)</f>
        <v>0000011170</v>
      </c>
      <c r="R15" s="175">
        <f>(R9)/2^15</f>
        <v>-1.922607421875E-3</v>
      </c>
      <c r="S15" s="175" t="str">
        <f>DEC2HEX(R9)</f>
        <v>FFFFFFFFC1</v>
      </c>
      <c r="T15" s="175" t="str">
        <f>DEC2HEX(SUM(F16:F$32)*5000/2^8)</f>
        <v>67C</v>
      </c>
      <c r="U15" s="175" t="str">
        <f>DEC2HEX(HEX2DEC(T15)*HEX2DEC(S15))</f>
        <v>FFFFFE677C</v>
      </c>
      <c r="V15" s="175" t="str">
        <f>DEC2HEX(HEX2DEC(U15)/2^11)</f>
        <v>FFFFFFFFCD</v>
      </c>
      <c r="W15" s="175" t="str">
        <f>DEC2HEX(HEX2DEC(Q15)/2^0)</f>
        <v>11170</v>
      </c>
      <c r="X15" s="175" t="str">
        <f>DEC2HEX(HEX2DEC(W15)*HEX2DEC(V15)/2^15)</f>
        <v>FFFFFFFF94</v>
      </c>
      <c r="Y15" s="175">
        <v>1</v>
      </c>
      <c r="Z15" s="189" t="str">
        <f>DEC2HEX(HEX2DEC(表1[[#This Row],[ADC_OUT_OS_GAIN'[20:0'] ]])+HEX2DEC(表1[[#This Row],[SUM_DOWN_CELL_MUL_eco_shift'[8:0']]])*表1[[#This Row],[ADC_VCM_GAIN_EN]])</f>
        <v>11104</v>
      </c>
      <c r="AA15" s="189">
        <f>HEX2DEC(表1[[#This Row],[SUM_DOWN_CELL_MUL_eco_shift'[8:0']]])/4</f>
        <v>-27</v>
      </c>
      <c r="AB15" s="189">
        <f>R$15*表1[[#This Row],[Voltage ]]*SUM(F16:F32)/2^15/16*5000*5000</f>
        <v>-27.273927116766572</v>
      </c>
      <c r="AC15" s="189">
        <f>表1[[#This Row],[VCM trim result(LSB)]]*1.11</f>
        <v>-29.970000000000002</v>
      </c>
      <c r="AD15" s="189"/>
      <c r="AE15" s="134"/>
      <c r="AF15" s="175" t="s">
        <v>413</v>
      </c>
      <c r="AG15" s="134" t="str">
        <f>DEC2HEX(HEX2DEC(AG14)/2^5)</f>
        <v>F8</v>
      </c>
      <c r="AH15" s="134"/>
      <c r="AI15" s="134"/>
    </row>
    <row r="16" spans="5:35">
      <c r="E16" s="175">
        <v>17</v>
      </c>
      <c r="F16" s="175">
        <v>5</v>
      </c>
      <c r="G16" s="175" t="str">
        <f t="shared" ref="G16:G32" si="0">DEC2HEX(F16*5000*4,10)</f>
        <v>00000186A0</v>
      </c>
      <c r="H16" s="175">
        <v>0</v>
      </c>
      <c r="I16" s="175" t="str">
        <f t="shared" ref="I16:I32" si="1">DEC2HEX(H16*10,10)</f>
        <v>0000000000</v>
      </c>
      <c r="K16" s="175" t="str">
        <f t="shared" ref="K16:K32" si="2">DEC2HEX(J$15*10,10)</f>
        <v>0000000000</v>
      </c>
      <c r="L16" s="175" t="str">
        <f t="shared" ref="L16:L32" si="3">DEC2HEX(HEX2DEC(G16)+HEX2DEC(I16)*4+HEX2DEC(K16)*4,10)</f>
        <v>00000186A0</v>
      </c>
      <c r="M16" s="175">
        <v>0</v>
      </c>
      <c r="N16" s="175" t="str">
        <f t="shared" ref="N16:N32" si="4">DEC2HEX(M16*$J$10,10)</f>
        <v>0000000000</v>
      </c>
      <c r="P16" s="175" t="str">
        <f t="shared" ref="P16:P32" si="5">DEC2HEX($O$15*$J$10,10)</f>
        <v>0000000000</v>
      </c>
      <c r="Q16" s="175" t="str">
        <f t="shared" ref="Q16:Q32" si="6">DEC2HEX((HEX2DEC(L16)+(HEX2DEC(N16)+HEX2DEC(P16))*HEX2DEC(L16)/2^15),10)</f>
        <v>00000186A0</v>
      </c>
      <c r="S16" s="175" t="str">
        <f t="shared" ref="S15:S32" si="7">DEC2HEX($R$15*2^15)</f>
        <v>FFFFFFFFC1</v>
      </c>
      <c r="T16" s="175" t="str">
        <f>DEC2HEX(SUM(F17:F$32)*5000/2^8)</f>
        <v>61A</v>
      </c>
      <c r="U16" s="175" t="str">
        <f t="shared" ref="U16:U32" si="8">DEC2HEX(HEX2DEC(T16)*HEX2DEC(S16))</f>
        <v>FFFFFE7F9A</v>
      </c>
      <c r="V16" s="175" t="str">
        <f t="shared" ref="V16:V32" si="9">DEC2HEX(HEX2DEC(U16)/2^11)</f>
        <v>FFFFFFFFD0</v>
      </c>
      <c r="W16" s="175" t="str">
        <f t="shared" ref="W16:W32" si="10">DEC2HEX(HEX2DEC(Q16)/2^11)</f>
        <v>30</v>
      </c>
      <c r="X16" s="175" t="str">
        <f t="shared" ref="X16:X32" si="11">DEC2HEX(HEX2DEC(W16)*HEX2DEC(V16)/2^4)</f>
        <v>FFFFFFFF70</v>
      </c>
      <c r="Y16" s="175">
        <v>1</v>
      </c>
      <c r="Z16" s="189" t="str">
        <f>DEC2HEX(HEX2DEC(表1[[#This Row],[ADC_OUT_OS_GAIN'[20:0'] ]])+HEX2DEC(表1[[#This Row],[SUM_DOWN_CELL_MUL_eco_shift'[8:0']]])*表1[[#This Row],[ADC_VCM_GAIN_EN]])</f>
        <v>18610</v>
      </c>
      <c r="AA16" s="189">
        <f>HEX2DEC(表1[[#This Row],[SUM_DOWN_CELL_MUL_eco_shift'[8:0']]])/4</f>
        <v>-36</v>
      </c>
      <c r="AB16" s="189">
        <f>R$15*表1[[#This Row],[Voltage ]]*SUM(F17:F33)/2^15/16*5000*5000</f>
        <v>-36.670826375484467</v>
      </c>
      <c r="AC16" s="189">
        <f>表1[[#This Row],[VCM trim result(LSB)]]*1.11</f>
        <v>-39.96</v>
      </c>
      <c r="AD16" s="189"/>
      <c r="AF16" s="134" t="s">
        <v>411</v>
      </c>
      <c r="AG16" s="134">
        <f>HEX2DEC(AG15)/2^15/4</f>
        <v>1.89208984375E-3</v>
      </c>
    </row>
    <row r="17" spans="5:33">
      <c r="E17" s="175">
        <v>16</v>
      </c>
      <c r="F17" s="175">
        <v>5</v>
      </c>
      <c r="G17" s="175" t="str">
        <f t="shared" si="0"/>
        <v>00000186A0</v>
      </c>
      <c r="H17" s="175">
        <v>0</v>
      </c>
      <c r="I17" s="175" t="str">
        <f t="shared" si="1"/>
        <v>0000000000</v>
      </c>
      <c r="K17" s="175" t="str">
        <f t="shared" si="2"/>
        <v>0000000000</v>
      </c>
      <c r="L17" s="175" t="str">
        <f t="shared" si="3"/>
        <v>00000186A0</v>
      </c>
      <c r="M17" s="175">
        <v>0</v>
      </c>
      <c r="N17" s="175" t="str">
        <f t="shared" si="4"/>
        <v>0000000000</v>
      </c>
      <c r="P17" s="175" t="str">
        <f t="shared" si="5"/>
        <v>0000000000</v>
      </c>
      <c r="Q17" s="175" t="str">
        <f t="shared" si="6"/>
        <v>00000186A0</v>
      </c>
      <c r="S17" s="175" t="str">
        <f t="shared" si="7"/>
        <v>FFFFFFFFC1</v>
      </c>
      <c r="T17" s="175" t="str">
        <f>DEC2HEX(SUM(F18:F$32)*5000/2^8)</f>
        <v>5B8</v>
      </c>
      <c r="U17" s="175" t="str">
        <f t="shared" si="8"/>
        <v>FFFFFE97B8</v>
      </c>
      <c r="V17" s="175" t="str">
        <f t="shared" si="9"/>
        <v>FFFFFFFFD3</v>
      </c>
      <c r="W17" s="175" t="str">
        <f t="shared" si="10"/>
        <v>30</v>
      </c>
      <c r="X17" s="175" t="str">
        <f t="shared" si="11"/>
        <v>FFFFFFFF79</v>
      </c>
      <c r="Y17" s="175">
        <v>1</v>
      </c>
      <c r="Z17" s="189" t="str">
        <f>DEC2HEX(HEX2DEC(表1[[#This Row],[ADC_OUT_OS_GAIN'[20:0'] ]])+HEX2DEC(表1[[#This Row],[SUM_DOWN_CELL_MUL_eco_shift'[8:0']]])*表1[[#This Row],[ADC_VCM_GAIN_EN]])</f>
        <v>18619</v>
      </c>
      <c r="AA17" s="189">
        <f>HEX2DEC(表1[[#This Row],[SUM_DOWN_CELL_MUL_eco_shift'[8:0']]])/4</f>
        <v>-33.75</v>
      </c>
      <c r="AB17" s="189">
        <f>R$15*表1[[#This Row],[Voltage ]]*SUM(F18:F34)/2^15/16*5000*5000</f>
        <v>-34.378899727016687</v>
      </c>
      <c r="AC17" s="189">
        <f>表1[[#This Row],[VCM trim result(LSB)]]*1.11</f>
        <v>-37.462500000000006</v>
      </c>
      <c r="AD17" s="189"/>
      <c r="AF17" s="175" t="s">
        <v>414</v>
      </c>
      <c r="AG17" s="175">
        <f>(2^15*AG16)</f>
        <v>62</v>
      </c>
    </row>
    <row r="18" spans="5:33">
      <c r="E18" s="175">
        <v>15</v>
      </c>
      <c r="F18" s="175">
        <v>5</v>
      </c>
      <c r="G18" s="175" t="str">
        <f t="shared" si="0"/>
        <v>00000186A0</v>
      </c>
      <c r="H18" s="175">
        <v>0</v>
      </c>
      <c r="I18" s="175" t="str">
        <f t="shared" si="1"/>
        <v>0000000000</v>
      </c>
      <c r="K18" s="175" t="str">
        <f t="shared" si="2"/>
        <v>0000000000</v>
      </c>
      <c r="L18" s="175" t="str">
        <f t="shared" si="3"/>
        <v>00000186A0</v>
      </c>
      <c r="M18" s="175">
        <v>0</v>
      </c>
      <c r="N18" s="175" t="str">
        <f t="shared" si="4"/>
        <v>0000000000</v>
      </c>
      <c r="P18" s="175" t="str">
        <f t="shared" si="5"/>
        <v>0000000000</v>
      </c>
      <c r="Q18" s="175" t="str">
        <f t="shared" si="6"/>
        <v>00000186A0</v>
      </c>
      <c r="S18" s="175" t="str">
        <f t="shared" si="7"/>
        <v>FFFFFFFFC1</v>
      </c>
      <c r="T18" s="175" t="str">
        <f>DEC2HEX(SUM(F19:F$32)*5000/2^8)</f>
        <v>557</v>
      </c>
      <c r="U18" s="175" t="str">
        <f t="shared" si="8"/>
        <v>FFFFFEAF97</v>
      </c>
      <c r="V18" s="175" t="str">
        <f t="shared" si="9"/>
        <v>FFFFFFFFD6</v>
      </c>
      <c r="W18" s="175" t="str">
        <f t="shared" si="10"/>
        <v>30</v>
      </c>
      <c r="X18" s="175" t="str">
        <f t="shared" si="11"/>
        <v>FFFFFFFF82</v>
      </c>
      <c r="Y18" s="175">
        <v>1</v>
      </c>
      <c r="Z18" s="189" t="str">
        <f>DEC2HEX(HEX2DEC(表1[[#This Row],[ADC_OUT_OS_GAIN'[20:0'] ]])+HEX2DEC(表1[[#This Row],[SUM_DOWN_CELL_MUL_eco_shift'[8:0']]])*表1[[#This Row],[ADC_VCM_GAIN_EN]])</f>
        <v>18622</v>
      </c>
      <c r="AA18" s="189">
        <f>HEX2DEC(表1[[#This Row],[SUM_DOWN_CELL_MUL_eco_shift'[8:0']]])/4</f>
        <v>-31.5</v>
      </c>
      <c r="AB18" s="189">
        <f>R$15*表1[[#This Row],[Voltage ]]*SUM(F19:F35)/2^15/16*5000*5000</f>
        <v>-32.086973078548908</v>
      </c>
      <c r="AC18" s="189">
        <f>表1[[#This Row],[VCM trim result(LSB)]]*1.11</f>
        <v>-34.965000000000003</v>
      </c>
      <c r="AD18" s="189"/>
    </row>
    <row r="19" spans="5:33">
      <c r="E19" s="175">
        <v>14</v>
      </c>
      <c r="F19" s="175">
        <v>5</v>
      </c>
      <c r="G19" s="175" t="str">
        <f t="shared" si="0"/>
        <v>00000186A0</v>
      </c>
      <c r="H19" s="175">
        <v>0</v>
      </c>
      <c r="I19" s="175" t="str">
        <f t="shared" si="1"/>
        <v>0000000000</v>
      </c>
      <c r="K19" s="175" t="str">
        <f t="shared" si="2"/>
        <v>0000000000</v>
      </c>
      <c r="L19" s="175" t="str">
        <f t="shared" si="3"/>
        <v>00000186A0</v>
      </c>
      <c r="M19" s="175">
        <v>0</v>
      </c>
      <c r="N19" s="175" t="str">
        <f t="shared" si="4"/>
        <v>0000000000</v>
      </c>
      <c r="P19" s="175" t="str">
        <f t="shared" si="5"/>
        <v>0000000000</v>
      </c>
      <c r="Q19" s="175" t="str">
        <f t="shared" si="6"/>
        <v>00000186A0</v>
      </c>
      <c r="S19" s="175" t="str">
        <f t="shared" si="7"/>
        <v>FFFFFFFFC1</v>
      </c>
      <c r="T19" s="175" t="str">
        <f>DEC2HEX(SUM(F20:F$32)*5000/2^8)</f>
        <v>4F5</v>
      </c>
      <c r="U19" s="175" t="str">
        <f t="shared" si="8"/>
        <v>FFFFFEC7B5</v>
      </c>
      <c r="V19" s="175" t="str">
        <f t="shared" si="9"/>
        <v>FFFFFFFFD9</v>
      </c>
      <c r="W19" s="175" t="str">
        <f t="shared" si="10"/>
        <v>30</v>
      </c>
      <c r="X19" s="175" t="str">
        <f t="shared" si="11"/>
        <v>FFFFFFFF8B</v>
      </c>
      <c r="Y19" s="175">
        <v>1</v>
      </c>
      <c r="Z19" s="189" t="str">
        <f>DEC2HEX(HEX2DEC(表1[[#This Row],[ADC_OUT_OS_GAIN'[20:0'] ]])+HEX2DEC(表1[[#This Row],[SUM_DOWN_CELL_MUL_eco_shift'[8:0']]])*表1[[#This Row],[ADC_VCM_GAIN_EN]])</f>
        <v>1862B</v>
      </c>
      <c r="AA19" s="189">
        <f>HEX2DEC(表1[[#This Row],[SUM_DOWN_CELL_MUL_eco_shift'[8:0']]])/4</f>
        <v>-29.25</v>
      </c>
      <c r="AB19" s="189">
        <f>R$15*表1[[#This Row],[Voltage ]]*SUM(F20:F36)/2^15/16*5000*5000</f>
        <v>-29.795046430081129</v>
      </c>
      <c r="AC19" s="189">
        <f>表1[[#This Row],[VCM trim result(LSB)]]*1.11</f>
        <v>-32.467500000000001</v>
      </c>
      <c r="AD19" s="189"/>
    </row>
    <row r="20" spans="5:33">
      <c r="E20" s="175">
        <v>13</v>
      </c>
      <c r="F20" s="175">
        <v>5</v>
      </c>
      <c r="G20" s="175" t="str">
        <f t="shared" si="0"/>
        <v>00000186A0</v>
      </c>
      <c r="H20" s="175">
        <v>0</v>
      </c>
      <c r="I20" s="175" t="str">
        <f t="shared" si="1"/>
        <v>0000000000</v>
      </c>
      <c r="K20" s="175" t="str">
        <f t="shared" si="2"/>
        <v>0000000000</v>
      </c>
      <c r="L20" s="175" t="str">
        <f t="shared" si="3"/>
        <v>00000186A0</v>
      </c>
      <c r="M20" s="175">
        <v>0</v>
      </c>
      <c r="N20" s="175" t="str">
        <f t="shared" si="4"/>
        <v>0000000000</v>
      </c>
      <c r="P20" s="175" t="str">
        <f t="shared" si="5"/>
        <v>0000000000</v>
      </c>
      <c r="Q20" s="175" t="str">
        <f t="shared" si="6"/>
        <v>00000186A0</v>
      </c>
      <c r="S20" s="175" t="str">
        <f t="shared" si="7"/>
        <v>FFFFFFFFC1</v>
      </c>
      <c r="T20" s="175" t="str">
        <f>DEC2HEX(SUM(F21:F$32)*5000/2^8)</f>
        <v>493</v>
      </c>
      <c r="U20" s="175" t="str">
        <f t="shared" si="8"/>
        <v>FFFFFEDFD3</v>
      </c>
      <c r="V20" s="175" t="str">
        <f t="shared" si="9"/>
        <v>FFFFFFFFDC</v>
      </c>
      <c r="W20" s="175" t="str">
        <f t="shared" si="10"/>
        <v>30</v>
      </c>
      <c r="X20" s="175" t="str">
        <f t="shared" si="11"/>
        <v>FFFFFFFF94</v>
      </c>
      <c r="Y20" s="175">
        <v>1</v>
      </c>
      <c r="Z20" s="189" t="str">
        <f>DEC2HEX(HEX2DEC(表1[[#This Row],[ADC_OUT_OS_GAIN'[20:0'] ]])+HEX2DEC(表1[[#This Row],[SUM_DOWN_CELL_MUL_eco_shift'[8:0']]])*表1[[#This Row],[ADC_VCM_GAIN_EN]])</f>
        <v>18634</v>
      </c>
      <c r="AA20" s="189">
        <f>HEX2DEC(表1[[#This Row],[SUM_DOWN_CELL_MUL_eco_shift'[8:0']]])/4</f>
        <v>-27</v>
      </c>
      <c r="AB20" s="189">
        <f>R$15*表1[[#This Row],[Voltage ]]*SUM(F21:F37)/2^15/16*5000*5000</f>
        <v>-27.50311978161335</v>
      </c>
      <c r="AC20" s="189">
        <f>表1[[#This Row],[VCM trim result(LSB)]]*1.11</f>
        <v>-29.970000000000002</v>
      </c>
      <c r="AD20" s="189"/>
    </row>
    <row r="21" spans="5:33">
      <c r="E21" s="175">
        <v>12</v>
      </c>
      <c r="F21" s="175">
        <v>5</v>
      </c>
      <c r="G21" s="175" t="str">
        <f t="shared" si="0"/>
        <v>00000186A0</v>
      </c>
      <c r="H21" s="175">
        <v>0</v>
      </c>
      <c r="I21" s="175" t="str">
        <f t="shared" si="1"/>
        <v>0000000000</v>
      </c>
      <c r="K21" s="175" t="str">
        <f t="shared" si="2"/>
        <v>0000000000</v>
      </c>
      <c r="L21" s="175" t="str">
        <f t="shared" si="3"/>
        <v>00000186A0</v>
      </c>
      <c r="M21" s="175">
        <v>0</v>
      </c>
      <c r="N21" s="175" t="str">
        <f t="shared" si="4"/>
        <v>0000000000</v>
      </c>
      <c r="P21" s="175" t="str">
        <f t="shared" si="5"/>
        <v>0000000000</v>
      </c>
      <c r="Q21" s="175" t="str">
        <f t="shared" si="6"/>
        <v>00000186A0</v>
      </c>
      <c r="S21" s="175" t="str">
        <f t="shared" si="7"/>
        <v>FFFFFFFFC1</v>
      </c>
      <c r="T21" s="175" t="str">
        <f>DEC2HEX(SUM(F22:F$32)*5000/2^8)</f>
        <v>432</v>
      </c>
      <c r="U21" s="175" t="str">
        <f t="shared" si="8"/>
        <v>FFFFFEF7B2</v>
      </c>
      <c r="V21" s="175" t="str">
        <f t="shared" si="9"/>
        <v>FFFFFFFFDF</v>
      </c>
      <c r="W21" s="175" t="str">
        <f t="shared" si="10"/>
        <v>30</v>
      </c>
      <c r="X21" s="175" t="str">
        <f t="shared" si="11"/>
        <v>FFFFFFFF9D</v>
      </c>
      <c r="Y21" s="175">
        <v>1</v>
      </c>
      <c r="Z21" s="189" t="str">
        <f>DEC2HEX(HEX2DEC(表1[[#This Row],[ADC_OUT_OS_GAIN'[20:0'] ]])+HEX2DEC(表1[[#This Row],[SUM_DOWN_CELL_MUL_eco_shift'[8:0']]])*表1[[#This Row],[ADC_VCM_GAIN_EN]])</f>
        <v>1863D</v>
      </c>
      <c r="AA21" s="189">
        <f>HEX2DEC(表1[[#This Row],[SUM_DOWN_CELL_MUL_eco_shift'[8:0']]])/4</f>
        <v>-24.75</v>
      </c>
      <c r="AB21" s="189">
        <f>R$15*表1[[#This Row],[Voltage ]]*SUM(F22:F38)/2^15/16*5000*5000</f>
        <v>-25.211193133145571</v>
      </c>
      <c r="AC21" s="189">
        <f>表1[[#This Row],[VCM trim result(LSB)]]*1.11</f>
        <v>-27.472500000000004</v>
      </c>
      <c r="AD21" s="189"/>
    </row>
    <row r="22" spans="5:33">
      <c r="E22" s="175">
        <v>11</v>
      </c>
      <c r="F22" s="175">
        <v>5</v>
      </c>
      <c r="G22" s="175" t="str">
        <f t="shared" si="0"/>
        <v>00000186A0</v>
      </c>
      <c r="H22" s="175">
        <v>0</v>
      </c>
      <c r="I22" s="175" t="str">
        <f t="shared" si="1"/>
        <v>0000000000</v>
      </c>
      <c r="K22" s="175" t="str">
        <f t="shared" si="2"/>
        <v>0000000000</v>
      </c>
      <c r="L22" s="175" t="str">
        <f t="shared" si="3"/>
        <v>00000186A0</v>
      </c>
      <c r="M22" s="175">
        <v>0</v>
      </c>
      <c r="N22" s="175" t="str">
        <f t="shared" si="4"/>
        <v>0000000000</v>
      </c>
      <c r="P22" s="175" t="str">
        <f t="shared" si="5"/>
        <v>0000000000</v>
      </c>
      <c r="Q22" s="175" t="str">
        <f t="shared" si="6"/>
        <v>00000186A0</v>
      </c>
      <c r="S22" s="175" t="str">
        <f t="shared" si="7"/>
        <v>FFFFFFFFC1</v>
      </c>
      <c r="T22" s="175" t="str">
        <f>DEC2HEX(SUM(F23:F$32)*5000/2^8)</f>
        <v>3D0</v>
      </c>
      <c r="U22" s="175" t="str">
        <f t="shared" si="8"/>
        <v>FFFFFF0FD0</v>
      </c>
      <c r="V22" s="175" t="str">
        <f t="shared" si="9"/>
        <v>FFFFFFFFE2</v>
      </c>
      <c r="W22" s="175" t="str">
        <f t="shared" si="10"/>
        <v>30</v>
      </c>
      <c r="X22" s="175" t="str">
        <f t="shared" si="11"/>
        <v>FFFFFFFFA6</v>
      </c>
      <c r="Y22" s="175">
        <v>1</v>
      </c>
      <c r="Z22" s="189" t="str">
        <f>DEC2HEX(HEX2DEC(表1[[#This Row],[ADC_OUT_OS_GAIN'[20:0'] ]])+HEX2DEC(表1[[#This Row],[SUM_DOWN_CELL_MUL_eco_shift'[8:0']]])*表1[[#This Row],[ADC_VCM_GAIN_EN]])</f>
        <v>18646</v>
      </c>
      <c r="AA22" s="189">
        <f>HEX2DEC(表1[[#This Row],[SUM_DOWN_CELL_MUL_eco_shift'[8:0']]])/4</f>
        <v>-22.5</v>
      </c>
      <c r="AB22" s="189">
        <f>R$15*表1[[#This Row],[Voltage ]]*SUM(F23:F39)/2^15/16*5000*5000</f>
        <v>-22.919266484677792</v>
      </c>
      <c r="AC22" s="189">
        <f>表1[[#This Row],[VCM trim result(LSB)]]*1.11</f>
        <v>-24.975000000000001</v>
      </c>
      <c r="AD22" s="189"/>
    </row>
    <row r="23" spans="5:33">
      <c r="E23" s="175">
        <v>10</v>
      </c>
      <c r="F23" s="175">
        <v>5</v>
      </c>
      <c r="G23" s="175" t="str">
        <f t="shared" si="0"/>
        <v>00000186A0</v>
      </c>
      <c r="H23" s="175">
        <v>0</v>
      </c>
      <c r="I23" s="175" t="str">
        <f t="shared" si="1"/>
        <v>0000000000</v>
      </c>
      <c r="K23" s="175" t="str">
        <f t="shared" si="2"/>
        <v>0000000000</v>
      </c>
      <c r="L23" s="175" t="str">
        <f t="shared" si="3"/>
        <v>00000186A0</v>
      </c>
      <c r="M23" s="175">
        <v>0</v>
      </c>
      <c r="N23" s="175" t="str">
        <f t="shared" si="4"/>
        <v>0000000000</v>
      </c>
      <c r="P23" s="175" t="str">
        <f t="shared" si="5"/>
        <v>0000000000</v>
      </c>
      <c r="Q23" s="175" t="str">
        <f t="shared" si="6"/>
        <v>00000186A0</v>
      </c>
      <c r="S23" s="175" t="str">
        <f t="shared" si="7"/>
        <v>FFFFFFFFC1</v>
      </c>
      <c r="T23" s="175" t="str">
        <f>DEC2HEX(SUM(F24:F$32)*5000/2^8)</f>
        <v>36E</v>
      </c>
      <c r="U23" s="175" t="str">
        <f t="shared" si="8"/>
        <v>FFFFFF27EE</v>
      </c>
      <c r="V23" s="175" t="str">
        <f t="shared" si="9"/>
        <v>FFFFFFFFE5</v>
      </c>
      <c r="W23" s="175" t="str">
        <f t="shared" si="10"/>
        <v>30</v>
      </c>
      <c r="X23" s="175" t="str">
        <f t="shared" si="11"/>
        <v>FFFFFFFFAF</v>
      </c>
      <c r="Y23" s="175">
        <v>1</v>
      </c>
      <c r="Z23" s="189" t="str">
        <f>DEC2HEX(HEX2DEC(表1[[#This Row],[ADC_OUT_OS_GAIN'[20:0'] ]])+HEX2DEC(表1[[#This Row],[SUM_DOWN_CELL_MUL_eco_shift'[8:0']]])*表1[[#This Row],[ADC_VCM_GAIN_EN]])</f>
        <v>1864F</v>
      </c>
      <c r="AA23" s="189">
        <f>HEX2DEC(表1[[#This Row],[SUM_DOWN_CELL_MUL_eco_shift'[8:0']]])/4</f>
        <v>-20.25</v>
      </c>
      <c r="AB23" s="189">
        <f>R$15*表1[[#This Row],[Voltage ]]*SUM(F24:F40)/2^15/16*5000*5000</f>
        <v>-20.627339836210012</v>
      </c>
      <c r="AC23" s="189">
        <f>表1[[#This Row],[VCM trim result(LSB)]]*1.11</f>
        <v>-22.477500000000003</v>
      </c>
      <c r="AD23" s="189"/>
    </row>
    <row r="24" spans="5:33">
      <c r="E24" s="175">
        <v>9</v>
      </c>
      <c r="F24" s="175">
        <v>5</v>
      </c>
      <c r="G24" s="175" t="str">
        <f t="shared" si="0"/>
        <v>00000186A0</v>
      </c>
      <c r="H24" s="175">
        <v>0</v>
      </c>
      <c r="I24" s="175" t="str">
        <f t="shared" si="1"/>
        <v>0000000000</v>
      </c>
      <c r="K24" s="175" t="str">
        <f t="shared" si="2"/>
        <v>0000000000</v>
      </c>
      <c r="L24" s="175" t="str">
        <f t="shared" si="3"/>
        <v>00000186A0</v>
      </c>
      <c r="M24" s="175">
        <v>0</v>
      </c>
      <c r="N24" s="175" t="str">
        <f t="shared" si="4"/>
        <v>0000000000</v>
      </c>
      <c r="P24" s="175" t="str">
        <f t="shared" si="5"/>
        <v>0000000000</v>
      </c>
      <c r="Q24" s="175" t="str">
        <f t="shared" si="6"/>
        <v>00000186A0</v>
      </c>
      <c r="S24" s="175" t="str">
        <f t="shared" si="7"/>
        <v>FFFFFFFFC1</v>
      </c>
      <c r="T24" s="175" t="str">
        <f>DEC2HEX(SUM(F25:F$32)*5000/2^8)</f>
        <v>30D</v>
      </c>
      <c r="U24" s="175" t="str">
        <f t="shared" si="8"/>
        <v>FFFFFF3FCD</v>
      </c>
      <c r="V24" s="175" t="str">
        <f t="shared" si="9"/>
        <v>FFFFFFFFE8</v>
      </c>
      <c r="W24" s="175" t="str">
        <f t="shared" si="10"/>
        <v>30</v>
      </c>
      <c r="X24" s="175" t="str">
        <f t="shared" si="11"/>
        <v>FFFFFFFFB8</v>
      </c>
      <c r="Y24" s="175">
        <v>1</v>
      </c>
      <c r="Z24" s="189" t="str">
        <f>DEC2HEX(HEX2DEC(表1[[#This Row],[ADC_OUT_OS_GAIN'[20:0'] ]])+HEX2DEC(表1[[#This Row],[SUM_DOWN_CELL_MUL_eco_shift'[8:0']]])*表1[[#This Row],[ADC_VCM_GAIN_EN]])</f>
        <v>18658</v>
      </c>
      <c r="AA24" s="189">
        <f>HEX2DEC(表1[[#This Row],[SUM_DOWN_CELL_MUL_eco_shift'[8:0']]])/4</f>
        <v>-18</v>
      </c>
      <c r="AB24" s="189">
        <f>R$15*表1[[#This Row],[Voltage ]]*SUM(F25:F41)/2^15/16*5000*5000</f>
        <v>-18.335413187742233</v>
      </c>
      <c r="AC24" s="189">
        <f>表1[[#This Row],[VCM trim result(LSB)]]*1.11</f>
        <v>-19.98</v>
      </c>
      <c r="AD24" s="189"/>
    </row>
    <row r="25" spans="5:33">
      <c r="E25" s="175">
        <v>8</v>
      </c>
      <c r="F25" s="175">
        <v>5</v>
      </c>
      <c r="G25" s="175" t="str">
        <f t="shared" si="0"/>
        <v>00000186A0</v>
      </c>
      <c r="H25" s="175">
        <v>0</v>
      </c>
      <c r="I25" s="175" t="str">
        <f t="shared" si="1"/>
        <v>0000000000</v>
      </c>
      <c r="K25" s="175" t="str">
        <f t="shared" si="2"/>
        <v>0000000000</v>
      </c>
      <c r="L25" s="175" t="str">
        <f t="shared" si="3"/>
        <v>00000186A0</v>
      </c>
      <c r="M25" s="175">
        <v>0</v>
      </c>
      <c r="N25" s="175" t="str">
        <f t="shared" si="4"/>
        <v>0000000000</v>
      </c>
      <c r="P25" s="175" t="str">
        <f t="shared" si="5"/>
        <v>0000000000</v>
      </c>
      <c r="Q25" s="175" t="str">
        <f t="shared" si="6"/>
        <v>00000186A0</v>
      </c>
      <c r="S25" s="175" t="str">
        <f t="shared" si="7"/>
        <v>FFFFFFFFC1</v>
      </c>
      <c r="T25" s="175" t="str">
        <f>DEC2HEX(SUM(F26:F$32)*5000/2^8)</f>
        <v>2AB</v>
      </c>
      <c r="U25" s="175" t="str">
        <f t="shared" si="8"/>
        <v>FFFFFF57EB</v>
      </c>
      <c r="V25" s="175" t="str">
        <f t="shared" si="9"/>
        <v>FFFFFFFFEB</v>
      </c>
      <c r="W25" s="175" t="str">
        <f t="shared" si="10"/>
        <v>30</v>
      </c>
      <c r="X25" s="175" t="str">
        <f t="shared" si="11"/>
        <v>FFFFFFFFC1</v>
      </c>
      <c r="Y25" s="175">
        <v>1</v>
      </c>
      <c r="Z25" s="189" t="str">
        <f>DEC2HEX(HEX2DEC(表1[[#This Row],[ADC_OUT_OS_GAIN'[20:0'] ]])+HEX2DEC(表1[[#This Row],[SUM_DOWN_CELL_MUL_eco_shift'[8:0']]])*表1[[#This Row],[ADC_VCM_GAIN_EN]])</f>
        <v>18661</v>
      </c>
      <c r="AA25" s="189">
        <f>HEX2DEC(表1[[#This Row],[SUM_DOWN_CELL_MUL_eco_shift'[8:0']]])/4</f>
        <v>-15.75</v>
      </c>
      <c r="AB25" s="189">
        <f>R$15*表1[[#This Row],[Voltage ]]*SUM(F26:F42)/2^15/16*5000*5000</f>
        <v>-16.043486539274454</v>
      </c>
      <c r="AC25" s="189">
        <f>表1[[#This Row],[VCM trim result(LSB)]]*1.11</f>
        <v>-17.482500000000002</v>
      </c>
      <c r="AD25" s="189"/>
    </row>
    <row r="26" spans="5:33">
      <c r="E26" s="175">
        <v>7</v>
      </c>
      <c r="F26" s="175">
        <v>5</v>
      </c>
      <c r="G26" s="175" t="str">
        <f t="shared" si="0"/>
        <v>00000186A0</v>
      </c>
      <c r="H26" s="175">
        <v>0</v>
      </c>
      <c r="I26" s="175" t="str">
        <f t="shared" si="1"/>
        <v>0000000000</v>
      </c>
      <c r="K26" s="175" t="str">
        <f t="shared" si="2"/>
        <v>0000000000</v>
      </c>
      <c r="L26" s="175" t="str">
        <f t="shared" si="3"/>
        <v>00000186A0</v>
      </c>
      <c r="M26" s="175">
        <v>0</v>
      </c>
      <c r="N26" s="175" t="str">
        <f t="shared" si="4"/>
        <v>0000000000</v>
      </c>
      <c r="P26" s="175" t="str">
        <f t="shared" si="5"/>
        <v>0000000000</v>
      </c>
      <c r="Q26" s="175" t="str">
        <f t="shared" si="6"/>
        <v>00000186A0</v>
      </c>
      <c r="S26" s="175" t="str">
        <f t="shared" si="7"/>
        <v>FFFFFFFFC1</v>
      </c>
      <c r="T26" s="175" t="str">
        <f>DEC2HEX(SUM(F27:F$32)*5000/2^8)</f>
        <v>249</v>
      </c>
      <c r="U26" s="175" t="str">
        <f t="shared" si="8"/>
        <v>FFFFFF7009</v>
      </c>
      <c r="V26" s="175" t="str">
        <f t="shared" si="9"/>
        <v>FFFFFFFFEF</v>
      </c>
      <c r="W26" s="175" t="str">
        <f t="shared" si="10"/>
        <v>30</v>
      </c>
      <c r="X26" s="175" t="str">
        <f t="shared" si="11"/>
        <v>FFFFFFFFCD</v>
      </c>
      <c r="Y26" s="175">
        <v>1</v>
      </c>
      <c r="Z26" s="189" t="str">
        <f>DEC2HEX(HEX2DEC(表1[[#This Row],[ADC_OUT_OS_GAIN'[20:0'] ]])+HEX2DEC(表1[[#This Row],[SUM_DOWN_CELL_MUL_eco_shift'[8:0']]])*表1[[#This Row],[ADC_VCM_GAIN_EN]])</f>
        <v>1866D</v>
      </c>
      <c r="AA26" s="189">
        <f>HEX2DEC(表1[[#This Row],[SUM_DOWN_CELL_MUL_eco_shift'[8:0']]])/4</f>
        <v>-12.75</v>
      </c>
      <c r="AB26" s="189">
        <f>R$15*表1[[#This Row],[Voltage ]]*SUM(F27:F43)/2^15/16*5000*5000</f>
        <v>-13.751559890806675</v>
      </c>
      <c r="AC26" s="189">
        <f>表1[[#This Row],[VCM trim result(LSB)]]*1.11</f>
        <v>-14.152500000000002</v>
      </c>
      <c r="AD26" s="189"/>
    </row>
    <row r="27" spans="5:33">
      <c r="E27" s="175">
        <v>6</v>
      </c>
      <c r="F27" s="175">
        <v>5</v>
      </c>
      <c r="G27" s="175" t="str">
        <f t="shared" si="0"/>
        <v>00000186A0</v>
      </c>
      <c r="H27" s="175">
        <v>0</v>
      </c>
      <c r="I27" s="175" t="str">
        <f t="shared" si="1"/>
        <v>0000000000</v>
      </c>
      <c r="K27" s="175" t="str">
        <f t="shared" si="2"/>
        <v>0000000000</v>
      </c>
      <c r="L27" s="175" t="str">
        <f t="shared" si="3"/>
        <v>00000186A0</v>
      </c>
      <c r="M27" s="175">
        <v>0</v>
      </c>
      <c r="N27" s="175" t="str">
        <f t="shared" si="4"/>
        <v>0000000000</v>
      </c>
      <c r="P27" s="175" t="str">
        <f t="shared" si="5"/>
        <v>0000000000</v>
      </c>
      <c r="Q27" s="175" t="str">
        <f t="shared" si="6"/>
        <v>00000186A0</v>
      </c>
      <c r="S27" s="175" t="str">
        <f t="shared" si="7"/>
        <v>FFFFFFFFC1</v>
      </c>
      <c r="T27" s="175" t="str">
        <f>DEC2HEX(SUM(F28:F$32)*5000/2^8)</f>
        <v>1E8</v>
      </c>
      <c r="U27" s="175" t="str">
        <f t="shared" si="8"/>
        <v>FFFFFF87E8</v>
      </c>
      <c r="V27" s="175" t="str">
        <f t="shared" si="9"/>
        <v>FFFFFFFFF1</v>
      </c>
      <c r="W27" s="175" t="str">
        <f t="shared" si="10"/>
        <v>30</v>
      </c>
      <c r="X27" s="175" t="str">
        <f t="shared" si="11"/>
        <v>FFFFFFFFD3</v>
      </c>
      <c r="Y27" s="175">
        <v>1</v>
      </c>
      <c r="Z27" s="189" t="str">
        <f>DEC2HEX(HEX2DEC(表1[[#This Row],[ADC_OUT_OS_GAIN'[20:0'] ]])+HEX2DEC(表1[[#This Row],[SUM_DOWN_CELL_MUL_eco_shift'[8:0']]])*表1[[#This Row],[ADC_VCM_GAIN_EN]])</f>
        <v>18673</v>
      </c>
      <c r="AA27" s="189">
        <f>HEX2DEC(表1[[#This Row],[SUM_DOWN_CELL_MUL_eco_shift'[8:0']]])/4</f>
        <v>-11.25</v>
      </c>
      <c r="AB27" s="189">
        <f>R$15*表1[[#This Row],[Voltage ]]*SUM(F28:F44)/2^15/16*5000*5000</f>
        <v>-11.459633242338896</v>
      </c>
      <c r="AC27" s="189">
        <f>表1[[#This Row],[VCM trim result(LSB)]]*1.11</f>
        <v>-12.487500000000001</v>
      </c>
      <c r="AD27" s="189"/>
    </row>
    <row r="28" spans="5:33">
      <c r="E28" s="175">
        <v>5</v>
      </c>
      <c r="F28" s="175">
        <v>5</v>
      </c>
      <c r="G28" s="175" t="str">
        <f t="shared" si="0"/>
        <v>00000186A0</v>
      </c>
      <c r="H28" s="175">
        <v>0</v>
      </c>
      <c r="I28" s="175" t="str">
        <f t="shared" si="1"/>
        <v>0000000000</v>
      </c>
      <c r="K28" s="175" t="str">
        <f t="shared" si="2"/>
        <v>0000000000</v>
      </c>
      <c r="L28" s="175" t="str">
        <f t="shared" si="3"/>
        <v>00000186A0</v>
      </c>
      <c r="M28" s="175">
        <v>0</v>
      </c>
      <c r="N28" s="175" t="str">
        <f t="shared" si="4"/>
        <v>0000000000</v>
      </c>
      <c r="P28" s="175" t="str">
        <f t="shared" si="5"/>
        <v>0000000000</v>
      </c>
      <c r="Q28" s="175" t="str">
        <f t="shared" si="6"/>
        <v>00000186A0</v>
      </c>
      <c r="S28" s="175" t="str">
        <f t="shared" si="7"/>
        <v>FFFFFFFFC1</v>
      </c>
      <c r="T28" s="175" t="str">
        <f>DEC2HEX(SUM(F29:F$32)*5000/2^8)</f>
        <v>186</v>
      </c>
      <c r="U28" s="175" t="str">
        <f t="shared" si="8"/>
        <v>FFFFFFA006</v>
      </c>
      <c r="V28" s="175" t="str">
        <f t="shared" si="9"/>
        <v>FFFFFFFFF5</v>
      </c>
      <c r="W28" s="175" t="str">
        <f t="shared" si="10"/>
        <v>30</v>
      </c>
      <c r="X28" s="175" t="str">
        <f t="shared" si="11"/>
        <v>FFFFFFFFDF</v>
      </c>
      <c r="Y28" s="175">
        <v>1</v>
      </c>
      <c r="Z28" s="189" t="str">
        <f>DEC2HEX(HEX2DEC(表1[[#This Row],[ADC_OUT_OS_GAIN'[20:0'] ]])+HEX2DEC(表1[[#This Row],[SUM_DOWN_CELL_MUL_eco_shift'[8:0']]])*表1[[#This Row],[ADC_VCM_GAIN_EN]])</f>
        <v>1867F</v>
      </c>
      <c r="AA28" s="189">
        <f>HEX2DEC(表1[[#This Row],[SUM_DOWN_CELL_MUL_eco_shift'[8:0']]])/4</f>
        <v>-8.25</v>
      </c>
      <c r="AB28" s="189">
        <f>R$15*表1[[#This Row],[Voltage ]]*SUM(F29:F45)/2^15/16*5000*5000</f>
        <v>-9.1677065938711166</v>
      </c>
      <c r="AC28" s="189">
        <f>表1[[#This Row],[VCM trim result(LSB)]]*1.11</f>
        <v>-9.1575000000000006</v>
      </c>
      <c r="AD28" s="189"/>
    </row>
    <row r="29" spans="5:33">
      <c r="E29" s="175">
        <v>4</v>
      </c>
      <c r="F29" s="175">
        <v>5</v>
      </c>
      <c r="G29" s="175" t="str">
        <f t="shared" si="0"/>
        <v>00000186A0</v>
      </c>
      <c r="H29" s="175">
        <v>0</v>
      </c>
      <c r="I29" s="175" t="str">
        <f t="shared" si="1"/>
        <v>0000000000</v>
      </c>
      <c r="K29" s="175" t="str">
        <f t="shared" si="2"/>
        <v>0000000000</v>
      </c>
      <c r="L29" s="175" t="str">
        <f t="shared" si="3"/>
        <v>00000186A0</v>
      </c>
      <c r="M29" s="175">
        <v>0</v>
      </c>
      <c r="N29" s="175" t="str">
        <f t="shared" si="4"/>
        <v>0000000000</v>
      </c>
      <c r="P29" s="175" t="str">
        <f t="shared" si="5"/>
        <v>0000000000</v>
      </c>
      <c r="Q29" s="175" t="str">
        <f t="shared" si="6"/>
        <v>00000186A0</v>
      </c>
      <c r="S29" s="175" t="str">
        <f t="shared" si="7"/>
        <v>FFFFFFFFC1</v>
      </c>
      <c r="T29" s="175" t="str">
        <f>DEC2HEX(SUM(F30:F$32)*5000/2^8)</f>
        <v>124</v>
      </c>
      <c r="U29" s="175" t="str">
        <f t="shared" si="8"/>
        <v>FFFFFFB824</v>
      </c>
      <c r="V29" s="175" t="str">
        <f t="shared" si="9"/>
        <v>FFFFFFFFF8</v>
      </c>
      <c r="W29" s="175" t="str">
        <f t="shared" si="10"/>
        <v>30</v>
      </c>
      <c r="X29" s="175" t="str">
        <f t="shared" si="11"/>
        <v>FFFFFFFFE8</v>
      </c>
      <c r="Y29" s="175">
        <v>1</v>
      </c>
      <c r="Z29" s="189" t="str">
        <f>DEC2HEX(HEX2DEC(表1[[#This Row],[ADC_OUT_OS_GAIN'[20:0'] ]])+HEX2DEC(表1[[#This Row],[SUM_DOWN_CELL_MUL_eco_shift'[8:0']]])*表1[[#This Row],[ADC_VCM_GAIN_EN]])</f>
        <v>18688</v>
      </c>
      <c r="AA29" s="189">
        <f>HEX2DEC(表1[[#This Row],[SUM_DOWN_CELL_MUL_eco_shift'[8:0']]])/4</f>
        <v>-6</v>
      </c>
      <c r="AB29" s="189">
        <f>R$15*表1[[#This Row],[Voltage ]]*SUM(F30:F46)/2^15/16*5000*5000</f>
        <v>-6.8757799454033375</v>
      </c>
      <c r="AC29" s="189">
        <f>表1[[#This Row],[VCM trim result(LSB)]]*1.11</f>
        <v>-6.66</v>
      </c>
      <c r="AD29" s="189"/>
    </row>
    <row r="30" spans="5:33">
      <c r="E30" s="175">
        <v>3</v>
      </c>
      <c r="F30" s="175">
        <v>5</v>
      </c>
      <c r="G30" s="175" t="str">
        <f t="shared" si="0"/>
        <v>00000186A0</v>
      </c>
      <c r="H30" s="175">
        <v>0</v>
      </c>
      <c r="I30" s="175" t="str">
        <f t="shared" si="1"/>
        <v>0000000000</v>
      </c>
      <c r="K30" s="175" t="str">
        <f t="shared" si="2"/>
        <v>0000000000</v>
      </c>
      <c r="L30" s="175" t="str">
        <f t="shared" si="3"/>
        <v>00000186A0</v>
      </c>
      <c r="M30" s="175">
        <v>0</v>
      </c>
      <c r="N30" s="175" t="str">
        <f t="shared" si="4"/>
        <v>0000000000</v>
      </c>
      <c r="P30" s="175" t="str">
        <f t="shared" si="5"/>
        <v>0000000000</v>
      </c>
      <c r="Q30" s="175" t="str">
        <f t="shared" si="6"/>
        <v>00000186A0</v>
      </c>
      <c r="S30" s="175" t="str">
        <f t="shared" si="7"/>
        <v>FFFFFFFFC1</v>
      </c>
      <c r="T30" s="175" t="str">
        <f>DEC2HEX(SUM(F31:F$32)*5000/2^8)</f>
        <v>C3</v>
      </c>
      <c r="U30" s="175" t="str">
        <f t="shared" si="8"/>
        <v>FFFFFFD003</v>
      </c>
      <c r="V30" s="175" t="str">
        <f t="shared" si="9"/>
        <v>FFFFFFFFFB</v>
      </c>
      <c r="W30" s="175" t="str">
        <f t="shared" si="10"/>
        <v>30</v>
      </c>
      <c r="X30" s="175" t="str">
        <f t="shared" si="11"/>
        <v>FFFFFFFFF1</v>
      </c>
      <c r="Y30" s="175">
        <v>1</v>
      </c>
      <c r="Z30" s="189" t="str">
        <f>DEC2HEX(HEX2DEC(表1[[#This Row],[ADC_OUT_OS_GAIN'[20:0'] ]])+HEX2DEC(表1[[#This Row],[SUM_DOWN_CELL_MUL_eco_shift'[8:0']]])*表1[[#This Row],[ADC_VCM_GAIN_EN]])</f>
        <v>18691</v>
      </c>
      <c r="AA30" s="189">
        <f>HEX2DEC(表1[[#This Row],[SUM_DOWN_CELL_MUL_eco_shift'[8:0']]])/4</f>
        <v>-3.75</v>
      </c>
      <c r="AB30" s="189">
        <f>R$15*表1[[#This Row],[Voltage ]]*SUM(F31:F47)/2^15/16*5000*5000</f>
        <v>-4.5838532969355583</v>
      </c>
      <c r="AC30" s="189">
        <f>表1[[#This Row],[VCM trim result(LSB)]]*1.11</f>
        <v>-4.1625000000000005</v>
      </c>
      <c r="AD30" s="189"/>
    </row>
    <row r="31" spans="5:33">
      <c r="E31" s="175">
        <v>2</v>
      </c>
      <c r="F31" s="175">
        <v>5</v>
      </c>
      <c r="G31" s="175" t="str">
        <f t="shared" si="0"/>
        <v>00000186A0</v>
      </c>
      <c r="H31" s="175">
        <v>0</v>
      </c>
      <c r="I31" s="175" t="str">
        <f t="shared" si="1"/>
        <v>0000000000</v>
      </c>
      <c r="K31" s="175" t="str">
        <f t="shared" si="2"/>
        <v>0000000000</v>
      </c>
      <c r="L31" s="175" t="str">
        <f t="shared" si="3"/>
        <v>00000186A0</v>
      </c>
      <c r="M31" s="175">
        <v>0</v>
      </c>
      <c r="N31" s="175" t="str">
        <f t="shared" si="4"/>
        <v>0000000000</v>
      </c>
      <c r="P31" s="175" t="str">
        <f t="shared" si="5"/>
        <v>0000000000</v>
      </c>
      <c r="Q31" s="175" t="str">
        <f t="shared" si="6"/>
        <v>00000186A0</v>
      </c>
      <c r="S31" s="175" t="str">
        <f t="shared" si="7"/>
        <v>FFFFFFFFC1</v>
      </c>
      <c r="T31" s="175" t="str">
        <f>DEC2HEX(SUM(F32:F$32)*5000/2^8)</f>
        <v>61</v>
      </c>
      <c r="U31" s="175" t="str">
        <f t="shared" si="8"/>
        <v>FFFFFFE821</v>
      </c>
      <c r="V31" s="175" t="str">
        <f t="shared" si="9"/>
        <v>FFFFFFFFFE</v>
      </c>
      <c r="W31" s="175" t="str">
        <f t="shared" si="10"/>
        <v>30</v>
      </c>
      <c r="X31" s="175" t="str">
        <f t="shared" si="11"/>
        <v>FFFFFFFFFA</v>
      </c>
      <c r="Y31" s="175">
        <v>1</v>
      </c>
      <c r="Z31" s="189" t="str">
        <f>DEC2HEX(HEX2DEC(表1[[#This Row],[ADC_OUT_OS_GAIN'[20:0'] ]])+HEX2DEC(表1[[#This Row],[SUM_DOWN_CELL_MUL_eco_shift'[8:0']]])*表1[[#This Row],[ADC_VCM_GAIN_EN]])</f>
        <v>1869A</v>
      </c>
      <c r="AA31" s="189">
        <f>HEX2DEC(表1[[#This Row],[SUM_DOWN_CELL_MUL_eco_shift'[8:0']]])/4</f>
        <v>-1.5</v>
      </c>
      <c r="AB31" s="189">
        <f>R$15*表1[[#This Row],[Voltage ]]*SUM(F32:F48)/2^15/16*5000*5000</f>
        <v>-2.2919266484677792</v>
      </c>
      <c r="AC31" s="189">
        <f>表1[[#This Row],[VCM trim result(LSB)]]*1.11</f>
        <v>-1.665</v>
      </c>
      <c r="AD31" s="189"/>
    </row>
    <row r="32" spans="5:33">
      <c r="E32" s="175">
        <v>1</v>
      </c>
      <c r="F32" s="175">
        <v>5</v>
      </c>
      <c r="G32" s="175" t="str">
        <f t="shared" si="0"/>
        <v>00000186A0</v>
      </c>
      <c r="H32" s="175">
        <v>0</v>
      </c>
      <c r="I32" s="175" t="str">
        <f t="shared" si="1"/>
        <v>0000000000</v>
      </c>
      <c r="K32" s="175" t="str">
        <f t="shared" si="2"/>
        <v>0000000000</v>
      </c>
      <c r="L32" s="175" t="str">
        <f t="shared" si="3"/>
        <v>00000186A0</v>
      </c>
      <c r="M32" s="175">
        <v>0</v>
      </c>
      <c r="N32" s="175" t="str">
        <f t="shared" si="4"/>
        <v>0000000000</v>
      </c>
      <c r="P32" s="175" t="str">
        <f t="shared" si="5"/>
        <v>0000000000</v>
      </c>
      <c r="Q32" s="175" t="str">
        <f t="shared" si="6"/>
        <v>00000186A0</v>
      </c>
      <c r="S32" s="175" t="str">
        <f t="shared" si="7"/>
        <v>FFFFFFFFC1</v>
      </c>
      <c r="T32" s="175">
        <v>0</v>
      </c>
      <c r="U32" s="175" t="str">
        <f t="shared" si="8"/>
        <v>0</v>
      </c>
      <c r="V32" s="175" t="str">
        <f t="shared" si="9"/>
        <v>0</v>
      </c>
      <c r="W32" s="175" t="str">
        <f t="shared" si="10"/>
        <v>30</v>
      </c>
      <c r="X32" s="175" t="str">
        <f t="shared" si="11"/>
        <v>0</v>
      </c>
      <c r="Y32" s="175">
        <v>1</v>
      </c>
      <c r="Z32" s="189" t="str">
        <f>DEC2HEX(HEX2DEC(表1[[#This Row],[ADC_OUT_OS_GAIN'[20:0'] ]])+HEX2DEC(表1[[#This Row],[SUM_DOWN_CELL_MUL_eco_shift'[8:0']]])*表1[[#This Row],[ADC_VCM_GAIN_EN]])</f>
        <v>186A0</v>
      </c>
      <c r="AA32" s="189">
        <f>HEX2DEC(表1[[#This Row],[SUM_DOWN_CELL_MUL_eco_shift'[8:0']]])/4</f>
        <v>0</v>
      </c>
      <c r="AB32" s="189">
        <f>R$15*表1[[#This Row],[Voltage ]]*SUM(F33:F49)/2^15/16*5000*5000</f>
        <v>0</v>
      </c>
      <c r="AC32" s="189">
        <f>表1[[#This Row],[VCM trim result(LSB)]]*1.11</f>
        <v>0</v>
      </c>
      <c r="AD32" s="189"/>
    </row>
  </sheetData>
  <phoneticPr fontId="1" type="noConversion"/>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sheetPr codeName="Sheet1"/>
  <dimension ref="A1:G36"/>
  <sheetViews>
    <sheetView workbookViewId="0">
      <pane ySplit="2" topLeftCell="A6" activePane="bottomLeft" state="frozen"/>
      <selection pane="bottomLeft" activeCell="D36" sqref="D36"/>
    </sheetView>
  </sheetViews>
  <sheetFormatPr defaultRowHeight="13.5"/>
  <cols>
    <col min="1" max="1" width="25.25" bestFit="1" customWidth="1"/>
    <col min="2" max="2" width="9.125" bestFit="1" customWidth="1"/>
    <col min="3" max="3" width="17.375" bestFit="1" customWidth="1"/>
    <col min="4" max="4" width="6.625" bestFit="1" customWidth="1"/>
    <col min="5" max="5" width="13.125" bestFit="1" customWidth="1"/>
    <col min="6" max="6" width="58.5" customWidth="1"/>
    <col min="7" max="7" width="82" customWidth="1"/>
  </cols>
  <sheetData>
    <row r="1" spans="1:7" ht="34.15" customHeight="1" thickBot="1">
      <c r="A1" s="259" t="s">
        <v>158</v>
      </c>
      <c r="B1" s="259"/>
      <c r="C1" s="259"/>
      <c r="D1" s="259"/>
      <c r="E1" s="259"/>
      <c r="F1" s="259"/>
      <c r="G1" s="259"/>
    </row>
    <row r="2" spans="1:7" ht="15.75" thickBot="1">
      <c r="A2" s="62" t="s">
        <v>113</v>
      </c>
      <c r="B2" s="63" t="s">
        <v>114</v>
      </c>
      <c r="C2" s="63" t="s">
        <v>117</v>
      </c>
      <c r="D2" s="63" t="s">
        <v>115</v>
      </c>
      <c r="E2" s="63" t="s">
        <v>116</v>
      </c>
      <c r="F2" s="63" t="s">
        <v>118</v>
      </c>
      <c r="G2" s="64" t="s">
        <v>119</v>
      </c>
    </row>
    <row r="3" spans="1:7" ht="15">
      <c r="A3" s="65" t="s">
        <v>137</v>
      </c>
      <c r="B3" s="66" t="s">
        <v>120</v>
      </c>
      <c r="C3" s="67" t="s">
        <v>162</v>
      </c>
      <c r="D3" s="268" t="s">
        <v>122</v>
      </c>
      <c r="E3" s="269"/>
      <c r="F3" s="68" t="s">
        <v>181</v>
      </c>
      <c r="G3" s="266" t="s">
        <v>183</v>
      </c>
    </row>
    <row r="4" spans="1:7" ht="15">
      <c r="A4" s="58" t="s">
        <v>138</v>
      </c>
      <c r="B4" s="59" t="s">
        <v>124</v>
      </c>
      <c r="C4" s="60" t="s">
        <v>163</v>
      </c>
      <c r="D4" s="270"/>
      <c r="E4" s="271"/>
      <c r="F4" s="61" t="s">
        <v>182</v>
      </c>
      <c r="G4" s="267"/>
    </row>
    <row r="5" spans="1:7" ht="45">
      <c r="A5" s="58" t="s">
        <v>139</v>
      </c>
      <c r="B5" s="59" t="s">
        <v>120</v>
      </c>
      <c r="C5" s="60" t="s">
        <v>163</v>
      </c>
      <c r="D5" s="270"/>
      <c r="E5" s="271"/>
      <c r="F5" s="61" t="s">
        <v>186</v>
      </c>
      <c r="G5" s="69" t="s">
        <v>184</v>
      </c>
    </row>
    <row r="6" spans="1:7" ht="30">
      <c r="A6" s="58" t="s">
        <v>140</v>
      </c>
      <c r="B6" s="59" t="s">
        <v>124</v>
      </c>
      <c r="C6" s="60" t="s">
        <v>163</v>
      </c>
      <c r="D6" s="270"/>
      <c r="E6" s="271"/>
      <c r="F6" s="61" t="s">
        <v>187</v>
      </c>
      <c r="G6" s="69" t="s">
        <v>189</v>
      </c>
    </row>
    <row r="7" spans="1:7" ht="15.75" thickBot="1">
      <c r="A7" s="70" t="s">
        <v>141</v>
      </c>
      <c r="B7" s="71" t="s">
        <v>120</v>
      </c>
      <c r="C7" s="72" t="s">
        <v>163</v>
      </c>
      <c r="D7" s="270"/>
      <c r="E7" s="271"/>
      <c r="F7" s="73" t="s">
        <v>188</v>
      </c>
      <c r="G7" s="74" t="s">
        <v>190</v>
      </c>
    </row>
    <row r="8" spans="1:7" ht="15">
      <c r="A8" s="79" t="s">
        <v>150</v>
      </c>
      <c r="B8" s="80" t="s">
        <v>124</v>
      </c>
      <c r="C8" s="81" t="s">
        <v>164</v>
      </c>
      <c r="D8" s="272" t="s">
        <v>122</v>
      </c>
      <c r="E8" s="273"/>
      <c r="F8" s="82" t="s">
        <v>191</v>
      </c>
      <c r="G8" s="83" t="s">
        <v>185</v>
      </c>
    </row>
    <row r="9" spans="1:7" ht="15">
      <c r="A9" s="75" t="s">
        <v>151</v>
      </c>
      <c r="B9" s="76" t="s">
        <v>120</v>
      </c>
      <c r="C9" s="77" t="s">
        <v>164</v>
      </c>
      <c r="D9" s="274"/>
      <c r="E9" s="275"/>
      <c r="F9" s="78" t="s">
        <v>196</v>
      </c>
      <c r="G9" s="95" t="s">
        <v>195</v>
      </c>
    </row>
    <row r="10" spans="1:7" ht="15">
      <c r="A10" s="75" t="s">
        <v>153</v>
      </c>
      <c r="B10" s="76" t="s">
        <v>124</v>
      </c>
      <c r="C10" s="77" t="s">
        <v>165</v>
      </c>
      <c r="D10" s="274"/>
      <c r="E10" s="275"/>
      <c r="F10" s="78" t="s">
        <v>193</v>
      </c>
      <c r="G10" s="96" t="s">
        <v>194</v>
      </c>
    </row>
    <row r="11" spans="1:7" ht="15">
      <c r="A11" s="75" t="s">
        <v>152</v>
      </c>
      <c r="B11" s="76" t="s">
        <v>120</v>
      </c>
      <c r="C11" s="77" t="s">
        <v>164</v>
      </c>
      <c r="D11" s="274"/>
      <c r="E11" s="275"/>
      <c r="F11" s="78" t="s">
        <v>197</v>
      </c>
      <c r="G11" s="95" t="s">
        <v>192</v>
      </c>
    </row>
    <row r="12" spans="1:7" ht="15.75" thickBot="1">
      <c r="A12" s="116" t="s">
        <v>154</v>
      </c>
      <c r="B12" s="117" t="s">
        <v>124</v>
      </c>
      <c r="C12" s="118" t="s">
        <v>165</v>
      </c>
      <c r="D12" s="274"/>
      <c r="E12" s="275"/>
      <c r="F12" s="119" t="s">
        <v>193</v>
      </c>
      <c r="G12" s="120" t="s">
        <v>198</v>
      </c>
    </row>
    <row r="13" spans="1:7" ht="15">
      <c r="A13" s="121" t="s">
        <v>142</v>
      </c>
      <c r="B13" s="122" t="s">
        <v>124</v>
      </c>
      <c r="C13" s="123" t="s">
        <v>179</v>
      </c>
      <c r="D13" s="276" t="s">
        <v>122</v>
      </c>
      <c r="E13" s="277"/>
      <c r="F13" s="286" t="s">
        <v>200</v>
      </c>
      <c r="G13" s="288" t="s">
        <v>201</v>
      </c>
    </row>
    <row r="14" spans="1:7" ht="15.75" thickBot="1">
      <c r="A14" s="124" t="s">
        <v>143</v>
      </c>
      <c r="B14" s="125" t="s">
        <v>120</v>
      </c>
      <c r="C14" s="126" t="s">
        <v>162</v>
      </c>
      <c r="D14" s="278"/>
      <c r="E14" s="279"/>
      <c r="F14" s="287"/>
      <c r="G14" s="289"/>
    </row>
    <row r="15" spans="1:7" ht="15">
      <c r="A15" s="110" t="s">
        <v>144</v>
      </c>
      <c r="B15" s="111" t="s">
        <v>124</v>
      </c>
      <c r="C15" s="112" t="s">
        <v>162</v>
      </c>
      <c r="D15" s="280" t="s">
        <v>122</v>
      </c>
      <c r="E15" s="281"/>
      <c r="F15" s="290" t="s">
        <v>202</v>
      </c>
      <c r="G15" s="293" t="s">
        <v>203</v>
      </c>
    </row>
    <row r="16" spans="1:7" ht="15">
      <c r="A16" s="102" t="s">
        <v>145</v>
      </c>
      <c r="B16" s="103" t="s">
        <v>120</v>
      </c>
      <c r="C16" s="104" t="s">
        <v>162</v>
      </c>
      <c r="D16" s="282"/>
      <c r="E16" s="283"/>
      <c r="F16" s="291"/>
      <c r="G16" s="294"/>
    </row>
    <row r="17" spans="1:7" ht="15">
      <c r="A17" s="102" t="s">
        <v>146</v>
      </c>
      <c r="B17" s="103" t="s">
        <v>124</v>
      </c>
      <c r="C17" s="104" t="s">
        <v>162</v>
      </c>
      <c r="D17" s="282"/>
      <c r="E17" s="283"/>
      <c r="F17" s="291"/>
      <c r="G17" s="294"/>
    </row>
    <row r="18" spans="1:7" ht="15.75" thickBot="1">
      <c r="A18" s="113" t="s">
        <v>147</v>
      </c>
      <c r="B18" s="114" t="s">
        <v>120</v>
      </c>
      <c r="C18" s="115" t="s">
        <v>162</v>
      </c>
      <c r="D18" s="284"/>
      <c r="E18" s="285"/>
      <c r="F18" s="292"/>
      <c r="G18" s="295"/>
    </row>
    <row r="19" spans="1:7" ht="15">
      <c r="A19" s="105" t="s">
        <v>148</v>
      </c>
      <c r="B19" s="106" t="s">
        <v>124</v>
      </c>
      <c r="C19" s="107" t="s">
        <v>178</v>
      </c>
      <c r="D19" s="106" t="s">
        <v>121</v>
      </c>
      <c r="E19" s="107" t="s">
        <v>205</v>
      </c>
      <c r="F19" s="108" t="s">
        <v>204</v>
      </c>
      <c r="G19" s="109" t="s">
        <v>206</v>
      </c>
    </row>
    <row r="20" spans="1:7" ht="30">
      <c r="A20" s="97" t="s">
        <v>149</v>
      </c>
      <c r="B20" s="98" t="s">
        <v>124</v>
      </c>
      <c r="C20" s="99" t="s">
        <v>123</v>
      </c>
      <c r="D20" s="98" t="s">
        <v>133</v>
      </c>
      <c r="E20" s="99" t="s">
        <v>180</v>
      </c>
      <c r="F20" s="100" t="s">
        <v>207</v>
      </c>
      <c r="G20" s="101" t="s">
        <v>208</v>
      </c>
    </row>
    <row r="21" spans="1:7" ht="15">
      <c r="A21" s="50" t="s">
        <v>155</v>
      </c>
      <c r="B21" s="51" t="s">
        <v>124</v>
      </c>
      <c r="C21" s="52" t="s">
        <v>177</v>
      </c>
      <c r="D21" s="51" t="s">
        <v>133</v>
      </c>
      <c r="E21" s="263" t="s">
        <v>122</v>
      </c>
      <c r="F21" s="53" t="s">
        <v>209</v>
      </c>
      <c r="G21" s="260" t="s">
        <v>199</v>
      </c>
    </row>
    <row r="22" spans="1:7" ht="15">
      <c r="A22" s="50" t="s">
        <v>132</v>
      </c>
      <c r="B22" s="51" t="s">
        <v>124</v>
      </c>
      <c r="C22" s="52" t="s">
        <v>177</v>
      </c>
      <c r="D22" s="51" t="s">
        <v>133</v>
      </c>
      <c r="E22" s="264"/>
      <c r="F22" s="53" t="s">
        <v>210</v>
      </c>
      <c r="G22" s="261"/>
    </row>
    <row r="23" spans="1:7" ht="30">
      <c r="A23" s="50" t="s">
        <v>134</v>
      </c>
      <c r="B23" s="51" t="s">
        <v>124</v>
      </c>
      <c r="C23" s="52" t="s">
        <v>125</v>
      </c>
      <c r="D23" s="51" t="s">
        <v>133</v>
      </c>
      <c r="E23" s="264"/>
      <c r="F23" s="53" t="s">
        <v>211</v>
      </c>
      <c r="G23" s="261"/>
    </row>
    <row r="24" spans="1:7" ht="30">
      <c r="A24" s="50" t="s">
        <v>135</v>
      </c>
      <c r="B24" s="51" t="s">
        <v>124</v>
      </c>
      <c r="C24" s="52" t="s">
        <v>125</v>
      </c>
      <c r="D24" s="51" t="s">
        <v>133</v>
      </c>
      <c r="E24" s="264"/>
      <c r="F24" s="53" t="s">
        <v>212</v>
      </c>
      <c r="G24" s="261"/>
    </row>
    <row r="25" spans="1:7" ht="30">
      <c r="A25" s="50" t="s">
        <v>156</v>
      </c>
      <c r="B25" s="51" t="s">
        <v>124</v>
      </c>
      <c r="C25" s="52" t="s">
        <v>125</v>
      </c>
      <c r="D25" s="51" t="s">
        <v>133</v>
      </c>
      <c r="E25" s="264"/>
      <c r="F25" s="53" t="s">
        <v>213</v>
      </c>
      <c r="G25" s="261"/>
    </row>
    <row r="26" spans="1:7" ht="30">
      <c r="A26" s="50" t="s">
        <v>157</v>
      </c>
      <c r="B26" s="51" t="s">
        <v>124</v>
      </c>
      <c r="C26" s="52" t="s">
        <v>125</v>
      </c>
      <c r="D26" s="51" t="s">
        <v>133</v>
      </c>
      <c r="E26" s="264"/>
      <c r="F26" s="53" t="s">
        <v>214</v>
      </c>
      <c r="G26" s="261"/>
    </row>
    <row r="27" spans="1:7" ht="15">
      <c r="A27" s="50" t="s">
        <v>136</v>
      </c>
      <c r="B27" s="51" t="s">
        <v>124</v>
      </c>
      <c r="C27" s="52" t="s">
        <v>125</v>
      </c>
      <c r="D27" s="51" t="s">
        <v>133</v>
      </c>
      <c r="E27" s="264"/>
      <c r="F27" s="53" t="s">
        <v>215</v>
      </c>
      <c r="G27" s="261"/>
    </row>
    <row r="28" spans="1:7" ht="15">
      <c r="A28" s="50" t="s">
        <v>136</v>
      </c>
      <c r="B28" s="51" t="s">
        <v>124</v>
      </c>
      <c r="C28" s="52" t="s">
        <v>125</v>
      </c>
      <c r="D28" s="51" t="s">
        <v>133</v>
      </c>
      <c r="E28" s="265"/>
      <c r="F28" s="53" t="s">
        <v>216</v>
      </c>
      <c r="G28" s="262"/>
    </row>
    <row r="29" spans="1:7" ht="15">
      <c r="A29" s="92" t="s">
        <v>166</v>
      </c>
      <c r="B29" s="93" t="s">
        <v>131</v>
      </c>
      <c r="C29" s="94" t="s">
        <v>170</v>
      </c>
      <c r="D29" s="250" t="s">
        <v>122</v>
      </c>
      <c r="E29" s="251"/>
      <c r="F29" s="245" t="s">
        <v>217</v>
      </c>
      <c r="G29" s="245" t="s">
        <v>219</v>
      </c>
    </row>
    <row r="30" spans="1:7" ht="15">
      <c r="A30" s="92" t="s">
        <v>167</v>
      </c>
      <c r="B30" s="93" t="s">
        <v>131</v>
      </c>
      <c r="C30" s="94" t="s">
        <v>173</v>
      </c>
      <c r="D30" s="252"/>
      <c r="E30" s="253"/>
      <c r="F30" s="247"/>
      <c r="G30" s="246"/>
    </row>
    <row r="31" spans="1:7" ht="14.45" customHeight="1">
      <c r="A31" s="92" t="s">
        <v>168</v>
      </c>
      <c r="B31" s="93" t="s">
        <v>131</v>
      </c>
      <c r="C31" s="94" t="s">
        <v>173</v>
      </c>
      <c r="D31" s="252"/>
      <c r="E31" s="253"/>
      <c r="F31" s="245" t="s">
        <v>218</v>
      </c>
      <c r="G31" s="246"/>
    </row>
    <row r="32" spans="1:7" ht="15">
      <c r="A32" s="92" t="s">
        <v>169</v>
      </c>
      <c r="B32" s="93" t="s">
        <v>131</v>
      </c>
      <c r="C32" s="94" t="s">
        <v>173</v>
      </c>
      <c r="D32" s="254"/>
      <c r="E32" s="255"/>
      <c r="F32" s="247"/>
      <c r="G32" s="247"/>
    </row>
    <row r="33" spans="1:7" ht="15">
      <c r="A33" s="54" t="s">
        <v>159</v>
      </c>
      <c r="B33" s="55" t="s">
        <v>131</v>
      </c>
      <c r="C33" s="55" t="s">
        <v>126</v>
      </c>
      <c r="D33" s="55" t="s">
        <v>174</v>
      </c>
      <c r="E33" s="256" t="s">
        <v>176</v>
      </c>
      <c r="F33" s="57" t="s">
        <v>127</v>
      </c>
      <c r="G33" s="248" t="s">
        <v>220</v>
      </c>
    </row>
    <row r="34" spans="1:7" ht="15">
      <c r="A34" s="54" t="s">
        <v>160</v>
      </c>
      <c r="B34" s="55" t="s">
        <v>131</v>
      </c>
      <c r="C34" s="56" t="s">
        <v>161</v>
      </c>
      <c r="D34" s="55" t="s">
        <v>175</v>
      </c>
      <c r="E34" s="257"/>
      <c r="F34" s="57" t="s">
        <v>128</v>
      </c>
      <c r="G34" s="249"/>
    </row>
    <row r="35" spans="1:7" ht="15">
      <c r="A35" s="54" t="s">
        <v>171</v>
      </c>
      <c r="B35" s="55" t="s">
        <v>131</v>
      </c>
      <c r="C35" s="55" t="s">
        <v>126</v>
      </c>
      <c r="D35" s="55" t="s">
        <v>174</v>
      </c>
      <c r="E35" s="257"/>
      <c r="F35" s="57" t="s">
        <v>129</v>
      </c>
      <c r="G35" s="248" t="s">
        <v>221</v>
      </c>
    </row>
    <row r="36" spans="1:7" ht="15">
      <c r="A36" s="54" t="s">
        <v>172</v>
      </c>
      <c r="B36" s="55" t="s">
        <v>131</v>
      </c>
      <c r="C36" s="56" t="s">
        <v>161</v>
      </c>
      <c r="D36" s="55" t="s">
        <v>175</v>
      </c>
      <c r="E36" s="258"/>
      <c r="F36" s="57" t="s">
        <v>130</v>
      </c>
      <c r="G36" s="249"/>
    </row>
  </sheetData>
  <mergeCells count="19">
    <mergeCell ref="A1:G1"/>
    <mergeCell ref="G21:G28"/>
    <mergeCell ref="E21:E28"/>
    <mergeCell ref="G3:G4"/>
    <mergeCell ref="D3:E7"/>
    <mergeCell ref="D8:E12"/>
    <mergeCell ref="D13:E14"/>
    <mergeCell ref="D15:E18"/>
    <mergeCell ref="F13:F14"/>
    <mergeCell ref="G13:G14"/>
    <mergeCell ref="F15:F18"/>
    <mergeCell ref="G15:G18"/>
    <mergeCell ref="G29:G32"/>
    <mergeCell ref="G33:G34"/>
    <mergeCell ref="G35:G36"/>
    <mergeCell ref="D29:E32"/>
    <mergeCell ref="E33:E36"/>
    <mergeCell ref="F29:F30"/>
    <mergeCell ref="F31:F32"/>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G77"/>
  <sheetViews>
    <sheetView topLeftCell="A37" workbookViewId="0">
      <selection activeCell="F66" sqref="F66"/>
    </sheetView>
  </sheetViews>
  <sheetFormatPr defaultRowHeight="13.5"/>
  <cols>
    <col min="1" max="1" width="25.25" bestFit="1" customWidth="1"/>
    <col min="2" max="2" width="9.125" bestFit="1" customWidth="1"/>
    <col min="3" max="3" width="17.375" bestFit="1" customWidth="1"/>
    <col min="4" max="4" width="6.625" bestFit="1" customWidth="1"/>
    <col min="5" max="5" width="13.125" bestFit="1" customWidth="1"/>
    <col min="6" max="6" width="58.5" customWidth="1"/>
    <col min="7" max="7" width="82" customWidth="1"/>
  </cols>
  <sheetData>
    <row r="1" spans="1:7" ht="34.15" customHeight="1" thickBot="1">
      <c r="A1" s="259" t="s">
        <v>310</v>
      </c>
      <c r="B1" s="259"/>
      <c r="C1" s="259"/>
      <c r="D1" s="259"/>
      <c r="E1" s="259"/>
      <c r="F1" s="259"/>
      <c r="G1" s="259"/>
    </row>
    <row r="2" spans="1:7" ht="15">
      <c r="A2" s="62" t="s">
        <v>113</v>
      </c>
      <c r="B2" s="63" t="s">
        <v>114</v>
      </c>
      <c r="C2" s="63" t="s">
        <v>117</v>
      </c>
      <c r="D2" s="63" t="s">
        <v>115</v>
      </c>
      <c r="E2" s="63" t="s">
        <v>116</v>
      </c>
      <c r="F2" s="63" t="s">
        <v>118</v>
      </c>
      <c r="G2" s="64" t="s">
        <v>119</v>
      </c>
    </row>
    <row r="3" spans="1:7" ht="15">
      <c r="A3" s="50" t="s">
        <v>240</v>
      </c>
      <c r="B3" s="106" t="s">
        <v>222</v>
      </c>
      <c r="C3" s="50" t="s">
        <v>237</v>
      </c>
      <c r="D3" s="50" t="s">
        <v>238</v>
      </c>
      <c r="E3" s="50">
        <v>0</v>
      </c>
      <c r="F3" s="50" t="s">
        <v>239</v>
      </c>
      <c r="G3" s="50"/>
    </row>
    <row r="4" spans="1:7" s="161" customFormat="1" ht="30" customHeight="1">
      <c r="A4" s="156" t="s">
        <v>263</v>
      </c>
      <c r="B4" s="157" t="s">
        <v>222</v>
      </c>
      <c r="C4" s="158" t="s">
        <v>177</v>
      </c>
      <c r="D4" s="159" t="s">
        <v>133</v>
      </c>
      <c r="E4" s="264"/>
      <c r="F4" s="160" t="s">
        <v>324</v>
      </c>
      <c r="G4" s="260" t="s">
        <v>199</v>
      </c>
    </row>
    <row r="5" spans="1:7" s="161" customFormat="1" ht="30">
      <c r="A5" s="156" t="s">
        <v>262</v>
      </c>
      <c r="B5" s="157" t="s">
        <v>325</v>
      </c>
      <c r="C5" s="158" t="s">
        <v>326</v>
      </c>
      <c r="D5" s="159" t="s">
        <v>133</v>
      </c>
      <c r="E5" s="264"/>
      <c r="F5" s="160" t="s">
        <v>327</v>
      </c>
      <c r="G5" s="261"/>
    </row>
    <row r="6" spans="1:7" ht="15">
      <c r="A6" s="50" t="s">
        <v>261</v>
      </c>
      <c r="B6" s="106" t="s">
        <v>222</v>
      </c>
      <c r="C6" s="52" t="s">
        <v>177</v>
      </c>
      <c r="D6" s="51" t="s">
        <v>133</v>
      </c>
      <c r="E6" s="264"/>
      <c r="F6" s="53" t="s">
        <v>210</v>
      </c>
      <c r="G6" s="261"/>
    </row>
    <row r="7" spans="1:7" ht="30">
      <c r="A7" s="50" t="s">
        <v>264</v>
      </c>
      <c r="B7" s="106" t="s">
        <v>222</v>
      </c>
      <c r="C7" s="52" t="s">
        <v>125</v>
      </c>
      <c r="D7" s="51" t="s">
        <v>133</v>
      </c>
      <c r="E7" s="264"/>
      <c r="F7" s="53" t="s">
        <v>211</v>
      </c>
      <c r="G7" s="261"/>
    </row>
    <row r="8" spans="1:7" ht="30">
      <c r="A8" s="50" t="s">
        <v>265</v>
      </c>
      <c r="B8" s="106" t="s">
        <v>222</v>
      </c>
      <c r="C8" s="52" t="s">
        <v>125</v>
      </c>
      <c r="D8" s="51" t="s">
        <v>133</v>
      </c>
      <c r="E8" s="264"/>
      <c r="F8" s="53" t="s">
        <v>212</v>
      </c>
      <c r="G8" s="261"/>
    </row>
    <row r="9" spans="1:7" ht="30">
      <c r="A9" s="50" t="s">
        <v>266</v>
      </c>
      <c r="B9" s="106" t="s">
        <v>222</v>
      </c>
      <c r="C9" s="52" t="s">
        <v>125</v>
      </c>
      <c r="D9" s="51" t="s">
        <v>133</v>
      </c>
      <c r="E9" s="264"/>
      <c r="F9" s="53" t="s">
        <v>213</v>
      </c>
      <c r="G9" s="261"/>
    </row>
    <row r="10" spans="1:7" ht="30">
      <c r="A10" s="50" t="s">
        <v>267</v>
      </c>
      <c r="B10" s="106" t="s">
        <v>222</v>
      </c>
      <c r="C10" s="52" t="s">
        <v>125</v>
      </c>
      <c r="D10" s="51" t="s">
        <v>133</v>
      </c>
      <c r="E10" s="265"/>
      <c r="F10" s="53" t="s">
        <v>214</v>
      </c>
      <c r="G10" s="262"/>
    </row>
    <row r="12" spans="1:7" s="132" customFormat="1" ht="17.45" customHeight="1">
      <c r="A12" s="128" t="s">
        <v>293</v>
      </c>
      <c r="B12" s="129" t="s">
        <v>228</v>
      </c>
      <c r="C12" s="129" t="s">
        <v>223</v>
      </c>
      <c r="D12" s="130" t="s">
        <v>224</v>
      </c>
      <c r="E12" s="130" t="s">
        <v>225</v>
      </c>
      <c r="F12" s="131" t="s">
        <v>226</v>
      </c>
      <c r="G12" s="296" t="s">
        <v>268</v>
      </c>
    </row>
    <row r="13" spans="1:7" s="132" customFormat="1" ht="17.45" customHeight="1">
      <c r="A13" s="128" t="s">
        <v>294</v>
      </c>
      <c r="B13" s="129" t="s">
        <v>228</v>
      </c>
      <c r="C13" s="129" t="s">
        <v>223</v>
      </c>
      <c r="D13" s="130" t="s">
        <v>224</v>
      </c>
      <c r="E13" s="130" t="s">
        <v>225</v>
      </c>
      <c r="F13" s="131" t="s">
        <v>227</v>
      </c>
      <c r="G13" s="297"/>
    </row>
    <row r="14" spans="1:7" ht="15">
      <c r="A14" s="50" t="s">
        <v>276</v>
      </c>
      <c r="B14" s="106" t="s">
        <v>222</v>
      </c>
      <c r="C14" s="52" t="s">
        <v>241</v>
      </c>
      <c r="D14" s="52" t="s">
        <v>241</v>
      </c>
      <c r="E14" s="52">
        <v>0</v>
      </c>
      <c r="F14" s="52" t="s">
        <v>280</v>
      </c>
      <c r="G14" s="52"/>
    </row>
    <row r="15" spans="1:7" ht="15">
      <c r="A15" s="50" t="s">
        <v>277</v>
      </c>
      <c r="B15" s="106" t="s">
        <v>222</v>
      </c>
      <c r="C15" s="52" t="s">
        <v>278</v>
      </c>
      <c r="D15" s="52" t="s">
        <v>278</v>
      </c>
      <c r="E15" s="52">
        <v>0</v>
      </c>
      <c r="F15" s="52" t="s">
        <v>279</v>
      </c>
      <c r="G15" s="52"/>
    </row>
    <row r="16" spans="1:7" ht="15">
      <c r="A16" s="50" t="s">
        <v>282</v>
      </c>
      <c r="B16" s="106" t="s">
        <v>222</v>
      </c>
      <c r="C16" s="52" t="s">
        <v>238</v>
      </c>
      <c r="D16" s="52" t="s">
        <v>238</v>
      </c>
      <c r="E16" s="52">
        <v>0</v>
      </c>
      <c r="F16" s="52" t="s">
        <v>281</v>
      </c>
      <c r="G16" s="52"/>
    </row>
    <row r="17" spans="1:7" ht="15">
      <c r="A17" s="50" t="s">
        <v>283</v>
      </c>
      <c r="B17" s="106" t="s">
        <v>222</v>
      </c>
      <c r="C17" s="52" t="s">
        <v>238</v>
      </c>
      <c r="D17" s="52" t="s">
        <v>238</v>
      </c>
      <c r="E17" s="52">
        <v>0</v>
      </c>
      <c r="F17" s="52" t="s">
        <v>284</v>
      </c>
      <c r="G17" s="52"/>
    </row>
    <row r="18" spans="1:7" ht="15">
      <c r="A18" s="50" t="s">
        <v>285</v>
      </c>
      <c r="B18" s="106" t="s">
        <v>222</v>
      </c>
      <c r="C18" s="52" t="s">
        <v>238</v>
      </c>
      <c r="D18" s="52" t="s">
        <v>238</v>
      </c>
      <c r="E18" s="52">
        <v>0</v>
      </c>
      <c r="F18" s="52" t="s">
        <v>286</v>
      </c>
      <c r="G18" s="52"/>
    </row>
    <row r="19" spans="1:7" ht="15">
      <c r="A19" s="50" t="s">
        <v>287</v>
      </c>
      <c r="B19" s="106" t="s">
        <v>222</v>
      </c>
      <c r="C19" s="52" t="s">
        <v>278</v>
      </c>
      <c r="D19" s="52" t="s">
        <v>278</v>
      </c>
      <c r="E19" s="52">
        <v>0</v>
      </c>
      <c r="F19" s="52" t="s">
        <v>288</v>
      </c>
      <c r="G19" s="52"/>
    </row>
    <row r="21" spans="1:7" ht="15">
      <c r="A21" s="50" t="s">
        <v>242</v>
      </c>
      <c r="B21" s="98" t="s">
        <v>222</v>
      </c>
      <c r="C21" s="155" t="s">
        <v>237</v>
      </c>
      <c r="D21" s="50" t="s">
        <v>238</v>
      </c>
      <c r="E21" s="50">
        <v>0</v>
      </c>
      <c r="F21" s="298" t="s">
        <v>309</v>
      </c>
      <c r="G21" s="50"/>
    </row>
    <row r="22" spans="1:7" s="161" customFormat="1" ht="30" customHeight="1">
      <c r="A22" s="156" t="s">
        <v>295</v>
      </c>
      <c r="B22" s="157" t="s">
        <v>328</v>
      </c>
      <c r="C22" s="158" t="s">
        <v>329</v>
      </c>
      <c r="D22" s="159" t="s">
        <v>133</v>
      </c>
      <c r="E22" s="264"/>
      <c r="F22" s="299"/>
      <c r="G22" s="260" t="s">
        <v>199</v>
      </c>
    </row>
    <row r="23" spans="1:7" s="161" customFormat="1" ht="15">
      <c r="A23" s="156" t="s">
        <v>330</v>
      </c>
      <c r="B23" s="157" t="s">
        <v>325</v>
      </c>
      <c r="C23" s="158" t="s">
        <v>326</v>
      </c>
      <c r="D23" s="159" t="s">
        <v>133</v>
      </c>
      <c r="E23" s="264"/>
      <c r="F23" s="299"/>
      <c r="G23" s="261"/>
    </row>
    <row r="24" spans="1:7" ht="15">
      <c r="A24" s="50" t="s">
        <v>296</v>
      </c>
      <c r="B24" s="106" t="s">
        <v>222</v>
      </c>
      <c r="C24" s="52" t="s">
        <v>177</v>
      </c>
      <c r="D24" s="51" t="s">
        <v>133</v>
      </c>
      <c r="E24" s="264"/>
      <c r="F24" s="299"/>
      <c r="G24" s="261"/>
    </row>
    <row r="25" spans="1:7" ht="15">
      <c r="A25" s="50" t="s">
        <v>297</v>
      </c>
      <c r="B25" s="106" t="s">
        <v>222</v>
      </c>
      <c r="C25" s="52" t="s">
        <v>125</v>
      </c>
      <c r="D25" s="51" t="s">
        <v>133</v>
      </c>
      <c r="E25" s="264"/>
      <c r="F25" s="299"/>
      <c r="G25" s="261"/>
    </row>
    <row r="26" spans="1:7" ht="15">
      <c r="A26" s="50" t="s">
        <v>298</v>
      </c>
      <c r="B26" s="106" t="s">
        <v>222</v>
      </c>
      <c r="C26" s="52" t="s">
        <v>125</v>
      </c>
      <c r="D26" s="51" t="s">
        <v>133</v>
      </c>
      <c r="E26" s="264"/>
      <c r="F26" s="299"/>
      <c r="G26" s="261"/>
    </row>
    <row r="27" spans="1:7" ht="15">
      <c r="A27" s="50" t="s">
        <v>299</v>
      </c>
      <c r="B27" s="106" t="s">
        <v>222</v>
      </c>
      <c r="C27" s="52" t="s">
        <v>125</v>
      </c>
      <c r="D27" s="51" t="s">
        <v>133</v>
      </c>
      <c r="E27" s="264"/>
      <c r="F27" s="299"/>
      <c r="G27" s="261"/>
    </row>
    <row r="28" spans="1:7" ht="15">
      <c r="A28" s="50" t="s">
        <v>300</v>
      </c>
      <c r="B28" s="106" t="s">
        <v>222</v>
      </c>
      <c r="C28" s="52" t="s">
        <v>125</v>
      </c>
      <c r="D28" s="51" t="s">
        <v>133</v>
      </c>
      <c r="E28" s="265"/>
      <c r="F28" s="299"/>
      <c r="G28" s="262"/>
    </row>
    <row r="29" spans="1:7" ht="13.5" customHeight="1">
      <c r="F29" s="299"/>
    </row>
    <row r="30" spans="1:7" s="132" customFormat="1" ht="17.45" customHeight="1">
      <c r="A30" s="128" t="s">
        <v>301</v>
      </c>
      <c r="B30" s="129" t="s">
        <v>228</v>
      </c>
      <c r="C30" s="129" t="s">
        <v>121</v>
      </c>
      <c r="D30" s="130" t="s">
        <v>122</v>
      </c>
      <c r="E30" s="130" t="s">
        <v>126</v>
      </c>
      <c r="F30" s="299"/>
      <c r="G30" s="296" t="s">
        <v>268</v>
      </c>
    </row>
    <row r="31" spans="1:7" s="132" customFormat="1" ht="17.45" customHeight="1">
      <c r="A31" s="128" t="s">
        <v>302</v>
      </c>
      <c r="B31" s="129" t="s">
        <v>228</v>
      </c>
      <c r="C31" s="129" t="s">
        <v>121</v>
      </c>
      <c r="D31" s="130" t="s">
        <v>122</v>
      </c>
      <c r="E31" s="130" t="s">
        <v>126</v>
      </c>
      <c r="F31" s="299"/>
      <c r="G31" s="297"/>
    </row>
    <row r="32" spans="1:7" ht="15">
      <c r="A32" s="50" t="s">
        <v>303</v>
      </c>
      <c r="B32" s="106" t="s">
        <v>222</v>
      </c>
      <c r="C32" s="52" t="s">
        <v>241</v>
      </c>
      <c r="D32" s="52" t="s">
        <v>241</v>
      </c>
      <c r="E32" s="52">
        <v>0</v>
      </c>
      <c r="F32" s="299"/>
      <c r="G32" s="52"/>
    </row>
    <row r="33" spans="1:7" ht="15">
      <c r="A33" s="50" t="s">
        <v>304</v>
      </c>
      <c r="B33" s="106" t="s">
        <v>222</v>
      </c>
      <c r="C33" s="52" t="s">
        <v>278</v>
      </c>
      <c r="D33" s="52" t="s">
        <v>278</v>
      </c>
      <c r="E33" s="52">
        <v>0</v>
      </c>
      <c r="F33" s="299"/>
      <c r="G33" s="52"/>
    </row>
    <row r="34" spans="1:7" ht="15">
      <c r="A34" s="50" t="s">
        <v>305</v>
      </c>
      <c r="B34" s="106" t="s">
        <v>222</v>
      </c>
      <c r="C34" s="52" t="s">
        <v>238</v>
      </c>
      <c r="D34" s="52" t="s">
        <v>238</v>
      </c>
      <c r="E34" s="52">
        <v>0</v>
      </c>
      <c r="F34" s="299"/>
      <c r="G34" s="52"/>
    </row>
    <row r="35" spans="1:7" ht="15">
      <c r="A35" s="50" t="s">
        <v>306</v>
      </c>
      <c r="B35" s="106" t="s">
        <v>222</v>
      </c>
      <c r="C35" s="52" t="s">
        <v>238</v>
      </c>
      <c r="D35" s="52" t="s">
        <v>238</v>
      </c>
      <c r="E35" s="52">
        <v>0</v>
      </c>
      <c r="F35" s="299"/>
      <c r="G35" s="52"/>
    </row>
    <row r="36" spans="1:7" ht="15">
      <c r="A36" s="50" t="s">
        <v>307</v>
      </c>
      <c r="B36" s="106" t="s">
        <v>222</v>
      </c>
      <c r="C36" s="52" t="s">
        <v>238</v>
      </c>
      <c r="D36" s="52" t="s">
        <v>238</v>
      </c>
      <c r="E36" s="52">
        <v>0</v>
      </c>
      <c r="F36" s="299"/>
      <c r="G36" s="52"/>
    </row>
    <row r="37" spans="1:7" ht="15">
      <c r="A37" s="50" t="s">
        <v>308</v>
      </c>
      <c r="B37" s="106" t="s">
        <v>222</v>
      </c>
      <c r="C37" s="52" t="s">
        <v>278</v>
      </c>
      <c r="D37" s="52" t="s">
        <v>278</v>
      </c>
      <c r="E37" s="52">
        <v>0</v>
      </c>
      <c r="F37" s="300"/>
      <c r="G37" s="52"/>
    </row>
    <row r="38" spans="1:7" s="162" customFormat="1" ht="15">
      <c r="A38" s="163"/>
      <c r="B38" s="153"/>
      <c r="C38" s="164"/>
      <c r="D38" s="164"/>
      <c r="E38" s="164"/>
      <c r="F38" s="163"/>
      <c r="G38" s="164"/>
    </row>
    <row r="39" spans="1:7" ht="15">
      <c r="A39" s="165" t="s">
        <v>341</v>
      </c>
      <c r="B39" s="98" t="s">
        <v>342</v>
      </c>
      <c r="C39" s="52">
        <v>1</v>
      </c>
      <c r="D39" s="52"/>
      <c r="E39" s="52"/>
      <c r="F39" s="165" t="s">
        <v>343</v>
      </c>
      <c r="G39" s="52"/>
    </row>
    <row r="40" spans="1:7" ht="15">
      <c r="A40" s="165" t="s">
        <v>344</v>
      </c>
      <c r="B40" s="98" t="s">
        <v>342</v>
      </c>
      <c r="C40" s="52">
        <v>1</v>
      </c>
      <c r="D40" s="52"/>
      <c r="E40" s="52"/>
      <c r="F40" s="165" t="s">
        <v>345</v>
      </c>
      <c r="G40" s="52"/>
    </row>
    <row r="41" spans="1:7" ht="15">
      <c r="A41" s="165" t="s">
        <v>346</v>
      </c>
      <c r="B41" s="98" t="s">
        <v>342</v>
      </c>
      <c r="C41" s="52">
        <v>1</v>
      </c>
      <c r="D41" s="52"/>
      <c r="E41" s="52"/>
      <c r="F41" s="165" t="s">
        <v>345</v>
      </c>
      <c r="G41" s="52"/>
    </row>
    <row r="43" spans="1:7" s="154" customFormat="1" ht="27">
      <c r="A43" s="143" t="s">
        <v>312</v>
      </c>
      <c r="B43" s="98" t="s">
        <v>235</v>
      </c>
      <c r="C43" s="143">
        <v>2</v>
      </c>
      <c r="D43" s="150"/>
      <c r="E43" s="143" t="s">
        <v>270</v>
      </c>
      <c r="F43" s="150" t="s">
        <v>272</v>
      </c>
      <c r="G43" s="143" t="s">
        <v>339</v>
      </c>
    </row>
    <row r="44" spans="1:7" s="154" customFormat="1" ht="27">
      <c r="A44" s="143" t="s">
        <v>313</v>
      </c>
      <c r="B44" s="106" t="s">
        <v>235</v>
      </c>
      <c r="C44" s="143" t="s">
        <v>234</v>
      </c>
      <c r="D44" s="150"/>
      <c r="E44" s="143" t="s">
        <v>236</v>
      </c>
      <c r="F44" s="150" t="s">
        <v>271</v>
      </c>
      <c r="G44" s="143" t="s">
        <v>339</v>
      </c>
    </row>
    <row r="45" spans="1:7" s="154" customFormat="1" ht="27">
      <c r="A45" s="143" t="s">
        <v>314</v>
      </c>
      <c r="B45" s="106" t="s">
        <v>235</v>
      </c>
      <c r="C45" s="143" t="s">
        <v>234</v>
      </c>
      <c r="D45" s="150"/>
      <c r="E45" s="143" t="s">
        <v>236</v>
      </c>
      <c r="F45" s="150" t="s">
        <v>292</v>
      </c>
      <c r="G45" s="143" t="s">
        <v>339</v>
      </c>
    </row>
    <row r="46" spans="1:7" s="186" customFormat="1" ht="27">
      <c r="A46" s="183" t="s">
        <v>373</v>
      </c>
      <c r="B46" s="184" t="s">
        <v>235</v>
      </c>
      <c r="C46" s="183" t="s">
        <v>234</v>
      </c>
      <c r="D46" s="185"/>
      <c r="E46" s="183" t="s">
        <v>236</v>
      </c>
      <c r="F46" s="185" t="s">
        <v>374</v>
      </c>
      <c r="G46" s="183" t="s">
        <v>339</v>
      </c>
    </row>
    <row r="47" spans="1:7" ht="81">
      <c r="A47" s="151" t="s">
        <v>315</v>
      </c>
      <c r="B47" s="106" t="s">
        <v>269</v>
      </c>
      <c r="C47" s="151" t="s">
        <v>273</v>
      </c>
      <c r="D47" s="151" t="s">
        <v>274</v>
      </c>
      <c r="E47" s="151" t="s">
        <v>275</v>
      </c>
      <c r="F47" s="152" t="s">
        <v>370</v>
      </c>
      <c r="G47" s="143" t="s">
        <v>339</v>
      </c>
    </row>
    <row r="48" spans="1:7" ht="15">
      <c r="A48" s="143" t="s">
        <v>316</v>
      </c>
      <c r="B48" s="106" t="s">
        <v>269</v>
      </c>
      <c r="C48" s="143" t="s">
        <v>289</v>
      </c>
      <c r="D48" s="143" t="s">
        <v>274</v>
      </c>
      <c r="E48" s="143" t="s">
        <v>270</v>
      </c>
      <c r="F48" s="150" t="s">
        <v>311</v>
      </c>
      <c r="G48" s="143" t="s">
        <v>339</v>
      </c>
    </row>
    <row r="49" spans="1:7" ht="15">
      <c r="A49" s="143" t="s">
        <v>317</v>
      </c>
      <c r="B49" s="106" t="s">
        <v>269</v>
      </c>
      <c r="C49" s="143" t="s">
        <v>290</v>
      </c>
      <c r="D49" s="143" t="s">
        <v>290</v>
      </c>
      <c r="E49" s="143" t="s">
        <v>291</v>
      </c>
      <c r="F49" s="150" t="s">
        <v>311</v>
      </c>
      <c r="G49" s="143" t="s">
        <v>339</v>
      </c>
    </row>
    <row r="50" spans="1:7" ht="15">
      <c r="A50" s="143" t="s">
        <v>318</v>
      </c>
      <c r="B50" s="106" t="s">
        <v>320</v>
      </c>
      <c r="C50" s="143">
        <v>3</v>
      </c>
      <c r="D50" s="143"/>
      <c r="E50" s="143"/>
      <c r="F50" s="150" t="s">
        <v>322</v>
      </c>
      <c r="G50" s="143" t="s">
        <v>339</v>
      </c>
    </row>
    <row r="51" spans="1:7" ht="15">
      <c r="A51" s="143" t="s">
        <v>319</v>
      </c>
      <c r="B51" s="106" t="s">
        <v>320</v>
      </c>
      <c r="C51" s="143">
        <v>12</v>
      </c>
      <c r="D51" s="143"/>
      <c r="E51" s="143"/>
      <c r="F51" s="150" t="s">
        <v>321</v>
      </c>
      <c r="G51" s="143" t="s">
        <v>339</v>
      </c>
    </row>
    <row r="52" spans="1:7" ht="15">
      <c r="A52" s="143" t="s">
        <v>354</v>
      </c>
      <c r="B52" s="106" t="s">
        <v>320</v>
      </c>
      <c r="C52" s="143">
        <v>1</v>
      </c>
      <c r="D52" s="143"/>
      <c r="E52" s="143"/>
      <c r="F52" s="150" t="s">
        <v>356</v>
      </c>
      <c r="G52" s="143" t="s">
        <v>355</v>
      </c>
    </row>
    <row r="54" spans="1:7" ht="15">
      <c r="A54" s="166" t="s">
        <v>334</v>
      </c>
      <c r="B54" s="98" t="s">
        <v>332</v>
      </c>
      <c r="C54" s="167">
        <v>1</v>
      </c>
      <c r="D54" s="168"/>
      <c r="E54" s="168"/>
      <c r="F54" s="169" t="s">
        <v>335</v>
      </c>
      <c r="G54" s="166" t="s">
        <v>338</v>
      </c>
    </row>
    <row r="55" spans="1:7" ht="15">
      <c r="A55" s="166" t="s">
        <v>331</v>
      </c>
      <c r="B55" s="98" t="s">
        <v>332</v>
      </c>
      <c r="C55" s="166">
        <v>1</v>
      </c>
      <c r="D55" s="168"/>
      <c r="E55" s="168"/>
      <c r="F55" s="169" t="s">
        <v>336</v>
      </c>
      <c r="G55" s="166" t="s">
        <v>338</v>
      </c>
    </row>
    <row r="56" spans="1:7" ht="15">
      <c r="A56" s="166" t="s">
        <v>333</v>
      </c>
      <c r="B56" s="98" t="s">
        <v>332</v>
      </c>
      <c r="C56" s="166">
        <v>1</v>
      </c>
      <c r="D56" s="168"/>
      <c r="E56" s="168"/>
      <c r="F56" s="169" t="s">
        <v>340</v>
      </c>
      <c r="G56" s="166" t="s">
        <v>337</v>
      </c>
    </row>
    <row r="57" spans="1:7" s="161" customFormat="1" ht="15">
      <c r="A57" s="170" t="s">
        <v>347</v>
      </c>
      <c r="B57" s="171" t="s">
        <v>323</v>
      </c>
      <c r="C57" s="170">
        <v>1</v>
      </c>
      <c r="D57" s="172"/>
      <c r="E57" s="172"/>
      <c r="F57" s="173"/>
      <c r="G57" s="170" t="s">
        <v>348</v>
      </c>
    </row>
    <row r="58" spans="1:7" s="161" customFormat="1" ht="15">
      <c r="A58" s="170" t="s">
        <v>349</v>
      </c>
      <c r="B58" s="171" t="s">
        <v>323</v>
      </c>
      <c r="C58" s="170">
        <v>1</v>
      </c>
      <c r="D58" s="172"/>
      <c r="E58" s="172"/>
      <c r="F58" s="173"/>
      <c r="G58" s="170" t="s">
        <v>348</v>
      </c>
    </row>
    <row r="59" spans="1:7" ht="15">
      <c r="A59" s="166" t="s">
        <v>350</v>
      </c>
      <c r="B59" s="98" t="s">
        <v>332</v>
      </c>
      <c r="C59" s="166">
        <v>2</v>
      </c>
      <c r="D59" s="168"/>
      <c r="E59" s="168"/>
      <c r="F59" s="169" t="s">
        <v>353</v>
      </c>
      <c r="G59" s="166" t="s">
        <v>348</v>
      </c>
    </row>
    <row r="60" spans="1:7" ht="15">
      <c r="A60" s="166" t="s">
        <v>351</v>
      </c>
      <c r="B60" s="98" t="s">
        <v>332</v>
      </c>
      <c r="C60" s="166">
        <v>2</v>
      </c>
      <c r="D60" s="168"/>
      <c r="E60" s="168"/>
      <c r="F60" s="169" t="s">
        <v>352</v>
      </c>
      <c r="G60" s="166" t="s">
        <v>348</v>
      </c>
    </row>
    <row r="62" spans="1:7" ht="15">
      <c r="A62" s="182" t="s">
        <v>357</v>
      </c>
      <c r="B62" s="177" t="s">
        <v>332</v>
      </c>
      <c r="C62" s="176">
        <v>1</v>
      </c>
      <c r="D62" s="176"/>
      <c r="E62" s="176"/>
      <c r="F62" s="176" t="s">
        <v>359</v>
      </c>
      <c r="G62" s="176" t="s">
        <v>358</v>
      </c>
    </row>
    <row r="67" spans="1:7">
      <c r="A67" s="175" t="s">
        <v>360</v>
      </c>
    </row>
    <row r="68" spans="1:7" ht="15">
      <c r="A68" s="166" t="s">
        <v>334</v>
      </c>
      <c r="B68" s="177" t="s">
        <v>332</v>
      </c>
      <c r="C68" s="167">
        <v>1</v>
      </c>
      <c r="D68" s="168"/>
      <c r="E68" s="168"/>
      <c r="F68" s="169" t="s">
        <v>335</v>
      </c>
      <c r="G68" s="166" t="s">
        <v>338</v>
      </c>
    </row>
    <row r="69" spans="1:7" s="175" customFormat="1" ht="15">
      <c r="A69" s="182" t="s">
        <v>369</v>
      </c>
      <c r="B69" s="177" t="s">
        <v>332</v>
      </c>
      <c r="C69" s="176">
        <v>1</v>
      </c>
      <c r="D69" s="176"/>
      <c r="E69" s="176"/>
      <c r="F69" s="176" t="s">
        <v>359</v>
      </c>
      <c r="G69" s="176" t="s">
        <v>358</v>
      </c>
    </row>
    <row r="70" spans="1:7" ht="15">
      <c r="A70" s="143" t="s">
        <v>364</v>
      </c>
      <c r="B70" s="177" t="s">
        <v>235</v>
      </c>
      <c r="C70" s="143"/>
      <c r="D70" s="143"/>
      <c r="E70" s="143"/>
      <c r="F70" s="150"/>
      <c r="G70" s="143" t="s">
        <v>339</v>
      </c>
    </row>
    <row r="71" spans="1:7" ht="15">
      <c r="A71" s="143" t="s">
        <v>365</v>
      </c>
      <c r="B71" s="178" t="s">
        <v>320</v>
      </c>
      <c r="C71" s="143"/>
      <c r="D71" s="143"/>
      <c r="E71" s="143"/>
      <c r="F71" s="150"/>
      <c r="G71" s="143" t="s">
        <v>339</v>
      </c>
    </row>
    <row r="72" spans="1:7" ht="15">
      <c r="A72" s="143" t="s">
        <v>366</v>
      </c>
      <c r="B72" s="178" t="s">
        <v>320</v>
      </c>
      <c r="C72" s="143">
        <v>1</v>
      </c>
      <c r="D72" s="143"/>
      <c r="E72" s="143"/>
      <c r="F72" s="150"/>
      <c r="G72" s="143" t="s">
        <v>339</v>
      </c>
    </row>
    <row r="73" spans="1:7" ht="15">
      <c r="A73" s="143" t="s">
        <v>367</v>
      </c>
      <c r="B73" s="178" t="s">
        <v>235</v>
      </c>
      <c r="C73" s="143">
        <v>1</v>
      </c>
      <c r="D73" s="143"/>
      <c r="E73" s="143"/>
      <c r="F73" s="150"/>
      <c r="G73" s="143" t="s">
        <v>339</v>
      </c>
    </row>
    <row r="74" spans="1:7" ht="15">
      <c r="A74" s="143" t="s">
        <v>368</v>
      </c>
      <c r="B74" s="178" t="s">
        <v>320</v>
      </c>
      <c r="C74" s="143">
        <v>1</v>
      </c>
      <c r="D74" s="143"/>
      <c r="E74" s="143"/>
      <c r="F74" s="150"/>
      <c r="G74" s="143" t="s">
        <v>339</v>
      </c>
    </row>
    <row r="75" spans="1:7" ht="15">
      <c r="A75" s="181" t="s">
        <v>361</v>
      </c>
      <c r="B75" s="178" t="s">
        <v>320</v>
      </c>
      <c r="C75" s="174">
        <v>1</v>
      </c>
      <c r="D75" s="174"/>
      <c r="E75" s="174"/>
      <c r="F75" s="179"/>
      <c r="G75" s="174"/>
    </row>
    <row r="76" spans="1:7" ht="15">
      <c r="A76" s="181" t="s">
        <v>362</v>
      </c>
      <c r="B76" s="178" t="s">
        <v>320</v>
      </c>
      <c r="C76" s="181">
        <v>1</v>
      </c>
      <c r="D76" s="180"/>
      <c r="E76" s="180"/>
      <c r="F76" s="180"/>
      <c r="G76" s="180"/>
    </row>
    <row r="77" spans="1:7" ht="15">
      <c r="A77" s="181" t="s">
        <v>363</v>
      </c>
      <c r="B77" s="178" t="s">
        <v>320</v>
      </c>
      <c r="C77" s="181">
        <v>1</v>
      </c>
      <c r="D77" s="180"/>
      <c r="E77" s="180"/>
      <c r="F77" s="180"/>
      <c r="G77" s="180"/>
    </row>
  </sheetData>
  <mergeCells count="8">
    <mergeCell ref="G30:G31"/>
    <mergeCell ref="F21:F37"/>
    <mergeCell ref="G12:G13"/>
    <mergeCell ref="G4:G10"/>
    <mergeCell ref="A1:G1"/>
    <mergeCell ref="E4:E10"/>
    <mergeCell ref="E22:E28"/>
    <mergeCell ref="G22:G28"/>
  </mergeCells>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ADC_Architecture</vt:lpstr>
      <vt:lpstr>ADC_Data_Ctrl</vt:lpstr>
      <vt:lpstr>ADC_Data_Cal</vt:lpstr>
      <vt:lpstr>Trim digital</vt:lpstr>
      <vt:lpstr>AFE&amp;ADC Interface</vt:lpstr>
      <vt:lpstr>AD_Interface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huang</dc:creator>
  <cp:lastModifiedBy>聂磊</cp:lastModifiedBy>
  <cp:lastPrinted>2021-06-04T06:27:50Z</cp:lastPrinted>
  <dcterms:created xsi:type="dcterms:W3CDTF">2006-09-13T11:21:51Z</dcterms:created>
  <dcterms:modified xsi:type="dcterms:W3CDTF">2023-03-25T07:09:45Z</dcterms:modified>
</cp:coreProperties>
</file>