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leonzappone/Desktop/"/>
    </mc:Choice>
  </mc:AlternateContent>
  <xr:revisionPtr revIDLastSave="0" documentId="8_{B85C57E0-AC5B-5341-A39C-CA6F52509BE0}" xr6:coauthVersionLast="47" xr6:coauthVersionMax="47" xr10:uidLastSave="{00000000-0000-0000-0000-000000000000}"/>
  <bookViews>
    <workbookView xWindow="0" yWindow="0" windowWidth="28800" windowHeight="18000" activeTab="3" xr2:uid="{E0E1DA6F-3051-C348-9B59-01DC35851162}"/>
  </bookViews>
  <sheets>
    <sheet name="TPL" sheetId="1" r:id="rId1"/>
    <sheet name="GILD" sheetId="2" r:id="rId2"/>
    <sheet name="TPR" sheetId="3" r:id="rId3"/>
    <sheet name="Portfolio Calculations" sheetId="4" r:id="rId4"/>
  </sheets>
  <definedNames>
    <definedName name="solver_adj" localSheetId="3" hidden="1">'Portfolio Calculations'!$I$17:$K$17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'Portfolio Calculations'!$I$17</definedName>
    <definedName name="solver_lhs2" localSheetId="3" hidden="1">'Portfolio Calculations'!$I$17</definedName>
    <definedName name="solver_lhs3" localSheetId="3" hidden="1">'Portfolio Calculations'!$J$17</definedName>
    <definedName name="solver_lhs4" localSheetId="3" hidden="1">'Portfolio Calculations'!$J$17</definedName>
    <definedName name="solver_lhs5" localSheetId="3" hidden="1">'Portfolio Calculations'!$K$17</definedName>
    <definedName name="solver_lhs6" localSheetId="3" hidden="1">'Portfolio Calculations'!$K$17</definedName>
    <definedName name="solver_lhs7" localSheetId="3" hidden="1">'Portfolio Calculations'!$L$17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7</definedName>
    <definedName name="solver_opt" localSheetId="3" hidden="1">'Portfolio Calculations'!$I$20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el6" localSheetId="3" hidden="1">3</definedName>
    <definedName name="solver_rel7" localSheetId="3" hidden="1">2</definedName>
    <definedName name="solver_rhs1" localSheetId="3" hidden="1">1</definedName>
    <definedName name="solver_rhs2" localSheetId="3" hidden="1">0</definedName>
    <definedName name="solver_rhs3" localSheetId="3" hidden="1">1</definedName>
    <definedName name="solver_rhs4" localSheetId="3" hidden="1">0</definedName>
    <definedName name="solver_rhs5" localSheetId="3" hidden="1">1</definedName>
    <definedName name="solver_rhs6" localSheetId="3" hidden="1">0</definedName>
    <definedName name="solver_rhs7" localSheetId="3" hidden="1">1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" i="4" l="1"/>
  <c r="J44" i="4"/>
  <c r="J63" i="4"/>
  <c r="J73" i="4" s="1"/>
  <c r="Y3" i="4"/>
  <c r="Z3" i="4"/>
  <c r="X3" i="4" s="1"/>
  <c r="W4" i="4"/>
  <c r="V4" i="4"/>
  <c r="V5" i="4" s="1"/>
  <c r="X22" i="4"/>
  <c r="AD3" i="4"/>
  <c r="AC3" i="4" s="1"/>
  <c r="T6" i="4"/>
  <c r="T5" i="4"/>
  <c r="U4" i="4"/>
  <c r="T4" i="4"/>
  <c r="U3" i="4"/>
  <c r="T3" i="4"/>
  <c r="L16" i="1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L19" i="4"/>
  <c r="J36" i="4"/>
  <c r="J48" i="4" l="1"/>
  <c r="K48" i="4" s="1"/>
  <c r="J49" i="4"/>
  <c r="J65" i="4"/>
  <c r="J72" i="4" s="1"/>
  <c r="Z4" i="4"/>
  <c r="X4" i="4" s="1"/>
  <c r="V6" i="4"/>
  <c r="W5" i="4"/>
  <c r="W6" i="4" s="1"/>
  <c r="W7" i="4" s="1"/>
  <c r="W8" i="4" s="1"/>
  <c r="W9" i="4" s="1"/>
  <c r="W10" i="4" s="1"/>
  <c r="W11" i="4" s="1"/>
  <c r="W12" i="4" s="1"/>
  <c r="W13" i="4" s="1"/>
  <c r="Y4" i="4"/>
  <c r="AD4" i="4"/>
  <c r="AC4" i="4" s="1"/>
  <c r="J11" i="4"/>
  <c r="M19" i="4"/>
  <c r="L16" i="2"/>
  <c r="L16" i="3"/>
  <c r="K37" i="4"/>
  <c r="J41" i="4" s="1" a="1"/>
  <c r="K49" i="4" l="1"/>
  <c r="J70" i="4" s="1"/>
  <c r="J69" i="4"/>
  <c r="J71" i="4" s="1"/>
  <c r="J41" i="4"/>
  <c r="J68" i="4"/>
  <c r="Y6" i="4"/>
  <c r="Z6" i="4"/>
  <c r="X6" i="4" s="1"/>
  <c r="V7" i="4"/>
  <c r="Y5" i="4"/>
  <c r="Z5" i="4"/>
  <c r="X5" i="4" s="1"/>
  <c r="AD5" i="4"/>
  <c r="AC5" i="4" s="1"/>
  <c r="J51" i="4" l="1"/>
  <c r="J52" i="4"/>
  <c r="J53" i="4" s="1"/>
  <c r="Z7" i="4"/>
  <c r="X7" i="4" s="1"/>
  <c r="Y7" i="4"/>
  <c r="V8" i="4"/>
  <c r="Y8" i="4" s="1"/>
  <c r="AD6" i="4"/>
  <c r="AC6" i="4" s="1"/>
  <c r="V9" i="4" l="1"/>
  <c r="Y9" i="4" s="1"/>
  <c r="Z8" i="4"/>
  <c r="X8" i="4" s="1"/>
  <c r="AD7" i="4"/>
  <c r="AC7" i="4" s="1"/>
  <c r="V10" i="4" l="1"/>
  <c r="Y10" i="4" s="1"/>
  <c r="Z9" i="4"/>
  <c r="X9" i="4" s="1"/>
  <c r="AD8" i="4"/>
  <c r="L17" i="4"/>
  <c r="L13" i="4"/>
  <c r="K12" i="4"/>
  <c r="AC8" i="4" l="1"/>
  <c r="AD9" i="4"/>
  <c r="V11" i="4"/>
  <c r="Y11" i="4" s="1"/>
  <c r="Z10" i="4"/>
  <c r="X10" i="4" s="1"/>
  <c r="I20" i="4"/>
  <c r="L20" i="4" s="1"/>
  <c r="M20" i="4" s="1"/>
  <c r="L22" i="1" a="1"/>
  <c r="L21" i="1" a="1"/>
  <c r="L22" i="2" a="1"/>
  <c r="L22" i="3" a="1"/>
  <c r="AD10" i="4" l="1"/>
  <c r="AC9" i="4"/>
  <c r="V12" i="4"/>
  <c r="Z11" i="4"/>
  <c r="X11" i="4" s="1"/>
  <c r="L22" i="1"/>
  <c r="L21" i="1"/>
  <c r="L22" i="2"/>
  <c r="L22" i="3"/>
  <c r="AD11" i="4" l="1"/>
  <c r="AC10" i="4"/>
  <c r="V13" i="4"/>
  <c r="Z12" i="4"/>
  <c r="X12" i="4" s="1"/>
  <c r="Y12" i="4"/>
  <c r="G12" i="3"/>
  <c r="C2" i="3"/>
  <c r="D2" i="3"/>
  <c r="AD12" i="4" l="1"/>
  <c r="AC12" i="4" s="1"/>
  <c r="AC11" i="4"/>
  <c r="Y13" i="4"/>
  <c r="Z13" i="4"/>
  <c r="X13" i="4" s="1"/>
  <c r="G19" i="3"/>
  <c r="G18" i="3"/>
  <c r="G17" i="3"/>
  <c r="G16" i="3"/>
  <c r="G15" i="3"/>
  <c r="G14" i="3"/>
  <c r="G13" i="3"/>
  <c r="C2" i="2"/>
  <c r="D119" i="3"/>
  <c r="D120" i="3"/>
  <c r="D121" i="3"/>
  <c r="D122" i="3"/>
  <c r="D123" i="3"/>
  <c r="D124" i="3"/>
  <c r="D125" i="3"/>
  <c r="C119" i="3"/>
  <c r="C120" i="3"/>
  <c r="C121" i="3"/>
  <c r="C122" i="3"/>
  <c r="C123" i="3"/>
  <c r="C124" i="3"/>
  <c r="C125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G19" i="2"/>
  <c r="G18" i="2"/>
  <c r="G17" i="2"/>
  <c r="G16" i="2"/>
  <c r="G15" i="2"/>
  <c r="G14" i="2"/>
  <c r="G13" i="2"/>
  <c r="G12" i="2"/>
  <c r="G19" i="1"/>
  <c r="G18" i="1"/>
  <c r="G17" i="1"/>
  <c r="G16" i="1"/>
  <c r="G15" i="1"/>
  <c r="G14" i="1"/>
  <c r="G13" i="1"/>
  <c r="G1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2" i="2"/>
  <c r="H12" i="1"/>
  <c r="L12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L21" i="2" a="1"/>
  <c r="L21" i="3" a="1"/>
  <c r="L21" i="3" l="1"/>
  <c r="L21" i="2"/>
  <c r="I12" i="3"/>
  <c r="L13" i="3" s="1"/>
  <c r="I12" i="1"/>
  <c r="L13" i="1" s="1"/>
  <c r="I19" i="1"/>
  <c r="I15" i="2"/>
  <c r="H15" i="2"/>
  <c r="I19" i="3"/>
  <c r="H12" i="3"/>
  <c r="L12" i="3" s="1"/>
  <c r="I13" i="3"/>
  <c r="H19" i="3"/>
  <c r="I14" i="3"/>
  <c r="L15" i="3" s="1"/>
  <c r="I15" i="3"/>
  <c r="I16" i="3"/>
  <c r="H13" i="3"/>
  <c r="H15" i="3"/>
  <c r="H17" i="3"/>
  <c r="I17" i="3"/>
  <c r="H16" i="3"/>
  <c r="H18" i="3"/>
  <c r="I18" i="3"/>
  <c r="H14" i="3"/>
  <c r="L14" i="3" s="1"/>
  <c r="H18" i="1"/>
  <c r="I14" i="2"/>
  <c r="L15" i="2" s="1"/>
  <c r="H14" i="2"/>
  <c r="L14" i="2" s="1"/>
  <c r="I16" i="2"/>
  <c r="H16" i="2"/>
  <c r="H13" i="1"/>
  <c r="I13" i="1"/>
  <c r="I17" i="2"/>
  <c r="H17" i="2"/>
  <c r="H14" i="1"/>
  <c r="L14" i="1" s="1"/>
  <c r="I14" i="1"/>
  <c r="L15" i="1" s="1"/>
  <c r="I18" i="2"/>
  <c r="H18" i="2"/>
  <c r="H15" i="1"/>
  <c r="I15" i="1"/>
  <c r="I19" i="2"/>
  <c r="H19" i="2"/>
  <c r="H16" i="1"/>
  <c r="I16" i="1"/>
  <c r="I12" i="2"/>
  <c r="L13" i="2" s="1"/>
  <c r="H12" i="2"/>
  <c r="L12" i="2" s="1"/>
  <c r="H17" i="1"/>
  <c r="I17" i="1"/>
  <c r="I13" i="2"/>
  <c r="H13" i="2"/>
  <c r="I18" i="1"/>
  <c r="H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<sst xmlns="http://schemas.openxmlformats.org/spreadsheetml/2006/main" count="659" uniqueCount="241">
  <si>
    <t>Date</t>
  </si>
  <si>
    <t>Close</t>
  </si>
  <si>
    <t>2024-08-29T23:00:00.000Z</t>
  </si>
  <si>
    <t>2024-09-02T23:00:00.000Z</t>
  </si>
  <si>
    <t>2024-09-03T23:00:00.000Z</t>
  </si>
  <si>
    <t>2024-09-04T23:00:00.000Z</t>
  </si>
  <si>
    <t>2024-09-05T23:00:00.000Z</t>
  </si>
  <si>
    <t>2024-09-08T23:00:00.000Z</t>
  </si>
  <si>
    <t>2024-09-09T23:00:00.000Z</t>
  </si>
  <si>
    <t>2024-09-10T23:00:00.000Z</t>
  </si>
  <si>
    <t>2024-09-11T23:00:00.000Z</t>
  </si>
  <si>
    <t>2024-09-12T23:00:00.000Z</t>
  </si>
  <si>
    <t>2024-09-15T23:00:00.000Z</t>
  </si>
  <si>
    <t>2024-09-16T23:00:00.000Z</t>
  </si>
  <si>
    <t>2024-09-17T23:00:00.000Z</t>
  </si>
  <si>
    <t>2024-09-18T23:00:00.000Z</t>
  </si>
  <si>
    <t>2024-09-19T23:00:00.000Z</t>
  </si>
  <si>
    <t>2024-09-22T23:00:00.000Z</t>
  </si>
  <si>
    <t>2024-09-23T23:00:00.000Z</t>
  </si>
  <si>
    <t>2024-09-24T23:00:00.000Z</t>
  </si>
  <si>
    <t>2024-09-25T23:00:00.000Z</t>
  </si>
  <si>
    <t>2024-09-26T23:00:00.000Z</t>
  </si>
  <si>
    <t>2024-09-29T23:00:00.000Z</t>
  </si>
  <si>
    <t>2024-09-30T23:00:00.000Z</t>
  </si>
  <si>
    <t>2024-10-01T23:00:00.000Z</t>
  </si>
  <si>
    <t>2024-10-02T23:00:00.000Z</t>
  </si>
  <si>
    <t>2024-10-03T23:00:00.000Z</t>
  </si>
  <si>
    <t>2024-10-06T23:00:00.000Z</t>
  </si>
  <si>
    <t>2024-10-07T23:00:00.000Z</t>
  </si>
  <si>
    <t>2024-10-08T23:00:00.000Z</t>
  </si>
  <si>
    <t>2024-10-09T23:00:00.000Z</t>
  </si>
  <si>
    <t>2024-10-10T23:00:00.000Z</t>
  </si>
  <si>
    <t>2024-10-13T23:00:00.000Z</t>
  </si>
  <si>
    <t>2024-10-14T23:00:00.000Z</t>
  </si>
  <si>
    <t>2024-10-15T23:00:00.000Z</t>
  </si>
  <si>
    <t>2024-10-16T23:00:00.000Z</t>
  </si>
  <si>
    <t>2024-10-17T23:00:00.000Z</t>
  </si>
  <si>
    <t>2024-10-20T23:00:00.000Z</t>
  </si>
  <si>
    <t>2024-10-21T23:00:00.000Z</t>
  </si>
  <si>
    <t>2024-10-22T23:00:00.000Z</t>
  </si>
  <si>
    <t>2024-10-23T23:00:00.000Z</t>
  </si>
  <si>
    <t>2024-10-24T23:00:00.000Z</t>
  </si>
  <si>
    <t>2024-10-28T00:00:00.000Z</t>
  </si>
  <si>
    <t>2024-10-29T00:00:00.000Z</t>
  </si>
  <si>
    <t>2024-10-30T00:00:00.000Z</t>
  </si>
  <si>
    <t>2024-10-31T00:00:00.000Z</t>
  </si>
  <si>
    <t>2024-11-01T00:00:00.000Z</t>
  </si>
  <si>
    <t>2024-11-04T00:00:00.000Z</t>
  </si>
  <si>
    <t>2024-11-05T00:00:00.000Z</t>
  </si>
  <si>
    <t>2024-11-06T00:00:00.000Z</t>
  </si>
  <si>
    <t>2024-11-07T00:00:00.000Z</t>
  </si>
  <si>
    <t>2024-11-08T00:00:00.000Z</t>
  </si>
  <si>
    <t>2024-11-11T00:00:00.000Z</t>
  </si>
  <si>
    <t>2024-11-12T00:00:00.000Z</t>
  </si>
  <si>
    <t>2024-11-13T00:00:00.000Z</t>
  </si>
  <si>
    <t>2024-11-14T00:00:00.000Z</t>
  </si>
  <si>
    <t>2024-11-15T00:00:00.000Z</t>
  </si>
  <si>
    <t>2024-11-18T00:00:00.000Z</t>
  </si>
  <si>
    <t>2024-11-19T00:00:00.000Z</t>
  </si>
  <si>
    <t>2024-11-20T00:00:00.000Z</t>
  </si>
  <si>
    <t>2024-11-21T00:00:00.000Z</t>
  </si>
  <si>
    <t>2024-11-22T00:00:00.000Z</t>
  </si>
  <si>
    <t>2024-11-25T00:00:00.000Z</t>
  </si>
  <si>
    <t>2024-11-26T00:00:00.000Z</t>
  </si>
  <si>
    <t>2024-11-27T00:00:00.000Z</t>
  </si>
  <si>
    <t>2024-11-29T00:00:00.000Z</t>
  </si>
  <si>
    <t>2024-12-02T00:00:00.000Z</t>
  </si>
  <si>
    <t>2024-12-03T00:00:00.000Z</t>
  </si>
  <si>
    <t>2024-12-04T00:00:00.000Z</t>
  </si>
  <si>
    <t>2024-12-05T00:00:00.000Z</t>
  </si>
  <si>
    <t>2024-12-06T00:00:00.000Z</t>
  </si>
  <si>
    <t>2024-12-09T00:00:00.000Z</t>
  </si>
  <si>
    <t>2024-12-10T00:00:00.000Z</t>
  </si>
  <si>
    <t>2024-12-11T00:00:00.000Z</t>
  </si>
  <si>
    <t>2024-12-12T00:00:00.000Z</t>
  </si>
  <si>
    <t>2024-12-13T00:00:00.000Z</t>
  </si>
  <si>
    <t>2024-12-16T00:00:00.000Z</t>
  </si>
  <si>
    <t>2024-12-17T00:00:00.000Z</t>
  </si>
  <si>
    <t>2024-12-18T00:00:00.000Z</t>
  </si>
  <si>
    <t>2024-12-19T00:00:00.000Z</t>
  </si>
  <si>
    <t>2024-12-20T00:00:00.000Z</t>
  </si>
  <si>
    <t>2024-12-23T00:00:00.000Z</t>
  </si>
  <si>
    <t>2024-12-24T00:00:00.000Z</t>
  </si>
  <si>
    <t>2024-12-26T00:00:00.000Z</t>
  </si>
  <si>
    <t>2024-12-27T00:00:00.000Z</t>
  </si>
  <si>
    <t>2024-12-30T00:00:00.000Z</t>
  </si>
  <si>
    <t>2024-12-31T00:00:00.000Z</t>
  </si>
  <si>
    <t>2025-01-02T00:00:00.000Z</t>
  </si>
  <si>
    <t>2025-01-03T00:00:00.000Z</t>
  </si>
  <si>
    <t>2025-01-06T00:00:00.000Z</t>
  </si>
  <si>
    <t>2025-01-07T00:00:00.000Z</t>
  </si>
  <si>
    <t>2025-01-08T00:00:00.000Z</t>
  </si>
  <si>
    <t>2025-01-10T00:00:00.000Z</t>
  </si>
  <si>
    <t>2025-01-13T00:00:00.000Z</t>
  </si>
  <si>
    <t>2025-01-14T00:00:00.000Z</t>
  </si>
  <si>
    <t>2025-01-15T00:00:00.000Z</t>
  </si>
  <si>
    <t>2025-01-16T00:00:00.000Z</t>
  </si>
  <si>
    <t>2025-01-17T00:00:00.000Z</t>
  </si>
  <si>
    <t>2025-01-21T00:00:00.000Z</t>
  </si>
  <si>
    <t>2025-01-22T00:00:00.000Z</t>
  </si>
  <si>
    <t>2025-01-23T00:00:00.000Z</t>
  </si>
  <si>
    <t>2025-01-24T00:00:00.000Z</t>
  </si>
  <si>
    <t>2025-01-27T00:00:00.000Z</t>
  </si>
  <si>
    <t>2025-01-28T00:00:00.000Z</t>
  </si>
  <si>
    <t>2025-01-29T00:00:00.000Z</t>
  </si>
  <si>
    <t>2025-01-30T00:00:00.000Z</t>
  </si>
  <si>
    <t>2025-01-31T00:00:00.000Z</t>
  </si>
  <si>
    <t>2025-02-03T00:00:00.000Z</t>
  </si>
  <si>
    <t>2025-02-04T00:00:00.000Z</t>
  </si>
  <si>
    <t>2025-02-05T00:00:00.000Z</t>
  </si>
  <si>
    <t>2025-02-06T00:00:00.000Z</t>
  </si>
  <si>
    <t>2025-02-07T00:00:00.000Z</t>
  </si>
  <si>
    <t>2025-02-10T00:00:00.000Z</t>
  </si>
  <si>
    <t>2025-02-11T00:00:00.000Z</t>
  </si>
  <si>
    <t>2025-02-12T00:00:00.000Z</t>
  </si>
  <si>
    <t>2025-02-13T00:00:00.000Z</t>
  </si>
  <si>
    <t>2025-02-14T00:00:00.000Z</t>
  </si>
  <si>
    <t>2025-02-18T00:00:00.000Z</t>
  </si>
  <si>
    <t>2025-02-19T00:00:00.000Z</t>
  </si>
  <si>
    <t>2025-02-20T00:00:00.000Z</t>
  </si>
  <si>
    <t>Return</t>
  </si>
  <si>
    <t>Log Return</t>
  </si>
  <si>
    <t>Mean</t>
    <phoneticPr fontId="3" type="noConversion"/>
  </si>
  <si>
    <t>Variance</t>
    <phoneticPr fontId="3" type="noConversion"/>
  </si>
  <si>
    <t>Std Dev</t>
    <phoneticPr fontId="3" type="noConversion"/>
  </si>
  <si>
    <t>Min</t>
    <phoneticPr fontId="3" type="noConversion"/>
  </si>
  <si>
    <t>Max</t>
    <phoneticPr fontId="3" type="noConversion"/>
  </si>
  <si>
    <t>Median</t>
    <phoneticPr fontId="3" type="noConversion"/>
  </si>
  <si>
    <t>Skewness</t>
    <phoneticPr fontId="3" type="noConversion"/>
  </si>
  <si>
    <t>Kurtosis</t>
    <phoneticPr fontId="3" type="noConversion"/>
  </si>
  <si>
    <t>Values</t>
  </si>
  <si>
    <t>Returns</t>
  </si>
  <si>
    <t>Log returns</t>
  </si>
  <si>
    <t>Log Returns</t>
  </si>
  <si>
    <t>CAGR</t>
    <phoneticPr fontId="3" type="noConversion"/>
  </si>
  <si>
    <t>Log-Returns</t>
  </si>
  <si>
    <t>Vol-N</t>
  </si>
  <si>
    <t>Vol-L</t>
  </si>
  <si>
    <t>2024-08-20T23:00:00.000Z</t>
  </si>
  <si>
    <t>2024-08-21T23:00:00.000Z</t>
  </si>
  <si>
    <t>2024-08-22T23:00:00.000Z</t>
  </si>
  <si>
    <t>2024-08-25T23:00:00.000Z</t>
  </si>
  <si>
    <t>2024-08-26T23:00:00.000Z</t>
  </si>
  <si>
    <t>2024-08-27T23:00:00.000Z</t>
  </si>
  <si>
    <t>2024-08-28T23:00:00.000Z</t>
  </si>
  <si>
    <t>/</t>
  </si>
  <si>
    <t>Mean</t>
  </si>
  <si>
    <t>Standard Error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</si>
  <si>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</si>
  <si>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</si>
  <si>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</si>
  <si>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</si>
  <si>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</si>
  <si>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</si>
  <si>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</si>
  <si>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</si>
  <si>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</si>
  <si>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</si>
  <si>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Returns Statistics</t>
  </si>
  <si>
    <t>Log-Returns Statistics</t>
  </si>
  <si>
    <t>Annualised</t>
  </si>
  <si>
    <t>Annual Vol</t>
  </si>
  <si>
    <t>Using VBA</t>
  </si>
  <si>
    <t>CAGR</t>
  </si>
  <si>
    <t>TPL</t>
  </si>
  <si>
    <t>GIDL</t>
  </si>
  <si>
    <t>TPR</t>
  </si>
  <si>
    <t>Covariance Matrix</t>
  </si>
  <si>
    <t>SUM</t>
  </si>
  <si>
    <t>Variance</t>
  </si>
  <si>
    <t>Expected return</t>
  </si>
  <si>
    <t>Vol</t>
  </si>
  <si>
    <t>TPL Log-returns</t>
  </si>
  <si>
    <t>GIDL Log-returns</t>
  </si>
  <si>
    <t>TPR Log-returns</t>
  </si>
  <si>
    <t>Return_Daily</t>
  </si>
  <si>
    <t>Asset Return</t>
  </si>
  <si>
    <t>Volatlity</t>
  </si>
  <si>
    <t>Risk Free rate</t>
  </si>
  <si>
    <t>Correlation Matrix</t>
  </si>
  <si>
    <t>Inverse Matrix</t>
  </si>
  <si>
    <t>Excess Returns TPR</t>
  </si>
  <si>
    <t>ORP Weights</t>
  </si>
  <si>
    <t>ORP Expected Volatility</t>
  </si>
  <si>
    <t>Weights Normalised</t>
  </si>
  <si>
    <t>Risk free rate</t>
  </si>
  <si>
    <t>ORP Expected Return</t>
  </si>
  <si>
    <t>Portfolio Variance</t>
  </si>
  <si>
    <t xml:space="preserve">Proportion of Wealth allocated to the ORP </t>
  </si>
  <si>
    <t>Final Portfolio Allocation</t>
  </si>
  <si>
    <t>Risk-Free Asset</t>
  </si>
  <si>
    <t xml:space="preserve">Risk free Asset Weight </t>
  </si>
  <si>
    <t>W1 TPL</t>
  </si>
  <si>
    <t>W3 TPR</t>
  </si>
  <si>
    <t>GILD</t>
  </si>
  <si>
    <t>W2 GILD</t>
  </si>
  <si>
    <t>Excess Returns GILD</t>
  </si>
  <si>
    <t>Risk Aversion Coefficient</t>
  </si>
  <si>
    <t xml:space="preserve"> SUM of Weight</t>
  </si>
  <si>
    <t>Expected Return Portfolio (ORP)</t>
  </si>
  <si>
    <t>Expected Volatility (ORP)</t>
  </si>
  <si>
    <t>Expected Volatility (OCP)</t>
  </si>
  <si>
    <t>Optimal Complete Portfolio - step 7</t>
  </si>
  <si>
    <t>Expected Return (OCP)</t>
  </si>
  <si>
    <t>Optimal Risky Portfolio - Step 6</t>
  </si>
  <si>
    <t>Global Minimum Variance Portfolio - Step 4</t>
  </si>
  <si>
    <t>Covariance Matrix - Step 3</t>
  </si>
  <si>
    <t>Key Statistical Measures - Step 2</t>
  </si>
  <si>
    <t>Summary Statistics</t>
  </si>
  <si>
    <t>mean</t>
  </si>
  <si>
    <t>standard dev</t>
  </si>
  <si>
    <t>Covariance</t>
  </si>
  <si>
    <t>Risk Free Rate</t>
  </si>
  <si>
    <t>GILD Log Returns</t>
  </si>
  <si>
    <t>Portfolio Weights</t>
  </si>
  <si>
    <t xml:space="preserve"> </t>
  </si>
  <si>
    <t>CAL</t>
  </si>
  <si>
    <t>EXP. RETURN</t>
  </si>
  <si>
    <t>EXP ST DEV</t>
  </si>
  <si>
    <t xml:space="preserve">Optimised risky Stock portfolio </t>
  </si>
  <si>
    <t>W TPL</t>
  </si>
  <si>
    <t>Total</t>
  </si>
  <si>
    <t>Portfolio  std dev</t>
  </si>
  <si>
    <t>Portfolio exp return</t>
  </si>
  <si>
    <t>Risk -Free rate (3-Month T Bill)</t>
  </si>
  <si>
    <t>Daily</t>
  </si>
  <si>
    <t>Global minimum variance portfolio</t>
  </si>
  <si>
    <t>Portfolio daily std dev</t>
  </si>
  <si>
    <t>Portfolio exp daily return</t>
  </si>
  <si>
    <t>Overall Portfolio (Stock Portfolio and Risk-Free Asset)</t>
  </si>
  <si>
    <t>Std Dev</t>
  </si>
  <si>
    <t>Exp Return</t>
  </si>
  <si>
    <t>Stocks Portfolio</t>
  </si>
  <si>
    <t>W Risk Free</t>
  </si>
  <si>
    <t>Porfolio std dev</t>
  </si>
  <si>
    <t>Portfolio Return</t>
  </si>
  <si>
    <t>St DEV</t>
  </si>
  <si>
    <t>Exp Ret</t>
  </si>
  <si>
    <t>Portfolio variance</t>
  </si>
  <si>
    <t>Statistical Measures</t>
  </si>
  <si>
    <t>ORP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</si>
</sst>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_(* #,##0.0000000_);_(* \(#,##0.0000000\);_(* &quot;-&quot;??_);_(@_)"/>
    <numFmt numFmtId="167" formatCode="#,##0.00000"/>
    <numFmt numFmtId="168" formatCode="0.00000"/>
    <numFmt numFmtId="169" formatCode="0.000000"/>
    <numFmt numFmtId="170" formatCode="0.0%"/>
    <numFmt numFmtId="171" formatCode="0.0000000"/>
    <numFmt numFmtId="172" formatCode="0.0000%"/>
    <numFmt numFmtId="173" formatCode="_(* #,##0.0000_);_(* \(#,##0.0000\);_(* &quot;-&quot;??_);_(@_)"/>
    <numFmt numFmtId="183" formatCode="0.0000000%"/>
    <numFmt numFmtId="188" formatCode="0.00000000000000000%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0"/>
      <name val="Aptos Narrow"/>
      <family val="2"/>
      <scheme val="minor"/>
    </font>
    <font>
      <b/>
      <sz val="10"/>
      <color theme="0"/>
      <name val="Helvetica Neue"/>
      <family val="2"/>
    </font>
    <font>
      <b/>
      <i/>
      <sz val="12"/>
      <color theme="0"/>
      <name val="Aptos Narrow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i/>
      <sz val="12"/>
      <color theme="1"/>
      <name val="Aptos Narrow"/>
      <family val="2"/>
      <scheme val="minor"/>
    </font>
    <font>
      <i/>
      <sz val="12"/>
      <color theme="0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0"/>
      <name val="Aptos Narrow (Body)"/>
    </font>
    <font>
      <sz val="18"/>
      <color theme="0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C9C9C9"/>
        <bgColor rgb="FFFFFFFF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</cellStyleXfs>
  <cellXfs count="281">
    <xf numFmtId="0" fontId="0" fillId="0" borderId="0" xfId="0"/>
    <xf numFmtId="0" fontId="4" fillId="0" borderId="0" xfId="0" applyFont="1"/>
    <xf numFmtId="0" fontId="3" fillId="0" borderId="0" xfId="0" applyFont="1"/>
    <xf numFmtId="4" fontId="3" fillId="0" borderId="0" xfId="0" applyNumberFormat="1" applyFont="1"/>
    <xf numFmtId="165" fontId="0" fillId="0" borderId="0" xfId="1" applyNumberFormat="1" applyFont="1"/>
    <xf numFmtId="166" fontId="0" fillId="0" borderId="0" xfId="1" applyNumberFormat="1" applyFont="1"/>
    <xf numFmtId="168" fontId="3" fillId="0" borderId="0" xfId="1" applyNumberFormat="1" applyFont="1"/>
    <xf numFmtId="168" fontId="0" fillId="0" borderId="0" xfId="1" applyNumberFormat="1" applyFont="1"/>
    <xf numFmtId="168" fontId="3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0" fontId="0" fillId="0" borderId="1" xfId="0" applyBorder="1"/>
    <xf numFmtId="0" fontId="6" fillId="4" borderId="2" xfId="0" applyFont="1" applyFill="1" applyBorder="1"/>
    <xf numFmtId="0" fontId="6" fillId="4" borderId="4" xfId="0" applyFont="1" applyFill="1" applyBorder="1"/>
    <xf numFmtId="166" fontId="0" fillId="3" borderId="0" xfId="1" applyNumberFormat="1" applyFont="1" applyFill="1" applyBorder="1"/>
    <xf numFmtId="168" fontId="6" fillId="4" borderId="4" xfId="1" applyNumberFormat="1" applyFont="1" applyFill="1" applyBorder="1"/>
    <xf numFmtId="168" fontId="6" fillId="4" borderId="3" xfId="1" applyNumberFormat="1" applyFont="1" applyFill="1" applyBorder="1"/>
    <xf numFmtId="169" fontId="6" fillId="4" borderId="4" xfId="0" applyNumberFormat="1" applyFont="1" applyFill="1" applyBorder="1"/>
    <xf numFmtId="169" fontId="6" fillId="4" borderId="3" xfId="2" applyNumberFormat="1" applyFont="1" applyFill="1" applyBorder="1"/>
    <xf numFmtId="169" fontId="3" fillId="0" borderId="0" xfId="2" applyNumberFormat="1" applyFont="1"/>
    <xf numFmtId="169" fontId="0" fillId="0" borderId="0" xfId="2" applyNumberFormat="1" applyFont="1"/>
    <xf numFmtId="169" fontId="3" fillId="0" borderId="0" xfId="2" applyNumberFormat="1" applyFont="1" applyAlignment="1">
      <alignment horizontal="center"/>
    </xf>
    <xf numFmtId="169" fontId="0" fillId="0" borderId="0" xfId="2" applyNumberFormat="1" applyFont="1" applyAlignment="1">
      <alignment horizontal="center"/>
    </xf>
    <xf numFmtId="169" fontId="0" fillId="0" borderId="0" xfId="0" applyNumberFormat="1"/>
    <xf numFmtId="170" fontId="0" fillId="0" borderId="0" xfId="2" applyNumberFormat="1" applyFont="1"/>
    <xf numFmtId="0" fontId="8" fillId="4" borderId="2" xfId="0" applyFont="1" applyFill="1" applyBorder="1" applyAlignment="1">
      <alignment horizontal="center"/>
    </xf>
    <xf numFmtId="0" fontId="0" fillId="0" borderId="6" xfId="0" applyBorder="1"/>
    <xf numFmtId="170" fontId="0" fillId="5" borderId="7" xfId="2" applyNumberFormat="1" applyFont="1" applyFill="1" applyBorder="1"/>
    <xf numFmtId="0" fontId="0" fillId="0" borderId="8" xfId="0" applyBorder="1"/>
    <xf numFmtId="170" fontId="0" fillId="5" borderId="9" xfId="2" applyNumberFormat="1" applyFont="1" applyFill="1" applyBorder="1"/>
    <xf numFmtId="10" fontId="0" fillId="0" borderId="7" xfId="2" applyNumberFormat="1" applyFont="1" applyBorder="1"/>
    <xf numFmtId="10" fontId="0" fillId="5" borderId="7" xfId="2" applyNumberFormat="1" applyFont="1" applyFill="1" applyBorder="1"/>
    <xf numFmtId="9" fontId="0" fillId="5" borderId="9" xfId="2" applyFont="1" applyFill="1" applyBorder="1"/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10" fillId="0" borderId="11" xfId="0" applyFont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8" fillId="4" borderId="16" xfId="0" applyFont="1" applyFill="1" applyBorder="1"/>
    <xf numFmtId="0" fontId="8" fillId="4" borderId="17" xfId="0" applyFont="1" applyFill="1" applyBorder="1"/>
    <xf numFmtId="0" fontId="8" fillId="4" borderId="18" xfId="0" applyFont="1" applyFill="1" applyBorder="1"/>
    <xf numFmtId="166" fontId="12" fillId="0" borderId="7" xfId="0" applyNumberFormat="1" applyFont="1" applyBorder="1"/>
    <xf numFmtId="166" fontId="0" fillId="0" borderId="7" xfId="0" applyNumberFormat="1" applyBorder="1"/>
    <xf numFmtId="166" fontId="0" fillId="0" borderId="9" xfId="0" applyNumberFormat="1" applyBorder="1"/>
    <xf numFmtId="0" fontId="8" fillId="4" borderId="5" xfId="0" applyFont="1" applyFill="1" applyBorder="1"/>
    <xf numFmtId="164" fontId="0" fillId="0" borderId="8" xfId="2" applyNumberFormat="1" applyFont="1" applyBorder="1"/>
    <xf numFmtId="164" fontId="0" fillId="0" borderId="1" xfId="2" applyNumberFormat="1" applyFont="1" applyBorder="1"/>
    <xf numFmtId="9" fontId="0" fillId="0" borderId="9" xfId="2" applyFont="1" applyBorder="1"/>
    <xf numFmtId="0" fontId="8" fillId="4" borderId="2" xfId="0" applyFont="1" applyFill="1" applyBorder="1"/>
    <xf numFmtId="0" fontId="8" fillId="4" borderId="3" xfId="0" applyFont="1" applyFill="1" applyBorder="1"/>
    <xf numFmtId="0" fontId="0" fillId="0" borderId="18" xfId="0" applyBorder="1"/>
    <xf numFmtId="172" fontId="0" fillId="0" borderId="11" xfId="2" applyNumberFormat="1" applyFont="1" applyBorder="1"/>
    <xf numFmtId="172" fontId="0" fillId="0" borderId="9" xfId="2" applyNumberFormat="1" applyFont="1" applyBorder="1"/>
    <xf numFmtId="171" fontId="0" fillId="0" borderId="1" xfId="0" applyNumberFormat="1" applyBorder="1"/>
    <xf numFmtId="171" fontId="0" fillId="0" borderId="20" xfId="0" applyNumberFormat="1" applyBorder="1"/>
    <xf numFmtId="171" fontId="0" fillId="0" borderId="9" xfId="0" applyNumberFormat="1" applyBorder="1"/>
    <xf numFmtId="0" fontId="13" fillId="0" borderId="6" xfId="0" applyFont="1" applyBorder="1"/>
    <xf numFmtId="0" fontId="13" fillId="0" borderId="7" xfId="0" applyFont="1" applyBorder="1"/>
    <xf numFmtId="169" fontId="0" fillId="0" borderId="1" xfId="0" applyNumberFormat="1" applyBorder="1"/>
    <xf numFmtId="169" fontId="0" fillId="0" borderId="9" xfId="0" applyNumberFormat="1" applyBorder="1"/>
    <xf numFmtId="10" fontId="0" fillId="0" borderId="5" xfId="0" applyNumberFormat="1" applyBorder="1"/>
    <xf numFmtId="10" fontId="0" fillId="0" borderId="11" xfId="2" applyNumberFormat="1" applyFont="1" applyBorder="1"/>
    <xf numFmtId="10" fontId="0" fillId="0" borderId="9" xfId="2" applyNumberFormat="1" applyFont="1" applyBorder="1"/>
    <xf numFmtId="43" fontId="0" fillId="0" borderId="0" xfId="0" applyNumberFormat="1"/>
    <xf numFmtId="43" fontId="0" fillId="0" borderId="8" xfId="1" applyFont="1" applyBorder="1"/>
    <xf numFmtId="164" fontId="0" fillId="0" borderId="11" xfId="2" applyNumberFormat="1" applyFont="1" applyBorder="1"/>
    <xf numFmtId="164" fontId="0" fillId="0" borderId="9" xfId="2" applyNumberFormat="1" applyFont="1" applyBorder="1"/>
    <xf numFmtId="0" fontId="0" fillId="0" borderId="0" xfId="0" applyAlignment="1">
      <alignment wrapText="1"/>
    </xf>
    <xf numFmtId="0" fontId="15" fillId="0" borderId="0" xfId="0" applyFont="1"/>
    <xf numFmtId="0" fontId="8" fillId="4" borderId="5" xfId="0" applyFont="1" applyFill="1" applyBorder="1" applyAlignment="1">
      <alignment wrapText="1"/>
    </xf>
    <xf numFmtId="43" fontId="0" fillId="0" borderId="3" xfId="0" applyNumberFormat="1" applyBorder="1"/>
    <xf numFmtId="0" fontId="8" fillId="0" borderId="0" xfId="0" applyFont="1"/>
    <xf numFmtId="0" fontId="0" fillId="3" borderId="6" xfId="0" applyFill="1" applyBorder="1" applyAlignment="1">
      <alignment vertical="center"/>
    </xf>
    <xf numFmtId="9" fontId="0" fillId="3" borderId="7" xfId="2" applyFont="1" applyFill="1" applyBorder="1"/>
    <xf numFmtId="0" fontId="0" fillId="0" borderId="6" xfId="0" applyBorder="1" applyAlignment="1">
      <alignment vertical="center"/>
    </xf>
    <xf numFmtId="9" fontId="0" fillId="5" borderId="7" xfId="2" applyFont="1" applyFill="1" applyBorder="1"/>
    <xf numFmtId="0" fontId="0" fillId="3" borderId="8" xfId="0" applyFill="1" applyBorder="1" applyAlignment="1">
      <alignment vertical="center"/>
    </xf>
    <xf numFmtId="170" fontId="0" fillId="6" borderId="9" xfId="2" applyNumberFormat="1" applyFont="1" applyFill="1" applyBorder="1"/>
    <xf numFmtId="10" fontId="0" fillId="3" borderId="7" xfId="2" applyNumberFormat="1" applyFont="1" applyFill="1" applyBorder="1"/>
    <xf numFmtId="170" fontId="0" fillId="3" borderId="7" xfId="2" applyNumberFormat="1" applyFont="1" applyFill="1" applyBorder="1"/>
    <xf numFmtId="9" fontId="0" fillId="6" borderId="9" xfId="2" applyFont="1" applyFill="1" applyBorder="1"/>
    <xf numFmtId="43" fontId="3" fillId="0" borderId="0" xfId="1" applyFont="1"/>
    <xf numFmtId="167" fontId="0" fillId="3" borderId="0" xfId="0" applyNumberFormat="1" applyFill="1"/>
    <xf numFmtId="165" fontId="0" fillId="3" borderId="7" xfId="1" applyNumberFormat="1" applyFont="1" applyFill="1" applyBorder="1"/>
    <xf numFmtId="167" fontId="0" fillId="0" borderId="0" xfId="0" applyNumberFormat="1"/>
    <xf numFmtId="166" fontId="0" fillId="0" borderId="0" xfId="1" applyNumberFormat="1" applyFont="1" applyBorder="1"/>
    <xf numFmtId="165" fontId="0" fillId="0" borderId="7" xfId="1" applyNumberFormat="1" applyFont="1" applyBorder="1"/>
    <xf numFmtId="166" fontId="2" fillId="0" borderId="0" xfId="1" applyNumberFormat="1" applyFont="1" applyBorder="1"/>
    <xf numFmtId="165" fontId="2" fillId="0" borderId="7" xfId="1" applyNumberFormat="1" applyFont="1" applyBorder="1"/>
    <xf numFmtId="167" fontId="2" fillId="3" borderId="0" xfId="0" applyNumberFormat="1" applyFont="1" applyFill="1"/>
    <xf numFmtId="166" fontId="2" fillId="3" borderId="0" xfId="1" applyNumberFormat="1" applyFont="1" applyFill="1" applyBorder="1"/>
    <xf numFmtId="165" fontId="2" fillId="3" borderId="7" xfId="1" applyNumberFormat="1" applyFont="1" applyFill="1" applyBorder="1"/>
    <xf numFmtId="0" fontId="0" fillId="0" borderId="8" xfId="0" applyBorder="1" applyAlignment="1">
      <alignment vertical="center"/>
    </xf>
    <xf numFmtId="167" fontId="2" fillId="0" borderId="1" xfId="0" applyNumberFormat="1" applyFont="1" applyBorder="1"/>
    <xf numFmtId="166" fontId="0" fillId="0" borderId="1" xfId="1" applyNumberFormat="1" applyFont="1" applyBorder="1"/>
    <xf numFmtId="165" fontId="0" fillId="0" borderId="9" xfId="1" applyNumberFormat="1" applyFont="1" applyBorder="1"/>
    <xf numFmtId="166" fontId="0" fillId="3" borderId="0" xfId="1" applyNumberFormat="1" applyFont="1" applyFill="1" applyBorder="1" applyAlignment="1">
      <alignment horizontal="left"/>
    </xf>
    <xf numFmtId="0" fontId="0" fillId="3" borderId="6" xfId="0" applyFill="1" applyBorder="1" applyAlignment="1">
      <alignment horizontal="left" vertical="center"/>
    </xf>
    <xf numFmtId="167" fontId="0" fillId="3" borderId="0" xfId="0" applyNumberFormat="1" applyFill="1" applyAlignment="1">
      <alignment horizontal="left"/>
    </xf>
    <xf numFmtId="165" fontId="0" fillId="3" borderId="7" xfId="1" applyNumberFormat="1" applyFont="1" applyFill="1" applyBorder="1" applyAlignment="1">
      <alignment horizontal="left"/>
    </xf>
    <xf numFmtId="0" fontId="0" fillId="0" borderId="6" xfId="0" applyBorder="1" applyAlignment="1">
      <alignment horizontal="left" vertical="center"/>
    </xf>
    <xf numFmtId="167" fontId="0" fillId="0" borderId="0" xfId="0" applyNumberFormat="1" applyAlignment="1">
      <alignment horizontal="left"/>
    </xf>
    <xf numFmtId="166" fontId="0" fillId="0" borderId="0" xfId="1" applyNumberFormat="1" applyFont="1" applyBorder="1" applyAlignment="1">
      <alignment horizontal="left"/>
    </xf>
    <xf numFmtId="165" fontId="0" fillId="0" borderId="7" xfId="1" applyNumberFormat="1" applyFont="1" applyBorder="1" applyAlignment="1">
      <alignment horizontal="left"/>
    </xf>
    <xf numFmtId="166" fontId="2" fillId="0" borderId="0" xfId="1" applyNumberFormat="1" applyFont="1" applyBorder="1" applyAlignment="1">
      <alignment horizontal="left"/>
    </xf>
    <xf numFmtId="165" fontId="2" fillId="0" borderId="7" xfId="1" applyNumberFormat="1" applyFont="1" applyBorder="1" applyAlignment="1">
      <alignment horizontal="left"/>
    </xf>
    <xf numFmtId="0" fontId="0" fillId="0" borderId="8" xfId="0" applyBorder="1" applyAlignment="1">
      <alignment horizontal="left" vertical="center"/>
    </xf>
    <xf numFmtId="167" fontId="0" fillId="0" borderId="1" xfId="0" applyNumberFormat="1" applyBorder="1" applyAlignment="1">
      <alignment horizontal="left"/>
    </xf>
    <xf numFmtId="166" fontId="0" fillId="0" borderId="1" xfId="1" applyNumberFormat="1" applyFont="1" applyBorder="1" applyAlignment="1">
      <alignment horizontal="left"/>
    </xf>
    <xf numFmtId="165" fontId="0" fillId="0" borderId="9" xfId="1" applyNumberFormat="1" applyFont="1" applyBorder="1" applyAlignment="1">
      <alignment horizontal="left"/>
    </xf>
    <xf numFmtId="173" fontId="0" fillId="0" borderId="7" xfId="1" applyNumberFormat="1" applyFont="1" applyBorder="1"/>
    <xf numFmtId="10" fontId="0" fillId="0" borderId="17" xfId="2" applyNumberFormat="1" applyFont="1" applyBorder="1"/>
    <xf numFmtId="10" fontId="0" fillId="0" borderId="18" xfId="2" applyNumberFormat="1" applyFont="1" applyBorder="1"/>
    <xf numFmtId="43" fontId="0" fillId="0" borderId="10" xfId="0" applyNumberFormat="1" applyBorder="1"/>
    <xf numFmtId="10" fontId="0" fillId="0" borderId="3" xfId="1" applyNumberFormat="1" applyFont="1" applyBorder="1"/>
    <xf numFmtId="9" fontId="0" fillId="0" borderId="9" xfId="2" applyFont="1" applyBorder="1" applyAlignment="1">
      <alignment horizontal="left" indent="15"/>
    </xf>
    <xf numFmtId="173" fontId="0" fillId="0" borderId="11" xfId="1" applyNumberFormat="1" applyFont="1" applyBorder="1"/>
    <xf numFmtId="173" fontId="0" fillId="0" borderId="9" xfId="1" applyNumberFormat="1" applyFont="1" applyBorder="1"/>
    <xf numFmtId="0" fontId="8" fillId="0" borderId="0" xfId="0" applyFont="1" applyAlignment="1">
      <alignment horizontal="center"/>
    </xf>
    <xf numFmtId="173" fontId="0" fillId="0" borderId="5" xfId="0" applyNumberFormat="1" applyBorder="1" applyAlignment="1">
      <alignment horizontal="center" vertical="top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4" borderId="6" xfId="0" applyFont="1" applyFill="1" applyBorder="1"/>
    <xf numFmtId="0" fontId="16" fillId="4" borderId="18" xfId="0" applyFont="1" applyFill="1" applyBorder="1"/>
    <xf numFmtId="10" fontId="0" fillId="0" borderId="7" xfId="0" applyNumberFormat="1" applyBorder="1"/>
    <xf numFmtId="10" fontId="0" fillId="0" borderId="6" xfId="2" applyNumberFormat="1" applyFont="1" applyBorder="1"/>
    <xf numFmtId="10" fontId="0" fillId="0" borderId="6" xfId="2" applyNumberFormat="1" applyFont="1" applyFill="1" applyBorder="1"/>
    <xf numFmtId="0" fontId="14" fillId="0" borderId="1" xfId="0" applyFont="1" applyBorder="1"/>
    <xf numFmtId="173" fontId="14" fillId="0" borderId="7" xfId="1" applyNumberFormat="1" applyFont="1" applyBorder="1"/>
    <xf numFmtId="171" fontId="0" fillId="0" borderId="0" xfId="0" applyNumberFormat="1"/>
    <xf numFmtId="0" fontId="8" fillId="4" borderId="8" xfId="0" applyFont="1" applyFill="1" applyBorder="1"/>
    <xf numFmtId="0" fontId="8" fillId="4" borderId="9" xfId="0" applyFont="1" applyFill="1" applyBorder="1"/>
    <xf numFmtId="0" fontId="0" fillId="4" borderId="21" xfId="0" applyFill="1" applyBorder="1"/>
    <xf numFmtId="0" fontId="8" fillId="4" borderId="1" xfId="0" applyFont="1" applyFill="1" applyBorder="1"/>
    <xf numFmtId="165" fontId="0" fillId="0" borderId="0" xfId="1" applyNumberFormat="1" applyFont="1" applyBorder="1"/>
    <xf numFmtId="165" fontId="0" fillId="0" borderId="1" xfId="1" applyNumberFormat="1" applyFont="1" applyBorder="1"/>
    <xf numFmtId="4" fontId="3" fillId="0" borderId="1" xfId="0" applyNumberFormat="1" applyFont="1" applyBorder="1"/>
    <xf numFmtId="0" fontId="5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66" fontId="5" fillId="2" borderId="1" xfId="1" applyNumberFormat="1" applyFont="1" applyFill="1" applyBorder="1" applyAlignment="1">
      <alignment horizontal="left"/>
    </xf>
    <xf numFmtId="165" fontId="5" fillId="2" borderId="9" xfId="1" applyNumberFormat="1" applyFont="1" applyFill="1" applyBorder="1" applyAlignment="1">
      <alignment horizontal="left"/>
    </xf>
    <xf numFmtId="0" fontId="5" fillId="2" borderId="8" xfId="0" applyFont="1" applyFill="1" applyBorder="1"/>
    <xf numFmtId="0" fontId="5" fillId="2" borderId="9" xfId="0" applyFont="1" applyFill="1" applyBorder="1"/>
    <xf numFmtId="0" fontId="7" fillId="4" borderId="8" xfId="0" applyFont="1" applyFill="1" applyBorder="1" applyAlignment="1">
      <alignment horizontal="centerContinuous"/>
    </xf>
    <xf numFmtId="0" fontId="7" fillId="4" borderId="9" xfId="0" applyFont="1" applyFill="1" applyBorder="1" applyAlignment="1">
      <alignment horizontal="centerContinuous"/>
    </xf>
    <xf numFmtId="0" fontId="5" fillId="2" borderId="1" xfId="0" applyFont="1" applyFill="1" applyBorder="1"/>
    <xf numFmtId="166" fontId="5" fillId="2" borderId="1" xfId="1" applyNumberFormat="1" applyFont="1" applyFill="1" applyBorder="1"/>
    <xf numFmtId="165" fontId="5" fillId="2" borderId="9" xfId="1" applyNumberFormat="1" applyFont="1" applyFill="1" applyBorder="1"/>
    <xf numFmtId="0" fontId="3" fillId="0" borderId="1" xfId="0" applyFont="1" applyBorder="1"/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7" fillId="7" borderId="10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/>
    </xf>
    <xf numFmtId="0" fontId="17" fillId="7" borderId="11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0" fontId="0" fillId="0" borderId="0" xfId="2" applyNumberFormat="1" applyFont="1" applyBorder="1" applyAlignment="1">
      <alignment horizontal="center" vertical="center"/>
    </xf>
    <xf numFmtId="10" fontId="0" fillId="0" borderId="0" xfId="2" applyNumberFormat="1" applyFont="1"/>
    <xf numFmtId="164" fontId="0" fillId="0" borderId="0" xfId="2" applyNumberFormat="1" applyFont="1"/>
    <xf numFmtId="164" fontId="0" fillId="0" borderId="0" xfId="0" applyNumberFormat="1"/>
    <xf numFmtId="10" fontId="0" fillId="0" borderId="0" xfId="0" applyNumberFormat="1"/>
    <xf numFmtId="188" fontId="0" fillId="0" borderId="0" xfId="0" applyNumberFormat="1"/>
    <xf numFmtId="9" fontId="0" fillId="0" borderId="0" xfId="2" applyNumberFormat="1" applyFont="1"/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10" fontId="0" fillId="0" borderId="6" xfId="0" applyNumberFormat="1" applyBorder="1"/>
    <xf numFmtId="0" fontId="0" fillId="0" borderId="10" xfId="0" applyBorder="1"/>
    <xf numFmtId="0" fontId="8" fillId="4" borderId="12" xfId="0" applyFont="1" applyFill="1" applyBorder="1" applyAlignment="1">
      <alignment horizontal="center"/>
    </xf>
    <xf numFmtId="0" fontId="0" fillId="0" borderId="0" xfId="0" applyBorder="1"/>
    <xf numFmtId="164" fontId="0" fillId="0" borderId="0" xfId="2" applyNumberFormat="1" applyFont="1" applyBorder="1"/>
    <xf numFmtId="164" fontId="0" fillId="0" borderId="7" xfId="2" applyNumberFormat="1" applyFont="1" applyBorder="1"/>
    <xf numFmtId="10" fontId="0" fillId="0" borderId="0" xfId="2" applyNumberFormat="1" applyFont="1" applyBorder="1"/>
    <xf numFmtId="170" fontId="0" fillId="0" borderId="7" xfId="2" applyNumberFormat="1" applyFont="1" applyBorder="1"/>
    <xf numFmtId="0" fontId="0" fillId="0" borderId="0" xfId="0" applyFill="1" applyBorder="1"/>
    <xf numFmtId="0" fontId="0" fillId="0" borderId="7" xfId="0" applyFill="1" applyBorder="1"/>
    <xf numFmtId="10" fontId="0" fillId="0" borderId="0" xfId="2" applyNumberFormat="1" applyFont="1" applyFill="1" applyBorder="1"/>
    <xf numFmtId="0" fontId="20" fillId="11" borderId="22" xfId="3" applyFont="1" applyFill="1" applyBorder="1"/>
    <xf numFmtId="9" fontId="21" fillId="11" borderId="19" xfId="3" applyNumberFormat="1" applyFont="1" applyFill="1" applyBorder="1"/>
    <xf numFmtId="10" fontId="21" fillId="11" borderId="19" xfId="3" applyNumberFormat="1" applyFont="1" applyFill="1" applyBorder="1"/>
    <xf numFmtId="0" fontId="21" fillId="11" borderId="19" xfId="3" applyFont="1" applyFill="1" applyBorder="1"/>
    <xf numFmtId="0" fontId="21" fillId="11" borderId="23" xfId="3" applyFont="1" applyFill="1" applyBorder="1"/>
    <xf numFmtId="9" fontId="22" fillId="11" borderId="0" xfId="3" applyNumberFormat="1" applyFont="1" applyFill="1" applyBorder="1" applyAlignment="1">
      <alignment horizontal="center"/>
    </xf>
    <xf numFmtId="10" fontId="22" fillId="11" borderId="0" xfId="3" applyNumberFormat="1" applyFont="1" applyFill="1" applyBorder="1" applyAlignment="1">
      <alignment horizontal="center"/>
    </xf>
    <xf numFmtId="0" fontId="22" fillId="11" borderId="0" xfId="3" applyFont="1" applyFill="1" applyBorder="1" applyAlignment="1">
      <alignment horizontal="center"/>
    </xf>
    <xf numFmtId="0" fontId="21" fillId="11" borderId="25" xfId="3" applyFont="1" applyFill="1" applyBorder="1" applyAlignment="1">
      <alignment horizontal="center"/>
    </xf>
    <xf numFmtId="9" fontId="21" fillId="11" borderId="24" xfId="3" applyNumberFormat="1" applyFont="1" applyFill="1" applyBorder="1" applyAlignment="1">
      <alignment horizontal="center"/>
    </xf>
    <xf numFmtId="9" fontId="21" fillId="11" borderId="0" xfId="3" applyNumberFormat="1" applyFont="1" applyFill="1" applyBorder="1" applyAlignment="1">
      <alignment horizontal="center"/>
    </xf>
    <xf numFmtId="0" fontId="21" fillId="11" borderId="24" xfId="3" applyFont="1" applyFill="1" applyBorder="1" applyAlignment="1">
      <alignment horizontal="center"/>
    </xf>
    <xf numFmtId="0" fontId="21" fillId="11" borderId="0" xfId="3" applyFont="1" applyFill="1" applyBorder="1" applyAlignment="1">
      <alignment horizontal="center"/>
    </xf>
    <xf numFmtId="0" fontId="22" fillId="11" borderId="24" xfId="3" applyFont="1" applyFill="1" applyBorder="1"/>
    <xf numFmtId="0" fontId="21" fillId="11" borderId="0" xfId="3" applyFont="1" applyFill="1" applyBorder="1"/>
    <xf numFmtId="10" fontId="21" fillId="11" borderId="0" xfId="3" applyNumberFormat="1" applyFont="1" applyFill="1" applyBorder="1"/>
    <xf numFmtId="0" fontId="21" fillId="11" borderId="25" xfId="3" applyFont="1" applyFill="1" applyBorder="1"/>
    <xf numFmtId="183" fontId="22" fillId="11" borderId="24" xfId="3" applyNumberFormat="1" applyFont="1" applyFill="1" applyBorder="1"/>
    <xf numFmtId="0" fontId="22" fillId="11" borderId="26" xfId="3" applyFont="1" applyFill="1" applyBorder="1"/>
    <xf numFmtId="0" fontId="21" fillId="11" borderId="27" xfId="3" applyFont="1" applyFill="1" applyBorder="1"/>
    <xf numFmtId="2" fontId="21" fillId="11" borderId="27" xfId="3" applyNumberFormat="1" applyFont="1" applyFill="1" applyBorder="1"/>
    <xf numFmtId="0" fontId="21" fillId="11" borderId="28" xfId="3" applyFont="1" applyFill="1" applyBorder="1"/>
    <xf numFmtId="10" fontId="21" fillId="11" borderId="0" xfId="3" applyNumberFormat="1" applyFont="1" applyFill="1" applyBorder="1" applyAlignment="1">
      <alignment horizontal="center"/>
    </xf>
    <xf numFmtId="164" fontId="21" fillId="11" borderId="0" xfId="2" applyNumberFormat="1" applyFont="1" applyFill="1" applyBorder="1"/>
    <xf numFmtId="0" fontId="20" fillId="12" borderId="22" xfId="4" applyFont="1" applyFill="1" applyBorder="1"/>
    <xf numFmtId="0" fontId="21" fillId="12" borderId="19" xfId="4" applyFont="1" applyFill="1" applyBorder="1"/>
    <xf numFmtId="0" fontId="21" fillId="12" borderId="23" xfId="4" applyFont="1" applyFill="1" applyBorder="1"/>
    <xf numFmtId="0" fontId="21" fillId="12" borderId="24" xfId="4" applyFont="1" applyFill="1" applyBorder="1"/>
    <xf numFmtId="0" fontId="21" fillId="12" borderId="0" xfId="4" applyFont="1" applyFill="1" applyBorder="1"/>
    <xf numFmtId="0" fontId="21" fillId="12" borderId="25" xfId="4" applyFont="1" applyFill="1" applyBorder="1"/>
    <xf numFmtId="0" fontId="22" fillId="12" borderId="24" xfId="4" applyFont="1" applyFill="1" applyBorder="1" applyAlignment="1">
      <alignment horizontal="center"/>
    </xf>
    <xf numFmtId="9" fontId="22" fillId="12" borderId="0" xfId="4" applyNumberFormat="1" applyFont="1" applyFill="1" applyBorder="1" applyAlignment="1">
      <alignment horizontal="center"/>
    </xf>
    <xf numFmtId="10" fontId="22" fillId="12" borderId="0" xfId="4" applyNumberFormat="1" applyFont="1" applyFill="1" applyBorder="1" applyAlignment="1">
      <alignment horizontal="center"/>
    </xf>
    <xf numFmtId="0" fontId="22" fillId="12" borderId="0" xfId="4" applyFont="1" applyFill="1" applyBorder="1" applyAlignment="1">
      <alignment horizontal="center"/>
    </xf>
    <xf numFmtId="0" fontId="22" fillId="12" borderId="25" xfId="4" applyFont="1" applyFill="1" applyBorder="1" applyAlignment="1">
      <alignment horizontal="center"/>
    </xf>
    <xf numFmtId="10" fontId="21" fillId="12" borderId="24" xfId="4" applyNumberFormat="1" applyFont="1" applyFill="1" applyBorder="1" applyAlignment="1">
      <alignment horizontal="center"/>
    </xf>
    <xf numFmtId="9" fontId="21" fillId="12" borderId="0" xfId="4" applyNumberFormat="1" applyFont="1" applyFill="1" applyBorder="1" applyAlignment="1">
      <alignment horizontal="center"/>
    </xf>
    <xf numFmtId="10" fontId="21" fillId="12" borderId="0" xfId="4" applyNumberFormat="1" applyFont="1" applyFill="1" applyBorder="1" applyAlignment="1">
      <alignment horizontal="center"/>
    </xf>
    <xf numFmtId="0" fontId="21" fillId="12" borderId="25" xfId="4" applyFont="1" applyFill="1" applyBorder="1" applyAlignment="1">
      <alignment horizontal="center"/>
    </xf>
    <xf numFmtId="0" fontId="21" fillId="12" borderId="26" xfId="4" applyFont="1" applyFill="1" applyBorder="1"/>
    <xf numFmtId="9" fontId="21" fillId="12" borderId="27" xfId="4" applyNumberFormat="1" applyFont="1" applyFill="1" applyBorder="1"/>
    <xf numFmtId="10" fontId="21" fillId="12" borderId="27" xfId="4" applyNumberFormat="1" applyFont="1" applyFill="1" applyBorder="1"/>
    <xf numFmtId="0" fontId="21" fillId="12" borderId="27" xfId="4" applyFont="1" applyFill="1" applyBorder="1"/>
    <xf numFmtId="0" fontId="21" fillId="12" borderId="28" xfId="4" applyFont="1" applyFill="1" applyBorder="1"/>
    <xf numFmtId="0" fontId="8" fillId="4" borderId="11" xfId="0" applyFont="1" applyFill="1" applyBorder="1"/>
    <xf numFmtId="10" fontId="0" fillId="0" borderId="0" xfId="0" applyNumberFormat="1" applyBorder="1"/>
    <xf numFmtId="0" fontId="20" fillId="13" borderId="22" xfId="5" applyFont="1" applyFill="1" applyBorder="1"/>
    <xf numFmtId="0" fontId="20" fillId="13" borderId="19" xfId="5" applyFont="1" applyFill="1" applyBorder="1"/>
    <xf numFmtId="0" fontId="21" fillId="13" borderId="19" xfId="5" applyFont="1" applyFill="1" applyBorder="1"/>
    <xf numFmtId="0" fontId="22" fillId="13" borderId="19" xfId="5" applyFont="1" applyFill="1" applyBorder="1"/>
    <xf numFmtId="0" fontId="21" fillId="13" borderId="23" xfId="5" applyFont="1" applyFill="1" applyBorder="1"/>
    <xf numFmtId="0" fontId="21" fillId="13" borderId="24" xfId="5" applyFont="1" applyFill="1" applyBorder="1"/>
    <xf numFmtId="0" fontId="21" fillId="13" borderId="0" xfId="5" applyFont="1" applyFill="1" applyBorder="1"/>
    <xf numFmtId="0" fontId="22" fillId="13" borderId="0" xfId="5" applyFont="1" applyFill="1" applyBorder="1"/>
    <xf numFmtId="0" fontId="21" fillId="13" borderId="25" xfId="5" applyFont="1" applyFill="1" applyBorder="1"/>
    <xf numFmtId="9" fontId="21" fillId="13" borderId="0" xfId="5" applyNumberFormat="1" applyFont="1" applyFill="1" applyBorder="1"/>
    <xf numFmtId="10" fontId="21" fillId="13" borderId="0" xfId="5" applyNumberFormat="1" applyFont="1" applyFill="1" applyBorder="1"/>
    <xf numFmtId="0" fontId="22" fillId="13" borderId="24" xfId="5" applyFont="1" applyFill="1" applyBorder="1" applyAlignment="1">
      <alignment horizontal="center"/>
    </xf>
    <xf numFmtId="0" fontId="22" fillId="13" borderId="0" xfId="5" applyFont="1" applyFill="1" applyBorder="1" applyAlignment="1">
      <alignment horizontal="center"/>
    </xf>
    <xf numFmtId="9" fontId="21" fillId="13" borderId="24" xfId="2" applyFont="1" applyFill="1" applyBorder="1" applyAlignment="1">
      <alignment horizontal="center"/>
    </xf>
    <xf numFmtId="9" fontId="21" fillId="13" borderId="0" xfId="2" applyFont="1" applyFill="1" applyBorder="1" applyAlignment="1">
      <alignment horizontal="center"/>
    </xf>
    <xf numFmtId="0" fontId="21" fillId="13" borderId="26" xfId="5" applyFont="1" applyFill="1" applyBorder="1"/>
    <xf numFmtId="0" fontId="21" fillId="13" borderId="27" xfId="5" applyFont="1" applyFill="1" applyBorder="1"/>
    <xf numFmtId="0" fontId="21" fillId="13" borderId="28" xfId="5" applyFont="1" applyFill="1" applyBorder="1"/>
    <xf numFmtId="10" fontId="21" fillId="13" borderId="0" xfId="2" applyNumberFormat="1" applyFont="1" applyFill="1" applyBorder="1"/>
    <xf numFmtId="0" fontId="22" fillId="13" borderId="10" xfId="5" applyFont="1" applyFill="1" applyBorder="1"/>
    <xf numFmtId="0" fontId="22" fillId="13" borderId="12" xfId="5" applyFont="1" applyFill="1" applyBorder="1"/>
    <xf numFmtId="0" fontId="22" fillId="13" borderId="11" xfId="5" applyFont="1" applyFill="1" applyBorder="1"/>
    <xf numFmtId="0" fontId="22" fillId="13" borderId="6" xfId="5" applyFont="1" applyFill="1" applyBorder="1"/>
    <xf numFmtId="9" fontId="21" fillId="13" borderId="7" xfId="5" applyNumberFormat="1" applyFont="1" applyFill="1" applyBorder="1"/>
    <xf numFmtId="0" fontId="22" fillId="13" borderId="8" xfId="5" applyFont="1" applyFill="1" applyBorder="1"/>
    <xf numFmtId="9" fontId="21" fillId="13" borderId="1" xfId="5" applyNumberFormat="1" applyFont="1" applyFill="1" applyBorder="1"/>
    <xf numFmtId="10" fontId="21" fillId="13" borderId="9" xfId="5" applyNumberFormat="1" applyFont="1" applyFill="1" applyBorder="1"/>
    <xf numFmtId="170" fontId="0" fillId="0" borderId="0" xfId="2" applyNumberFormat="1" applyFont="1" applyBorder="1"/>
    <xf numFmtId="170" fontId="0" fillId="0" borderId="1" xfId="2" applyNumberFormat="1" applyFont="1" applyBorder="1"/>
    <xf numFmtId="0" fontId="8" fillId="4" borderId="10" xfId="0" applyFont="1" applyFill="1" applyBorder="1" applyAlignment="1"/>
    <xf numFmtId="0" fontId="8" fillId="4" borderId="12" xfId="0" applyFont="1" applyFill="1" applyBorder="1" applyAlignment="1"/>
    <xf numFmtId="170" fontId="0" fillId="0" borderId="0" xfId="0" applyNumberFormat="1" applyBorder="1"/>
    <xf numFmtId="169" fontId="0" fillId="0" borderId="7" xfId="0" applyNumberFormat="1" applyBorder="1"/>
    <xf numFmtId="10" fontId="0" fillId="0" borderId="8" xfId="0" applyNumberFormat="1" applyBorder="1"/>
    <xf numFmtId="10" fontId="0" fillId="0" borderId="1" xfId="0" applyNumberFormat="1" applyBorder="1"/>
    <xf numFmtId="170" fontId="0" fillId="0" borderId="1" xfId="0" applyNumberFormat="1" applyBorder="1"/>
    <xf numFmtId="9" fontId="0" fillId="0" borderId="7" xfId="2" applyFont="1" applyBorder="1"/>
    <xf numFmtId="0" fontId="0" fillId="0" borderId="0" xfId="0" applyFill="1"/>
    <xf numFmtId="10" fontId="0" fillId="0" borderId="0" xfId="2" applyNumberFormat="1" applyFont="1" applyFill="1"/>
    <xf numFmtId="170" fontId="0" fillId="0" borderId="0" xfId="2" applyNumberFormat="1" applyFont="1" applyFill="1"/>
    <xf numFmtId="0" fontId="8" fillId="0" borderId="0" xfId="0" applyFont="1" applyFill="1" applyBorder="1" applyAlignment="1"/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0" xfId="0" applyFont="1" applyFill="1" applyBorder="1"/>
    <xf numFmtId="9" fontId="0" fillId="0" borderId="6" xfId="2" applyFont="1" applyBorder="1"/>
    <xf numFmtId="10" fontId="0" fillId="0" borderId="5" xfId="2" applyNumberFormat="1" applyFont="1" applyBorder="1"/>
    <xf numFmtId="43" fontId="0" fillId="0" borderId="17" xfId="0" applyNumberFormat="1" applyBorder="1"/>
    <xf numFmtId="0" fontId="13" fillId="0" borderId="0" xfId="0" applyFont="1" applyBorder="1"/>
  </cellXfs>
  <cellStyles count="6">
    <cellStyle name="60% - Accent3" xfId="5" builtinId="40"/>
    <cellStyle name="Comma" xfId="1" builtinId="3"/>
    <cellStyle name="Good" xfId="3" builtinId="26"/>
    <cellStyle name="Neutral" xfId="4" builtinId="2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Capital</a:t>
            </a:r>
            <a:r>
              <a:rPr lang="en-GB" baseline="0"/>
              <a:t> Allocation Line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Calculations'!$X$3:$X$13</c:f>
              <c:numCache>
                <c:formatCode>0.0%</c:formatCode>
                <c:ptCount val="11"/>
                <c:pt idx="0">
                  <c:v>0.39955466076878243</c:v>
                </c:pt>
                <c:pt idx="1">
                  <c:v>0.36045401102931918</c:v>
                </c:pt>
                <c:pt idx="2">
                  <c:v>0.32322882859295932</c:v>
                </c:pt>
                <c:pt idx="3">
                  <c:v>0.28860573736745643</c:v>
                </c:pt>
                <c:pt idx="4">
                  <c:v>0.25763594875450557</c:v>
                </c:pt>
                <c:pt idx="5">
                  <c:v>0.23178849622282732</c:v>
                </c:pt>
                <c:pt idx="6">
                  <c:v>0.21293695384603742</c:v>
                </c:pt>
                <c:pt idx="7">
                  <c:v>0.20303940525573777</c:v>
                </c:pt>
                <c:pt idx="8">
                  <c:v>0.20340714909108379</c:v>
                </c:pt>
                <c:pt idx="9">
                  <c:v>0.21398726821356795</c:v>
                </c:pt>
                <c:pt idx="10">
                  <c:v>0.23339504719473586</c:v>
                </c:pt>
              </c:numCache>
            </c:numRef>
          </c:xVal>
          <c:yVal>
            <c:numRef>
              <c:f>'Portfolio Calculations'!$Y$3:$Y$13</c:f>
              <c:numCache>
                <c:formatCode>0.0%</c:formatCode>
                <c:ptCount val="11"/>
                <c:pt idx="0">
                  <c:v>1.5102759825674881</c:v>
                </c:pt>
                <c:pt idx="1">
                  <c:v>1.4367857581770211</c:v>
                </c:pt>
                <c:pt idx="2">
                  <c:v>1.3632955337865544</c:v>
                </c:pt>
                <c:pt idx="3">
                  <c:v>1.2898053093960875</c:v>
                </c:pt>
                <c:pt idx="4">
                  <c:v>1.2163150850056206</c:v>
                </c:pt>
                <c:pt idx="5">
                  <c:v>1.1428248606151536</c:v>
                </c:pt>
                <c:pt idx="6">
                  <c:v>1.0693346362246867</c:v>
                </c:pt>
                <c:pt idx="7">
                  <c:v>0.99584441183421979</c:v>
                </c:pt>
                <c:pt idx="8">
                  <c:v>0.92235418744375286</c:v>
                </c:pt>
                <c:pt idx="9">
                  <c:v>0.84886396305328593</c:v>
                </c:pt>
                <c:pt idx="10">
                  <c:v>0.77537373866281889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C8-DB45-A8ED-F140520B2A88}"/>
            </c:ext>
          </c:extLst>
        </c:ser>
        <c:ser>
          <c:idx val="1"/>
          <c:order val="1"/>
          <c:tx>
            <c:v>GMVP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'Portfolio Calculations'!$Y$22</c:f>
              <c:numCache>
                <c:formatCode>0.00%</c:formatCode>
                <c:ptCount val="1"/>
                <c:pt idx="0">
                  <c:v>0.19542770161478085</c:v>
                </c:pt>
              </c:numCache>
            </c:numRef>
          </c:xVal>
          <c:yVal>
            <c:numRef>
              <c:f>'Portfolio Calculations'!$Z$22</c:f>
              <c:numCache>
                <c:formatCode>0.00%</c:formatCode>
                <c:ptCount val="1"/>
                <c:pt idx="0">
                  <c:v>0.97032582878053375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C8-DB45-A8ED-F140520B2A88}"/>
            </c:ext>
          </c:extLst>
        </c:ser>
        <c:ser>
          <c:idx val="2"/>
          <c:order val="2"/>
          <c:tx>
            <c:v>ORP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'Portfolio Calculations'!$Y$27</c:f>
              <c:numCache>
                <c:formatCode>0.00%</c:formatCode>
                <c:ptCount val="1"/>
                <c:pt idx="0">
                  <c:v>0.21394523400562657</c:v>
                </c:pt>
              </c:numCache>
            </c:numRef>
          </c:xVal>
          <c:yVal>
            <c:numRef>
              <c:f>'Portfolio Calculations'!$Z$27</c:f>
              <c:numCache>
                <c:formatCode>0.00%</c:formatCode>
                <c:ptCount val="1"/>
                <c:pt idx="0">
                  <c:v>1.0742816407065292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C8-DB45-A8ED-F140520B2A88}"/>
            </c:ext>
          </c:extLst>
        </c:ser>
        <c:ser>
          <c:idx val="3"/>
          <c:order val="3"/>
          <c:tx>
            <c:v>CAL</c:v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'Portfolio Calculations'!$AD$2:$AD$8</c:f>
              <c:numCache>
                <c:formatCode>0%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</c:numCache>
            </c:numRef>
          </c:xVal>
          <c:yVal>
            <c:numRef>
              <c:f>'Portfolio Calculations'!$AC$2:$AC$8</c:f>
              <c:numCache>
                <c:formatCode>0%</c:formatCode>
                <c:ptCount val="7"/>
                <c:pt idx="0" formatCode="0.00%">
                  <c:v>4.2999999999999997E-2</c:v>
                </c:pt>
                <c:pt idx="1">
                  <c:v>0.52503066803507648</c:v>
                </c:pt>
                <c:pt idx="2">
                  <c:v>1.007061336070153</c:v>
                </c:pt>
                <c:pt idx="3">
                  <c:v>1.4890920041052296</c:v>
                </c:pt>
                <c:pt idx="4">
                  <c:v>1.9711226721403059</c:v>
                </c:pt>
                <c:pt idx="5">
                  <c:v>2.4531533401753824</c:v>
                </c:pt>
                <c:pt idx="6">
                  <c:v>2.935184008210459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C8-DB45-A8ED-F140520B2A88}"/>
            </c:ext>
          </c:extLst>
        </c:ser>
        <c:ser>
          <c:idx val="4"/>
          <c:order val="4"/>
          <c:tx>
            <c:v>OCP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'Portfolio Calculations'!$X$39</c:f>
              <c:numCache>
                <c:formatCode>0%</c:formatCode>
                <c:ptCount val="1"/>
                <c:pt idx="0">
                  <c:v>0.22973216417525602</c:v>
                </c:pt>
              </c:numCache>
            </c:numRef>
          </c:xVal>
          <c:yVal>
            <c:numRef>
              <c:f>'Portfolio Calculations'!$Y$39</c:f>
              <c:numCache>
                <c:formatCode>0%</c:formatCode>
                <c:ptCount val="1"/>
                <c:pt idx="0">
                  <c:v>1.150379485665425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7C8-DB45-A8ED-F140520B2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783344"/>
        <c:axId val="1350996991"/>
      </c:scatterChart>
      <c:valAx>
        <c:axId val="186378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Expected 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996991"/>
        <c:crosses val="autoZero"/>
        <c:crossBetween val="midCat"/>
      </c:valAx>
      <c:valAx>
        <c:axId val="13509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Expected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783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39688</xdr:colOff>
      <xdr:row>42</xdr:row>
      <xdr:rowOff>57150</xdr:rowOff>
    </xdr:from>
    <xdr:to>
      <xdr:col>27</xdr:col>
      <xdr:colOff>80962</xdr:colOff>
      <xdr:row>63</xdr:row>
      <xdr:rowOff>119061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782509-A69D-3452-25AB-C3D8EC61D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E895-99D8-D14C-B58A-CDB0F25DA33D}">
  <sheetPr codeName="Sheet1"/>
  <dimension ref="A1:R131"/>
  <sheetViews>
    <sheetView zoomScale="50" workbookViewId="0">
      <selection activeCell="P41" sqref="P41"/>
    </sheetView>
  </sheetViews>
  <sheetFormatPr baseColWidth="10" defaultColWidth="11.5" defaultRowHeight="16" x14ac:dyDescent="0.2"/>
  <cols>
    <col min="2" max="2" width="12" customWidth="1"/>
    <col min="3" max="3" width="10.33203125" style="7" customWidth="1"/>
    <col min="4" max="4" width="10.83203125" style="7"/>
    <col min="7" max="7" width="13.33203125" customWidth="1"/>
    <col min="8" max="8" width="16" style="5" customWidth="1"/>
    <col min="9" max="9" width="15.1640625" style="4" customWidth="1"/>
    <col min="11" max="11" width="11" customWidth="1"/>
    <col min="12" max="12" width="14.83203125" customWidth="1"/>
    <col min="14" max="14" width="16" customWidth="1"/>
    <col min="15" max="15" width="14.1640625" customWidth="1"/>
    <col min="17" max="17" width="14.1640625" customWidth="1"/>
    <col min="18" max="18" width="13.6640625" customWidth="1"/>
  </cols>
  <sheetData>
    <row r="1" spans="1:18" ht="17" thickBot="1" x14ac:dyDescent="0.25">
      <c r="A1" s="11" t="s">
        <v>0</v>
      </c>
      <c r="B1" s="12" t="s">
        <v>1</v>
      </c>
      <c r="C1" s="14" t="s">
        <v>131</v>
      </c>
      <c r="D1" s="15" t="s">
        <v>132</v>
      </c>
    </row>
    <row r="2" spans="1:18" x14ac:dyDescent="0.2">
      <c r="A2" s="1" t="s">
        <v>119</v>
      </c>
      <c r="B2" s="3">
        <v>1431.01</v>
      </c>
      <c r="C2" s="6">
        <f>(B2-B3)/B3</f>
        <v>1.8606703823129615E-2</v>
      </c>
      <c r="D2" s="7">
        <f>LN(B2/B3)</f>
        <v>1.8435716855633513E-2</v>
      </c>
    </row>
    <row r="3" spans="1:18" x14ac:dyDescent="0.2">
      <c r="A3" s="1" t="s">
        <v>118</v>
      </c>
      <c r="B3" s="3">
        <v>1404.87</v>
      </c>
      <c r="C3" s="6">
        <f t="shared" ref="C3:C66" si="0">(B3-B4)/B4</f>
        <v>-4.2315216466785937E-3</v>
      </c>
      <c r="D3" s="7">
        <f t="shared" ref="D3:D66" si="1">LN(B3/B4)</f>
        <v>-4.2404998710537361E-3</v>
      </c>
    </row>
    <row r="4" spans="1:18" x14ac:dyDescent="0.2">
      <c r="A4" s="1" t="s">
        <v>117</v>
      </c>
      <c r="B4" s="3">
        <v>1410.84</v>
      </c>
      <c r="C4" s="6">
        <f t="shared" si="0"/>
        <v>2.8009326726901651E-2</v>
      </c>
      <c r="D4" s="7">
        <f t="shared" si="1"/>
        <v>2.7624239683355374E-2</v>
      </c>
    </row>
    <row r="5" spans="1:18" x14ac:dyDescent="0.2">
      <c r="A5" s="1" t="s">
        <v>116</v>
      </c>
      <c r="B5" s="3">
        <v>1372.4</v>
      </c>
      <c r="C5" s="6">
        <f t="shared" si="0"/>
        <v>1.4203579715928425E-2</v>
      </c>
      <c r="D5" s="7">
        <f t="shared" si="1"/>
        <v>1.4103653968222454E-2</v>
      </c>
    </row>
    <row r="6" spans="1:18" x14ac:dyDescent="0.2">
      <c r="A6" s="1" t="s">
        <v>115</v>
      </c>
      <c r="B6" s="3">
        <v>1353.18</v>
      </c>
      <c r="C6" s="6">
        <f t="shared" si="0"/>
        <v>7.460019655141592E-3</v>
      </c>
      <c r="D6" s="7">
        <f t="shared" si="1"/>
        <v>7.4323313268955821E-3</v>
      </c>
    </row>
    <row r="7" spans="1:18" x14ac:dyDescent="0.2">
      <c r="A7" s="1" t="s">
        <v>114</v>
      </c>
      <c r="B7" s="3">
        <v>1343.16</v>
      </c>
      <c r="C7" s="6">
        <f t="shared" si="0"/>
        <v>-1.536521713632218E-2</v>
      </c>
      <c r="D7" s="7">
        <f t="shared" si="1"/>
        <v>-1.5484485384111473E-2</v>
      </c>
    </row>
    <row r="8" spans="1:18" ht="17" thickBot="1" x14ac:dyDescent="0.25">
      <c r="A8" s="1" t="s">
        <v>113</v>
      </c>
      <c r="B8" s="3">
        <v>1364.12</v>
      </c>
      <c r="C8" s="6">
        <f t="shared" si="0"/>
        <v>-1.2358907898261762E-2</v>
      </c>
      <c r="D8" s="7">
        <f t="shared" si="1"/>
        <v>-1.2435914335250925E-2</v>
      </c>
    </row>
    <row r="9" spans="1:18" x14ac:dyDescent="0.2">
      <c r="A9" s="1" t="s">
        <v>112</v>
      </c>
      <c r="B9" s="3">
        <v>1381.19</v>
      </c>
      <c r="C9" s="6">
        <f t="shared" si="0"/>
        <v>2.6716223750232339E-2</v>
      </c>
      <c r="D9" s="7">
        <f t="shared" si="1"/>
        <v>2.6365577039009828E-2</v>
      </c>
      <c r="F9" s="152" t="s">
        <v>207</v>
      </c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4"/>
    </row>
    <row r="10" spans="1:18" ht="17" thickBot="1" x14ac:dyDescent="0.25">
      <c r="A10" s="1" t="s">
        <v>111</v>
      </c>
      <c r="B10" s="3">
        <v>1345.25</v>
      </c>
      <c r="C10" s="6">
        <f t="shared" si="0"/>
        <v>4.9828923187258687E-3</v>
      </c>
      <c r="D10" s="7">
        <f t="shared" si="1"/>
        <v>4.9705187977215114E-3</v>
      </c>
      <c r="F10" s="155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7"/>
    </row>
    <row r="11" spans="1:18" ht="17" thickBot="1" x14ac:dyDescent="0.25">
      <c r="A11" s="1" t="s">
        <v>110</v>
      </c>
      <c r="B11" s="3">
        <v>1338.58</v>
      </c>
      <c r="C11" s="6">
        <f t="shared" si="0"/>
        <v>-3.997647598829538E-2</v>
      </c>
      <c r="D11" s="7">
        <f t="shared" si="1"/>
        <v>-4.0797490641618604E-2</v>
      </c>
      <c r="F11" s="142" t="s">
        <v>130</v>
      </c>
      <c r="G11" s="146" t="s">
        <v>1</v>
      </c>
      <c r="H11" s="147" t="s">
        <v>131</v>
      </c>
      <c r="I11" s="148" t="s">
        <v>133</v>
      </c>
      <c r="K11" s="142" t="s">
        <v>130</v>
      </c>
      <c r="L11" s="143" t="s">
        <v>160</v>
      </c>
      <c r="N11" s="144" t="s">
        <v>158</v>
      </c>
      <c r="O11" s="145"/>
      <c r="Q11" s="144" t="s">
        <v>159</v>
      </c>
      <c r="R11" s="145"/>
    </row>
    <row r="12" spans="1:18" x14ac:dyDescent="0.2">
      <c r="A12" s="1" t="s">
        <v>109</v>
      </c>
      <c r="B12" s="3">
        <v>1394.32</v>
      </c>
      <c r="C12" s="6">
        <f t="shared" si="0"/>
        <v>2.7305011567422561E-2</v>
      </c>
      <c r="D12" s="7">
        <f t="shared" si="1"/>
        <v>2.6938879615626882E-2</v>
      </c>
      <c r="F12" s="73" t="s">
        <v>122</v>
      </c>
      <c r="G12" s="83">
        <f>AVERAGE(B2:B128)</f>
        <v>1172.0435200000002</v>
      </c>
      <c r="H12" s="13">
        <f>AVERAGE(C2:C125)</f>
        <v>4.9366493019717015E-3</v>
      </c>
      <c r="I12" s="84">
        <f>AVERAGE(D2:D125)</f>
        <v>4.4380331682266827E-3</v>
      </c>
      <c r="K12" s="73" t="s">
        <v>120</v>
      </c>
      <c r="L12" s="74">
        <f>H12*252</f>
        <v>1.2440356240968689</v>
      </c>
      <c r="N12" t="s">
        <v>146</v>
      </c>
      <c r="O12">
        <v>4.9366493019717015E-3</v>
      </c>
      <c r="Q12" t="s">
        <v>146</v>
      </c>
      <c r="R12" s="35">
        <v>4.4380331682266827E-3</v>
      </c>
    </row>
    <row r="13" spans="1:18" x14ac:dyDescent="0.2">
      <c r="A13" s="1" t="s">
        <v>108</v>
      </c>
      <c r="B13" s="3">
        <v>1357.26</v>
      </c>
      <c r="C13" s="6">
        <f t="shared" si="0"/>
        <v>1.8352340936374577E-2</v>
      </c>
      <c r="D13" s="7">
        <f t="shared" si="1"/>
        <v>1.8185969185220991E-2</v>
      </c>
      <c r="F13" s="75" t="s">
        <v>123</v>
      </c>
      <c r="G13" s="85">
        <f>_xlfn.VAR.S(B2:B128)</f>
        <v>52447.088613316177</v>
      </c>
      <c r="H13" s="86">
        <f>_xlfn.VAR.S(C2:C125)</f>
        <v>9.8162761510158045E-4</v>
      </c>
      <c r="I13" s="87">
        <f>_xlfn.VAR.S(D2:D125)</f>
        <v>9.8614726565490556E-4</v>
      </c>
      <c r="K13" s="75" t="s">
        <v>135</v>
      </c>
      <c r="L13" s="76">
        <f>I12*252</f>
        <v>1.1183843583931241</v>
      </c>
      <c r="N13" t="s">
        <v>147</v>
      </c>
      <c r="O13">
        <v>2.8136012039182393E-3</v>
      </c>
      <c r="P13" s="1"/>
      <c r="Q13" t="s">
        <v>147</v>
      </c>
      <c r="R13" s="35">
        <v>2.8200710149701986E-3</v>
      </c>
    </row>
    <row r="14" spans="1:18" x14ac:dyDescent="0.2">
      <c r="A14" s="1" t="s">
        <v>107</v>
      </c>
      <c r="B14" s="3">
        <v>1332.8</v>
      </c>
      <c r="C14" s="6">
        <f t="shared" si="0"/>
        <v>2.7467486913819991E-2</v>
      </c>
      <c r="D14" s="7">
        <f t="shared" si="1"/>
        <v>2.7097023981347453E-2</v>
      </c>
      <c r="F14" s="73" t="s">
        <v>124</v>
      </c>
      <c r="G14" s="83">
        <f>_xlfn.STDEV.S(B2:B128)</f>
        <v>229.01329352969049</v>
      </c>
      <c r="H14" s="13">
        <f>_xlfn.STDEV.S(C2:C125)</f>
        <v>3.1330937028783236E-2</v>
      </c>
      <c r="I14" s="84">
        <f>_xlfn.STDEV.S(D2:D125)</f>
        <v>3.1402981795601921E-2</v>
      </c>
      <c r="K14" s="73" t="s">
        <v>136</v>
      </c>
      <c r="L14" s="79">
        <f>H14*SQRT(252)</f>
        <v>0.49736320632471226</v>
      </c>
      <c r="N14" t="s">
        <v>148</v>
      </c>
      <c r="O14">
        <v>7.0919394473042078E-3</v>
      </c>
      <c r="P14" s="3"/>
      <c r="Q14" t="s">
        <v>148</v>
      </c>
      <c r="R14" s="35">
        <v>7.0668903282687431E-3</v>
      </c>
    </row>
    <row r="15" spans="1:18" x14ac:dyDescent="0.2">
      <c r="A15" s="1" t="s">
        <v>106</v>
      </c>
      <c r="B15" s="3">
        <v>1297.17</v>
      </c>
      <c r="C15" s="6">
        <f t="shared" si="0"/>
        <v>2.1477298186790479E-3</v>
      </c>
      <c r="D15" s="7">
        <f t="shared" si="1"/>
        <v>2.1454267439905269E-3</v>
      </c>
      <c r="F15" s="75" t="s">
        <v>125</v>
      </c>
      <c r="G15" s="85">
        <f>MIN(B2:B128)</f>
        <v>787.65</v>
      </c>
      <c r="H15" s="88">
        <f>MIN(C2:C125)</f>
        <v>-0.11593510538686437</v>
      </c>
      <c r="I15" s="89">
        <f>MIN(D2:D125)</f>
        <v>-0.12322480884303538</v>
      </c>
      <c r="K15" s="75" t="s">
        <v>137</v>
      </c>
      <c r="L15" s="30">
        <f>I14*SQRT(252)</f>
        <v>0.49850688154230755</v>
      </c>
      <c r="N15" t="s">
        <v>149</v>
      </c>
      <c r="O15">
        <v>3.1330937028783236E-2</v>
      </c>
      <c r="P15" s="3"/>
      <c r="Q15" t="s">
        <v>149</v>
      </c>
      <c r="R15" s="35">
        <v>3.1402981795601921E-2</v>
      </c>
    </row>
    <row r="16" spans="1:18" ht="17" thickBot="1" x14ac:dyDescent="0.25">
      <c r="A16" s="1" t="s">
        <v>105</v>
      </c>
      <c r="B16" s="3">
        <v>1294.3900000000001</v>
      </c>
      <c r="C16" s="6">
        <f t="shared" si="0"/>
        <v>1.7610201338060905E-2</v>
      </c>
      <c r="D16" s="7">
        <f t="shared" si="1"/>
        <v>1.7456938453295785E-2</v>
      </c>
      <c r="F16" s="73" t="s">
        <v>126</v>
      </c>
      <c r="G16" s="83">
        <f>MAX(B2:B128)</f>
        <v>1730</v>
      </c>
      <c r="H16" s="13">
        <f>MAX(C2:C125)</f>
        <v>0.14151484959057228</v>
      </c>
      <c r="I16" s="84">
        <f>MAX(D2:D125)</f>
        <v>0.13235619574284688</v>
      </c>
      <c r="K16" s="77" t="s">
        <v>134</v>
      </c>
      <c r="L16" s="81">
        <f>(B2/B126)^(1/0.5)-1</f>
        <v>2.0060659354977686</v>
      </c>
      <c r="N16" t="s">
        <v>150</v>
      </c>
      <c r="O16">
        <v>9.8162761510158045E-4</v>
      </c>
      <c r="P16" s="3"/>
      <c r="Q16" t="s">
        <v>150</v>
      </c>
      <c r="R16" s="35">
        <v>9.8614726565490556E-4</v>
      </c>
    </row>
    <row r="17" spans="1:18" x14ac:dyDescent="0.2">
      <c r="A17" s="1" t="s">
        <v>104</v>
      </c>
      <c r="B17" s="3">
        <v>1271.99</v>
      </c>
      <c r="C17" s="6">
        <f t="shared" si="0"/>
        <v>-2.5407181449620922E-3</v>
      </c>
      <c r="D17" s="7">
        <f t="shared" si="1"/>
        <v>-2.5439512467360487E-3</v>
      </c>
      <c r="F17" s="75" t="s">
        <v>127</v>
      </c>
      <c r="G17" s="85">
        <f>MEDIAN(B2:B128)</f>
        <v>1196.8599999999999</v>
      </c>
      <c r="H17" s="86">
        <f>MEDIAN(C2:C125)</f>
        <v>7.0919394473042078E-3</v>
      </c>
      <c r="I17" s="87">
        <f>MEDIAN(D2:D125)</f>
        <v>7.0668903282687431E-3</v>
      </c>
      <c r="N17" t="s">
        <v>151</v>
      </c>
      <c r="O17">
        <v>4.3131043133892923</v>
      </c>
      <c r="P17" s="3"/>
      <c r="Q17" t="s">
        <v>151</v>
      </c>
      <c r="R17" s="35">
        <v>4.1540427077444333</v>
      </c>
    </row>
    <row r="18" spans="1:18" x14ac:dyDescent="0.2">
      <c r="A18" s="1" t="s">
        <v>103</v>
      </c>
      <c r="B18" s="3">
        <v>1275.23</v>
      </c>
      <c r="C18" s="6">
        <f t="shared" si="0"/>
        <v>1.5536903131271295E-2</v>
      </c>
      <c r="D18" s="7">
        <f t="shared" si="1"/>
        <v>1.5417441241414276E-2</v>
      </c>
      <c r="F18" s="73" t="s">
        <v>128</v>
      </c>
      <c r="G18" s="90">
        <f>SKEW(B2:B128)</f>
        <v>-3.8860086189565886E-2</v>
      </c>
      <c r="H18" s="91">
        <f>SKEW(C2:C125)</f>
        <v>-0.27790888549874765</v>
      </c>
      <c r="I18" s="92">
        <f>SKEW(D2:D125)</f>
        <v>-0.55268215245263408</v>
      </c>
      <c r="N18" t="s">
        <v>152</v>
      </c>
      <c r="O18">
        <v>-0.27790888549874765</v>
      </c>
      <c r="P18" s="3"/>
      <c r="Q18" t="s">
        <v>152</v>
      </c>
      <c r="R18" s="35">
        <v>-0.55268215245263408</v>
      </c>
    </row>
    <row r="19" spans="1:18" ht="17" thickBot="1" x14ac:dyDescent="0.25">
      <c r="A19" s="1" t="s">
        <v>102</v>
      </c>
      <c r="B19" s="3">
        <v>1255.72</v>
      </c>
      <c r="C19" s="6">
        <f t="shared" si="0"/>
        <v>-7.6717203652779967E-2</v>
      </c>
      <c r="D19" s="7">
        <f t="shared" si="1"/>
        <v>-7.9819703164735384E-2</v>
      </c>
      <c r="F19" s="93" t="s">
        <v>129</v>
      </c>
      <c r="G19" s="94">
        <f>KURT(B2:B128)</f>
        <v>-0.90160177290153243</v>
      </c>
      <c r="H19" s="95">
        <f>KURT(C2:C125)</f>
        <v>4.3131043133892923</v>
      </c>
      <c r="I19" s="96">
        <f>KURT(D2:D125)</f>
        <v>4.1540427077444333</v>
      </c>
      <c r="N19" t="s">
        <v>153</v>
      </c>
      <c r="O19">
        <v>0.25744995497743667</v>
      </c>
      <c r="P19" s="3"/>
      <c r="Q19" t="s">
        <v>153</v>
      </c>
      <c r="R19" s="35">
        <v>0.25558100458588229</v>
      </c>
    </row>
    <row r="20" spans="1:18" ht="17" thickBot="1" x14ac:dyDescent="0.25">
      <c r="A20" s="1" t="s">
        <v>101</v>
      </c>
      <c r="B20" s="3">
        <v>1360.06</v>
      </c>
      <c r="C20" s="6">
        <f t="shared" si="0"/>
        <v>-3.2192414431082339E-2</v>
      </c>
      <c r="D20" s="7">
        <f t="shared" si="1"/>
        <v>-3.2721986702697589E-2</v>
      </c>
      <c r="F20" s="25"/>
      <c r="H20" s="86"/>
      <c r="I20" s="135"/>
      <c r="K20" s="150" t="s">
        <v>162</v>
      </c>
      <c r="L20" s="151"/>
      <c r="N20" t="s">
        <v>154</v>
      </c>
      <c r="O20">
        <v>-0.11593510538686437</v>
      </c>
      <c r="P20" s="3"/>
      <c r="Q20" t="s">
        <v>154</v>
      </c>
      <c r="R20" s="35">
        <v>-0.12322480884303538</v>
      </c>
    </row>
    <row r="21" spans="1:18" x14ac:dyDescent="0.2">
      <c r="A21" s="1" t="s">
        <v>100</v>
      </c>
      <c r="B21" s="3">
        <v>1405.3</v>
      </c>
      <c r="C21" s="6">
        <f t="shared" si="0"/>
        <v>-7.3321654611212339E-3</v>
      </c>
      <c r="D21" s="7">
        <f t="shared" si="1"/>
        <v>-7.3591779071066742E-3</v>
      </c>
      <c r="F21" s="25"/>
      <c r="H21" s="86"/>
      <c r="I21" s="135"/>
      <c r="K21" s="25" t="s">
        <v>161</v>
      </c>
      <c r="L21" s="30" cm="1">
        <f t="array" ref="L21">AnnualizedVolatility(D2:D125)</f>
        <v>0.49850688154230755</v>
      </c>
      <c r="N21" t="s">
        <v>155</v>
      </c>
      <c r="O21">
        <v>0.14151484959057228</v>
      </c>
      <c r="P21" s="3"/>
      <c r="Q21" t="s">
        <v>155</v>
      </c>
      <c r="R21" s="35">
        <v>0.13235619574284688</v>
      </c>
    </row>
    <row r="22" spans="1:18" ht="17" thickBot="1" x14ac:dyDescent="0.25">
      <c r="A22" s="1" t="s">
        <v>99</v>
      </c>
      <c r="B22" s="3">
        <v>1415.68</v>
      </c>
      <c r="C22" s="6">
        <f t="shared" si="0"/>
        <v>-1.3966677482612319E-3</v>
      </c>
      <c r="D22" s="7">
        <f t="shared" si="1"/>
        <v>-1.3976439977640492E-3</v>
      </c>
      <c r="F22" s="25"/>
      <c r="H22" s="86"/>
      <c r="I22" s="135"/>
      <c r="K22" s="27" t="s">
        <v>163</v>
      </c>
      <c r="L22" s="31" cm="1">
        <f t="array" ref="L22">CAGR(B126,B2,0.5)</f>
        <v>2.0060659354977686</v>
      </c>
      <c r="N22" t="s">
        <v>156</v>
      </c>
      <c r="O22">
        <v>0.61214451344449095</v>
      </c>
      <c r="P22" s="3"/>
      <c r="Q22" t="s">
        <v>156</v>
      </c>
      <c r="R22" s="35">
        <v>0.55031611286010862</v>
      </c>
    </row>
    <row r="23" spans="1:18" ht="17" thickBot="1" x14ac:dyDescent="0.25">
      <c r="A23" s="1" t="s">
        <v>98</v>
      </c>
      <c r="B23" s="3">
        <v>1417.66</v>
      </c>
      <c r="C23" s="6">
        <f t="shared" si="0"/>
        <v>3.4399773499434651E-3</v>
      </c>
      <c r="D23" s="7">
        <f t="shared" si="1"/>
        <v>3.4340741618744302E-3</v>
      </c>
      <c r="F23" s="27"/>
      <c r="G23" s="10"/>
      <c r="H23" s="95"/>
      <c r="I23" s="136"/>
      <c r="J23" s="10"/>
      <c r="K23" s="10"/>
      <c r="L23" s="10"/>
      <c r="M23" s="10"/>
      <c r="N23" s="10" t="s">
        <v>157</v>
      </c>
      <c r="O23" s="10">
        <v>124</v>
      </c>
      <c r="P23" s="137"/>
      <c r="Q23" s="10" t="s">
        <v>157</v>
      </c>
      <c r="R23" s="36">
        <v>124</v>
      </c>
    </row>
    <row r="24" spans="1:18" x14ac:dyDescent="0.2">
      <c r="A24" s="1" t="s">
        <v>97</v>
      </c>
      <c r="B24" s="3">
        <v>1412.8</v>
      </c>
      <c r="C24" s="6">
        <f t="shared" si="0"/>
        <v>1.4221207618145102E-2</v>
      </c>
      <c r="D24" s="7">
        <f t="shared" si="1"/>
        <v>1.4121034846554584E-2</v>
      </c>
      <c r="O24" s="1"/>
      <c r="P24" s="3"/>
      <c r="Q24" s="3"/>
    </row>
    <row r="25" spans="1:18" x14ac:dyDescent="0.2">
      <c r="A25" s="1" t="s">
        <v>96</v>
      </c>
      <c r="B25" s="3">
        <v>1392.99</v>
      </c>
      <c r="C25" s="6">
        <f t="shared" si="0"/>
        <v>1.3091004298213077E-2</v>
      </c>
      <c r="D25" s="7">
        <f t="shared" si="1"/>
        <v>1.3006057656188475E-2</v>
      </c>
      <c r="O25" s="1"/>
      <c r="P25" s="3"/>
      <c r="Q25" s="3"/>
    </row>
    <row r="26" spans="1:18" x14ac:dyDescent="0.2">
      <c r="A26" s="1" t="s">
        <v>95</v>
      </c>
      <c r="B26" s="3">
        <v>1374.99</v>
      </c>
      <c r="C26" s="6">
        <f t="shared" si="0"/>
        <v>3.5142398988188051E-2</v>
      </c>
      <c r="D26" s="7">
        <f t="shared" si="1"/>
        <v>3.4539000817048672E-2</v>
      </c>
      <c r="O26" s="1"/>
      <c r="P26" s="3"/>
      <c r="Q26" s="3"/>
    </row>
    <row r="27" spans="1:18" x14ac:dyDescent="0.2">
      <c r="A27" s="1" t="s">
        <v>94</v>
      </c>
      <c r="B27" s="3">
        <v>1328.31</v>
      </c>
      <c r="C27" s="6">
        <f t="shared" si="0"/>
        <v>2.1329109544276748E-2</v>
      </c>
      <c r="D27" s="7">
        <f t="shared" si="1"/>
        <v>2.1104827637985952E-2</v>
      </c>
      <c r="O27" s="1"/>
      <c r="P27" s="3"/>
      <c r="Q27" s="3"/>
    </row>
    <row r="28" spans="1:18" x14ac:dyDescent="0.2">
      <c r="A28" s="1" t="s">
        <v>93</v>
      </c>
      <c r="B28" s="3">
        <v>1300.57</v>
      </c>
      <c r="C28" s="6">
        <f t="shared" si="0"/>
        <v>-2.7672511203533421E-4</v>
      </c>
      <c r="D28" s="7">
        <f t="shared" si="1"/>
        <v>-2.7676340749421385E-4</v>
      </c>
      <c r="O28" s="1"/>
      <c r="P28" s="3"/>
      <c r="Q28" s="3"/>
    </row>
    <row r="29" spans="1:18" x14ac:dyDescent="0.2">
      <c r="A29" s="1" t="s">
        <v>92</v>
      </c>
      <c r="B29" s="3">
        <v>1300.93</v>
      </c>
      <c r="C29" s="6">
        <f t="shared" si="0"/>
        <v>1.9585560449550926E-2</v>
      </c>
      <c r="D29" s="7">
        <f t="shared" si="1"/>
        <v>1.9396231443816761E-2</v>
      </c>
      <c r="O29" s="1"/>
      <c r="P29" s="3"/>
      <c r="Q29" s="3"/>
    </row>
    <row r="30" spans="1:18" x14ac:dyDescent="0.2">
      <c r="A30" s="1" t="s">
        <v>91</v>
      </c>
      <c r="B30" s="3">
        <v>1275.94</v>
      </c>
      <c r="C30" s="6">
        <f t="shared" si="0"/>
        <v>1.4026973114305995E-2</v>
      </c>
      <c r="D30" s="7">
        <f t="shared" si="1"/>
        <v>1.3929505519642641E-2</v>
      </c>
      <c r="O30" s="1"/>
      <c r="P30" s="3"/>
      <c r="Q30" s="3"/>
    </row>
    <row r="31" spans="1:18" x14ac:dyDescent="0.2">
      <c r="A31" s="1" t="s">
        <v>90</v>
      </c>
      <c r="B31" s="3">
        <v>1258.29</v>
      </c>
      <c r="C31" s="6">
        <f t="shared" si="0"/>
        <v>2.5810554119824112E-2</v>
      </c>
      <c r="D31" s="7">
        <f t="shared" si="1"/>
        <v>2.5483084592187358E-2</v>
      </c>
      <c r="O31" s="1"/>
      <c r="P31" s="3"/>
      <c r="Q31" s="3"/>
    </row>
    <row r="32" spans="1:18" x14ac:dyDescent="0.2">
      <c r="A32" s="1" t="s">
        <v>89</v>
      </c>
      <c r="B32" s="3">
        <v>1226.6300000000001</v>
      </c>
      <c r="C32" s="6">
        <f t="shared" si="0"/>
        <v>1.2881596657390929E-2</v>
      </c>
      <c r="D32" s="7">
        <f t="shared" si="1"/>
        <v>1.2799334582570319E-2</v>
      </c>
      <c r="O32" s="1"/>
      <c r="P32" s="3"/>
      <c r="Q32" s="3"/>
    </row>
    <row r="33" spans="1:17" x14ac:dyDescent="0.2">
      <c r="A33" s="1" t="s">
        <v>88</v>
      </c>
      <c r="B33" s="3">
        <v>1211.03</v>
      </c>
      <c r="C33" s="6">
        <f t="shared" si="0"/>
        <v>2.6227035455223414E-2</v>
      </c>
      <c r="D33" s="7">
        <f t="shared" si="1"/>
        <v>2.5889004389401407E-2</v>
      </c>
      <c r="O33" s="1"/>
      <c r="P33" s="3"/>
      <c r="Q33" s="3"/>
    </row>
    <row r="34" spans="1:17" x14ac:dyDescent="0.2">
      <c r="A34" s="1" t="s">
        <v>87</v>
      </c>
      <c r="B34" s="3">
        <v>1180.08</v>
      </c>
      <c r="C34" s="6">
        <f t="shared" si="0"/>
        <v>6.7018698687113354E-2</v>
      </c>
      <c r="D34" s="7">
        <f t="shared" si="1"/>
        <v>6.4868496708812423E-2</v>
      </c>
      <c r="O34" s="1"/>
      <c r="P34" s="3"/>
      <c r="Q34" s="3"/>
    </row>
    <row r="35" spans="1:17" x14ac:dyDescent="0.2">
      <c r="A35" s="1" t="s">
        <v>86</v>
      </c>
      <c r="B35" s="3">
        <v>1105.96</v>
      </c>
      <c r="C35" s="6">
        <f t="shared" si="0"/>
        <v>-1.3273976684756844E-3</v>
      </c>
      <c r="D35" s="7">
        <f t="shared" si="1"/>
        <v>-1.3282794411558516E-3</v>
      </c>
      <c r="O35" s="1"/>
      <c r="P35" s="3"/>
      <c r="Q35" s="3"/>
    </row>
    <row r="36" spans="1:17" x14ac:dyDescent="0.2">
      <c r="A36" s="1" t="s">
        <v>85</v>
      </c>
      <c r="B36" s="3">
        <v>1107.43</v>
      </c>
      <c r="C36" s="6">
        <f t="shared" si="0"/>
        <v>-3.2913581109403234E-2</v>
      </c>
      <c r="D36" s="7">
        <f t="shared" si="1"/>
        <v>-3.3467419486150313E-2</v>
      </c>
      <c r="O36" s="1"/>
      <c r="P36" s="3"/>
      <c r="Q36" s="3"/>
    </row>
    <row r="37" spans="1:17" x14ac:dyDescent="0.2">
      <c r="A37" s="1" t="s">
        <v>84</v>
      </c>
      <c r="B37" s="3">
        <v>1145.1199999999999</v>
      </c>
      <c r="C37" s="6">
        <f t="shared" si="0"/>
        <v>-1.8757337126502859E-2</v>
      </c>
      <c r="D37" s="7">
        <f t="shared" si="1"/>
        <v>-1.8935487239846539E-2</v>
      </c>
      <c r="O37" s="1"/>
      <c r="P37" s="3"/>
      <c r="Q37" s="3"/>
    </row>
    <row r="38" spans="1:17" x14ac:dyDescent="0.2">
      <c r="A38" s="1" t="s">
        <v>83</v>
      </c>
      <c r="B38" s="3">
        <v>1167.01</v>
      </c>
      <c r="C38" s="6">
        <f t="shared" si="0"/>
        <v>5.0034447123664706E-3</v>
      </c>
      <c r="D38" s="7">
        <f t="shared" si="1"/>
        <v>4.9909690796590611E-3</v>
      </c>
      <c r="O38" s="1"/>
      <c r="P38" s="3"/>
      <c r="Q38" s="3"/>
    </row>
    <row r="39" spans="1:17" x14ac:dyDescent="0.2">
      <c r="A39" s="1" t="s">
        <v>82</v>
      </c>
      <c r="B39" s="3">
        <v>1161.2</v>
      </c>
      <c r="C39" s="6">
        <f t="shared" si="0"/>
        <v>1.9088156566764665E-2</v>
      </c>
      <c r="D39" s="7">
        <f t="shared" si="1"/>
        <v>1.8908263321694575E-2</v>
      </c>
      <c r="O39" s="1"/>
      <c r="P39" s="3"/>
      <c r="Q39" s="3"/>
    </row>
    <row r="40" spans="1:17" x14ac:dyDescent="0.2">
      <c r="A40" s="1" t="s">
        <v>81</v>
      </c>
      <c r="B40" s="3">
        <v>1139.45</v>
      </c>
      <c r="C40" s="6">
        <f t="shared" si="0"/>
        <v>5.5863456650665022E-3</v>
      </c>
      <c r="D40" s="7">
        <f t="shared" si="1"/>
        <v>5.5707999052414022E-3</v>
      </c>
      <c r="O40" s="1"/>
      <c r="P40" s="3"/>
      <c r="Q40" s="3"/>
    </row>
    <row r="41" spans="1:17" x14ac:dyDescent="0.2">
      <c r="A41" s="1" t="s">
        <v>80</v>
      </c>
      <c r="B41" s="3">
        <v>1133.1199999999999</v>
      </c>
      <c r="C41" s="6">
        <f t="shared" si="0"/>
        <v>3.3557414282196024E-2</v>
      </c>
      <c r="D41" s="7">
        <f t="shared" si="1"/>
        <v>3.3006651845036712E-2</v>
      </c>
      <c r="O41" s="1"/>
      <c r="P41" s="3"/>
      <c r="Q41" s="3"/>
    </row>
    <row r="42" spans="1:17" x14ac:dyDescent="0.2">
      <c r="A42" s="1" t="s">
        <v>79</v>
      </c>
      <c r="B42" s="3">
        <v>1096.33</v>
      </c>
      <c r="C42" s="6">
        <f t="shared" si="0"/>
        <v>-1.6267968343413052E-2</v>
      </c>
      <c r="D42" s="7">
        <f t="shared" si="1"/>
        <v>-1.6401744569469232E-2</v>
      </c>
      <c r="O42" s="1"/>
      <c r="P42" s="3"/>
      <c r="Q42" s="3"/>
    </row>
    <row r="43" spans="1:17" x14ac:dyDescent="0.2">
      <c r="A43" s="1" t="s">
        <v>78</v>
      </c>
      <c r="B43" s="3">
        <v>1114.46</v>
      </c>
      <c r="C43" s="6">
        <f t="shared" si="0"/>
        <v>-7.4107306049881222E-2</v>
      </c>
      <c r="D43" s="7">
        <f t="shared" si="1"/>
        <v>-7.6996932314080696E-2</v>
      </c>
      <c r="O43" s="1"/>
      <c r="P43" s="3"/>
      <c r="Q43" s="3"/>
    </row>
    <row r="44" spans="1:17" x14ac:dyDescent="0.2">
      <c r="A44" s="1" t="s">
        <v>77</v>
      </c>
      <c r="B44" s="3">
        <v>1203.6600000000001</v>
      </c>
      <c r="C44" s="6">
        <f t="shared" si="0"/>
        <v>-1.0099182525453537E-2</v>
      </c>
      <c r="D44" s="7">
        <f t="shared" si="1"/>
        <v>-1.0150525241435506E-2</v>
      </c>
      <c r="O44" s="1"/>
      <c r="P44" s="3"/>
      <c r="Q44" s="3"/>
    </row>
    <row r="45" spans="1:17" x14ac:dyDescent="0.2">
      <c r="A45" s="1" t="s">
        <v>76</v>
      </c>
      <c r="B45" s="3">
        <v>1215.94</v>
      </c>
      <c r="C45" s="6">
        <f t="shared" si="0"/>
        <v>1.4153815358182463E-2</v>
      </c>
      <c r="D45" s="7">
        <f t="shared" si="1"/>
        <v>1.4054585339708771E-2</v>
      </c>
      <c r="O45" s="1"/>
      <c r="P45" s="3"/>
      <c r="Q45" s="3"/>
    </row>
    <row r="46" spans="1:17" x14ac:dyDescent="0.2">
      <c r="A46" s="1" t="s">
        <v>75</v>
      </c>
      <c r="B46" s="3">
        <v>1198.97</v>
      </c>
      <c r="C46" s="6">
        <f t="shared" si="0"/>
        <v>1.7629463763515596E-3</v>
      </c>
      <c r="D46" s="7">
        <f t="shared" si="1"/>
        <v>1.7613942103777685E-3</v>
      </c>
      <c r="O46" s="1"/>
      <c r="P46" s="3"/>
      <c r="Q46" s="3"/>
    </row>
    <row r="47" spans="1:17" x14ac:dyDescent="0.2">
      <c r="A47" s="1" t="s">
        <v>74</v>
      </c>
      <c r="B47" s="3">
        <v>1196.8599999999999</v>
      </c>
      <c r="C47" s="6">
        <f t="shared" si="0"/>
        <v>-8.4009942004971833E-3</v>
      </c>
      <c r="D47" s="7">
        <f t="shared" si="1"/>
        <v>-8.4364814441306862E-3</v>
      </c>
      <c r="O47" s="1"/>
      <c r="P47" s="3"/>
      <c r="Q47" s="3"/>
    </row>
    <row r="48" spans="1:17" x14ac:dyDescent="0.2">
      <c r="A48" s="1" t="s">
        <v>73</v>
      </c>
      <c r="B48" s="3">
        <v>1207</v>
      </c>
      <c r="C48" s="6">
        <f t="shared" si="0"/>
        <v>-6.8737510512387204E-2</v>
      </c>
      <c r="D48" s="7">
        <f t="shared" si="1"/>
        <v>-7.1214097847979066E-2</v>
      </c>
      <c r="O48" s="1"/>
      <c r="P48" s="3"/>
      <c r="Q48" s="3"/>
    </row>
    <row r="49" spans="1:17" x14ac:dyDescent="0.2">
      <c r="A49" s="1" t="s">
        <v>72</v>
      </c>
      <c r="B49" s="3">
        <v>1296.0899999999999</v>
      </c>
      <c r="C49" s="6">
        <f t="shared" si="0"/>
        <v>-2.3322582589824004E-2</v>
      </c>
      <c r="D49" s="7">
        <f t="shared" si="1"/>
        <v>-2.359885811250588E-2</v>
      </c>
      <c r="O49" s="1"/>
      <c r="P49" s="3"/>
      <c r="Q49" s="3"/>
    </row>
    <row r="50" spans="1:17" x14ac:dyDescent="0.2">
      <c r="A50" s="1" t="s">
        <v>71</v>
      </c>
      <c r="B50" s="3">
        <v>1327.04</v>
      </c>
      <c r="C50" s="6">
        <f t="shared" si="0"/>
        <v>-8.5173784405726746E-3</v>
      </c>
      <c r="D50" s="7">
        <f t="shared" si="1"/>
        <v>-8.5538585995673516E-3</v>
      </c>
      <c r="O50" s="1"/>
      <c r="P50" s="3"/>
      <c r="Q50" s="3"/>
    </row>
    <row r="51" spans="1:17" x14ac:dyDescent="0.2">
      <c r="A51" s="1" t="s">
        <v>70</v>
      </c>
      <c r="B51" s="3">
        <v>1338.44</v>
      </c>
      <c r="C51" s="6">
        <f t="shared" si="0"/>
        <v>-6.0892294896928989E-3</v>
      </c>
      <c r="D51" s="7">
        <f t="shared" si="1"/>
        <v>-6.1078444532425159E-3</v>
      </c>
      <c r="O51" s="1"/>
      <c r="P51" s="3"/>
      <c r="Q51" s="3"/>
    </row>
    <row r="52" spans="1:17" x14ac:dyDescent="0.2">
      <c r="A52" s="1" t="s">
        <v>69</v>
      </c>
      <c r="B52" s="3">
        <v>1346.64</v>
      </c>
      <c r="C52" s="6">
        <f t="shared" si="0"/>
        <v>-2.9742348262147653E-2</v>
      </c>
      <c r="D52" s="7">
        <f t="shared" si="1"/>
        <v>-3.0193622407246198E-2</v>
      </c>
      <c r="O52" s="1"/>
      <c r="P52" s="3"/>
      <c r="Q52" s="3"/>
    </row>
    <row r="53" spans="1:17" x14ac:dyDescent="0.2">
      <c r="A53" s="1" t="s">
        <v>68</v>
      </c>
      <c r="B53" s="3">
        <v>1387.92</v>
      </c>
      <c r="C53" s="6">
        <f t="shared" si="0"/>
        <v>-0.11593510538686437</v>
      </c>
      <c r="D53" s="7">
        <f t="shared" si="1"/>
        <v>-0.12322480884303538</v>
      </c>
      <c r="O53" s="1"/>
      <c r="P53" s="3"/>
      <c r="Q53" s="3"/>
    </row>
    <row r="54" spans="1:17" x14ac:dyDescent="0.2">
      <c r="A54" s="1" t="s">
        <v>67</v>
      </c>
      <c r="B54" s="3">
        <v>1569.93</v>
      </c>
      <c r="C54" s="6">
        <f t="shared" si="0"/>
        <v>4.6375845636018369E-2</v>
      </c>
      <c r="D54" s="7">
        <f t="shared" si="1"/>
        <v>4.5332618155461656E-2</v>
      </c>
      <c r="O54" s="1"/>
      <c r="P54" s="3"/>
      <c r="Q54" s="3"/>
    </row>
    <row r="55" spans="1:17" x14ac:dyDescent="0.2">
      <c r="A55" s="1" t="s">
        <v>66</v>
      </c>
      <c r="B55" s="3">
        <v>1500.35</v>
      </c>
      <c r="C55" s="6">
        <f t="shared" si="0"/>
        <v>-6.2333993712853662E-2</v>
      </c>
      <c r="D55" s="7">
        <f t="shared" si="1"/>
        <v>-6.4361463440254299E-2</v>
      </c>
      <c r="O55" s="1"/>
      <c r="P55" s="3"/>
      <c r="Q55" s="3"/>
    </row>
    <row r="56" spans="1:17" x14ac:dyDescent="0.2">
      <c r="A56" s="1" t="s">
        <v>65</v>
      </c>
      <c r="B56" s="3">
        <v>1600.09</v>
      </c>
      <c r="C56" s="6">
        <f t="shared" si="0"/>
        <v>-2.2362206648785129E-2</v>
      </c>
      <c r="D56" s="7">
        <f t="shared" si="1"/>
        <v>-2.2616031992075895E-2</v>
      </c>
      <c r="O56" s="1"/>
      <c r="P56" s="3"/>
      <c r="Q56" s="3"/>
    </row>
    <row r="57" spans="1:17" x14ac:dyDescent="0.2">
      <c r="A57" s="1" t="s">
        <v>64</v>
      </c>
      <c r="B57" s="3">
        <v>1636.69</v>
      </c>
      <c r="C57" s="6">
        <f t="shared" si="0"/>
        <v>4.1303753093646062E-2</v>
      </c>
      <c r="D57" s="7">
        <f t="shared" si="1"/>
        <v>4.0473536785810095E-2</v>
      </c>
      <c r="O57" s="1"/>
      <c r="P57" s="3"/>
      <c r="Q57" s="3"/>
    </row>
    <row r="58" spans="1:17" x14ac:dyDescent="0.2">
      <c r="A58" s="1" t="s">
        <v>63</v>
      </c>
      <c r="B58" s="3">
        <v>1571.77</v>
      </c>
      <c r="C58" s="6">
        <f t="shared" si="0"/>
        <v>-2.6164807930607197E-2</v>
      </c>
      <c r="D58" s="7">
        <f t="shared" si="1"/>
        <v>-2.6513196977727662E-2</v>
      </c>
      <c r="O58" s="1"/>
      <c r="P58" s="3"/>
      <c r="Q58" s="3"/>
    </row>
    <row r="59" spans="1:17" x14ac:dyDescent="0.2">
      <c r="A59" s="1" t="s">
        <v>62</v>
      </c>
      <c r="B59" s="3">
        <v>1614</v>
      </c>
      <c r="C59" s="6">
        <f t="shared" si="0"/>
        <v>-6.7052023121387277E-2</v>
      </c>
      <c r="D59" s="7">
        <f t="shared" si="1"/>
        <v>-6.9405838661930494E-2</v>
      </c>
      <c r="O59" s="1"/>
      <c r="P59" s="3"/>
      <c r="Q59" s="3"/>
    </row>
    <row r="60" spans="1:17" x14ac:dyDescent="0.2">
      <c r="A60" s="1" t="s">
        <v>61</v>
      </c>
      <c r="B60" s="3">
        <v>1730</v>
      </c>
      <c r="C60" s="6">
        <f t="shared" si="0"/>
        <v>0.14151484959057228</v>
      </c>
      <c r="D60" s="7">
        <f t="shared" si="1"/>
        <v>0.13235619574284688</v>
      </c>
      <c r="O60" s="1"/>
      <c r="P60" s="3"/>
      <c r="Q60" s="3"/>
    </row>
    <row r="61" spans="1:17" x14ac:dyDescent="0.2">
      <c r="A61" s="1" t="s">
        <v>60</v>
      </c>
      <c r="B61" s="3">
        <v>1515.53</v>
      </c>
      <c r="C61" s="6">
        <f t="shared" si="0"/>
        <v>4.4688770938167727E-2</v>
      </c>
      <c r="D61" s="7">
        <f t="shared" si="1"/>
        <v>4.3719014204121283E-2</v>
      </c>
      <c r="O61" s="1"/>
      <c r="P61" s="3"/>
      <c r="Q61" s="3"/>
    </row>
    <row r="62" spans="1:17" x14ac:dyDescent="0.2">
      <c r="A62" s="1" t="s">
        <v>59</v>
      </c>
      <c r="B62" s="3">
        <v>1450.7</v>
      </c>
      <c r="C62" s="6">
        <f t="shared" si="0"/>
        <v>2.1526198305788859E-2</v>
      </c>
      <c r="D62" s="7">
        <f t="shared" si="1"/>
        <v>2.1297781844156385E-2</v>
      </c>
      <c r="O62" s="1"/>
      <c r="P62" s="3"/>
      <c r="Q62" s="3"/>
    </row>
    <row r="63" spans="1:17" x14ac:dyDescent="0.2">
      <c r="A63" s="1" t="s">
        <v>58</v>
      </c>
      <c r="B63" s="3">
        <v>1420.13</v>
      </c>
      <c r="C63" s="6">
        <f t="shared" si="0"/>
        <v>1.5285075960679255E-2</v>
      </c>
      <c r="D63" s="7">
        <f t="shared" si="1"/>
        <v>1.5169436074565161E-2</v>
      </c>
      <c r="O63" s="1"/>
      <c r="P63" s="3"/>
      <c r="Q63" s="3"/>
    </row>
    <row r="64" spans="1:17" x14ac:dyDescent="0.2">
      <c r="A64" s="1" t="s">
        <v>57</v>
      </c>
      <c r="B64" s="3">
        <v>1398.75</v>
      </c>
      <c r="C64" s="6">
        <f t="shared" si="0"/>
        <v>2.8538023736341268E-2</v>
      </c>
      <c r="D64" s="7">
        <f t="shared" si="1"/>
        <v>2.8138399516308116E-2</v>
      </c>
      <c r="O64" s="1"/>
      <c r="P64" s="3"/>
      <c r="Q64" s="3"/>
    </row>
    <row r="65" spans="1:17" x14ac:dyDescent="0.2">
      <c r="A65" s="1" t="s">
        <v>56</v>
      </c>
      <c r="B65" s="3">
        <v>1359.94</v>
      </c>
      <c r="C65" s="6">
        <f t="shared" si="0"/>
        <v>-9.2565383485159478E-4</v>
      </c>
      <c r="D65" s="7">
        <f t="shared" si="1"/>
        <v>-9.2608251692375407E-4</v>
      </c>
      <c r="O65" s="1"/>
      <c r="P65" s="3"/>
      <c r="Q65" s="3"/>
    </row>
    <row r="66" spans="1:17" x14ac:dyDescent="0.2">
      <c r="A66" s="1" t="s">
        <v>55</v>
      </c>
      <c r="B66" s="3">
        <v>1361.2</v>
      </c>
      <c r="C66" s="6">
        <f t="shared" si="0"/>
        <v>-3.8202016949400821E-3</v>
      </c>
      <c r="D66" s="7">
        <f t="shared" si="1"/>
        <v>-3.8275173027768681E-3</v>
      </c>
      <c r="O66" s="1"/>
      <c r="P66" s="3"/>
      <c r="Q66" s="3"/>
    </row>
    <row r="67" spans="1:17" x14ac:dyDescent="0.2">
      <c r="A67" s="1" t="s">
        <v>54</v>
      </c>
      <c r="B67" s="3">
        <v>1366.42</v>
      </c>
      <c r="C67" s="6">
        <f t="shared" ref="C67:C125" si="2">(B67-B68)/B68</f>
        <v>-2.8675822457277657E-2</v>
      </c>
      <c r="D67" s="7">
        <f t="shared" ref="D67:D69" si="3">LN(B67/B68)</f>
        <v>-2.9095006942209657E-2</v>
      </c>
      <c r="O67" s="1"/>
      <c r="P67" s="3"/>
      <c r="Q67" s="3"/>
    </row>
    <row r="68" spans="1:17" x14ac:dyDescent="0.2">
      <c r="A68" s="1" t="s">
        <v>53</v>
      </c>
      <c r="B68" s="3">
        <v>1406.76</v>
      </c>
      <c r="C68" s="6">
        <f t="shared" si="2"/>
        <v>4.9147069748834765E-3</v>
      </c>
      <c r="D68" s="7">
        <f t="shared" si="3"/>
        <v>4.9026692277806599E-3</v>
      </c>
      <c r="O68" s="1"/>
      <c r="P68" s="3"/>
      <c r="Q68" s="3"/>
    </row>
    <row r="69" spans="1:17" x14ac:dyDescent="0.2">
      <c r="A69" s="1" t="s">
        <v>52</v>
      </c>
      <c r="B69" s="3">
        <v>1399.88</v>
      </c>
      <c r="C69" s="6">
        <f t="shared" si="2"/>
        <v>1.8791028048265844E-2</v>
      </c>
      <c r="D69" s="7">
        <f t="shared" si="3"/>
        <v>1.8616657692815893E-2</v>
      </c>
      <c r="O69" s="1"/>
      <c r="P69" s="3"/>
      <c r="Q69" s="3"/>
    </row>
    <row r="70" spans="1:17" x14ac:dyDescent="0.2">
      <c r="A70" s="1" t="s">
        <v>51</v>
      </c>
      <c r="B70" s="3">
        <v>1374.06</v>
      </c>
      <c r="C70" s="6">
        <f t="shared" si="2"/>
        <v>2.9019478622941491E-2</v>
      </c>
      <c r="D70" s="7">
        <f t="shared" ref="D70:D125" si="4">LN(B70/B71)</f>
        <v>2.8606386335471207E-2</v>
      </c>
      <c r="O70" s="1"/>
      <c r="P70" s="3"/>
      <c r="Q70" s="3"/>
    </row>
    <row r="71" spans="1:17" x14ac:dyDescent="0.2">
      <c r="A71" s="1" t="s">
        <v>50</v>
      </c>
      <c r="B71" s="3">
        <v>1335.31</v>
      </c>
      <c r="C71" s="6">
        <f t="shared" si="2"/>
        <v>4.2794181796303116E-3</v>
      </c>
      <c r="D71" s="7">
        <f t="shared" si="4"/>
        <v>4.2702875096871122E-3</v>
      </c>
      <c r="O71" s="1"/>
      <c r="P71" s="3"/>
      <c r="Q71" s="3"/>
    </row>
    <row r="72" spans="1:17" x14ac:dyDescent="0.2">
      <c r="A72" s="1" t="s">
        <v>49</v>
      </c>
      <c r="B72" s="3">
        <v>1329.62</v>
      </c>
      <c r="C72" s="6">
        <f t="shared" si="2"/>
        <v>6.9557173309737194E-2</v>
      </c>
      <c r="D72" s="7">
        <f t="shared" si="4"/>
        <v>6.7244706091615203E-2</v>
      </c>
      <c r="O72" s="1"/>
      <c r="P72" s="3"/>
      <c r="Q72" s="3"/>
    </row>
    <row r="73" spans="1:17" x14ac:dyDescent="0.2">
      <c r="A73" s="1" t="s">
        <v>48</v>
      </c>
      <c r="B73" s="3">
        <v>1243.1500000000001</v>
      </c>
      <c r="C73" s="6">
        <f t="shared" si="2"/>
        <v>2.9455605425727626E-2</v>
      </c>
      <c r="D73" s="7">
        <f t="shared" si="4"/>
        <v>2.9030124094253349E-2</v>
      </c>
      <c r="O73" s="1"/>
      <c r="P73" s="3"/>
      <c r="Q73" s="3"/>
    </row>
    <row r="74" spans="1:17" x14ac:dyDescent="0.2">
      <c r="A74" s="1" t="s">
        <v>47</v>
      </c>
      <c r="B74" s="3">
        <v>1207.58</v>
      </c>
      <c r="C74" s="6">
        <f t="shared" si="2"/>
        <v>2.9813579846838738E-2</v>
      </c>
      <c r="D74" s="7">
        <f t="shared" si="4"/>
        <v>2.9377795420835698E-2</v>
      </c>
      <c r="O74" s="1"/>
      <c r="P74" s="3"/>
      <c r="Q74" s="3"/>
    </row>
    <row r="75" spans="1:17" x14ac:dyDescent="0.2">
      <c r="A75" s="1" t="s">
        <v>46</v>
      </c>
      <c r="B75" s="3">
        <v>1172.6199999999999</v>
      </c>
      <c r="C75" s="6">
        <f t="shared" si="2"/>
        <v>5.677530017152565E-3</v>
      </c>
      <c r="D75" s="7">
        <f t="shared" si="4"/>
        <v>5.6614735888401279E-3</v>
      </c>
      <c r="O75" s="1"/>
      <c r="P75" s="3"/>
      <c r="Q75" s="3"/>
    </row>
    <row r="76" spans="1:17" x14ac:dyDescent="0.2">
      <c r="A76" s="1" t="s">
        <v>45</v>
      </c>
      <c r="B76" s="3">
        <v>1166</v>
      </c>
      <c r="C76" s="6">
        <f t="shared" si="2"/>
        <v>1.072267538118798E-2</v>
      </c>
      <c r="D76" s="7">
        <f t="shared" si="4"/>
        <v>1.0665595170041156E-2</v>
      </c>
      <c r="O76" s="1"/>
      <c r="P76" s="3"/>
      <c r="Q76" s="3"/>
    </row>
    <row r="77" spans="1:17" x14ac:dyDescent="0.2">
      <c r="A77" s="1" t="s">
        <v>44</v>
      </c>
      <c r="B77" s="3">
        <v>1153.6300000000001</v>
      </c>
      <c r="C77" s="6">
        <f t="shared" si="2"/>
        <v>4.033727116962757E-2</v>
      </c>
      <c r="D77" s="7">
        <f t="shared" si="4"/>
        <v>3.9544959781226199E-2</v>
      </c>
      <c r="O77" s="1"/>
      <c r="P77" s="3"/>
      <c r="Q77" s="3"/>
    </row>
    <row r="78" spans="1:17" x14ac:dyDescent="0.2">
      <c r="A78" s="1" t="s">
        <v>43</v>
      </c>
      <c r="B78" s="3">
        <v>1108.9000000000001</v>
      </c>
      <c r="C78" s="6">
        <f t="shared" si="2"/>
        <v>1.7050196733039362E-2</v>
      </c>
      <c r="D78" s="7">
        <f t="shared" si="4"/>
        <v>1.6906473501313482E-2</v>
      </c>
      <c r="O78" s="1"/>
      <c r="P78" s="3"/>
      <c r="Q78" s="3"/>
    </row>
    <row r="79" spans="1:17" x14ac:dyDescent="0.2">
      <c r="A79" s="1" t="s">
        <v>42</v>
      </c>
      <c r="B79" s="3">
        <v>1090.31</v>
      </c>
      <c r="C79" s="6">
        <f t="shared" si="2"/>
        <v>-7.012686587553889E-3</v>
      </c>
      <c r="D79" s="7">
        <f t="shared" si="4"/>
        <v>-7.0373910382702772E-3</v>
      </c>
      <c r="O79" s="1"/>
      <c r="P79" s="3"/>
      <c r="Q79" s="3"/>
    </row>
    <row r="80" spans="1:17" x14ac:dyDescent="0.2">
      <c r="A80" s="1" t="s">
        <v>41</v>
      </c>
      <c r="B80" s="3">
        <v>1098.01</v>
      </c>
      <c r="C80" s="6">
        <f t="shared" si="2"/>
        <v>7.3763498077928412E-3</v>
      </c>
      <c r="D80" s="7">
        <f t="shared" si="4"/>
        <v>7.3492775874803521E-3</v>
      </c>
      <c r="O80" s="1"/>
      <c r="P80" s="3"/>
      <c r="Q80" s="3"/>
    </row>
    <row r="81" spans="1:17" x14ac:dyDescent="0.2">
      <c r="A81" s="1" t="s">
        <v>40</v>
      </c>
      <c r="B81" s="3">
        <v>1089.97</v>
      </c>
      <c r="C81" s="6">
        <f t="shared" si="2"/>
        <v>5.2662645490934249E-3</v>
      </c>
      <c r="D81" s="7">
        <f t="shared" si="4"/>
        <v>5.2524462705191019E-3</v>
      </c>
      <c r="O81" s="1"/>
      <c r="P81" s="3"/>
      <c r="Q81" s="3"/>
    </row>
    <row r="82" spans="1:17" x14ac:dyDescent="0.2">
      <c r="A82" s="1" t="s">
        <v>39</v>
      </c>
      <c r="B82" s="3">
        <v>1084.26</v>
      </c>
      <c r="C82" s="6">
        <f t="shared" si="2"/>
        <v>-6.8423511307741172E-3</v>
      </c>
      <c r="D82" s="7">
        <f t="shared" si="4"/>
        <v>-6.8658673474700522E-3</v>
      </c>
      <c r="O82" s="1"/>
      <c r="P82" s="3"/>
      <c r="Q82" s="3"/>
    </row>
    <row r="83" spans="1:17" x14ac:dyDescent="0.2">
      <c r="A83" s="1" t="s">
        <v>38</v>
      </c>
      <c r="B83" s="3">
        <v>1091.73</v>
      </c>
      <c r="C83" s="6">
        <f t="shared" si="2"/>
        <v>1.5969178369022105E-2</v>
      </c>
      <c r="D83" s="7">
        <f t="shared" si="4"/>
        <v>1.58430124451743E-2</v>
      </c>
      <c r="O83" s="1"/>
      <c r="P83" s="3"/>
      <c r="Q83" s="3"/>
    </row>
    <row r="84" spans="1:17" x14ac:dyDescent="0.2">
      <c r="A84" s="1" t="s">
        <v>37</v>
      </c>
      <c r="B84" s="3">
        <v>1074.57</v>
      </c>
      <c r="C84" s="6">
        <f t="shared" si="2"/>
        <v>1.5153089662078508E-2</v>
      </c>
      <c r="D84" s="7">
        <f t="shared" si="4"/>
        <v>1.5039428373743289E-2</v>
      </c>
      <c r="O84" s="1"/>
      <c r="P84" s="3"/>
      <c r="Q84" s="3"/>
    </row>
    <row r="85" spans="1:17" x14ac:dyDescent="0.2">
      <c r="A85" s="1" t="s">
        <v>36</v>
      </c>
      <c r="B85" s="3">
        <v>1058.53</v>
      </c>
      <c r="C85" s="6">
        <f t="shared" si="2"/>
        <v>-7.0261345940976806E-3</v>
      </c>
      <c r="D85" s="7">
        <f t="shared" si="4"/>
        <v>-7.0509341091897198E-3</v>
      </c>
      <c r="O85" s="1"/>
      <c r="P85" s="3"/>
      <c r="Q85" s="3"/>
    </row>
    <row r="86" spans="1:17" x14ac:dyDescent="0.2">
      <c r="A86" s="1" t="s">
        <v>35</v>
      </c>
      <c r="B86" s="3">
        <v>1066.02</v>
      </c>
      <c r="C86" s="6">
        <f t="shared" si="2"/>
        <v>1.7233482193976815E-2</v>
      </c>
      <c r="D86" s="7">
        <f t="shared" si="4"/>
        <v>1.7086670062227742E-2</v>
      </c>
      <c r="O86" s="1"/>
      <c r="P86" s="3"/>
      <c r="Q86" s="3"/>
    </row>
    <row r="87" spans="1:17" x14ac:dyDescent="0.2">
      <c r="A87" s="1" t="s">
        <v>34</v>
      </c>
      <c r="B87" s="3">
        <v>1047.96</v>
      </c>
      <c r="C87" s="6">
        <f t="shared" si="2"/>
        <v>1.0890640223021756E-2</v>
      </c>
      <c r="D87" s="7">
        <f t="shared" si="4"/>
        <v>1.0831764279557612E-2</v>
      </c>
      <c r="O87" s="1"/>
      <c r="P87" s="3"/>
      <c r="Q87" s="3"/>
    </row>
    <row r="88" spans="1:17" x14ac:dyDescent="0.2">
      <c r="A88" s="1" t="s">
        <v>33</v>
      </c>
      <c r="B88" s="3">
        <v>1036.67</v>
      </c>
      <c r="C88" s="6">
        <f t="shared" si="2"/>
        <v>-2.768737279471762E-2</v>
      </c>
      <c r="D88" s="7">
        <f t="shared" si="4"/>
        <v>-2.8077893307234664E-2</v>
      </c>
      <c r="O88" s="1"/>
      <c r="P88" s="3"/>
      <c r="Q88" s="3"/>
    </row>
    <row r="89" spans="1:17" x14ac:dyDescent="0.2">
      <c r="A89" s="1" t="s">
        <v>32</v>
      </c>
      <c r="B89" s="3">
        <v>1066.19</v>
      </c>
      <c r="C89" s="6">
        <f t="shared" si="2"/>
        <v>7.3411311199712602E-3</v>
      </c>
      <c r="D89" s="7">
        <f t="shared" si="4"/>
        <v>7.3143161716407636E-3</v>
      </c>
      <c r="O89" s="1"/>
      <c r="P89" s="3"/>
      <c r="Q89" s="3"/>
    </row>
    <row r="90" spans="1:17" x14ac:dyDescent="0.2">
      <c r="A90" s="1" t="s">
        <v>31</v>
      </c>
      <c r="B90" s="3">
        <v>1058.42</v>
      </c>
      <c r="C90" s="6">
        <f t="shared" si="2"/>
        <v>5.6096587507483558E-2</v>
      </c>
      <c r="D90" s="7">
        <f t="shared" si="4"/>
        <v>5.457964654405386E-2</v>
      </c>
      <c r="O90" s="1"/>
      <c r="P90" s="3"/>
      <c r="Q90" s="3"/>
    </row>
    <row r="91" spans="1:17" x14ac:dyDescent="0.2">
      <c r="A91" s="1" t="s">
        <v>30</v>
      </c>
      <c r="B91" s="3">
        <v>1002.2</v>
      </c>
      <c r="C91" s="6">
        <f t="shared" si="2"/>
        <v>2.2496556649492495E-2</v>
      </c>
      <c r="D91" s="7">
        <f t="shared" si="4"/>
        <v>2.2247241349191083E-2</v>
      </c>
      <c r="O91" s="1"/>
      <c r="P91" s="3"/>
      <c r="Q91" s="3"/>
    </row>
    <row r="92" spans="1:17" x14ac:dyDescent="0.2">
      <c r="A92" s="1" t="s">
        <v>29</v>
      </c>
      <c r="B92" s="2">
        <v>980.15</v>
      </c>
      <c r="C92" s="6">
        <f t="shared" si="2"/>
        <v>9.568835877469423E-3</v>
      </c>
      <c r="D92" s="7">
        <f t="shared" si="4"/>
        <v>9.5233445366616626E-3</v>
      </c>
      <c r="O92" s="1"/>
      <c r="P92" s="3"/>
      <c r="Q92" s="3"/>
    </row>
    <row r="93" spans="1:17" x14ac:dyDescent="0.2">
      <c r="A93" s="1" t="s">
        <v>28</v>
      </c>
      <c r="B93" s="2">
        <v>970.86</v>
      </c>
      <c r="C93" s="6">
        <f t="shared" si="2"/>
        <v>-1.4925373134328394E-2</v>
      </c>
      <c r="D93" s="7">
        <f t="shared" si="4"/>
        <v>-1.5037877364540559E-2</v>
      </c>
      <c r="O93" s="1"/>
      <c r="P93" s="3"/>
      <c r="Q93" s="3"/>
    </row>
    <row r="94" spans="1:17" x14ac:dyDescent="0.2">
      <c r="A94" s="1" t="s">
        <v>27</v>
      </c>
      <c r="B94" s="2">
        <v>985.57</v>
      </c>
      <c r="C94" s="6">
        <f t="shared" si="2"/>
        <v>4.2797313959057701E-3</v>
      </c>
      <c r="D94" s="7">
        <f t="shared" si="4"/>
        <v>4.2705993912420335E-3</v>
      </c>
      <c r="O94" s="1"/>
      <c r="P94" s="3"/>
      <c r="Q94" s="3"/>
    </row>
    <row r="95" spans="1:17" x14ac:dyDescent="0.2">
      <c r="A95" s="1" t="s">
        <v>26</v>
      </c>
      <c r="B95" s="2">
        <v>981.37</v>
      </c>
      <c r="C95" s="6">
        <f t="shared" si="2"/>
        <v>1.1242091379345844E-2</v>
      </c>
      <c r="D95" s="7">
        <f t="shared" si="4"/>
        <v>1.1179368721511686E-2</v>
      </c>
      <c r="O95" s="1"/>
      <c r="P95" s="2"/>
      <c r="Q95" s="3"/>
    </row>
    <row r="96" spans="1:17" x14ac:dyDescent="0.2">
      <c r="A96" s="1" t="s">
        <v>25</v>
      </c>
      <c r="B96" s="2">
        <v>970.46</v>
      </c>
      <c r="C96" s="6">
        <f t="shared" si="2"/>
        <v>4.3494155976817502E-2</v>
      </c>
      <c r="D96" s="7">
        <f t="shared" si="4"/>
        <v>4.2574847113894712E-2</v>
      </c>
      <c r="O96" s="1"/>
      <c r="P96" s="2"/>
      <c r="Q96" s="3"/>
    </row>
    <row r="97" spans="1:17" x14ac:dyDescent="0.2">
      <c r="A97" s="1" t="s">
        <v>24</v>
      </c>
      <c r="B97" s="2">
        <v>930.01</v>
      </c>
      <c r="C97" s="6">
        <f t="shared" si="2"/>
        <v>1.713804492858232E-2</v>
      </c>
      <c r="D97" s="7">
        <f t="shared" si="4"/>
        <v>1.6992845247839471E-2</v>
      </c>
      <c r="O97" s="1"/>
      <c r="P97" s="2"/>
      <c r="Q97" s="3"/>
    </row>
    <row r="98" spans="1:17" x14ac:dyDescent="0.2">
      <c r="A98" s="1" t="s">
        <v>23</v>
      </c>
      <c r="B98" s="2">
        <v>914.34</v>
      </c>
      <c r="C98" s="6">
        <f t="shared" si="2"/>
        <v>3.345615661098178E-2</v>
      </c>
      <c r="D98" s="7">
        <f t="shared" si="4"/>
        <v>3.2908676995987901E-2</v>
      </c>
      <c r="O98" s="1"/>
      <c r="P98" s="2"/>
      <c r="Q98" s="3"/>
    </row>
    <row r="99" spans="1:17" x14ac:dyDescent="0.2">
      <c r="A99" s="1" t="s">
        <v>22</v>
      </c>
      <c r="B99" s="2">
        <v>884.74</v>
      </c>
      <c r="C99" s="6">
        <f t="shared" si="2"/>
        <v>-2.6378680615051987E-3</v>
      </c>
      <c r="D99" s="7">
        <f t="shared" si="4"/>
        <v>-2.6413533659916774E-3</v>
      </c>
      <c r="O99" s="1"/>
      <c r="P99" s="2"/>
      <c r="Q99" s="3"/>
    </row>
    <row r="100" spans="1:17" x14ac:dyDescent="0.2">
      <c r="A100" s="1" t="s">
        <v>21</v>
      </c>
      <c r="B100" s="2">
        <v>887.08</v>
      </c>
      <c r="C100" s="6">
        <f t="shared" si="2"/>
        <v>1.508181714154945E-2</v>
      </c>
      <c r="D100" s="7">
        <f t="shared" si="4"/>
        <v>1.496921726632966E-2</v>
      </c>
      <c r="O100" s="1"/>
      <c r="P100" s="2"/>
      <c r="Q100" s="3"/>
    </row>
    <row r="101" spans="1:17" x14ac:dyDescent="0.2">
      <c r="A101" s="1" t="s">
        <v>20</v>
      </c>
      <c r="B101" s="2">
        <v>873.9</v>
      </c>
      <c r="C101" s="6">
        <f t="shared" si="2"/>
        <v>-5.8023347310101045E-2</v>
      </c>
      <c r="D101" s="7">
        <f t="shared" si="4"/>
        <v>-5.9774789543178879E-2</v>
      </c>
      <c r="O101" s="1"/>
      <c r="P101" s="2"/>
      <c r="Q101" s="3"/>
    </row>
    <row r="102" spans="1:17" x14ac:dyDescent="0.2">
      <c r="A102" s="1" t="s">
        <v>19</v>
      </c>
      <c r="B102" s="2">
        <v>927.73</v>
      </c>
      <c r="C102" s="6">
        <f t="shared" si="2"/>
        <v>-1.3682755687858818E-2</v>
      </c>
      <c r="D102" s="7">
        <f t="shared" si="4"/>
        <v>-1.3777227334270186E-2</v>
      </c>
      <c r="O102" s="1"/>
      <c r="P102" s="2"/>
      <c r="Q102" s="3"/>
    </row>
    <row r="103" spans="1:17" x14ac:dyDescent="0.2">
      <c r="A103" s="1" t="s">
        <v>18</v>
      </c>
      <c r="B103" s="2">
        <v>940.6</v>
      </c>
      <c r="C103" s="6">
        <f t="shared" si="2"/>
        <v>-1.2109690903553058E-2</v>
      </c>
      <c r="D103" s="7">
        <f t="shared" si="4"/>
        <v>-1.2183610579532758E-2</v>
      </c>
      <c r="O103" s="1"/>
      <c r="P103" s="2"/>
      <c r="Q103" s="3"/>
    </row>
    <row r="104" spans="1:17" x14ac:dyDescent="0.2">
      <c r="A104" s="1" t="s">
        <v>17</v>
      </c>
      <c r="B104" s="2">
        <v>952.13</v>
      </c>
      <c r="C104" s="6">
        <f t="shared" si="2"/>
        <v>1.6928696543768981E-2</v>
      </c>
      <c r="D104" s="7">
        <f t="shared" si="4"/>
        <v>1.6787003048776721E-2</v>
      </c>
      <c r="O104" s="1"/>
      <c r="P104" s="2"/>
      <c r="Q104" s="3"/>
    </row>
    <row r="105" spans="1:17" x14ac:dyDescent="0.2">
      <c r="A105" s="1" t="s">
        <v>16</v>
      </c>
      <c r="B105" s="2">
        <v>936.28</v>
      </c>
      <c r="C105" s="6">
        <f t="shared" si="2"/>
        <v>2.251927571369286E-2</v>
      </c>
      <c r="D105" s="7">
        <f t="shared" si="4"/>
        <v>2.2269460310865383E-2</v>
      </c>
      <c r="O105" s="1"/>
      <c r="P105" s="2"/>
      <c r="Q105" s="3"/>
    </row>
    <row r="106" spans="1:17" x14ac:dyDescent="0.2">
      <c r="A106" s="1" t="s">
        <v>15</v>
      </c>
      <c r="B106" s="2">
        <v>915.66</v>
      </c>
      <c r="C106" s="6">
        <f t="shared" si="2"/>
        <v>3.8398729870719003E-2</v>
      </c>
      <c r="D106" s="7">
        <f t="shared" si="4"/>
        <v>3.7679843807001012E-2</v>
      </c>
      <c r="O106" s="1"/>
      <c r="P106" s="2"/>
      <c r="Q106" s="3"/>
    </row>
    <row r="107" spans="1:17" x14ac:dyDescent="0.2">
      <c r="A107" s="1" t="s">
        <v>14</v>
      </c>
      <c r="B107" s="2">
        <v>881.8</v>
      </c>
      <c r="C107" s="6">
        <f t="shared" si="2"/>
        <v>9.4904465890487382E-3</v>
      </c>
      <c r="D107" s="7">
        <f t="shared" si="4"/>
        <v>9.4456952183469677E-3</v>
      </c>
      <c r="O107" s="1"/>
      <c r="P107" s="2"/>
      <c r="Q107" s="3"/>
    </row>
    <row r="108" spans="1:17" x14ac:dyDescent="0.2">
      <c r="A108" s="1" t="s">
        <v>13</v>
      </c>
      <c r="B108" s="2">
        <v>873.51</v>
      </c>
      <c r="C108" s="6">
        <f t="shared" si="2"/>
        <v>4.1616484420648428E-2</v>
      </c>
      <c r="D108" s="7">
        <f t="shared" si="4"/>
        <v>4.077381840362708E-2</v>
      </c>
      <c r="O108" s="1"/>
      <c r="P108" s="2"/>
      <c r="Q108" s="3"/>
    </row>
    <row r="109" spans="1:17" x14ac:dyDescent="0.2">
      <c r="A109" s="1" t="s">
        <v>12</v>
      </c>
      <c r="B109" s="2">
        <v>838.61</v>
      </c>
      <c r="C109" s="6">
        <f t="shared" si="2"/>
        <v>3.6613555173735157E-2</v>
      </c>
      <c r="D109" s="7">
        <f t="shared" si="4"/>
        <v>3.5959203259199768E-2</v>
      </c>
      <c r="O109" s="1"/>
      <c r="P109" s="2"/>
      <c r="Q109" s="3"/>
    </row>
    <row r="110" spans="1:17" x14ac:dyDescent="0.2">
      <c r="A110" s="1" t="s">
        <v>11</v>
      </c>
      <c r="B110" s="2">
        <v>808.99</v>
      </c>
      <c r="C110" s="6">
        <f t="shared" si="2"/>
        <v>1.7994438082774358E-2</v>
      </c>
      <c r="D110" s="7">
        <f t="shared" si="4"/>
        <v>1.7834454540492414E-2</v>
      </c>
      <c r="O110" s="1"/>
      <c r="P110" s="2"/>
      <c r="Q110" s="3"/>
    </row>
    <row r="111" spans="1:17" x14ac:dyDescent="0.2">
      <c r="A111" s="1" t="s">
        <v>10</v>
      </c>
      <c r="B111" s="2">
        <v>794.69</v>
      </c>
      <c r="C111" s="6">
        <f t="shared" si="2"/>
        <v>6.8926195755464742E-3</v>
      </c>
      <c r="D111" s="7">
        <f t="shared" si="4"/>
        <v>6.8689740640698717E-3</v>
      </c>
      <c r="O111" s="1"/>
      <c r="P111" s="2"/>
      <c r="Q111" s="3"/>
    </row>
    <row r="112" spans="1:17" x14ac:dyDescent="0.2">
      <c r="A112" s="1" t="s">
        <v>9</v>
      </c>
      <c r="B112" s="2">
        <v>789.25</v>
      </c>
      <c r="C112" s="6">
        <f t="shared" si="2"/>
        <v>2.0313591062020224E-3</v>
      </c>
      <c r="D112" s="7">
        <f t="shared" si="4"/>
        <v>2.0292986861230561E-3</v>
      </c>
      <c r="O112" s="1"/>
      <c r="P112" s="2"/>
      <c r="Q112" s="3"/>
    </row>
    <row r="113" spans="1:17" x14ac:dyDescent="0.2">
      <c r="A113" s="1" t="s">
        <v>8</v>
      </c>
      <c r="B113" s="2">
        <v>787.65</v>
      </c>
      <c r="C113" s="6">
        <f t="shared" si="2"/>
        <v>-4.8893268647665312E-3</v>
      </c>
      <c r="D113" s="7">
        <f t="shared" si="4"/>
        <v>-4.9013187274204589E-3</v>
      </c>
      <c r="O113" s="1"/>
      <c r="P113" s="2"/>
      <c r="Q113" s="3"/>
    </row>
    <row r="114" spans="1:17" x14ac:dyDescent="0.2">
      <c r="A114" s="1" t="s">
        <v>7</v>
      </c>
      <c r="B114" s="2">
        <v>791.52</v>
      </c>
      <c r="C114" s="6">
        <f t="shared" si="2"/>
        <v>-8.7538039598752792E-3</v>
      </c>
      <c r="D114" s="7">
        <f t="shared" si="4"/>
        <v>-8.7923435787783562E-3</v>
      </c>
      <c r="O114" s="1"/>
      <c r="P114" s="2"/>
      <c r="Q114" s="3"/>
    </row>
    <row r="115" spans="1:17" x14ac:dyDescent="0.2">
      <c r="A115" s="1" t="s">
        <v>6</v>
      </c>
      <c r="B115" s="2">
        <v>798.51</v>
      </c>
      <c r="C115" s="6">
        <f t="shared" si="2"/>
        <v>7.2912593190619414E-3</v>
      </c>
      <c r="D115" s="7">
        <f t="shared" si="4"/>
        <v>7.2648065924676144E-3</v>
      </c>
      <c r="O115" s="1"/>
      <c r="P115" s="2"/>
      <c r="Q115" s="3"/>
    </row>
    <row r="116" spans="1:17" x14ac:dyDescent="0.2">
      <c r="A116" s="1" t="s">
        <v>5</v>
      </c>
      <c r="B116" s="2">
        <v>792.73</v>
      </c>
      <c r="C116" s="6">
        <f t="shared" si="2"/>
        <v>-1.372300189111174E-2</v>
      </c>
      <c r="D116" s="7">
        <f t="shared" si="4"/>
        <v>-1.381803268834962E-2</v>
      </c>
      <c r="O116" s="1"/>
      <c r="P116" s="2"/>
      <c r="Q116" s="3"/>
    </row>
    <row r="117" spans="1:17" x14ac:dyDescent="0.2">
      <c r="A117" s="1" t="s">
        <v>4</v>
      </c>
      <c r="B117" s="2">
        <v>803.76</v>
      </c>
      <c r="C117" s="6">
        <f t="shared" si="2"/>
        <v>-1.3839811542991722E-2</v>
      </c>
      <c r="D117" s="7">
        <f t="shared" si="4"/>
        <v>-1.3936474637033335E-2</v>
      </c>
      <c r="O117" s="1"/>
      <c r="P117" s="2"/>
      <c r="Q117" s="3"/>
    </row>
    <row r="118" spans="1:17" x14ac:dyDescent="0.2">
      <c r="A118" s="1" t="s">
        <v>3</v>
      </c>
      <c r="B118" s="2">
        <v>815.04</v>
      </c>
      <c r="C118" s="6">
        <f t="shared" si="2"/>
        <v>-6.1975624072092006E-2</v>
      </c>
      <c r="D118" s="7">
        <f t="shared" si="4"/>
        <v>-6.3979343183606111E-2</v>
      </c>
      <c r="O118" s="1"/>
      <c r="P118" s="2"/>
      <c r="Q118" s="3"/>
    </row>
    <row r="119" spans="1:17" x14ac:dyDescent="0.2">
      <c r="A119" s="1" t="s">
        <v>2</v>
      </c>
      <c r="B119" s="2">
        <v>868.89</v>
      </c>
      <c r="C119" s="6">
        <f t="shared" si="2"/>
        <v>-2.1590086934552125E-3</v>
      </c>
      <c r="D119" s="7">
        <f t="shared" si="4"/>
        <v>-2.1613427127748618E-3</v>
      </c>
      <c r="O119" s="1"/>
      <c r="P119" s="2"/>
      <c r="Q119" s="3"/>
    </row>
    <row r="120" spans="1:17" x14ac:dyDescent="0.2">
      <c r="A120" s="1" t="s">
        <v>144</v>
      </c>
      <c r="B120" s="2">
        <v>870.77</v>
      </c>
      <c r="C120" s="6">
        <f t="shared" si="2"/>
        <v>-2.5658354428929899E-3</v>
      </c>
      <c r="D120" s="7">
        <f t="shared" si="4"/>
        <v>-2.5691328402466973E-3</v>
      </c>
      <c r="O120" s="1"/>
      <c r="P120" s="2"/>
      <c r="Q120" s="3"/>
    </row>
    <row r="121" spans="1:17" x14ac:dyDescent="0.2">
      <c r="A121" s="1" t="s">
        <v>143</v>
      </c>
      <c r="B121" s="2">
        <v>873.01</v>
      </c>
      <c r="C121" s="6">
        <f t="shared" si="2"/>
        <v>1.7114828968216911E-2</v>
      </c>
      <c r="D121" s="7">
        <f t="shared" si="4"/>
        <v>1.6970020199228861E-2</v>
      </c>
      <c r="O121" s="1"/>
      <c r="P121" s="2"/>
      <c r="Q121" s="3"/>
    </row>
    <row r="122" spans="1:17" x14ac:dyDescent="0.2">
      <c r="A122" s="1" t="s">
        <v>142</v>
      </c>
      <c r="B122" s="2">
        <v>858.32</v>
      </c>
      <c r="C122" s="6">
        <f t="shared" si="2"/>
        <v>-4.2460381911412892E-3</v>
      </c>
      <c r="D122" s="7">
        <f t="shared" si="4"/>
        <v>-4.2550782098866062E-3</v>
      </c>
      <c r="O122" s="1"/>
      <c r="P122" s="2"/>
      <c r="Q122" s="3"/>
    </row>
    <row r="123" spans="1:17" x14ac:dyDescent="0.2">
      <c r="A123" s="1" t="s">
        <v>141</v>
      </c>
      <c r="B123" s="2">
        <v>861.98</v>
      </c>
      <c r="C123" s="6">
        <f t="shared" si="2"/>
        <v>3.4574684811585748E-3</v>
      </c>
      <c r="D123" s="7">
        <f t="shared" si="4"/>
        <v>3.4515051783441187E-3</v>
      </c>
      <c r="O123" s="1"/>
      <c r="P123" s="2"/>
      <c r="Q123" s="3"/>
    </row>
    <row r="124" spans="1:17" x14ac:dyDescent="0.2">
      <c r="A124" s="1" t="s">
        <v>140</v>
      </c>
      <c r="B124" s="2">
        <v>859.01</v>
      </c>
      <c r="C124" s="6">
        <f t="shared" si="2"/>
        <v>3.5039099683105854E-2</v>
      </c>
      <c r="D124" s="7">
        <f t="shared" si="4"/>
        <v>3.4439203475381507E-2</v>
      </c>
      <c r="O124" s="1"/>
      <c r="P124" s="2"/>
      <c r="Q124" s="3"/>
    </row>
    <row r="125" spans="1:17" x14ac:dyDescent="0.2">
      <c r="A125" s="1" t="s">
        <v>139</v>
      </c>
      <c r="B125" s="2">
        <v>829.93</v>
      </c>
      <c r="C125" s="6">
        <f t="shared" si="2"/>
        <v>5.5369778036250079E-3</v>
      </c>
      <c r="D125" s="7">
        <f t="shared" si="4"/>
        <v>5.5217050925311954E-3</v>
      </c>
      <c r="O125" s="1"/>
      <c r="P125" s="2"/>
      <c r="Q125" s="3"/>
    </row>
    <row r="126" spans="1:17" x14ac:dyDescent="0.2">
      <c r="A126" s="1" t="s">
        <v>138</v>
      </c>
      <c r="B126" s="2">
        <v>825.36</v>
      </c>
      <c r="C126" s="8" t="s">
        <v>145</v>
      </c>
      <c r="D126" s="9" t="s">
        <v>145</v>
      </c>
      <c r="O126" s="1"/>
      <c r="P126" s="2"/>
      <c r="Q126" s="3"/>
    </row>
    <row r="127" spans="1:17" x14ac:dyDescent="0.2">
      <c r="A127" s="1"/>
      <c r="B127" s="2"/>
      <c r="C127" s="6"/>
      <c r="O127" s="1"/>
      <c r="P127" s="2"/>
      <c r="Q127" s="3"/>
    </row>
    <row r="128" spans="1:17" x14ac:dyDescent="0.2">
      <c r="A128" s="1"/>
      <c r="B128" s="2"/>
      <c r="C128" s="6"/>
      <c r="O128" s="1"/>
      <c r="P128" s="2"/>
      <c r="Q128" s="3"/>
    </row>
    <row r="129" spans="15:17" x14ac:dyDescent="0.2">
      <c r="O129" s="1"/>
      <c r="P129" s="2"/>
      <c r="Q129" s="3"/>
    </row>
    <row r="130" spans="15:17" x14ac:dyDescent="0.2">
      <c r="O130" s="1"/>
      <c r="P130" s="2"/>
      <c r="Q130" s="3"/>
    </row>
    <row r="131" spans="15:17" x14ac:dyDescent="0.2">
      <c r="O131" s="1"/>
      <c r="P131" s="2"/>
      <c r="Q131" s="3"/>
    </row>
  </sheetData>
  <sortState xmlns:xlrd2="http://schemas.microsoft.com/office/spreadsheetml/2017/richdata2" ref="O4:P131">
    <sortCondition descending="1" ref="O4:O131"/>
  </sortState>
  <mergeCells count="2">
    <mergeCell ref="K20:L20"/>
    <mergeCell ref="F9:R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9517-7415-9747-ADDB-48B88617A00F}">
  <sheetPr codeName="Sheet2"/>
  <dimension ref="A1:R129"/>
  <sheetViews>
    <sheetView zoomScale="60" workbookViewId="0">
      <selection activeCell="D1" sqref="D1:D1048576"/>
    </sheetView>
  </sheetViews>
  <sheetFormatPr baseColWidth="10" defaultColWidth="11.5" defaultRowHeight="16" x14ac:dyDescent="0.2"/>
  <cols>
    <col min="2" max="2" width="15" customWidth="1"/>
    <col min="3" max="3" width="10.83203125" style="22"/>
    <col min="4" max="4" width="10.83203125" style="19"/>
    <col min="7" max="7" width="12.1640625" customWidth="1"/>
    <col min="8" max="8" width="15.6640625" customWidth="1"/>
    <col min="9" max="9" width="15.5" customWidth="1"/>
    <col min="12" max="12" width="15.83203125" customWidth="1"/>
    <col min="14" max="14" width="16" customWidth="1"/>
    <col min="15" max="15" width="13.5" customWidth="1"/>
    <col min="17" max="17" width="15.33203125" customWidth="1"/>
    <col min="18" max="18" width="15.6640625" customWidth="1"/>
  </cols>
  <sheetData>
    <row r="1" spans="1:18" ht="17" thickBot="1" x14ac:dyDescent="0.25">
      <c r="A1" s="11" t="s">
        <v>0</v>
      </c>
      <c r="B1" s="12" t="s">
        <v>1</v>
      </c>
      <c r="C1" s="16" t="s">
        <v>131</v>
      </c>
      <c r="D1" s="17" t="s">
        <v>133</v>
      </c>
    </row>
    <row r="2" spans="1:18" x14ac:dyDescent="0.2">
      <c r="A2" s="1" t="s">
        <v>119</v>
      </c>
      <c r="B2" s="82">
        <v>110.03</v>
      </c>
      <c r="C2" s="18">
        <f>(B2-B3)/B3</f>
        <v>2.2108685555039437E-2</v>
      </c>
      <c r="D2" s="19">
        <f>LN(B2/B3)</f>
        <v>2.1867832071449211E-2</v>
      </c>
    </row>
    <row r="3" spans="1:18" x14ac:dyDescent="0.2">
      <c r="A3" s="1" t="s">
        <v>118</v>
      </c>
      <c r="B3" s="2">
        <v>107.65</v>
      </c>
      <c r="C3" s="18">
        <f t="shared" ref="C3:C66" si="0">(B3-B4)/B4</f>
        <v>2.2802850356294591E-2</v>
      </c>
      <c r="D3" s="19">
        <f t="shared" ref="D3:D66" si="1">LN(B3/B4)</f>
        <v>2.25467512478814E-2</v>
      </c>
    </row>
    <row r="4" spans="1:18" x14ac:dyDescent="0.2">
      <c r="A4" s="1" t="s">
        <v>117</v>
      </c>
      <c r="B4" s="2">
        <v>105.25</v>
      </c>
      <c r="C4" s="18">
        <f t="shared" si="0"/>
        <v>1.1241352805534221E-2</v>
      </c>
      <c r="D4" s="19">
        <f t="shared" si="1"/>
        <v>1.1178638358240936E-2</v>
      </c>
    </row>
    <row r="5" spans="1:18" x14ac:dyDescent="0.2">
      <c r="A5" s="1" t="s">
        <v>116</v>
      </c>
      <c r="B5" s="2">
        <v>104.08</v>
      </c>
      <c r="C5" s="18">
        <f t="shared" si="0"/>
        <v>-1.774254435636085E-2</v>
      </c>
      <c r="D5" s="19">
        <f t="shared" si="1"/>
        <v>-1.790183019961903E-2</v>
      </c>
    </row>
    <row r="6" spans="1:18" x14ac:dyDescent="0.2">
      <c r="A6" s="1" t="s">
        <v>115</v>
      </c>
      <c r="B6" s="2">
        <v>105.96</v>
      </c>
      <c r="C6" s="18">
        <f t="shared" si="0"/>
        <v>2.5650953441099519E-2</v>
      </c>
      <c r="D6" s="19">
        <f t="shared" si="1"/>
        <v>2.532748754251489E-2</v>
      </c>
    </row>
    <row r="7" spans="1:18" x14ac:dyDescent="0.2">
      <c r="A7" s="1" t="s">
        <v>114</v>
      </c>
      <c r="B7" s="2">
        <v>103.31</v>
      </c>
      <c r="C7" s="18">
        <f t="shared" si="0"/>
        <v>7.4578739338464761E-2</v>
      </c>
      <c r="D7" s="19">
        <f t="shared" si="1"/>
        <v>7.192871439553937E-2</v>
      </c>
    </row>
    <row r="8" spans="1:18" ht="17" thickBot="1" x14ac:dyDescent="0.25">
      <c r="A8" s="1" t="s">
        <v>113</v>
      </c>
      <c r="B8" s="2">
        <v>96.14</v>
      </c>
      <c r="C8" s="18">
        <f t="shared" si="0"/>
        <v>6.9124423963133281E-3</v>
      </c>
      <c r="D8" s="19">
        <f t="shared" si="1"/>
        <v>6.8886609951853157E-3</v>
      </c>
    </row>
    <row r="9" spans="1:18" x14ac:dyDescent="0.2">
      <c r="A9" s="1" t="s">
        <v>112</v>
      </c>
      <c r="B9" s="2">
        <v>95.48</v>
      </c>
      <c r="C9" s="18">
        <f t="shared" si="0"/>
        <v>-5.8309037900874869E-3</v>
      </c>
      <c r="D9" s="19">
        <f t="shared" si="1"/>
        <v>-5.8479698824230996E-3</v>
      </c>
      <c r="F9" s="152" t="s">
        <v>207</v>
      </c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4"/>
    </row>
    <row r="10" spans="1:18" ht="17" thickBot="1" x14ac:dyDescent="0.25">
      <c r="A10" s="1" t="s">
        <v>111</v>
      </c>
      <c r="B10" s="2">
        <v>96.04</v>
      </c>
      <c r="C10" s="18">
        <f t="shared" si="0"/>
        <v>-2.0399836801305589E-2</v>
      </c>
      <c r="D10" s="19">
        <f t="shared" si="1"/>
        <v>-2.0610787306859404E-2</v>
      </c>
      <c r="F10" s="155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7"/>
    </row>
    <row r="11" spans="1:18" ht="17" thickBot="1" x14ac:dyDescent="0.25">
      <c r="A11" s="1" t="s">
        <v>110</v>
      </c>
      <c r="B11" s="2">
        <v>98.04</v>
      </c>
      <c r="C11" s="18">
        <f t="shared" si="0"/>
        <v>-1.6156547917711987E-2</v>
      </c>
      <c r="D11" s="19">
        <f t="shared" si="1"/>
        <v>-1.6288487998891946E-2</v>
      </c>
      <c r="F11" s="138" t="s">
        <v>130</v>
      </c>
      <c r="G11" s="139" t="s">
        <v>1</v>
      </c>
      <c r="H11" s="140" t="s">
        <v>131</v>
      </c>
      <c r="I11" s="141" t="s">
        <v>133</v>
      </c>
      <c r="K11" s="142" t="s">
        <v>130</v>
      </c>
      <c r="L11" s="143" t="s">
        <v>160</v>
      </c>
      <c r="N11" s="144" t="s">
        <v>158</v>
      </c>
      <c r="O11" s="145"/>
      <c r="P11" s="1"/>
      <c r="Q11" s="144" t="s">
        <v>159</v>
      </c>
      <c r="R11" s="145"/>
    </row>
    <row r="12" spans="1:18" x14ac:dyDescent="0.2">
      <c r="A12" s="1" t="s">
        <v>109</v>
      </c>
      <c r="B12" s="2">
        <v>99.65</v>
      </c>
      <c r="C12" s="18">
        <f t="shared" si="0"/>
        <v>1.6940504133074914E-2</v>
      </c>
      <c r="D12" s="19">
        <f t="shared" si="1"/>
        <v>1.6798614011076834E-2</v>
      </c>
      <c r="F12" s="98" t="s">
        <v>122</v>
      </c>
      <c r="G12" s="99">
        <f>AVERAGE(B2:B128)</f>
        <v>89.546639999999968</v>
      </c>
      <c r="H12" s="97">
        <f>AVERAGE(C2:C125)</f>
        <v>3.1897317733442822E-3</v>
      </c>
      <c r="I12" s="100">
        <f>AVERAGE(D2:D125)</f>
        <v>3.076879915328646E-3</v>
      </c>
      <c r="K12" s="73" t="s">
        <v>120</v>
      </c>
      <c r="L12" s="80">
        <f>H12*252</f>
        <v>0.80381240688275912</v>
      </c>
      <c r="N12" t="s">
        <v>146</v>
      </c>
      <c r="O12">
        <v>3.1897317733442822E-3</v>
      </c>
      <c r="P12" s="3"/>
      <c r="Q12" t="s">
        <v>146</v>
      </c>
      <c r="R12" s="35">
        <v>3.076879915328646E-3</v>
      </c>
    </row>
    <row r="13" spans="1:18" x14ac:dyDescent="0.2">
      <c r="A13" s="1" t="s">
        <v>108</v>
      </c>
      <c r="B13" s="2">
        <v>97.99</v>
      </c>
      <c r="C13" s="18">
        <f t="shared" si="0"/>
        <v>-3.9642203699939071E-3</v>
      </c>
      <c r="D13" s="19">
        <f t="shared" si="1"/>
        <v>-3.9720987194666341E-3</v>
      </c>
      <c r="F13" s="101" t="s">
        <v>123</v>
      </c>
      <c r="G13" s="102">
        <f>_xlfn.VAR.S(B2:B128)</f>
        <v>44.525617651612905</v>
      </c>
      <c r="H13" s="103">
        <f>_xlfn.VAR.S(C2:C125)</f>
        <v>2.2109546267035909E-4</v>
      </c>
      <c r="I13" s="104">
        <f>_xlfn.VAR.S(D2:D125)</f>
        <v>2.1616368275806741E-4</v>
      </c>
      <c r="K13" s="75" t="s">
        <v>135</v>
      </c>
      <c r="L13" s="26">
        <f>I12*252</f>
        <v>0.77537373866281878</v>
      </c>
      <c r="N13" t="s">
        <v>147</v>
      </c>
      <c r="O13">
        <v>1.3353006870218259E-3</v>
      </c>
      <c r="P13" s="3"/>
      <c r="Q13" t="s">
        <v>147</v>
      </c>
      <c r="R13" s="35">
        <v>1.3203240155785423E-3</v>
      </c>
    </row>
    <row r="14" spans="1:18" x14ac:dyDescent="0.2">
      <c r="A14" s="1" t="s">
        <v>107</v>
      </c>
      <c r="B14" s="2">
        <v>98.38</v>
      </c>
      <c r="C14" s="18">
        <f t="shared" si="0"/>
        <v>1.2139917695473174E-2</v>
      </c>
      <c r="D14" s="19">
        <f t="shared" si="1"/>
        <v>1.2066819900800179E-2</v>
      </c>
      <c r="F14" s="98" t="s">
        <v>124</v>
      </c>
      <c r="G14" s="99">
        <f>_xlfn.STDEV.S(B2:B128)</f>
        <v>6.6727518799677323</v>
      </c>
      <c r="H14" s="97">
        <f>_xlfn.STDEV.S(C2:C125)</f>
        <v>1.4869279157725134E-2</v>
      </c>
      <c r="I14" s="100">
        <f>_xlfn.STDEV.S(D2:D125)</f>
        <v>1.4702506002653676E-2</v>
      </c>
      <c r="K14" s="73" t="s">
        <v>136</v>
      </c>
      <c r="L14" s="80">
        <f>H14*SQRT(252)</f>
        <v>0.23604248895682001</v>
      </c>
      <c r="N14" t="s">
        <v>148</v>
      </c>
      <c r="O14">
        <v>2.6647579545964369E-3</v>
      </c>
      <c r="P14" s="3"/>
      <c r="Q14" t="s">
        <v>148</v>
      </c>
      <c r="R14" s="35">
        <v>2.6612100942490467E-3</v>
      </c>
    </row>
    <row r="15" spans="1:18" x14ac:dyDescent="0.2">
      <c r="A15" s="1" t="s">
        <v>106</v>
      </c>
      <c r="B15" s="2">
        <v>97.2</v>
      </c>
      <c r="C15" s="18">
        <f t="shared" si="0"/>
        <v>2.5786487880350697E-3</v>
      </c>
      <c r="D15" s="19">
        <f t="shared" si="1"/>
        <v>2.5753297777325536E-3</v>
      </c>
      <c r="F15" s="101" t="s">
        <v>125</v>
      </c>
      <c r="G15" s="102">
        <f>MIN(B2:B128)</f>
        <v>75.13</v>
      </c>
      <c r="H15" s="105">
        <f>MIN(C2:C125)</f>
        <v>-4.02779285636738E-2</v>
      </c>
      <c r="I15" s="106">
        <f>MIN(D2:D125)</f>
        <v>-4.1111545356546438E-2</v>
      </c>
      <c r="K15" s="75" t="s">
        <v>137</v>
      </c>
      <c r="L15" s="26">
        <f>I14*SQRT(252)</f>
        <v>0.23339504719473589</v>
      </c>
      <c r="N15" t="s">
        <v>149</v>
      </c>
      <c r="O15">
        <v>1.4869279157725134E-2</v>
      </c>
      <c r="P15" s="3"/>
      <c r="Q15" t="s">
        <v>149</v>
      </c>
      <c r="R15" s="35">
        <v>1.4702506002653676E-2</v>
      </c>
    </row>
    <row r="16" spans="1:18" ht="17" thickBot="1" x14ac:dyDescent="0.25">
      <c r="A16" s="1" t="s">
        <v>105</v>
      </c>
      <c r="B16" s="2">
        <v>96.95</v>
      </c>
      <c r="C16" s="18">
        <f t="shared" si="0"/>
        <v>1.4227429647452655E-2</v>
      </c>
      <c r="D16" s="19">
        <f t="shared" si="1"/>
        <v>1.4127169612989651E-2</v>
      </c>
      <c r="F16" s="98" t="s">
        <v>126</v>
      </c>
      <c r="G16" s="99">
        <f>MAX(B2:B128)</f>
        <v>110.03</v>
      </c>
      <c r="H16" s="97">
        <f>MAX(C2:C125)</f>
        <v>7.4578739338464761E-2</v>
      </c>
      <c r="I16" s="100">
        <f>MAX(D2:D125)</f>
        <v>7.192871439553937E-2</v>
      </c>
      <c r="K16" s="77" t="s">
        <v>134</v>
      </c>
      <c r="L16" s="78">
        <f>(B2/B126)^(1/0.5)-1</f>
        <v>1.144842705670702</v>
      </c>
      <c r="N16" t="s">
        <v>150</v>
      </c>
      <c r="O16">
        <v>2.2109546267035909E-4</v>
      </c>
      <c r="P16" s="3"/>
      <c r="Q16" t="s">
        <v>150</v>
      </c>
      <c r="R16" s="35">
        <v>2.1616368275806741E-4</v>
      </c>
    </row>
    <row r="17" spans="1:18" x14ac:dyDescent="0.2">
      <c r="A17" s="1" t="s">
        <v>104</v>
      </c>
      <c r="B17" s="2">
        <v>95.59</v>
      </c>
      <c r="C17" s="18">
        <f t="shared" si="0"/>
        <v>1.8540223761321355E-2</v>
      </c>
      <c r="D17" s="19">
        <f t="shared" si="1"/>
        <v>1.8370449043153381E-2</v>
      </c>
      <c r="F17" s="101" t="s">
        <v>127</v>
      </c>
      <c r="G17" s="102">
        <f>MEDIAN(B2:B128)</f>
        <v>90.22</v>
      </c>
      <c r="H17" s="103">
        <f>MEDIAN(C2:C125)</f>
        <v>2.6647579545964369E-3</v>
      </c>
      <c r="I17" s="104">
        <f>MEDIAN(D2:D125)</f>
        <v>2.6612100942490467E-3</v>
      </c>
      <c r="N17" t="s">
        <v>151</v>
      </c>
      <c r="O17">
        <v>6.1883259607804497</v>
      </c>
      <c r="P17" s="3"/>
      <c r="Q17" t="s">
        <v>151</v>
      </c>
      <c r="R17" s="35">
        <v>5.630410499865679</v>
      </c>
    </row>
    <row r="18" spans="1:18" x14ac:dyDescent="0.2">
      <c r="A18" s="1" t="s">
        <v>103</v>
      </c>
      <c r="B18" s="2">
        <v>93.85</v>
      </c>
      <c r="C18" s="18">
        <f t="shared" si="0"/>
        <v>-1.5731515469323547E-2</v>
      </c>
      <c r="D18" s="19">
        <f t="shared" si="1"/>
        <v>-1.58565690139102E-2</v>
      </c>
      <c r="F18" s="98" t="s">
        <v>128</v>
      </c>
      <c r="G18" s="99">
        <f>SKEW(B2:B128)</f>
        <v>0.26796459271269774</v>
      </c>
      <c r="H18" s="97">
        <f>SKEW(C2:C125)</f>
        <v>1.2140097097555953</v>
      </c>
      <c r="I18" s="100">
        <f>SKEW(D2:D125)</f>
        <v>1.0733906494021548</v>
      </c>
      <c r="N18" t="s">
        <v>152</v>
      </c>
      <c r="O18">
        <v>1.2140097097555953</v>
      </c>
      <c r="P18" s="3"/>
      <c r="Q18" t="s">
        <v>152</v>
      </c>
      <c r="R18" s="35">
        <v>1.0733906494021548</v>
      </c>
    </row>
    <row r="19" spans="1:18" ht="17" thickBot="1" x14ac:dyDescent="0.25">
      <c r="A19" s="1" t="s">
        <v>102</v>
      </c>
      <c r="B19" s="2">
        <v>95.35</v>
      </c>
      <c r="C19" s="18">
        <f t="shared" si="0"/>
        <v>2.4497689910819825E-2</v>
      </c>
      <c r="D19" s="19">
        <f t="shared" si="1"/>
        <v>2.4202433848808946E-2</v>
      </c>
      <c r="F19" s="107" t="s">
        <v>129</v>
      </c>
      <c r="G19" s="108">
        <f>KURT(B2:B128)</f>
        <v>0.51440233105288158</v>
      </c>
      <c r="H19" s="109">
        <f>KURT(C2:C125)</f>
        <v>6.1883259607804497</v>
      </c>
      <c r="I19" s="110">
        <f>KURT(D2:D125)</f>
        <v>5.630410499865679</v>
      </c>
      <c r="N19" t="s">
        <v>153</v>
      </c>
      <c r="O19">
        <v>0.11485666790213855</v>
      </c>
      <c r="P19" s="3"/>
      <c r="Q19" t="s">
        <v>153</v>
      </c>
      <c r="R19" s="35">
        <v>0.11304025975208581</v>
      </c>
    </row>
    <row r="20" spans="1:18" ht="17" thickBot="1" x14ac:dyDescent="0.25">
      <c r="A20" s="1" t="s">
        <v>101</v>
      </c>
      <c r="B20" s="2">
        <v>93.07</v>
      </c>
      <c r="C20" s="18">
        <f t="shared" si="0"/>
        <v>1.6142918639689139E-3</v>
      </c>
      <c r="D20" s="19">
        <f t="shared" si="1"/>
        <v>1.6129902954107101E-3</v>
      </c>
      <c r="F20" s="75"/>
      <c r="K20" s="158" t="s">
        <v>162</v>
      </c>
      <c r="L20" s="159"/>
      <c r="N20" t="s">
        <v>154</v>
      </c>
      <c r="O20">
        <v>-4.02779285636738E-2</v>
      </c>
      <c r="P20" s="3"/>
      <c r="Q20" t="s">
        <v>154</v>
      </c>
      <c r="R20" s="35">
        <v>-4.1111545356546438E-2</v>
      </c>
    </row>
    <row r="21" spans="1:18" x14ac:dyDescent="0.2">
      <c r="A21" s="1" t="s">
        <v>100</v>
      </c>
      <c r="B21" s="2">
        <v>92.92</v>
      </c>
      <c r="C21" s="18">
        <f t="shared" si="0"/>
        <v>-1.2897678417885269E-3</v>
      </c>
      <c r="D21" s="19">
        <f t="shared" si="1"/>
        <v>-1.290600308200695E-3</v>
      </c>
      <c r="F21" s="25"/>
      <c r="K21" s="25" t="s">
        <v>161</v>
      </c>
      <c r="L21" s="26" cm="1">
        <f t="array" ref="L21">AnnualizedVolatility(D2:D125)</f>
        <v>0.23339504719473589</v>
      </c>
      <c r="N21" t="s">
        <v>155</v>
      </c>
      <c r="O21">
        <v>7.4578739338464761E-2</v>
      </c>
      <c r="P21" s="3"/>
      <c r="Q21" t="s">
        <v>155</v>
      </c>
      <c r="R21" s="35">
        <v>7.192871439553937E-2</v>
      </c>
    </row>
    <row r="22" spans="1:18" ht="17" thickBot="1" x14ac:dyDescent="0.25">
      <c r="A22" s="1" t="s">
        <v>99</v>
      </c>
      <c r="B22" s="2">
        <v>93.04</v>
      </c>
      <c r="C22" s="18">
        <f t="shared" si="0"/>
        <v>8.605851979347301E-4</v>
      </c>
      <c r="D22" s="19">
        <f t="shared" si="1"/>
        <v>8.6021510680792915E-4</v>
      </c>
      <c r="F22" s="25"/>
      <c r="K22" s="27" t="s">
        <v>163</v>
      </c>
      <c r="L22" s="28" cm="1">
        <f t="array" ref="L22">CAGR(B126,B2,0.5)</f>
        <v>1.144842705670702</v>
      </c>
      <c r="N22" t="s">
        <v>156</v>
      </c>
      <c r="O22">
        <v>0.395526739894691</v>
      </c>
      <c r="P22" s="3"/>
      <c r="Q22" t="s">
        <v>156</v>
      </c>
      <c r="R22" s="35">
        <v>0.38153310950075209</v>
      </c>
    </row>
    <row r="23" spans="1:18" ht="17" thickBot="1" x14ac:dyDescent="0.25">
      <c r="A23" s="1" t="s">
        <v>98</v>
      </c>
      <c r="B23" s="2">
        <v>92.96</v>
      </c>
      <c r="C23" s="18">
        <f t="shared" si="0"/>
        <v>1.2195121951219407E-2</v>
      </c>
      <c r="D23" s="19">
        <f t="shared" si="1"/>
        <v>1.2121360532344602E-2</v>
      </c>
      <c r="F23" s="27"/>
      <c r="G23" s="10"/>
      <c r="H23" s="10"/>
      <c r="I23" s="10"/>
      <c r="J23" s="10"/>
      <c r="K23" s="10"/>
      <c r="L23" s="10"/>
      <c r="M23" s="10"/>
      <c r="N23" s="10" t="s">
        <v>157</v>
      </c>
      <c r="O23" s="10">
        <v>124</v>
      </c>
      <c r="P23" s="137"/>
      <c r="Q23" s="10" t="s">
        <v>157</v>
      </c>
      <c r="R23" s="36">
        <v>124</v>
      </c>
    </row>
    <row r="24" spans="1:18" x14ac:dyDescent="0.2">
      <c r="A24" s="1" t="s">
        <v>97</v>
      </c>
      <c r="B24" s="2">
        <v>91.84</v>
      </c>
      <c r="C24" s="18">
        <f t="shared" si="0"/>
        <v>2.0731042007637503E-3</v>
      </c>
      <c r="D24" s="19">
        <f t="shared" si="1"/>
        <v>2.0709582855422785E-3</v>
      </c>
      <c r="N24" s="1"/>
      <c r="O24" s="2"/>
      <c r="P24" s="3"/>
    </row>
    <row r="25" spans="1:18" x14ac:dyDescent="0.2">
      <c r="A25" s="1" t="s">
        <v>96</v>
      </c>
      <c r="B25" s="2">
        <v>91.65</v>
      </c>
      <c r="C25" s="18">
        <f t="shared" si="0"/>
        <v>-7.9021433210650551E-3</v>
      </c>
      <c r="D25" s="19">
        <f t="shared" si="1"/>
        <v>-7.933530716745232E-3</v>
      </c>
      <c r="N25" s="1"/>
      <c r="O25" s="2"/>
      <c r="P25" s="3"/>
    </row>
    <row r="26" spans="1:18" x14ac:dyDescent="0.2">
      <c r="A26" s="1" t="s">
        <v>95</v>
      </c>
      <c r="B26" s="2">
        <v>92.38</v>
      </c>
      <c r="C26" s="18">
        <f t="shared" si="0"/>
        <v>1.5164835164835114E-2</v>
      </c>
      <c r="D26" s="19">
        <f t="shared" si="1"/>
        <v>1.5050998485609146E-2</v>
      </c>
      <c r="N26" s="1"/>
      <c r="O26" s="2"/>
      <c r="P26" s="3"/>
    </row>
    <row r="27" spans="1:18" x14ac:dyDescent="0.2">
      <c r="A27" s="1" t="s">
        <v>94</v>
      </c>
      <c r="B27" s="2">
        <v>91</v>
      </c>
      <c r="C27" s="18">
        <f t="shared" si="0"/>
        <v>1.1785634867689597E-2</v>
      </c>
      <c r="D27" s="19">
        <f t="shared" si="1"/>
        <v>1.171672517428882E-2</v>
      </c>
      <c r="N27" s="1"/>
      <c r="O27" s="2"/>
      <c r="P27" s="3"/>
    </row>
    <row r="28" spans="1:18" x14ac:dyDescent="0.2">
      <c r="A28" s="1" t="s">
        <v>93</v>
      </c>
      <c r="B28" s="2">
        <v>89.94</v>
      </c>
      <c r="C28" s="18">
        <f t="shared" si="0"/>
        <v>6.6755674232312281E-4</v>
      </c>
      <c r="D28" s="19">
        <f t="shared" si="1"/>
        <v>6.6733402543292411E-4</v>
      </c>
      <c r="N28" s="1"/>
      <c r="O28" s="2"/>
      <c r="P28" s="3"/>
    </row>
    <row r="29" spans="1:18" x14ac:dyDescent="0.2">
      <c r="A29" s="1" t="s">
        <v>92</v>
      </c>
      <c r="B29" s="2">
        <v>89.88</v>
      </c>
      <c r="C29" s="18">
        <f t="shared" si="0"/>
        <v>8.3015481265424594E-3</v>
      </c>
      <c r="D29" s="19">
        <f t="shared" si="1"/>
        <v>8.2672797987186318E-3</v>
      </c>
      <c r="N29" s="1"/>
      <c r="O29" s="2"/>
      <c r="P29" s="3"/>
    </row>
    <row r="30" spans="1:18" x14ac:dyDescent="0.2">
      <c r="A30" s="1" t="s">
        <v>91</v>
      </c>
      <c r="B30" s="2">
        <v>89.14</v>
      </c>
      <c r="C30" s="18">
        <f t="shared" si="0"/>
        <v>-1.644047224980685E-2</v>
      </c>
      <c r="D30" s="19">
        <f t="shared" si="1"/>
        <v>-1.6577116548280466E-2</v>
      </c>
      <c r="N30" s="1"/>
      <c r="O30" s="2"/>
      <c r="P30" s="3"/>
    </row>
    <row r="31" spans="1:18" x14ac:dyDescent="0.2">
      <c r="A31" s="1" t="s">
        <v>90</v>
      </c>
      <c r="B31" s="2">
        <v>90.63</v>
      </c>
      <c r="C31" s="18">
        <f t="shared" si="0"/>
        <v>-6.5767839526472485E-3</v>
      </c>
      <c r="D31" s="19">
        <f t="shared" si="1"/>
        <v>-6.598506290692775E-3</v>
      </c>
      <c r="N31" s="1"/>
      <c r="O31" s="2"/>
      <c r="P31" s="3"/>
    </row>
    <row r="32" spans="1:18" x14ac:dyDescent="0.2">
      <c r="A32" s="1" t="s">
        <v>89</v>
      </c>
      <c r="B32" s="2">
        <v>91.23</v>
      </c>
      <c r="C32" s="18">
        <f t="shared" si="0"/>
        <v>-1.9691499835903362E-3</v>
      </c>
      <c r="D32" s="19">
        <f t="shared" si="1"/>
        <v>-1.9710913083443044E-3</v>
      </c>
      <c r="N32" s="1"/>
      <c r="O32" s="2"/>
      <c r="P32" s="3"/>
    </row>
    <row r="33" spans="1:16" x14ac:dyDescent="0.2">
      <c r="A33" s="1" t="s">
        <v>88</v>
      </c>
      <c r="B33" s="2">
        <v>91.41</v>
      </c>
      <c r="C33" s="18">
        <f t="shared" si="0"/>
        <v>-5.1153678711362525E-3</v>
      </c>
      <c r="D33" s="19">
        <f t="shared" si="1"/>
        <v>-5.1284961551700701E-3</v>
      </c>
      <c r="N33" s="1"/>
      <c r="O33" s="2"/>
      <c r="P33" s="3"/>
    </row>
    <row r="34" spans="1:16" x14ac:dyDescent="0.2">
      <c r="A34" s="1" t="s">
        <v>87</v>
      </c>
      <c r="B34" s="2">
        <v>91.88</v>
      </c>
      <c r="C34" s="18">
        <f t="shared" si="0"/>
        <v>-5.3047526253113464E-3</v>
      </c>
      <c r="D34" s="19">
        <f t="shared" si="1"/>
        <v>-5.3188727836213298E-3</v>
      </c>
      <c r="N34" s="1"/>
      <c r="O34" s="2"/>
      <c r="P34" s="3"/>
    </row>
    <row r="35" spans="1:16" x14ac:dyDescent="0.2">
      <c r="A35" s="1" t="s">
        <v>86</v>
      </c>
      <c r="B35" s="2">
        <v>92.37</v>
      </c>
      <c r="C35" s="18">
        <f t="shared" si="0"/>
        <v>3.9126181936745942E-3</v>
      </c>
      <c r="D35" s="19">
        <f t="shared" si="1"/>
        <v>3.9049838102488492E-3</v>
      </c>
      <c r="N35" s="1"/>
      <c r="O35" s="2"/>
      <c r="P35" s="3"/>
    </row>
    <row r="36" spans="1:16" x14ac:dyDescent="0.2">
      <c r="A36" s="1" t="s">
        <v>85</v>
      </c>
      <c r="B36" s="2">
        <v>92.01</v>
      </c>
      <c r="C36" s="18">
        <f t="shared" si="0"/>
        <v>-2.2314313037934273E-2</v>
      </c>
      <c r="D36" s="19">
        <f t="shared" si="1"/>
        <v>-2.2567044076426578E-2</v>
      </c>
      <c r="N36" s="1"/>
      <c r="O36" s="2"/>
      <c r="P36" s="3"/>
    </row>
    <row r="37" spans="1:16" x14ac:dyDescent="0.2">
      <c r="A37" s="1" t="s">
        <v>84</v>
      </c>
      <c r="B37" s="2">
        <v>94.11</v>
      </c>
      <c r="C37" s="18">
        <f t="shared" si="0"/>
        <v>-3.1776294884016225E-3</v>
      </c>
      <c r="D37" s="19">
        <f t="shared" si="1"/>
        <v>-3.182688873728677E-3</v>
      </c>
      <c r="N37" s="1"/>
      <c r="O37" s="2"/>
      <c r="P37" s="3"/>
    </row>
    <row r="38" spans="1:16" x14ac:dyDescent="0.2">
      <c r="A38" s="1" t="s">
        <v>83</v>
      </c>
      <c r="B38" s="2">
        <v>94.41</v>
      </c>
      <c r="C38" s="18">
        <f t="shared" si="0"/>
        <v>4.8962213943586344E-3</v>
      </c>
      <c r="D38" s="19">
        <f t="shared" si="1"/>
        <v>4.8842738849508025E-3</v>
      </c>
      <c r="N38" s="1"/>
      <c r="O38" s="2"/>
      <c r="P38" s="3"/>
    </row>
    <row r="39" spans="1:16" x14ac:dyDescent="0.2">
      <c r="A39" s="1" t="s">
        <v>82</v>
      </c>
      <c r="B39" s="2">
        <v>93.95</v>
      </c>
      <c r="C39" s="18">
        <f t="shared" si="0"/>
        <v>5.8886509635973994E-3</v>
      </c>
      <c r="D39" s="19">
        <f t="shared" si="1"/>
        <v>5.8713806246773184E-3</v>
      </c>
      <c r="N39" s="1"/>
      <c r="O39" s="2"/>
      <c r="P39" s="3"/>
    </row>
    <row r="40" spans="1:16" x14ac:dyDescent="0.2">
      <c r="A40" s="1" t="s">
        <v>81</v>
      </c>
      <c r="B40" s="2">
        <v>93.4</v>
      </c>
      <c r="C40" s="18">
        <f t="shared" si="0"/>
        <v>8.9661877498110904E-3</v>
      </c>
      <c r="D40" s="19">
        <f t="shared" si="1"/>
        <v>8.9262301556771468E-3</v>
      </c>
      <c r="N40" s="1"/>
      <c r="O40" s="2"/>
      <c r="P40" s="3"/>
    </row>
    <row r="41" spans="1:16" x14ac:dyDescent="0.2">
      <c r="A41" s="1" t="s">
        <v>80</v>
      </c>
      <c r="B41" s="2">
        <v>92.57</v>
      </c>
      <c r="C41" s="18">
        <f t="shared" si="0"/>
        <v>1.6247667142386537E-2</v>
      </c>
      <c r="D41" s="19">
        <f t="shared" si="1"/>
        <v>1.6117086322401341E-2</v>
      </c>
      <c r="N41" s="1"/>
      <c r="O41" s="2"/>
      <c r="P41" s="3"/>
    </row>
    <row r="42" spans="1:16" x14ac:dyDescent="0.2">
      <c r="A42" s="1" t="s">
        <v>79</v>
      </c>
      <c r="B42" s="2">
        <v>91.09</v>
      </c>
      <c r="C42" s="18">
        <f t="shared" si="0"/>
        <v>4.4106296173779432E-3</v>
      </c>
      <c r="D42" s="19">
        <f t="shared" si="1"/>
        <v>4.4009312972422545E-3</v>
      </c>
      <c r="N42" s="1"/>
      <c r="O42" s="2"/>
      <c r="P42" s="3"/>
    </row>
    <row r="43" spans="1:16" x14ac:dyDescent="0.2">
      <c r="A43" s="1" t="s">
        <v>78</v>
      </c>
      <c r="B43" s="2">
        <v>90.69</v>
      </c>
      <c r="C43" s="18">
        <f t="shared" si="0"/>
        <v>-2.2737068965517235E-2</v>
      </c>
      <c r="D43" s="19">
        <f t="shared" si="1"/>
        <v>-2.2999542332678466E-2</v>
      </c>
      <c r="N43" s="1"/>
      <c r="O43" s="2"/>
      <c r="P43" s="3"/>
    </row>
    <row r="44" spans="1:16" x14ac:dyDescent="0.2">
      <c r="A44" s="1" t="s">
        <v>77</v>
      </c>
      <c r="B44" s="2">
        <v>92.8</v>
      </c>
      <c r="C44" s="18">
        <f t="shared" si="0"/>
        <v>8.1477457903313417E-3</v>
      </c>
      <c r="D44" s="19">
        <f t="shared" si="1"/>
        <v>8.1147321130680804E-3</v>
      </c>
      <c r="N44" s="1"/>
      <c r="O44" s="2"/>
      <c r="P44" s="3"/>
    </row>
    <row r="45" spans="1:16" x14ac:dyDescent="0.2">
      <c r="A45" s="1" t="s">
        <v>76</v>
      </c>
      <c r="B45" s="2">
        <v>92.05</v>
      </c>
      <c r="C45" s="18">
        <f t="shared" si="0"/>
        <v>2.0683649031134088E-3</v>
      </c>
      <c r="D45" s="19">
        <f t="shared" si="1"/>
        <v>2.0662287814395045E-3</v>
      </c>
      <c r="N45" s="1"/>
      <c r="O45" s="2"/>
      <c r="P45" s="3"/>
    </row>
    <row r="46" spans="1:16" x14ac:dyDescent="0.2">
      <c r="A46" s="1" t="s">
        <v>75</v>
      </c>
      <c r="B46" s="2">
        <v>91.86</v>
      </c>
      <c r="C46" s="18">
        <f t="shared" si="0"/>
        <v>-5.6289240095258285E-3</v>
      </c>
      <c r="D46" s="19">
        <f t="shared" si="1"/>
        <v>-5.6448261048119295E-3</v>
      </c>
      <c r="N46" s="1"/>
      <c r="O46" s="2"/>
      <c r="P46" s="3"/>
    </row>
    <row r="47" spans="1:16" x14ac:dyDescent="0.2">
      <c r="A47" s="1" t="s">
        <v>74</v>
      </c>
      <c r="B47" s="2">
        <v>92.38</v>
      </c>
      <c r="C47" s="18">
        <f t="shared" si="0"/>
        <v>0</v>
      </c>
      <c r="D47" s="19">
        <f t="shared" si="1"/>
        <v>0</v>
      </c>
      <c r="N47" s="1"/>
      <c r="O47" s="2"/>
      <c r="P47" s="3"/>
    </row>
    <row r="48" spans="1:16" x14ac:dyDescent="0.2">
      <c r="A48" s="1" t="s">
        <v>73</v>
      </c>
      <c r="B48" s="2">
        <v>92.38</v>
      </c>
      <c r="C48" s="18">
        <f t="shared" si="0"/>
        <v>4.3318171973134113E-4</v>
      </c>
      <c r="D48" s="19">
        <f t="shared" si="1"/>
        <v>4.3308792361643292E-4</v>
      </c>
      <c r="N48" s="1"/>
      <c r="O48" s="2"/>
      <c r="P48" s="3"/>
    </row>
    <row r="49" spans="1:16" x14ac:dyDescent="0.2">
      <c r="A49" s="1" t="s">
        <v>72</v>
      </c>
      <c r="B49" s="2">
        <v>92.34</v>
      </c>
      <c r="C49" s="18">
        <f t="shared" si="0"/>
        <v>1.9317805497295507E-2</v>
      </c>
      <c r="D49" s="19">
        <f t="shared" si="1"/>
        <v>1.9133585397646483E-2</v>
      </c>
      <c r="N49" s="1"/>
      <c r="O49" s="2"/>
      <c r="P49" s="3"/>
    </row>
    <row r="50" spans="1:16" x14ac:dyDescent="0.2">
      <c r="A50" s="1" t="s">
        <v>71</v>
      </c>
      <c r="B50" s="2">
        <v>90.59</v>
      </c>
      <c r="C50" s="18">
        <f t="shared" si="0"/>
        <v>-1.671551069141422E-2</v>
      </c>
      <c r="D50" s="19">
        <f t="shared" si="1"/>
        <v>-1.685679143964415E-2</v>
      </c>
      <c r="N50" s="1"/>
      <c r="O50" s="2"/>
      <c r="P50" s="3"/>
    </row>
    <row r="51" spans="1:16" x14ac:dyDescent="0.2">
      <c r="A51" s="1" t="s">
        <v>70</v>
      </c>
      <c r="B51" s="2">
        <v>92.13</v>
      </c>
      <c r="C51" s="18">
        <f t="shared" si="0"/>
        <v>-1.3491808544812134E-2</v>
      </c>
      <c r="D51" s="19">
        <f t="shared" si="1"/>
        <v>-1.3583650000785857E-2</v>
      </c>
      <c r="N51" s="1"/>
      <c r="O51" s="2"/>
      <c r="P51" s="3"/>
    </row>
    <row r="52" spans="1:16" x14ac:dyDescent="0.2">
      <c r="A52" s="1" t="s">
        <v>69</v>
      </c>
      <c r="B52" s="2">
        <v>93.39</v>
      </c>
      <c r="C52" s="18">
        <f t="shared" si="0"/>
        <v>1.965280052407465E-2</v>
      </c>
      <c r="D52" s="19">
        <f t="shared" si="1"/>
        <v>1.9462177706730234E-2</v>
      </c>
      <c r="N52" s="1"/>
      <c r="O52" s="2"/>
      <c r="P52" s="3"/>
    </row>
    <row r="53" spans="1:16" x14ac:dyDescent="0.2">
      <c r="A53" s="1" t="s">
        <v>68</v>
      </c>
      <c r="B53" s="2">
        <v>91.59</v>
      </c>
      <c r="C53" s="18">
        <f t="shared" si="0"/>
        <v>-9.7307817061303009E-3</v>
      </c>
      <c r="D53" s="19">
        <f t="shared" si="1"/>
        <v>-9.7784351512724063E-3</v>
      </c>
      <c r="N53" s="1"/>
      <c r="O53" s="2"/>
      <c r="P53" s="3"/>
    </row>
    <row r="54" spans="1:16" x14ac:dyDescent="0.2">
      <c r="A54" s="1" t="s">
        <v>67</v>
      </c>
      <c r="B54" s="2">
        <v>92.49</v>
      </c>
      <c r="C54" s="18">
        <f t="shared" si="0"/>
        <v>-1.6273133375877484E-2</v>
      </c>
      <c r="D54" s="19">
        <f t="shared" si="1"/>
        <v>-1.6406995029815741E-2</v>
      </c>
      <c r="N54" s="1"/>
      <c r="O54" s="2"/>
      <c r="P54" s="3"/>
    </row>
    <row r="55" spans="1:16" x14ac:dyDescent="0.2">
      <c r="A55" s="1" t="s">
        <v>66</v>
      </c>
      <c r="B55" s="2">
        <v>94.02</v>
      </c>
      <c r="C55" s="18">
        <f t="shared" si="0"/>
        <v>1.5554115359688894E-2</v>
      </c>
      <c r="D55" s="19">
        <f t="shared" si="1"/>
        <v>1.5434389992860051E-2</v>
      </c>
      <c r="N55" s="1"/>
      <c r="O55" s="2"/>
      <c r="P55" s="3"/>
    </row>
    <row r="56" spans="1:16" x14ac:dyDescent="0.2">
      <c r="A56" s="1" t="s">
        <v>65</v>
      </c>
      <c r="B56" s="2">
        <v>92.58</v>
      </c>
      <c r="C56" s="18">
        <f t="shared" si="0"/>
        <v>1.8396277459149628E-3</v>
      </c>
      <c r="D56" s="19">
        <f t="shared" si="1"/>
        <v>1.8379377031754198E-3</v>
      </c>
      <c r="N56" s="1"/>
      <c r="O56" s="2"/>
      <c r="P56" s="3"/>
    </row>
    <row r="57" spans="1:16" x14ac:dyDescent="0.2">
      <c r="A57" s="1" t="s">
        <v>64</v>
      </c>
      <c r="B57" s="2">
        <v>92.41</v>
      </c>
      <c r="C57" s="18">
        <f t="shared" si="0"/>
        <v>1.1603721948549561E-2</v>
      </c>
      <c r="D57" s="19">
        <f t="shared" si="1"/>
        <v>1.153691507593344E-2</v>
      </c>
      <c r="N57" s="1"/>
      <c r="O57" s="2"/>
      <c r="P57" s="3"/>
    </row>
    <row r="58" spans="1:16" x14ac:dyDescent="0.2">
      <c r="A58" s="1" t="s">
        <v>63</v>
      </c>
      <c r="B58" s="2">
        <v>91.35</v>
      </c>
      <c r="C58" s="18">
        <f t="shared" si="0"/>
        <v>9.5038125759752401E-3</v>
      </c>
      <c r="D58" s="19">
        <f t="shared" si="1"/>
        <v>9.4589354609738146E-3</v>
      </c>
      <c r="N58" s="1"/>
      <c r="O58" s="2"/>
      <c r="P58" s="3"/>
    </row>
    <row r="59" spans="1:16" x14ac:dyDescent="0.2">
      <c r="A59" s="1" t="s">
        <v>62</v>
      </c>
      <c r="B59" s="2">
        <v>90.49</v>
      </c>
      <c r="C59" s="18">
        <f t="shared" si="0"/>
        <v>3.3263111209668162E-3</v>
      </c>
      <c r="D59" s="19">
        <f t="shared" si="1"/>
        <v>3.3207911854249402E-3</v>
      </c>
      <c r="N59" s="1"/>
      <c r="O59" s="2"/>
      <c r="P59" s="3"/>
    </row>
    <row r="60" spans="1:16" x14ac:dyDescent="0.2">
      <c r="A60" s="1" t="s">
        <v>61</v>
      </c>
      <c r="B60" s="2">
        <v>90.19</v>
      </c>
      <c r="C60" s="18">
        <f t="shared" si="0"/>
        <v>4.7905525846701491E-3</v>
      </c>
      <c r="D60" s="19">
        <f t="shared" si="1"/>
        <v>4.7791144032304708E-3</v>
      </c>
      <c r="N60" s="1"/>
      <c r="O60" s="2"/>
      <c r="P60" s="3"/>
    </row>
    <row r="61" spans="1:16" x14ac:dyDescent="0.2">
      <c r="A61" s="1" t="s">
        <v>60</v>
      </c>
      <c r="B61" s="2">
        <v>89.76</v>
      </c>
      <c r="C61" s="18">
        <f t="shared" si="0"/>
        <v>1.2749633307006767E-2</v>
      </c>
      <c r="D61" s="19">
        <f t="shared" si="1"/>
        <v>1.2669041024079673E-2</v>
      </c>
      <c r="N61" s="1"/>
      <c r="O61" s="2"/>
      <c r="P61" s="3"/>
    </row>
    <row r="62" spans="1:16" x14ac:dyDescent="0.2">
      <c r="A62" s="1" t="s">
        <v>59</v>
      </c>
      <c r="B62" s="2">
        <v>88.63</v>
      </c>
      <c r="C62" s="18">
        <f t="shared" si="0"/>
        <v>1.0028490028489977E-2</v>
      </c>
      <c r="D62" s="19">
        <f t="shared" si="1"/>
        <v>9.9785384043313049E-3</v>
      </c>
      <c r="N62" s="1"/>
      <c r="O62" s="2"/>
      <c r="P62" s="3"/>
    </row>
    <row r="63" spans="1:16" x14ac:dyDescent="0.2">
      <c r="A63" s="1" t="s">
        <v>58</v>
      </c>
      <c r="B63" s="2">
        <v>87.75</v>
      </c>
      <c r="C63" s="18">
        <f t="shared" si="0"/>
        <v>-8.0262265430702442E-3</v>
      </c>
      <c r="D63" s="19">
        <f t="shared" si="1"/>
        <v>-8.0586100942054758E-3</v>
      </c>
      <c r="N63" s="1"/>
      <c r="O63" s="2"/>
      <c r="P63" s="3"/>
    </row>
    <row r="64" spans="1:16" x14ac:dyDescent="0.2">
      <c r="A64" s="1" t="s">
        <v>57</v>
      </c>
      <c r="B64" s="2">
        <v>88.46</v>
      </c>
      <c r="C64" s="18">
        <f t="shared" si="0"/>
        <v>6.7873303167407303E-4</v>
      </c>
      <c r="D64" s="19">
        <f t="shared" si="1"/>
        <v>6.7850279658272501E-4</v>
      </c>
      <c r="N64" s="1"/>
      <c r="O64" s="2"/>
      <c r="P64" s="3"/>
    </row>
    <row r="65" spans="1:16" x14ac:dyDescent="0.2">
      <c r="A65" s="1" t="s">
        <v>56</v>
      </c>
      <c r="B65" s="2">
        <v>88.4</v>
      </c>
      <c r="C65" s="18">
        <f t="shared" si="0"/>
        <v>-4.02779285636738E-2</v>
      </c>
      <c r="D65" s="19">
        <f t="shared" si="1"/>
        <v>-4.1111545356546438E-2</v>
      </c>
      <c r="N65" s="1"/>
      <c r="O65" s="2"/>
      <c r="P65" s="3"/>
    </row>
    <row r="66" spans="1:16" x14ac:dyDescent="0.2">
      <c r="A66" s="1" t="s">
        <v>55</v>
      </c>
      <c r="B66" s="2">
        <v>92.11</v>
      </c>
      <c r="C66" s="18">
        <f t="shared" si="0"/>
        <v>-5.6137320522508484E-3</v>
      </c>
      <c r="D66" s="19">
        <f t="shared" si="1"/>
        <v>-5.6295482657918363E-3</v>
      </c>
      <c r="N66" s="1"/>
      <c r="O66" s="2"/>
      <c r="P66" s="3"/>
    </row>
    <row r="67" spans="1:16" x14ac:dyDescent="0.2">
      <c r="A67" s="1" t="s">
        <v>54</v>
      </c>
      <c r="B67" s="2">
        <v>92.63</v>
      </c>
      <c r="C67" s="18">
        <f t="shared" ref="C67:C125" si="2">(B67-B68)/B68</f>
        <v>-1.8229994700582924E-2</v>
      </c>
      <c r="D67" s="19">
        <f t="shared" ref="D67:D125" si="3">LN(B67/B68)</f>
        <v>-1.8398208548623098E-2</v>
      </c>
      <c r="N67" s="1"/>
      <c r="O67" s="2"/>
      <c r="P67" s="3"/>
    </row>
    <row r="68" spans="1:16" x14ac:dyDescent="0.2">
      <c r="A68" s="1" t="s">
        <v>53</v>
      </c>
      <c r="B68" s="2">
        <v>94.35</v>
      </c>
      <c r="C68" s="18">
        <f t="shared" si="2"/>
        <v>-2.762032361125432E-2</v>
      </c>
      <c r="D68" s="19">
        <f t="shared" si="3"/>
        <v>-2.8008937222648949E-2</v>
      </c>
      <c r="N68" s="1"/>
      <c r="O68" s="2"/>
      <c r="P68" s="3"/>
    </row>
    <row r="69" spans="1:16" x14ac:dyDescent="0.2">
      <c r="A69" s="1" t="s">
        <v>52</v>
      </c>
      <c r="B69" s="2">
        <v>97.03</v>
      </c>
      <c r="C69" s="18">
        <f t="shared" si="2"/>
        <v>4.7633840737289837E-3</v>
      </c>
      <c r="D69" s="19">
        <f t="shared" si="3"/>
        <v>4.7520750583816005E-3</v>
      </c>
      <c r="N69" s="1"/>
      <c r="O69" s="2"/>
      <c r="P69" s="3"/>
    </row>
    <row r="70" spans="1:16" x14ac:dyDescent="0.2">
      <c r="A70" s="1" t="s">
        <v>51</v>
      </c>
      <c r="B70" s="2">
        <v>96.57</v>
      </c>
      <c r="C70" s="18">
        <f t="shared" si="2"/>
        <v>-1.3585291113381128E-2</v>
      </c>
      <c r="D70" s="19">
        <f t="shared" si="3"/>
        <v>-1.367841555763835E-2</v>
      </c>
      <c r="N70" s="1"/>
      <c r="O70" s="2"/>
      <c r="P70" s="3"/>
    </row>
    <row r="71" spans="1:16" x14ac:dyDescent="0.2">
      <c r="A71" s="1" t="s">
        <v>50</v>
      </c>
      <c r="B71" s="2">
        <v>97.9</v>
      </c>
      <c r="C71" s="18">
        <f t="shared" si="2"/>
        <v>6.7728214636274486E-2</v>
      </c>
      <c r="D71" s="19">
        <f t="shared" si="3"/>
        <v>6.5533227474655412E-2</v>
      </c>
      <c r="N71" s="1"/>
      <c r="O71" s="2"/>
      <c r="P71" s="3"/>
    </row>
    <row r="72" spans="1:16" x14ac:dyDescent="0.2">
      <c r="A72" s="1" t="s">
        <v>49</v>
      </c>
      <c r="B72" s="2">
        <v>91.69</v>
      </c>
      <c r="C72" s="18">
        <f t="shared" si="2"/>
        <v>1.6293504766127231E-2</v>
      </c>
      <c r="D72" s="19">
        <f t="shared" si="3"/>
        <v>1.616219008155953E-2</v>
      </c>
      <c r="N72" s="1"/>
      <c r="O72" s="2"/>
      <c r="P72" s="3"/>
    </row>
    <row r="73" spans="1:16" x14ac:dyDescent="0.2">
      <c r="A73" s="1" t="s">
        <v>48</v>
      </c>
      <c r="B73" s="2">
        <v>90.22</v>
      </c>
      <c r="C73" s="18">
        <f t="shared" si="2"/>
        <v>4.2297417631344102E-3</v>
      </c>
      <c r="D73" s="19">
        <f t="shared" si="3"/>
        <v>4.2208215500621768E-3</v>
      </c>
      <c r="N73" s="1"/>
      <c r="O73" s="2"/>
      <c r="P73" s="3"/>
    </row>
    <row r="74" spans="1:16" x14ac:dyDescent="0.2">
      <c r="A74" s="1" t="s">
        <v>47</v>
      </c>
      <c r="B74" s="2">
        <v>89.84</v>
      </c>
      <c r="C74" s="18">
        <f t="shared" si="2"/>
        <v>3.686738911853405E-3</v>
      </c>
      <c r="D74" s="19">
        <f t="shared" si="3"/>
        <v>3.6799595473400687E-3</v>
      </c>
      <c r="N74" s="1"/>
      <c r="O74" s="2"/>
      <c r="P74" s="3"/>
    </row>
    <row r="75" spans="1:16" x14ac:dyDescent="0.2">
      <c r="A75" s="1" t="s">
        <v>46</v>
      </c>
      <c r="B75" s="2">
        <v>89.51</v>
      </c>
      <c r="C75" s="18">
        <f t="shared" si="2"/>
        <v>7.7685206034678227E-3</v>
      </c>
      <c r="D75" s="19">
        <f t="shared" si="3"/>
        <v>7.7385010188915733E-3</v>
      </c>
      <c r="N75" s="1"/>
      <c r="O75" s="2"/>
      <c r="P75" s="3"/>
    </row>
    <row r="76" spans="1:16" x14ac:dyDescent="0.2">
      <c r="A76" s="1" t="s">
        <v>45</v>
      </c>
      <c r="B76" s="2">
        <v>88.82</v>
      </c>
      <c r="C76" s="18">
        <f t="shared" si="2"/>
        <v>6.0029448408651818E-3</v>
      </c>
      <c r="D76" s="19">
        <f t="shared" si="3"/>
        <v>5.9849989504649499E-3</v>
      </c>
      <c r="N76" s="1"/>
      <c r="O76" s="2"/>
      <c r="P76" s="3"/>
    </row>
    <row r="77" spans="1:16" x14ac:dyDescent="0.2">
      <c r="A77" s="1" t="s">
        <v>44</v>
      </c>
      <c r="B77" s="2">
        <v>88.29</v>
      </c>
      <c r="C77" s="18">
        <f t="shared" si="2"/>
        <v>2.3841961852861938E-3</v>
      </c>
      <c r="D77" s="19">
        <f t="shared" si="3"/>
        <v>2.3813584990666514E-3</v>
      </c>
      <c r="N77" s="1"/>
      <c r="O77" s="2"/>
      <c r="P77" s="3"/>
    </row>
    <row r="78" spans="1:16" x14ac:dyDescent="0.2">
      <c r="A78" s="1" t="s">
        <v>43</v>
      </c>
      <c r="B78" s="2">
        <v>88.08</v>
      </c>
      <c r="C78" s="18">
        <f t="shared" si="2"/>
        <v>-7.6611086074809239E-3</v>
      </c>
      <c r="D78" s="19">
        <f t="shared" si="3"/>
        <v>-7.6906056499687269E-3</v>
      </c>
      <c r="N78" s="1"/>
      <c r="O78" s="2"/>
      <c r="P78" s="3"/>
    </row>
    <row r="79" spans="1:16" x14ac:dyDescent="0.2">
      <c r="A79" s="1" t="s">
        <v>42</v>
      </c>
      <c r="B79" s="2">
        <v>88.76</v>
      </c>
      <c r="C79" s="18">
        <f t="shared" si="2"/>
        <v>-2.6966292134830887E-3</v>
      </c>
      <c r="D79" s="19">
        <f t="shared" si="3"/>
        <v>-2.7002716677466481E-3</v>
      </c>
      <c r="N79" s="1"/>
      <c r="O79" s="2"/>
      <c r="P79" s="3"/>
    </row>
    <row r="80" spans="1:16" x14ac:dyDescent="0.2">
      <c r="A80" s="1" t="s">
        <v>41</v>
      </c>
      <c r="B80" s="2">
        <v>89</v>
      </c>
      <c r="C80" s="18">
        <f t="shared" si="2"/>
        <v>2.4780355936021496E-3</v>
      </c>
      <c r="D80" s="19">
        <f t="shared" si="3"/>
        <v>2.4749703262505378E-3</v>
      </c>
      <c r="N80" s="1"/>
      <c r="O80" s="2"/>
      <c r="P80" s="3"/>
    </row>
    <row r="81" spans="1:16" x14ac:dyDescent="0.2">
      <c r="A81" s="1" t="s">
        <v>40</v>
      </c>
      <c r="B81" s="2">
        <v>88.78</v>
      </c>
      <c r="C81" s="18">
        <f t="shared" si="2"/>
        <v>1.7769116129771834E-2</v>
      </c>
      <c r="D81" s="19">
        <f t="shared" si="3"/>
        <v>1.76130909607621E-2</v>
      </c>
      <c r="N81" s="1"/>
      <c r="O81" s="2"/>
      <c r="P81" s="3"/>
    </row>
    <row r="82" spans="1:16" x14ac:dyDescent="0.2">
      <c r="A82" s="1" t="s">
        <v>39</v>
      </c>
      <c r="B82" s="2">
        <v>87.23</v>
      </c>
      <c r="C82" s="18">
        <f t="shared" si="2"/>
        <v>-1.0549001814881949E-2</v>
      </c>
      <c r="D82" s="19">
        <f t="shared" si="3"/>
        <v>-1.0605036959477104E-2</v>
      </c>
      <c r="N82" s="1"/>
      <c r="O82" s="2"/>
      <c r="P82" s="3"/>
    </row>
    <row r="83" spans="1:16" x14ac:dyDescent="0.2">
      <c r="A83" s="1" t="s">
        <v>38</v>
      </c>
      <c r="B83" s="2">
        <v>88.16</v>
      </c>
      <c r="C83" s="18">
        <f t="shared" si="2"/>
        <v>2.1671109050874843E-2</v>
      </c>
      <c r="D83" s="19">
        <f t="shared" si="3"/>
        <v>2.1439628884388034E-2</v>
      </c>
      <c r="N83" s="1"/>
      <c r="O83" s="2"/>
      <c r="P83" s="3"/>
    </row>
    <row r="84" spans="1:16" x14ac:dyDescent="0.2">
      <c r="A84" s="1" t="s">
        <v>37</v>
      </c>
      <c r="B84" s="2">
        <v>86.29</v>
      </c>
      <c r="C84" s="18">
        <f t="shared" si="2"/>
        <v>-4.9584870848707633E-3</v>
      </c>
      <c r="D84" s="19">
        <f t="shared" si="3"/>
        <v>-4.970821171119879E-3</v>
      </c>
      <c r="N84" s="1"/>
      <c r="O84" s="2"/>
      <c r="P84" s="3"/>
    </row>
    <row r="85" spans="1:16" x14ac:dyDescent="0.2">
      <c r="A85" s="1" t="s">
        <v>36</v>
      </c>
      <c r="B85" s="2">
        <v>86.72</v>
      </c>
      <c r="C85" s="18">
        <f t="shared" si="2"/>
        <v>-7.3260073260073329E-3</v>
      </c>
      <c r="D85" s="19">
        <f t="shared" si="3"/>
        <v>-7.352974305258806E-3</v>
      </c>
      <c r="N85" s="1"/>
      <c r="O85" s="2"/>
      <c r="P85" s="3"/>
    </row>
    <row r="86" spans="1:16" x14ac:dyDescent="0.2">
      <c r="A86" s="1" t="s">
        <v>35</v>
      </c>
      <c r="B86" s="2">
        <v>87.36</v>
      </c>
      <c r="C86" s="18">
        <f t="shared" si="2"/>
        <v>7.0317002881844313E-3</v>
      </c>
      <c r="D86" s="19">
        <f t="shared" si="3"/>
        <v>7.00709316962624E-3</v>
      </c>
      <c r="N86" s="1"/>
      <c r="O86" s="2"/>
      <c r="P86" s="3"/>
    </row>
    <row r="87" spans="1:16" x14ac:dyDescent="0.2">
      <c r="A87" s="1" t="s">
        <v>34</v>
      </c>
      <c r="B87" s="2">
        <v>86.75</v>
      </c>
      <c r="C87" s="18">
        <f t="shared" si="2"/>
        <v>1.0836634817059041E-2</v>
      </c>
      <c r="D87" s="19">
        <f t="shared" si="3"/>
        <v>1.0778339263589955E-2</v>
      </c>
      <c r="N87" s="1"/>
      <c r="O87" s="2"/>
      <c r="P87" s="3"/>
    </row>
    <row r="88" spans="1:16" x14ac:dyDescent="0.2">
      <c r="A88" s="1" t="s">
        <v>33</v>
      </c>
      <c r="B88" s="2">
        <v>85.82</v>
      </c>
      <c r="C88" s="18">
        <f t="shared" si="2"/>
        <v>9.0534979423867856E-3</v>
      </c>
      <c r="D88" s="19">
        <f t="shared" si="3"/>
        <v>9.0127607215079019E-3</v>
      </c>
      <c r="N88" s="1"/>
      <c r="O88" s="2"/>
      <c r="P88" s="3"/>
    </row>
    <row r="89" spans="1:16" x14ac:dyDescent="0.2">
      <c r="A89" s="1" t="s">
        <v>32</v>
      </c>
      <c r="B89" s="2">
        <v>85.05</v>
      </c>
      <c r="C89" s="18">
        <f t="shared" si="2"/>
        <v>1.1771630370805688E-3</v>
      </c>
      <c r="D89" s="19">
        <f t="shared" si="3"/>
        <v>1.1764707239295894E-3</v>
      </c>
      <c r="N89" s="1"/>
      <c r="O89" s="2"/>
      <c r="P89" s="3"/>
    </row>
    <row r="90" spans="1:16" x14ac:dyDescent="0.2">
      <c r="A90" s="1" t="s">
        <v>31</v>
      </c>
      <c r="B90" s="2">
        <v>84.95</v>
      </c>
      <c r="C90" s="18">
        <f t="shared" si="2"/>
        <v>3.3069564190386339E-3</v>
      </c>
      <c r="D90" s="19">
        <f t="shared" si="3"/>
        <v>3.3015004637552349E-3</v>
      </c>
      <c r="N90" s="1"/>
      <c r="O90" s="2"/>
      <c r="P90" s="3"/>
    </row>
    <row r="91" spans="1:16" x14ac:dyDescent="0.2">
      <c r="A91" s="1" t="s">
        <v>30</v>
      </c>
      <c r="B91" s="2">
        <v>84.67</v>
      </c>
      <c r="C91" s="18">
        <f t="shared" si="2"/>
        <v>-1.706524262827953E-2</v>
      </c>
      <c r="D91" s="19">
        <f t="shared" si="3"/>
        <v>-1.7212531971778713E-2</v>
      </c>
      <c r="N91" s="1"/>
      <c r="O91" s="2"/>
      <c r="P91" s="3"/>
    </row>
    <row r="92" spans="1:16" x14ac:dyDescent="0.2">
      <c r="A92" s="1" t="s">
        <v>29</v>
      </c>
      <c r="B92" s="2">
        <v>86.14</v>
      </c>
      <c r="C92" s="18">
        <f t="shared" si="2"/>
        <v>1.0914211946954664E-2</v>
      </c>
      <c r="D92" s="19">
        <f t="shared" si="3"/>
        <v>1.0855081786100083E-2</v>
      </c>
      <c r="N92" s="1"/>
      <c r="O92" s="2"/>
      <c r="P92" s="3"/>
    </row>
    <row r="93" spans="1:16" x14ac:dyDescent="0.2">
      <c r="A93" s="1" t="s">
        <v>28</v>
      </c>
      <c r="B93" s="2">
        <v>85.21</v>
      </c>
      <c r="C93" s="18">
        <f t="shared" si="2"/>
        <v>9.2384223617196122E-3</v>
      </c>
      <c r="D93" s="19">
        <f t="shared" si="3"/>
        <v>9.1960091584559513E-3</v>
      </c>
      <c r="N93" s="1"/>
      <c r="O93" s="2"/>
      <c r="P93" s="3"/>
    </row>
    <row r="94" spans="1:16" x14ac:dyDescent="0.2">
      <c r="A94" s="1" t="s">
        <v>27</v>
      </c>
      <c r="B94" s="2">
        <v>84.43</v>
      </c>
      <c r="C94" s="18">
        <f t="shared" si="2"/>
        <v>-1.8914765338692112E-3</v>
      </c>
      <c r="D94" s="19">
        <f t="shared" si="3"/>
        <v>-1.8932676345145714E-3</v>
      </c>
      <c r="N94" s="1"/>
      <c r="O94" s="2"/>
      <c r="P94" s="3"/>
    </row>
    <row r="95" spans="1:16" x14ac:dyDescent="0.2">
      <c r="A95" s="1" t="s">
        <v>26</v>
      </c>
      <c r="B95" s="2">
        <v>84.59</v>
      </c>
      <c r="C95" s="18">
        <f t="shared" si="2"/>
        <v>4.9899013900439786E-3</v>
      </c>
      <c r="D95" s="19">
        <f t="shared" si="3"/>
        <v>4.9774930924385329E-3</v>
      </c>
      <c r="N95" s="1"/>
      <c r="O95" s="2"/>
      <c r="P95" s="3"/>
    </row>
    <row r="96" spans="1:16" x14ac:dyDescent="0.2">
      <c r="A96" s="1" t="s">
        <v>25</v>
      </c>
      <c r="B96" s="2">
        <v>84.17</v>
      </c>
      <c r="C96" s="18">
        <f t="shared" si="2"/>
        <v>-6.7264573991030587E-3</v>
      </c>
      <c r="D96" s="19">
        <f t="shared" si="3"/>
        <v>-6.7491819749283376E-3</v>
      </c>
      <c r="N96" s="1"/>
      <c r="O96" s="2"/>
      <c r="P96" s="3"/>
    </row>
    <row r="97" spans="1:16" x14ac:dyDescent="0.2">
      <c r="A97" s="1" t="s">
        <v>24</v>
      </c>
      <c r="B97" s="2">
        <v>84.74</v>
      </c>
      <c r="C97" s="18">
        <f t="shared" si="2"/>
        <v>9.5306171074576746E-3</v>
      </c>
      <c r="D97" s="19">
        <f t="shared" si="3"/>
        <v>9.4854872929682615E-3</v>
      </c>
      <c r="N97" s="1"/>
      <c r="O97" s="2"/>
      <c r="P97" s="3"/>
    </row>
    <row r="98" spans="1:16" x14ac:dyDescent="0.2">
      <c r="A98" s="1" t="s">
        <v>23</v>
      </c>
      <c r="B98" s="2">
        <v>83.94</v>
      </c>
      <c r="C98" s="18">
        <f t="shared" si="2"/>
        <v>1.1927480916029856E-3</v>
      </c>
      <c r="D98" s="19">
        <f t="shared" si="3"/>
        <v>1.1920373327126909E-3</v>
      </c>
      <c r="N98" s="1"/>
      <c r="O98" s="2"/>
      <c r="P98" s="3"/>
    </row>
    <row r="99" spans="1:16" x14ac:dyDescent="0.2">
      <c r="A99" s="1" t="s">
        <v>22</v>
      </c>
      <c r="B99" s="2">
        <v>83.84</v>
      </c>
      <c r="C99" s="18">
        <f t="shared" si="2"/>
        <v>2.750867121157804E-3</v>
      </c>
      <c r="D99" s="19">
        <f t="shared" si="3"/>
        <v>2.7470904107655403E-3</v>
      </c>
      <c r="N99" s="1"/>
      <c r="O99" s="2"/>
      <c r="P99" s="3"/>
    </row>
    <row r="100" spans="1:16" x14ac:dyDescent="0.2">
      <c r="A100" s="1" t="s">
        <v>21</v>
      </c>
      <c r="B100" s="2">
        <v>83.61</v>
      </c>
      <c r="C100" s="18">
        <f t="shared" si="2"/>
        <v>6.8641618497109003E-3</v>
      </c>
      <c r="D100" s="19">
        <f t="shared" si="3"/>
        <v>6.8407107443879895E-3</v>
      </c>
      <c r="N100" s="1"/>
      <c r="O100" s="2"/>
      <c r="P100" s="3"/>
    </row>
    <row r="101" spans="1:16" x14ac:dyDescent="0.2">
      <c r="A101" s="1" t="s">
        <v>20</v>
      </c>
      <c r="B101" s="2">
        <v>83.04</v>
      </c>
      <c r="C101" s="18">
        <f t="shared" si="2"/>
        <v>1.0096095365527462E-2</v>
      </c>
      <c r="D101" s="19">
        <f t="shared" si="3"/>
        <v>1.0045470253536514E-2</v>
      </c>
      <c r="N101" s="1"/>
      <c r="O101" s="2"/>
      <c r="P101" s="3"/>
    </row>
    <row r="102" spans="1:16" x14ac:dyDescent="0.2">
      <c r="A102" s="1" t="s">
        <v>19</v>
      </c>
      <c r="B102" s="2">
        <v>82.21</v>
      </c>
      <c r="C102" s="18">
        <f t="shared" si="2"/>
        <v>-1.8856665473206975E-2</v>
      </c>
      <c r="D102" s="19">
        <f t="shared" si="3"/>
        <v>-1.9036719461153186E-2</v>
      </c>
      <c r="N102" s="1"/>
      <c r="O102" s="2"/>
      <c r="P102" s="3"/>
    </row>
    <row r="103" spans="1:16" x14ac:dyDescent="0.2">
      <c r="A103" s="1" t="s">
        <v>18</v>
      </c>
      <c r="B103" s="2">
        <v>83.79</v>
      </c>
      <c r="C103" s="18">
        <f t="shared" si="2"/>
        <v>-2.3812358614119376E-3</v>
      </c>
      <c r="D103" s="19">
        <f t="shared" si="3"/>
        <v>-2.3840755123405166E-3</v>
      </c>
      <c r="N103" s="1"/>
      <c r="O103" s="2"/>
      <c r="P103" s="3"/>
    </row>
    <row r="104" spans="1:16" x14ac:dyDescent="0.2">
      <c r="A104" s="1" t="s">
        <v>17</v>
      </c>
      <c r="B104" s="2">
        <v>83.99</v>
      </c>
      <c r="C104" s="18">
        <f t="shared" si="2"/>
        <v>5.956635692160729E-4</v>
      </c>
      <c r="D104" s="19">
        <f t="shared" si="3"/>
        <v>5.9548623209097914E-4</v>
      </c>
      <c r="N104" s="1"/>
      <c r="O104" s="2"/>
      <c r="P104" s="3"/>
    </row>
    <row r="105" spans="1:16" x14ac:dyDescent="0.2">
      <c r="A105" s="1" t="s">
        <v>16</v>
      </c>
      <c r="B105" s="2">
        <v>83.94</v>
      </c>
      <c r="C105" s="18">
        <f t="shared" si="2"/>
        <v>4.7675804529191944E-4</v>
      </c>
      <c r="D105" s="19">
        <f t="shared" si="3"/>
        <v>4.766444322843146E-4</v>
      </c>
      <c r="N105" s="1"/>
      <c r="O105" s="2"/>
      <c r="P105" s="3"/>
    </row>
    <row r="106" spans="1:16" x14ac:dyDescent="0.2">
      <c r="A106" s="1" t="s">
        <v>15</v>
      </c>
      <c r="B106" s="2">
        <v>83.9</v>
      </c>
      <c r="C106" s="18">
        <f t="shared" si="2"/>
        <v>1.1920371915609865E-4</v>
      </c>
      <c r="D106" s="19">
        <f t="shared" si="3"/>
        <v>1.1919661495741988E-4</v>
      </c>
      <c r="N106" s="1"/>
      <c r="O106" s="2"/>
      <c r="P106" s="3"/>
    </row>
    <row r="107" spans="1:16" x14ac:dyDescent="0.2">
      <c r="A107" s="1" t="s">
        <v>14</v>
      </c>
      <c r="B107" s="2">
        <v>83.89</v>
      </c>
      <c r="C107" s="18">
        <f t="shared" si="2"/>
        <v>1.0114388922335984E-2</v>
      </c>
      <c r="D107" s="19">
        <f t="shared" si="3"/>
        <v>1.0063580798899475E-2</v>
      </c>
      <c r="N107" s="1"/>
      <c r="O107" s="2"/>
      <c r="P107" s="3"/>
    </row>
    <row r="108" spans="1:16" x14ac:dyDescent="0.2">
      <c r="A108" s="1" t="s">
        <v>13</v>
      </c>
      <c r="B108" s="2">
        <v>83.05</v>
      </c>
      <c r="C108" s="18">
        <f t="shared" si="2"/>
        <v>-1.322751322751316E-3</v>
      </c>
      <c r="D108" s="19">
        <f t="shared" si="3"/>
        <v>-1.323626930508253E-3</v>
      </c>
      <c r="N108" s="1"/>
      <c r="O108" s="2"/>
      <c r="P108" s="3"/>
    </row>
    <row r="109" spans="1:16" x14ac:dyDescent="0.2">
      <c r="A109" s="1" t="s">
        <v>12</v>
      </c>
      <c r="B109" s="2">
        <v>83.16</v>
      </c>
      <c r="C109" s="18">
        <f t="shared" si="2"/>
        <v>4.2265426880810806E-3</v>
      </c>
      <c r="D109" s="19">
        <f t="shared" si="3"/>
        <v>4.2176359442032919E-3</v>
      </c>
      <c r="N109" s="1"/>
      <c r="O109" s="2"/>
      <c r="P109" s="3"/>
    </row>
    <row r="110" spans="1:16" x14ac:dyDescent="0.2">
      <c r="A110" s="1" t="s">
        <v>11</v>
      </c>
      <c r="B110" s="2">
        <v>82.81</v>
      </c>
      <c r="C110" s="18">
        <f t="shared" si="2"/>
        <v>-4.2087542087541402E-3</v>
      </c>
      <c r="D110" s="19">
        <f t="shared" si="3"/>
        <v>-4.217635944203357E-3</v>
      </c>
      <c r="N110" s="1"/>
      <c r="O110" s="2"/>
      <c r="P110" s="3"/>
    </row>
    <row r="111" spans="1:16" x14ac:dyDescent="0.2">
      <c r="A111" s="1" t="s">
        <v>10</v>
      </c>
      <c r="B111" s="2">
        <v>83.16</v>
      </c>
      <c r="C111" s="18">
        <f t="shared" si="2"/>
        <v>2.7427724240177895E-2</v>
      </c>
      <c r="D111" s="19">
        <f t="shared" si="3"/>
        <v>2.7058323542092672E-2</v>
      </c>
      <c r="N111" s="1"/>
      <c r="O111" s="2"/>
      <c r="P111" s="3"/>
    </row>
    <row r="112" spans="1:16" x14ac:dyDescent="0.2">
      <c r="A112" s="1" t="s">
        <v>9</v>
      </c>
      <c r="B112" s="2">
        <v>80.94</v>
      </c>
      <c r="C112" s="18">
        <f t="shared" si="2"/>
        <v>-6.1394891944990182E-3</v>
      </c>
      <c r="D112" s="19">
        <f t="shared" si="3"/>
        <v>-6.1584133544931065E-3</v>
      </c>
      <c r="N112" s="1"/>
      <c r="O112" s="2"/>
      <c r="P112" s="3"/>
    </row>
    <row r="113" spans="1:16" x14ac:dyDescent="0.2">
      <c r="A113" s="1" t="s">
        <v>8</v>
      </c>
      <c r="B113" s="2">
        <v>81.44</v>
      </c>
      <c r="C113" s="18">
        <f t="shared" si="2"/>
        <v>2.8672476948338965E-2</v>
      </c>
      <c r="D113" s="19">
        <f t="shared" si="3"/>
        <v>2.8269113618870276E-2</v>
      </c>
      <c r="N113" s="1"/>
      <c r="O113" s="2"/>
      <c r="P113" s="3"/>
    </row>
    <row r="114" spans="1:16" x14ac:dyDescent="0.2">
      <c r="A114" s="1" t="s">
        <v>7</v>
      </c>
      <c r="B114" s="2">
        <v>79.17</v>
      </c>
      <c r="C114" s="18">
        <f t="shared" si="2"/>
        <v>5.7164634146341826E-3</v>
      </c>
      <c r="D114" s="19">
        <f t="shared" si="3"/>
        <v>5.7001864393445376E-3</v>
      </c>
      <c r="N114" s="1"/>
      <c r="O114" s="2"/>
      <c r="P114" s="3"/>
    </row>
    <row r="115" spans="1:16" x14ac:dyDescent="0.2">
      <c r="A115" s="1" t="s">
        <v>6</v>
      </c>
      <c r="B115" s="2">
        <v>78.72</v>
      </c>
      <c r="C115" s="18">
        <f t="shared" si="2"/>
        <v>-6.3475942617744266E-4</v>
      </c>
      <c r="D115" s="19">
        <f t="shared" si="3"/>
        <v>-6.349609712349017E-4</v>
      </c>
      <c r="N115" s="1"/>
      <c r="O115" s="2"/>
      <c r="P115" s="3"/>
    </row>
    <row r="116" spans="1:16" x14ac:dyDescent="0.2">
      <c r="A116" s="1" t="s">
        <v>5</v>
      </c>
      <c r="B116" s="2">
        <v>78.77</v>
      </c>
      <c r="C116" s="18">
        <f t="shared" si="2"/>
        <v>-4.5494755465689306E-3</v>
      </c>
      <c r="D116" s="19">
        <f t="shared" si="3"/>
        <v>-4.5598559058690237E-3</v>
      </c>
      <c r="N116" s="1"/>
      <c r="O116" s="2"/>
      <c r="P116" s="3"/>
    </row>
    <row r="117" spans="1:16" x14ac:dyDescent="0.2">
      <c r="A117" s="1" t="s">
        <v>4</v>
      </c>
      <c r="B117" s="2">
        <v>79.13</v>
      </c>
      <c r="C117" s="18">
        <f t="shared" si="2"/>
        <v>-7.1518193224593147E-3</v>
      </c>
      <c r="D117" s="19">
        <f t="shared" si="3"/>
        <v>-7.1775161750674875E-3</v>
      </c>
      <c r="N117" s="1"/>
      <c r="O117" s="2"/>
      <c r="P117" s="3"/>
    </row>
    <row r="118" spans="1:16" x14ac:dyDescent="0.2">
      <c r="A118" s="1" t="s">
        <v>3</v>
      </c>
      <c r="B118" s="2">
        <v>79.7</v>
      </c>
      <c r="C118" s="18">
        <f t="shared" si="2"/>
        <v>8.8607594936709229E-3</v>
      </c>
      <c r="D118" s="19">
        <f t="shared" si="3"/>
        <v>8.8217333291479086E-3</v>
      </c>
      <c r="N118" s="1"/>
      <c r="O118" s="2"/>
      <c r="P118" s="3"/>
    </row>
    <row r="119" spans="1:16" x14ac:dyDescent="0.2">
      <c r="A119" s="1" t="s">
        <v>2</v>
      </c>
      <c r="B119" s="2">
        <v>79</v>
      </c>
      <c r="C119" s="18">
        <f t="shared" si="2"/>
        <v>-5.6639395846444663E-3</v>
      </c>
      <c r="D119" s="19">
        <f t="shared" si="3"/>
        <v>-5.6800405157035683E-3</v>
      </c>
      <c r="N119" s="1"/>
      <c r="O119" s="2"/>
      <c r="P119" s="3"/>
    </row>
    <row r="120" spans="1:16" x14ac:dyDescent="0.2">
      <c r="A120" s="1" t="s">
        <v>144</v>
      </c>
      <c r="B120" s="2">
        <v>79.45</v>
      </c>
      <c r="C120" s="18">
        <f t="shared" si="2"/>
        <v>1.1328920570264772E-2</v>
      </c>
      <c r="D120" s="19">
        <f t="shared" si="3"/>
        <v>1.1265228936514462E-2</v>
      </c>
      <c r="N120" s="1"/>
      <c r="O120" s="2"/>
      <c r="P120" s="3"/>
    </row>
    <row r="121" spans="1:16" x14ac:dyDescent="0.2">
      <c r="A121" s="1" t="s">
        <v>143</v>
      </c>
      <c r="B121" s="2">
        <v>78.56</v>
      </c>
      <c r="C121" s="18">
        <f t="shared" si="2"/>
        <v>2.025974025974029E-2</v>
      </c>
      <c r="D121" s="19">
        <f t="shared" si="3"/>
        <v>2.0057242192526539E-2</v>
      </c>
      <c r="N121" s="1"/>
      <c r="O121" s="2"/>
      <c r="P121" s="3"/>
    </row>
    <row r="122" spans="1:16" x14ac:dyDescent="0.2">
      <c r="A122" s="1" t="s">
        <v>142</v>
      </c>
      <c r="B122" s="2">
        <v>77</v>
      </c>
      <c r="C122" s="18">
        <f t="shared" si="2"/>
        <v>5.1975051975060099E-4</v>
      </c>
      <c r="D122" s="19">
        <f t="shared" si="3"/>
        <v>5.196154962327853E-4</v>
      </c>
      <c r="N122" s="1"/>
      <c r="O122" s="2"/>
      <c r="P122" s="3"/>
    </row>
    <row r="123" spans="1:16" x14ac:dyDescent="0.2">
      <c r="A123" s="1" t="s">
        <v>141</v>
      </c>
      <c r="B123" s="2">
        <v>76.959999999999994</v>
      </c>
      <c r="C123" s="18">
        <f t="shared" si="2"/>
        <v>3.1282586027110908E-3</v>
      </c>
      <c r="D123" s="19">
        <f t="shared" si="3"/>
        <v>3.1233757822681551E-3</v>
      </c>
      <c r="N123" s="1"/>
      <c r="O123" s="2"/>
      <c r="P123" s="3"/>
    </row>
    <row r="124" spans="1:16" x14ac:dyDescent="0.2">
      <c r="A124" s="1" t="s">
        <v>140</v>
      </c>
      <c r="B124" s="2">
        <v>76.72</v>
      </c>
      <c r="C124" s="18">
        <f t="shared" si="2"/>
        <v>1.0803689064558539E-2</v>
      </c>
      <c r="D124" s="19">
        <f t="shared" si="3"/>
        <v>1.0745746173598549E-2</v>
      </c>
      <c r="N124" s="1"/>
      <c r="O124" s="2"/>
      <c r="P124" s="3"/>
    </row>
    <row r="125" spans="1:16" x14ac:dyDescent="0.2">
      <c r="A125" s="1" t="s">
        <v>139</v>
      </c>
      <c r="B125" s="2">
        <v>75.900000000000006</v>
      </c>
      <c r="C125" s="18">
        <f t="shared" si="2"/>
        <v>1.0248901903367634E-2</v>
      </c>
      <c r="D125" s="19">
        <f t="shared" si="3"/>
        <v>1.0196738020515085E-2</v>
      </c>
      <c r="N125" s="1"/>
      <c r="O125" s="2"/>
      <c r="P125" s="3"/>
    </row>
    <row r="126" spans="1:16" x14ac:dyDescent="0.2">
      <c r="A126" s="1" t="s">
        <v>138</v>
      </c>
      <c r="B126" s="2">
        <v>75.13</v>
      </c>
      <c r="C126" s="20" t="s">
        <v>145</v>
      </c>
      <c r="D126" s="21" t="s">
        <v>145</v>
      </c>
      <c r="N126" s="1"/>
      <c r="O126" s="2"/>
      <c r="P126" s="3"/>
    </row>
    <row r="127" spans="1:16" x14ac:dyDescent="0.2">
      <c r="A127" s="1"/>
      <c r="B127" s="2"/>
      <c r="C127" s="18"/>
      <c r="N127" s="1"/>
      <c r="O127" s="2"/>
      <c r="P127" s="3"/>
    </row>
    <row r="128" spans="1:16" x14ac:dyDescent="0.2">
      <c r="A128" s="1"/>
      <c r="B128" s="2"/>
      <c r="C128" s="18"/>
      <c r="N128" s="1"/>
      <c r="O128" s="2"/>
      <c r="P128" s="3"/>
    </row>
    <row r="129" spans="14:16" x14ac:dyDescent="0.2">
      <c r="N129" s="1"/>
      <c r="O129" s="2"/>
      <c r="P129" s="3"/>
    </row>
  </sheetData>
  <sortState xmlns:xlrd2="http://schemas.microsoft.com/office/spreadsheetml/2017/richdata2" ref="N2:O129">
    <sortCondition descending="1" ref="N2:N129"/>
  </sortState>
  <mergeCells count="2">
    <mergeCell ref="K20:L20"/>
    <mergeCell ref="F9:R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758F-74EB-9F40-92F9-15C0C34E2B7F}">
  <sheetPr codeName="Sheet3"/>
  <dimension ref="A1:R129"/>
  <sheetViews>
    <sheetView zoomScale="59" zoomScaleNormal="70" workbookViewId="0">
      <selection activeCell="J25" sqref="J25"/>
    </sheetView>
  </sheetViews>
  <sheetFormatPr baseColWidth="10" defaultColWidth="11.5" defaultRowHeight="16" x14ac:dyDescent="0.2"/>
  <cols>
    <col min="3" max="4" width="10.83203125" style="7"/>
    <col min="6" max="6" width="11" customWidth="1"/>
    <col min="7" max="7" width="11.5" customWidth="1"/>
    <col min="8" max="8" width="14.1640625" customWidth="1"/>
    <col min="9" max="9" width="15.83203125" customWidth="1"/>
    <col min="12" max="12" width="15" customWidth="1"/>
    <col min="14" max="14" width="16.6640625" customWidth="1"/>
    <col min="15" max="15" width="13.6640625" customWidth="1"/>
    <col min="17" max="17" width="18.33203125" customWidth="1"/>
  </cols>
  <sheetData>
    <row r="1" spans="1:18" ht="17" thickBot="1" x14ac:dyDescent="0.25">
      <c r="A1" s="11" t="s">
        <v>0</v>
      </c>
      <c r="B1" s="12" t="s">
        <v>1</v>
      </c>
      <c r="C1" s="14" t="s">
        <v>120</v>
      </c>
      <c r="D1" s="15" t="s">
        <v>121</v>
      </c>
    </row>
    <row r="2" spans="1:18" x14ac:dyDescent="0.2">
      <c r="A2" s="1" t="s">
        <v>119</v>
      </c>
      <c r="B2" s="2">
        <v>86.52</v>
      </c>
      <c r="C2" s="6">
        <f>(B2-B3)/B3</f>
        <v>-3.0153570227552943E-2</v>
      </c>
      <c r="D2" s="7">
        <f t="shared" ref="D2:D33" si="0">LN(B2/B3)</f>
        <v>-3.0617539840834054E-2</v>
      </c>
    </row>
    <row r="3" spans="1:18" x14ac:dyDescent="0.2">
      <c r="A3" s="1" t="s">
        <v>118</v>
      </c>
      <c r="B3" s="2">
        <v>89.21</v>
      </c>
      <c r="C3" s="6">
        <f t="shared" ref="C3:C33" si="1">(B3-B4)/B4</f>
        <v>2.3595505617976823E-3</v>
      </c>
      <c r="D3" s="7">
        <f t="shared" si="0"/>
        <v>2.3567711935522139E-3</v>
      </c>
    </row>
    <row r="4" spans="1:18" x14ac:dyDescent="0.2">
      <c r="A4" s="1" t="s">
        <v>117</v>
      </c>
      <c r="B4" s="2">
        <v>89</v>
      </c>
      <c r="C4" s="6">
        <f t="shared" si="1"/>
        <v>1.4823261117445806E-2</v>
      </c>
      <c r="D4" s="7">
        <f t="shared" si="0"/>
        <v>1.4714470354002342E-2</v>
      </c>
    </row>
    <row r="5" spans="1:18" x14ac:dyDescent="0.2">
      <c r="A5" s="1" t="s">
        <v>116</v>
      </c>
      <c r="B5" s="2">
        <v>87.7</v>
      </c>
      <c r="C5" s="6">
        <f t="shared" si="1"/>
        <v>1.2234533702677772E-2</v>
      </c>
      <c r="D5" s="7">
        <f t="shared" si="0"/>
        <v>1.2160296685402123E-2</v>
      </c>
    </row>
    <row r="6" spans="1:18" x14ac:dyDescent="0.2">
      <c r="A6" s="1" t="s">
        <v>115</v>
      </c>
      <c r="B6" s="2">
        <v>86.64</v>
      </c>
      <c r="C6" s="6">
        <f t="shared" si="1"/>
        <v>1.7737577822154415E-2</v>
      </c>
      <c r="D6" s="7">
        <f t="shared" si="0"/>
        <v>1.7582102796769597E-2</v>
      </c>
    </row>
    <row r="7" spans="1:18" x14ac:dyDescent="0.2">
      <c r="A7" s="1" t="s">
        <v>114</v>
      </c>
      <c r="B7" s="2">
        <v>85.13</v>
      </c>
      <c r="C7" s="6">
        <f t="shared" si="1"/>
        <v>4.6337266470009783E-2</v>
      </c>
      <c r="D7" s="7">
        <f t="shared" si="0"/>
        <v>4.5295748155661029E-2</v>
      </c>
    </row>
    <row r="8" spans="1:18" ht="17" thickBot="1" x14ac:dyDescent="0.25">
      <c r="A8" s="1" t="s">
        <v>113</v>
      </c>
      <c r="B8" s="2">
        <v>81.36</v>
      </c>
      <c r="C8" s="6">
        <f t="shared" si="1"/>
        <v>2.9222011385199271E-2</v>
      </c>
      <c r="D8" s="7">
        <f t="shared" si="0"/>
        <v>2.8803188084823555E-2</v>
      </c>
    </row>
    <row r="9" spans="1:18" x14ac:dyDescent="0.2">
      <c r="A9" s="1" t="s">
        <v>112</v>
      </c>
      <c r="B9" s="2">
        <v>79.05</v>
      </c>
      <c r="C9" s="6">
        <f t="shared" si="1"/>
        <v>-1.6546404578253276E-2</v>
      </c>
      <c r="D9" s="7">
        <f t="shared" si="0"/>
        <v>-1.6684825365574023E-2</v>
      </c>
      <c r="F9" s="152" t="s">
        <v>207</v>
      </c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4"/>
    </row>
    <row r="10" spans="1:18" ht="17" thickBot="1" x14ac:dyDescent="0.25">
      <c r="A10" s="1" t="s">
        <v>111</v>
      </c>
      <c r="B10" s="2">
        <v>80.38</v>
      </c>
      <c r="C10" s="6">
        <f t="shared" si="1"/>
        <v>-2.2141119221411282E-2</v>
      </c>
      <c r="D10" s="7">
        <f t="shared" si="0"/>
        <v>-2.2389913041079255E-2</v>
      </c>
      <c r="F10" s="155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7"/>
    </row>
    <row r="11" spans="1:18" ht="17" thickBot="1" x14ac:dyDescent="0.25">
      <c r="A11" s="1" t="s">
        <v>110</v>
      </c>
      <c r="B11" s="2">
        <v>82.2</v>
      </c>
      <c r="C11" s="6">
        <f t="shared" si="1"/>
        <v>0.12019623875715464</v>
      </c>
      <c r="D11" s="7">
        <f t="shared" si="0"/>
        <v>0.11350388313499837</v>
      </c>
      <c r="F11" s="142" t="s">
        <v>130</v>
      </c>
      <c r="G11" s="146" t="s">
        <v>1</v>
      </c>
      <c r="H11" s="147" t="s">
        <v>131</v>
      </c>
      <c r="I11" s="148" t="s">
        <v>133</v>
      </c>
      <c r="K11" s="142" t="s">
        <v>130</v>
      </c>
      <c r="L11" s="143" t="s">
        <v>160</v>
      </c>
      <c r="N11" s="144" t="s">
        <v>158</v>
      </c>
      <c r="O11" s="145"/>
      <c r="Q11" s="144" t="s">
        <v>159</v>
      </c>
      <c r="R11" s="145"/>
    </row>
    <row r="12" spans="1:18" x14ac:dyDescent="0.2">
      <c r="A12" s="1" t="s">
        <v>109</v>
      </c>
      <c r="B12" s="2">
        <v>73.38</v>
      </c>
      <c r="C12" s="6">
        <f t="shared" si="1"/>
        <v>5.756578947368445E-3</v>
      </c>
      <c r="D12" s="7">
        <f t="shared" si="0"/>
        <v>5.7400731610599805E-3</v>
      </c>
      <c r="F12" s="73" t="s">
        <v>122</v>
      </c>
      <c r="G12" s="83">
        <f>AVERAGE(B2:B126)</f>
        <v>57.309199999999997</v>
      </c>
      <c r="H12" s="13">
        <f>AVERAGE(C2:C125)</f>
        <v>6.3332323631403583E-3</v>
      </c>
      <c r="I12" s="84">
        <f>AVERAGE(D2:D125)</f>
        <v>5.9931586609820956E-3</v>
      </c>
      <c r="K12" s="73" t="s">
        <v>120</v>
      </c>
      <c r="L12" s="74">
        <f>H12*252</f>
        <v>1.5959745555113702</v>
      </c>
      <c r="N12" t="s">
        <v>146</v>
      </c>
      <c r="O12">
        <v>6.3332323631403583E-3</v>
      </c>
      <c r="P12" s="1"/>
      <c r="Q12" t="s">
        <v>146</v>
      </c>
      <c r="R12" s="35">
        <v>5.9931586609820956E-3</v>
      </c>
    </row>
    <row r="13" spans="1:18" x14ac:dyDescent="0.2">
      <c r="A13" s="1" t="s">
        <v>108</v>
      </c>
      <c r="B13" s="2">
        <v>72.959999999999994</v>
      </c>
      <c r="C13" s="6">
        <f t="shared" si="1"/>
        <v>-7.7519379844962245E-3</v>
      </c>
      <c r="D13" s="7">
        <f t="shared" si="0"/>
        <v>-7.7821404420550747E-3</v>
      </c>
      <c r="F13" s="75" t="s">
        <v>123</v>
      </c>
      <c r="G13" s="85">
        <f>_xlfn.VAR.S(B2:B126)</f>
        <v>184.07522032258143</v>
      </c>
      <c r="H13" s="86">
        <f>_xlfn.VAR.S(C2:C125)</f>
        <v>6.791057792635666E-4</v>
      </c>
      <c r="I13" s="87">
        <f>_xlfn.VAR.S(D2:D125)</f>
        <v>6.3350764659546332E-4</v>
      </c>
      <c r="K13" s="75" t="s">
        <v>135</v>
      </c>
      <c r="L13" s="76">
        <f>I12*252</f>
        <v>1.5102759825674881</v>
      </c>
      <c r="N13" t="s">
        <v>147</v>
      </c>
      <c r="O13">
        <v>2.3402263801158328E-3</v>
      </c>
      <c r="P13" s="2"/>
      <c r="Q13" t="s">
        <v>147</v>
      </c>
      <c r="R13" s="35">
        <v>2.2602948112656418E-3</v>
      </c>
    </row>
    <row r="14" spans="1:18" x14ac:dyDescent="0.2">
      <c r="A14" s="1" t="s">
        <v>107</v>
      </c>
      <c r="B14" s="2">
        <v>73.53</v>
      </c>
      <c r="C14" s="6">
        <f t="shared" si="1"/>
        <v>8.0888401425829922E-3</v>
      </c>
      <c r="D14" s="7">
        <f t="shared" si="0"/>
        <v>8.0563008275967209E-3</v>
      </c>
      <c r="F14" s="73" t="s">
        <v>124</v>
      </c>
      <c r="G14" s="83">
        <f>_xlfn.STDEV.S(B2:B126)</f>
        <v>13.567432340814582</v>
      </c>
      <c r="H14" s="13">
        <f>_xlfn.STDEV.S(C2:C125)</f>
        <v>2.6059658080327276E-2</v>
      </c>
      <c r="I14" s="84">
        <f>_xlfn.STDEV.S(D2:D125)</f>
        <v>2.5169577799308899E-2</v>
      </c>
      <c r="K14" s="73" t="s">
        <v>136</v>
      </c>
      <c r="L14" s="80">
        <f>H14*SQRT(252)</f>
        <v>0.41368424719152508</v>
      </c>
      <c r="N14" t="s">
        <v>148</v>
      </c>
      <c r="O14">
        <v>2.9053299234625294E-3</v>
      </c>
      <c r="P14" s="2"/>
      <c r="Q14" t="s">
        <v>148</v>
      </c>
      <c r="R14" s="35">
        <v>2.9009695333739715E-3</v>
      </c>
    </row>
    <row r="15" spans="1:18" x14ac:dyDescent="0.2">
      <c r="A15" s="1" t="s">
        <v>106</v>
      </c>
      <c r="B15" s="2">
        <v>72.94</v>
      </c>
      <c r="C15" s="6">
        <f t="shared" si="1"/>
        <v>-3.9125279936767211E-2</v>
      </c>
      <c r="D15" s="7">
        <f t="shared" si="0"/>
        <v>-3.9911242648142629E-2</v>
      </c>
      <c r="F15" s="75" t="s">
        <v>125</v>
      </c>
      <c r="G15" s="85">
        <f>MIN(B2:B126)</f>
        <v>40.17</v>
      </c>
      <c r="H15" s="88">
        <f>MIN(C2:C125)</f>
        <v>-3.9125279936767211E-2</v>
      </c>
      <c r="I15" s="89">
        <f>MIN(D2:D125)</f>
        <v>-3.9911242648142629E-2</v>
      </c>
      <c r="K15" s="75" t="s">
        <v>137</v>
      </c>
      <c r="L15" s="26">
        <f>I14*SQRT(252)</f>
        <v>0.39955466076878243</v>
      </c>
      <c r="N15" t="s">
        <v>149</v>
      </c>
      <c r="O15">
        <v>2.6059658080327276E-2</v>
      </c>
      <c r="P15" s="2"/>
      <c r="Q15" t="s">
        <v>149</v>
      </c>
      <c r="R15" s="35">
        <v>2.5169577799308899E-2</v>
      </c>
    </row>
    <row r="16" spans="1:18" ht="17" thickBot="1" x14ac:dyDescent="0.25">
      <c r="A16" s="1" t="s">
        <v>105</v>
      </c>
      <c r="B16" s="2">
        <v>75.91</v>
      </c>
      <c r="C16" s="6">
        <f t="shared" si="1"/>
        <v>2.0432853878209385E-2</v>
      </c>
      <c r="D16" s="7">
        <f t="shared" si="0"/>
        <v>2.0226903825426877E-2</v>
      </c>
      <c r="F16" s="73" t="s">
        <v>126</v>
      </c>
      <c r="G16" s="83">
        <f>MAX(B2:B126)</f>
        <v>89.21</v>
      </c>
      <c r="H16" s="13">
        <f>MAX(C2:C125)</f>
        <v>0.1353721610074208</v>
      </c>
      <c r="I16" s="84">
        <f>MAX(D2:D125)</f>
        <v>0.12696049234821929</v>
      </c>
      <c r="K16" s="77" t="s">
        <v>134</v>
      </c>
      <c r="L16" s="81">
        <f>(B2/B126)^(1/0.5)-1</f>
        <v>3.4207234002973443</v>
      </c>
      <c r="N16" t="s">
        <v>150</v>
      </c>
      <c r="O16">
        <v>6.791057792635666E-4</v>
      </c>
      <c r="P16" s="2"/>
      <c r="Q16" t="s">
        <v>150</v>
      </c>
      <c r="R16" s="35">
        <v>6.3350764659546332E-4</v>
      </c>
    </row>
    <row r="17" spans="1:18" x14ac:dyDescent="0.2">
      <c r="A17" s="1" t="s">
        <v>104</v>
      </c>
      <c r="B17" s="2">
        <v>74.39</v>
      </c>
      <c r="C17" s="6">
        <f t="shared" si="1"/>
        <v>8.1311830871391017E-3</v>
      </c>
      <c r="D17" s="7">
        <f t="shared" si="0"/>
        <v>8.0983031329746637E-3</v>
      </c>
      <c r="F17" s="75" t="s">
        <v>127</v>
      </c>
      <c r="G17" s="85">
        <f>MEDIAN(B2:B126)</f>
        <v>56.41</v>
      </c>
      <c r="H17" s="86">
        <f>MEDIAN(C2:C125)</f>
        <v>2.9053299234625294E-3</v>
      </c>
      <c r="I17" s="87">
        <f>MEDIAN(D2:D125)</f>
        <v>2.9009695333739715E-3</v>
      </c>
      <c r="N17" t="s">
        <v>151</v>
      </c>
      <c r="O17">
        <v>9.7870797653552746</v>
      </c>
      <c r="P17" s="2"/>
      <c r="Q17" t="s">
        <v>151</v>
      </c>
      <c r="R17" s="35">
        <v>8.6077934761828168</v>
      </c>
    </row>
    <row r="18" spans="1:18" x14ac:dyDescent="0.2">
      <c r="A18" s="1" t="s">
        <v>103</v>
      </c>
      <c r="B18" s="2">
        <v>73.790000000000006</v>
      </c>
      <c r="C18" s="6">
        <f t="shared" si="1"/>
        <v>1.765273755344092E-2</v>
      </c>
      <c r="D18" s="7">
        <f t="shared" si="0"/>
        <v>1.7498737686774023E-2</v>
      </c>
      <c r="F18" s="73" t="s">
        <v>128</v>
      </c>
      <c r="G18" s="83">
        <f>SKEW(B2:B126)</f>
        <v>0.51110182345346111</v>
      </c>
      <c r="H18" s="13">
        <f>SKEW(C2:C125)</f>
        <v>2.4315507559168412</v>
      </c>
      <c r="I18" s="84">
        <f>SKEW(D2:D125)</f>
        <v>2.2233066079911148</v>
      </c>
      <c r="N18" t="s">
        <v>152</v>
      </c>
      <c r="O18">
        <v>2.4315507559168412</v>
      </c>
      <c r="P18" s="2"/>
      <c r="Q18" t="s">
        <v>152</v>
      </c>
      <c r="R18" s="35">
        <v>2.2233066079911148</v>
      </c>
    </row>
    <row r="19" spans="1:18" ht="17" thickBot="1" x14ac:dyDescent="0.25">
      <c r="A19" s="1" t="s">
        <v>102</v>
      </c>
      <c r="B19" s="2">
        <v>72.510000000000005</v>
      </c>
      <c r="C19" s="6">
        <f t="shared" si="1"/>
        <v>-2.8667113194909583E-2</v>
      </c>
      <c r="D19" s="7">
        <f t="shared" si="0"/>
        <v>-2.9086040601698032E-2</v>
      </c>
      <c r="F19" s="93" t="s">
        <v>129</v>
      </c>
      <c r="G19" s="94">
        <f>KURT(B2:B126)</f>
        <v>-0.77087743887207916</v>
      </c>
      <c r="H19" s="95">
        <f>KURT(C2:C125)</f>
        <v>9.7870797653552746</v>
      </c>
      <c r="I19" s="96">
        <f>KURT(D2:D125)</f>
        <v>8.6077934761828168</v>
      </c>
      <c r="N19" t="s">
        <v>153</v>
      </c>
      <c r="O19">
        <v>0.17449744094418801</v>
      </c>
      <c r="P19" s="2"/>
      <c r="Q19" t="s">
        <v>153</v>
      </c>
      <c r="R19" s="35">
        <v>0.16687173499636193</v>
      </c>
    </row>
    <row r="20" spans="1:18" ht="17" thickBot="1" x14ac:dyDescent="0.25">
      <c r="A20" s="1" t="s">
        <v>101</v>
      </c>
      <c r="B20" s="2">
        <v>74.650000000000006</v>
      </c>
      <c r="C20" s="6">
        <f t="shared" si="1"/>
        <v>1.3990763379516451E-2</v>
      </c>
      <c r="D20" s="7">
        <f t="shared" si="0"/>
        <v>1.3893796034324321E-2</v>
      </c>
      <c r="F20" s="75"/>
      <c r="K20" s="158" t="s">
        <v>162</v>
      </c>
      <c r="L20" s="159"/>
      <c r="N20" t="s">
        <v>154</v>
      </c>
      <c r="O20">
        <v>-3.9125279936767211E-2</v>
      </c>
      <c r="P20" s="2"/>
      <c r="Q20" t="s">
        <v>154</v>
      </c>
      <c r="R20" s="35">
        <v>-3.9911242648142629E-2</v>
      </c>
    </row>
    <row r="21" spans="1:18" x14ac:dyDescent="0.2">
      <c r="A21" s="1" t="s">
        <v>100</v>
      </c>
      <c r="B21" s="2">
        <v>73.62</v>
      </c>
      <c r="C21" s="6">
        <f t="shared" si="1"/>
        <v>3.8178347422961703E-3</v>
      </c>
      <c r="D21" s="7">
        <f t="shared" si="0"/>
        <v>3.8105653076950952E-3</v>
      </c>
      <c r="F21" s="25"/>
      <c r="K21" s="25" t="s">
        <v>161</v>
      </c>
      <c r="L21" s="26" cm="1">
        <f t="array" ref="L21">AnnualizedVolatility(D2:D125)</f>
        <v>0.39955466076878243</v>
      </c>
      <c r="N21" t="s">
        <v>155</v>
      </c>
      <c r="O21">
        <v>0.1353721610074208</v>
      </c>
      <c r="P21" s="2"/>
      <c r="Q21" t="s">
        <v>155</v>
      </c>
      <c r="R21" s="35">
        <v>0.12696049234821929</v>
      </c>
    </row>
    <row r="22" spans="1:18" ht="17" thickBot="1" x14ac:dyDescent="0.25">
      <c r="A22" s="1" t="s">
        <v>99</v>
      </c>
      <c r="B22" s="2">
        <v>73.34</v>
      </c>
      <c r="C22" s="6">
        <f t="shared" si="1"/>
        <v>-9.5881161377446827E-3</v>
      </c>
      <c r="D22" s="7">
        <f t="shared" si="0"/>
        <v>-9.6343780706277526E-3</v>
      </c>
      <c r="F22" s="25"/>
      <c r="K22" s="27" t="s">
        <v>163</v>
      </c>
      <c r="L22" s="28" cm="1">
        <f t="array" ref="L22">CAGR(B126,B2,0.5)</f>
        <v>3.4207234002973443</v>
      </c>
      <c r="N22" t="s">
        <v>156</v>
      </c>
      <c r="O22">
        <v>0.78532081302940449</v>
      </c>
      <c r="P22" s="2"/>
      <c r="Q22" t="s">
        <v>156</v>
      </c>
      <c r="R22" s="35">
        <v>0.74315167396177984</v>
      </c>
    </row>
    <row r="23" spans="1:18" ht="17" thickBot="1" x14ac:dyDescent="0.25">
      <c r="A23" s="1" t="s">
        <v>98</v>
      </c>
      <c r="B23" s="2">
        <v>74.05</v>
      </c>
      <c r="C23" s="6">
        <f t="shared" si="1"/>
        <v>3.7260120465051082E-2</v>
      </c>
      <c r="D23" s="7">
        <f t="shared" si="0"/>
        <v>3.6582737199438609E-2</v>
      </c>
      <c r="F23" s="27"/>
      <c r="G23" s="10"/>
      <c r="H23" s="10"/>
      <c r="I23" s="10"/>
      <c r="J23" s="10"/>
      <c r="K23" s="10"/>
      <c r="L23" s="10"/>
      <c r="M23" s="10"/>
      <c r="N23" s="10" t="s">
        <v>157</v>
      </c>
      <c r="O23" s="10">
        <v>124</v>
      </c>
      <c r="P23" s="149"/>
      <c r="Q23" s="10" t="s">
        <v>157</v>
      </c>
      <c r="R23" s="36">
        <v>124</v>
      </c>
    </row>
    <row r="24" spans="1:18" x14ac:dyDescent="0.2">
      <c r="A24" s="1" t="s">
        <v>97</v>
      </c>
      <c r="B24" s="2">
        <v>71.39</v>
      </c>
      <c r="C24" s="6">
        <f t="shared" si="1"/>
        <v>2.5276461295418717E-2</v>
      </c>
      <c r="D24" s="7">
        <f t="shared" si="0"/>
        <v>2.4962294559913775E-2</v>
      </c>
      <c r="O24" s="1"/>
      <c r="P24" s="2"/>
      <c r="Q24" s="3"/>
    </row>
    <row r="25" spans="1:18" x14ac:dyDescent="0.2">
      <c r="A25" s="1" t="s">
        <v>96</v>
      </c>
      <c r="B25" s="2">
        <v>69.63</v>
      </c>
      <c r="C25" s="6">
        <f t="shared" si="1"/>
        <v>2.9268292682926675E-2</v>
      </c>
      <c r="D25" s="7">
        <f t="shared" si="0"/>
        <v>2.8848154337658128E-2</v>
      </c>
      <c r="O25" s="1"/>
      <c r="P25" s="2"/>
      <c r="Q25" s="3"/>
    </row>
    <row r="26" spans="1:18" x14ac:dyDescent="0.2">
      <c r="A26" s="1" t="s">
        <v>95</v>
      </c>
      <c r="B26" s="2">
        <v>67.650000000000006</v>
      </c>
      <c r="C26" s="6">
        <f t="shared" si="1"/>
        <v>-1.4779781259223923E-4</v>
      </c>
      <c r="D26" s="7">
        <f t="shared" si="0"/>
        <v>-1.4780873576521829E-4</v>
      </c>
      <c r="O26" s="1"/>
      <c r="P26" s="2"/>
      <c r="Q26" s="3"/>
    </row>
    <row r="27" spans="1:18" x14ac:dyDescent="0.2">
      <c r="A27" s="1" t="s">
        <v>94</v>
      </c>
      <c r="B27" s="2">
        <v>67.66</v>
      </c>
      <c r="C27" s="6">
        <f t="shared" si="1"/>
        <v>1.3632958801498077E-2</v>
      </c>
      <c r="D27" s="7">
        <f t="shared" si="0"/>
        <v>1.3540866072203443E-2</v>
      </c>
      <c r="O27" s="1"/>
      <c r="P27" s="2"/>
      <c r="Q27" s="3"/>
    </row>
    <row r="28" spans="1:18" x14ac:dyDescent="0.2">
      <c r="A28" s="1" t="s">
        <v>93</v>
      </c>
      <c r="B28" s="2">
        <v>66.75</v>
      </c>
      <c r="C28" s="6">
        <f t="shared" si="1"/>
        <v>-5.9568131049889152E-3</v>
      </c>
      <c r="D28" s="7">
        <f t="shared" si="0"/>
        <v>-5.9746256888878069E-3</v>
      </c>
      <c r="O28" s="1"/>
      <c r="P28" s="2"/>
      <c r="Q28" s="3"/>
    </row>
    <row r="29" spans="1:18" x14ac:dyDescent="0.2">
      <c r="A29" s="1" t="s">
        <v>92</v>
      </c>
      <c r="B29" s="2">
        <v>67.150000000000006</v>
      </c>
      <c r="C29" s="6">
        <f t="shared" si="1"/>
        <v>-2.0137166204581867E-2</v>
      </c>
      <c r="D29" s="7">
        <f t="shared" si="0"/>
        <v>-2.0342682628485636E-2</v>
      </c>
      <c r="O29" s="1"/>
      <c r="P29" s="2"/>
      <c r="Q29" s="3"/>
    </row>
    <row r="30" spans="1:18" x14ac:dyDescent="0.2">
      <c r="A30" s="1" t="s">
        <v>91</v>
      </c>
      <c r="B30" s="2">
        <v>68.53</v>
      </c>
      <c r="C30" s="6">
        <f t="shared" si="1"/>
        <v>1.7369358669833756E-2</v>
      </c>
      <c r="D30" s="7">
        <f t="shared" si="0"/>
        <v>1.7220235663661102E-2</v>
      </c>
      <c r="O30" s="1"/>
      <c r="P30" s="2"/>
      <c r="Q30" s="3"/>
    </row>
    <row r="31" spans="1:18" x14ac:dyDescent="0.2">
      <c r="A31" s="1" t="s">
        <v>90</v>
      </c>
      <c r="B31" s="2">
        <v>67.36</v>
      </c>
      <c r="C31" s="6">
        <f t="shared" si="1"/>
        <v>-4.4339343777711673E-3</v>
      </c>
      <c r="D31" s="7">
        <f t="shared" si="0"/>
        <v>-4.4437934184910965E-3</v>
      </c>
      <c r="O31" s="1"/>
      <c r="P31" s="2"/>
      <c r="Q31" s="3"/>
    </row>
    <row r="32" spans="1:18" x14ac:dyDescent="0.2">
      <c r="A32" s="1" t="s">
        <v>89</v>
      </c>
      <c r="B32" s="2">
        <v>67.66</v>
      </c>
      <c r="C32" s="6">
        <f t="shared" si="1"/>
        <v>1.3329339523738215E-2</v>
      </c>
      <c r="D32" s="7">
        <f t="shared" si="0"/>
        <v>1.3241285482784934E-2</v>
      </c>
      <c r="O32" s="1"/>
      <c r="P32" s="2"/>
      <c r="Q32" s="3"/>
    </row>
    <row r="33" spans="1:17" x14ac:dyDescent="0.2">
      <c r="A33" s="1" t="s">
        <v>88</v>
      </c>
      <c r="B33" s="2">
        <v>66.77</v>
      </c>
      <c r="C33" s="6">
        <f t="shared" si="1"/>
        <v>1.7370105134846877E-2</v>
      </c>
      <c r="D33" s="7">
        <f t="shared" si="0"/>
        <v>1.722096938414612E-2</v>
      </c>
      <c r="O33" s="1"/>
      <c r="P33" s="2"/>
      <c r="Q33" s="3"/>
    </row>
    <row r="34" spans="1:17" x14ac:dyDescent="0.2">
      <c r="A34" s="1" t="s">
        <v>87</v>
      </c>
      <c r="B34" s="2">
        <v>65.63</v>
      </c>
      <c r="C34" s="6">
        <f t="shared" ref="C34:C65" si="2">(B34-B35)/B35</f>
        <v>4.5920710240317953E-3</v>
      </c>
      <c r="D34" s="7">
        <f t="shared" ref="D34:D65" si="3">LN(B34/B35)</f>
        <v>4.5815596329722656E-3</v>
      </c>
      <c r="O34" s="1"/>
      <c r="P34" s="2"/>
      <c r="Q34" s="3"/>
    </row>
    <row r="35" spans="1:17" x14ac:dyDescent="0.2">
      <c r="A35" s="1" t="s">
        <v>86</v>
      </c>
      <c r="B35" s="2">
        <v>65.33</v>
      </c>
      <c r="C35" s="6">
        <f t="shared" si="2"/>
        <v>-7.4445457307808407E-3</v>
      </c>
      <c r="D35" s="7">
        <f t="shared" si="3"/>
        <v>-7.4723946625347782E-3</v>
      </c>
      <c r="O35" s="1"/>
      <c r="P35" s="2"/>
      <c r="Q35" s="3"/>
    </row>
    <row r="36" spans="1:17" x14ac:dyDescent="0.2">
      <c r="A36" s="1" t="s">
        <v>85</v>
      </c>
      <c r="B36" s="2">
        <v>65.819999999999993</v>
      </c>
      <c r="C36" s="6">
        <f t="shared" si="2"/>
        <v>-7.5907089722197308E-4</v>
      </c>
      <c r="D36" s="7">
        <f t="shared" si="3"/>
        <v>-7.5935913740782896E-4</v>
      </c>
      <c r="O36" s="1"/>
      <c r="P36" s="2"/>
      <c r="Q36" s="3"/>
    </row>
    <row r="37" spans="1:17" x14ac:dyDescent="0.2">
      <c r="A37" s="1" t="s">
        <v>84</v>
      </c>
      <c r="B37" s="2">
        <v>65.87</v>
      </c>
      <c r="C37" s="6">
        <f t="shared" si="2"/>
        <v>-4.6841946207313726E-3</v>
      </c>
      <c r="D37" s="7">
        <f t="shared" si="3"/>
        <v>-4.6951998408645227E-3</v>
      </c>
      <c r="O37" s="1"/>
      <c r="P37" s="2"/>
      <c r="Q37" s="3"/>
    </row>
    <row r="38" spans="1:17" x14ac:dyDescent="0.2">
      <c r="A38" s="1" t="s">
        <v>83</v>
      </c>
      <c r="B38" s="2">
        <v>66.180000000000007</v>
      </c>
      <c r="C38" s="6">
        <f t="shared" si="2"/>
        <v>1.3786764705882439E-2</v>
      </c>
      <c r="D38" s="7">
        <f t="shared" si="3"/>
        <v>1.369259183761465E-2</v>
      </c>
      <c r="O38" s="1"/>
      <c r="P38" s="2"/>
      <c r="Q38" s="3"/>
    </row>
    <row r="39" spans="1:17" x14ac:dyDescent="0.2">
      <c r="A39" s="1" t="s">
        <v>82</v>
      </c>
      <c r="B39" s="2">
        <v>65.28</v>
      </c>
      <c r="C39" s="6">
        <f t="shared" si="2"/>
        <v>8.4968329986095641E-3</v>
      </c>
      <c r="D39" s="7">
        <f t="shared" si="3"/>
        <v>8.4609380984326243E-3</v>
      </c>
      <c r="O39" s="1"/>
      <c r="P39" s="2"/>
      <c r="Q39" s="3"/>
    </row>
    <row r="40" spans="1:17" x14ac:dyDescent="0.2">
      <c r="A40" s="1" t="s">
        <v>81</v>
      </c>
      <c r="B40" s="2">
        <v>64.73</v>
      </c>
      <c r="C40" s="6">
        <f t="shared" si="2"/>
        <v>9.0413094310210166E-3</v>
      </c>
      <c r="D40" s="7">
        <f t="shared" si="3"/>
        <v>9.0006814957734448E-3</v>
      </c>
      <c r="O40" s="1"/>
      <c r="P40" s="2"/>
      <c r="Q40" s="3"/>
    </row>
    <row r="41" spans="1:17" x14ac:dyDescent="0.2">
      <c r="A41" s="1" t="s">
        <v>80</v>
      </c>
      <c r="B41" s="2">
        <v>64.150000000000006</v>
      </c>
      <c r="C41" s="6">
        <f t="shared" si="2"/>
        <v>2.3779125438876624E-2</v>
      </c>
      <c r="D41" s="7">
        <f t="shared" si="3"/>
        <v>2.3500805537599895E-2</v>
      </c>
      <c r="O41" s="1"/>
      <c r="P41" s="2"/>
      <c r="Q41" s="3"/>
    </row>
    <row r="42" spans="1:17" x14ac:dyDescent="0.2">
      <c r="A42" s="1" t="s">
        <v>79</v>
      </c>
      <c r="B42" s="2">
        <v>62.66</v>
      </c>
      <c r="C42" s="6">
        <f t="shared" si="2"/>
        <v>9.3427835051546112E-3</v>
      </c>
      <c r="D42" s="7">
        <f t="shared" si="3"/>
        <v>9.2994096490824386E-3</v>
      </c>
      <c r="O42" s="1"/>
      <c r="P42" s="2"/>
      <c r="Q42" s="3"/>
    </row>
    <row r="43" spans="1:17" x14ac:dyDescent="0.2">
      <c r="A43" s="1" t="s">
        <v>78</v>
      </c>
      <c r="B43" s="2">
        <v>62.08</v>
      </c>
      <c r="C43" s="6">
        <f t="shared" si="2"/>
        <v>-2.7111737972104748E-2</v>
      </c>
      <c r="D43" s="7">
        <f t="shared" si="3"/>
        <v>-2.7486042005292276E-2</v>
      </c>
      <c r="O43" s="1"/>
      <c r="P43" s="2"/>
      <c r="Q43" s="3"/>
    </row>
    <row r="44" spans="1:17" x14ac:dyDescent="0.2">
      <c r="A44" s="1" t="s">
        <v>77</v>
      </c>
      <c r="B44" s="2">
        <v>63.81</v>
      </c>
      <c r="C44" s="6">
        <f t="shared" si="2"/>
        <v>-6.0747663551401956E-3</v>
      </c>
      <c r="D44" s="7">
        <f t="shared" si="3"/>
        <v>-6.0932928156599382E-3</v>
      </c>
      <c r="O44" s="1"/>
      <c r="P44" s="2"/>
      <c r="Q44" s="3"/>
    </row>
    <row r="45" spans="1:17" x14ac:dyDescent="0.2">
      <c r="A45" s="1" t="s">
        <v>76</v>
      </c>
      <c r="B45" s="2">
        <v>64.2</v>
      </c>
      <c r="C45" s="6">
        <f t="shared" si="2"/>
        <v>1.582278481012658E-2</v>
      </c>
      <c r="D45" s="7">
        <f t="shared" si="3"/>
        <v>1.5698909543103833E-2</v>
      </c>
      <c r="O45" s="1"/>
      <c r="P45" s="2"/>
      <c r="Q45" s="3"/>
    </row>
    <row r="46" spans="1:17" x14ac:dyDescent="0.2">
      <c r="A46" s="1" t="s">
        <v>75</v>
      </c>
      <c r="B46" s="2">
        <v>63.2</v>
      </c>
      <c r="C46" s="6">
        <f t="shared" si="2"/>
        <v>2.7809399902423173E-2</v>
      </c>
      <c r="D46" s="7">
        <f t="shared" si="3"/>
        <v>2.7429741187433392E-2</v>
      </c>
      <c r="O46" s="1"/>
      <c r="P46" s="2"/>
      <c r="Q46" s="3"/>
    </row>
    <row r="47" spans="1:17" x14ac:dyDescent="0.2">
      <c r="A47" s="1" t="s">
        <v>74</v>
      </c>
      <c r="B47" s="2">
        <v>61.49</v>
      </c>
      <c r="C47" s="6">
        <f t="shared" si="2"/>
        <v>-1.3001605136436519E-2</v>
      </c>
      <c r="D47" s="7">
        <f t="shared" si="3"/>
        <v>-1.3086865828029082E-2</v>
      </c>
      <c r="O47" s="1"/>
      <c r="P47" s="2"/>
      <c r="Q47" s="3"/>
    </row>
    <row r="48" spans="1:17" x14ac:dyDescent="0.2">
      <c r="A48" s="1" t="s">
        <v>73</v>
      </c>
      <c r="B48" s="2">
        <v>62.3</v>
      </c>
      <c r="C48" s="6">
        <f t="shared" si="2"/>
        <v>1.4823261117445783E-2</v>
      </c>
      <c r="D48" s="7">
        <f t="shared" si="3"/>
        <v>1.4714470354002342E-2</v>
      </c>
      <c r="O48" s="1"/>
      <c r="P48" s="2"/>
      <c r="Q48" s="3"/>
    </row>
    <row r="49" spans="1:17" x14ac:dyDescent="0.2">
      <c r="A49" s="1" t="s">
        <v>72</v>
      </c>
      <c r="B49" s="2">
        <v>61.39</v>
      </c>
      <c r="C49" s="6">
        <f t="shared" si="2"/>
        <v>-1.4132005781275133E-2</v>
      </c>
      <c r="D49" s="7">
        <f t="shared" si="3"/>
        <v>-1.4232813444955692E-2</v>
      </c>
      <c r="O49" s="1"/>
      <c r="P49" s="2"/>
      <c r="Q49" s="3"/>
    </row>
    <row r="50" spans="1:17" x14ac:dyDescent="0.2">
      <c r="A50" s="1" t="s">
        <v>71</v>
      </c>
      <c r="B50" s="2">
        <v>62.27</v>
      </c>
      <c r="C50" s="6">
        <f t="shared" si="2"/>
        <v>3.212851405622992E-4</v>
      </c>
      <c r="D50" s="7">
        <f t="shared" si="3"/>
        <v>3.2123353954364661E-4</v>
      </c>
      <c r="O50" s="1"/>
      <c r="P50" s="2"/>
      <c r="Q50" s="3"/>
    </row>
    <row r="51" spans="1:17" x14ac:dyDescent="0.2">
      <c r="A51" s="1" t="s">
        <v>70</v>
      </c>
      <c r="B51" s="2">
        <v>62.25</v>
      </c>
      <c r="C51" s="6">
        <f t="shared" si="2"/>
        <v>-2.076451156205758E-2</v>
      </c>
      <c r="D51" s="7">
        <f t="shared" si="3"/>
        <v>-2.0983125603500432E-2</v>
      </c>
      <c r="O51" s="1"/>
      <c r="P51" s="2"/>
      <c r="Q51" s="3"/>
    </row>
    <row r="52" spans="1:17" x14ac:dyDescent="0.2">
      <c r="A52" s="1" t="s">
        <v>69</v>
      </c>
      <c r="B52" s="2">
        <v>63.57</v>
      </c>
      <c r="C52" s="6">
        <f t="shared" si="2"/>
        <v>-4.0733197556007839E-3</v>
      </c>
      <c r="D52" s="7">
        <f t="shared" si="3"/>
        <v>-4.0816383196485067E-3</v>
      </c>
      <c r="O52" s="1"/>
      <c r="P52" s="2"/>
      <c r="Q52" s="3"/>
    </row>
    <row r="53" spans="1:17" x14ac:dyDescent="0.2">
      <c r="A53" s="1" t="s">
        <v>68</v>
      </c>
      <c r="B53" s="2">
        <v>63.83</v>
      </c>
      <c r="C53" s="6">
        <f t="shared" si="2"/>
        <v>-7.6181592039800206E-3</v>
      </c>
      <c r="D53" s="7">
        <f t="shared" si="3"/>
        <v>-7.6473256027448956E-3</v>
      </c>
      <c r="O53" s="1"/>
      <c r="P53" s="2"/>
      <c r="Q53" s="3"/>
    </row>
    <row r="54" spans="1:17" x14ac:dyDescent="0.2">
      <c r="A54" s="1" t="s">
        <v>67</v>
      </c>
      <c r="B54" s="2">
        <v>64.319999999999993</v>
      </c>
      <c r="C54" s="6">
        <f t="shared" si="2"/>
        <v>-4.0260142458966421E-3</v>
      </c>
      <c r="D54" s="7">
        <f t="shared" si="3"/>
        <v>-4.0341404594183231E-3</v>
      </c>
      <c r="O54" s="1"/>
      <c r="P54" s="2"/>
      <c r="Q54" s="3"/>
    </row>
    <row r="55" spans="1:17" x14ac:dyDescent="0.2">
      <c r="A55" s="1" t="s">
        <v>66</v>
      </c>
      <c r="B55" s="2">
        <v>64.58</v>
      </c>
      <c r="C55" s="6">
        <f t="shared" si="2"/>
        <v>3.6929993577392378E-2</v>
      </c>
      <c r="D55" s="7">
        <f t="shared" si="3"/>
        <v>3.6264418364331509E-2</v>
      </c>
      <c r="O55" s="1"/>
      <c r="P55" s="2"/>
      <c r="Q55" s="3"/>
    </row>
    <row r="56" spans="1:17" x14ac:dyDescent="0.2">
      <c r="A56" s="1" t="s">
        <v>65</v>
      </c>
      <c r="B56" s="2">
        <v>62.28</v>
      </c>
      <c r="C56" s="6">
        <f t="shared" si="2"/>
        <v>2.2324359816152321E-2</v>
      </c>
      <c r="D56" s="7">
        <f t="shared" si="3"/>
        <v>2.2078818938836408E-2</v>
      </c>
      <c r="O56" s="1"/>
      <c r="P56" s="2"/>
      <c r="Q56" s="3"/>
    </row>
    <row r="57" spans="1:17" x14ac:dyDescent="0.2">
      <c r="A57" s="1" t="s">
        <v>64</v>
      </c>
      <c r="B57" s="2">
        <v>60.92</v>
      </c>
      <c r="C57" s="6">
        <f t="shared" si="2"/>
        <v>-2.2928267278087221E-3</v>
      </c>
      <c r="D57" s="7">
        <f t="shared" si="3"/>
        <v>-2.2954592797707397E-3</v>
      </c>
      <c r="O57" s="1"/>
      <c r="P57" s="2"/>
      <c r="Q57" s="3"/>
    </row>
    <row r="58" spans="1:17" x14ac:dyDescent="0.2">
      <c r="A58" s="1" t="s">
        <v>63</v>
      </c>
      <c r="B58" s="2">
        <v>61.06</v>
      </c>
      <c r="C58" s="6">
        <f t="shared" si="2"/>
        <v>3.4511092851273761E-3</v>
      </c>
      <c r="D58" s="7">
        <f t="shared" si="3"/>
        <v>3.4451678731957291E-3</v>
      </c>
      <c r="O58" s="1"/>
      <c r="P58" s="2"/>
      <c r="Q58" s="3"/>
    </row>
    <row r="59" spans="1:17" x14ac:dyDescent="0.2">
      <c r="A59" s="1" t="s">
        <v>62</v>
      </c>
      <c r="B59" s="2">
        <v>60.85</v>
      </c>
      <c r="C59" s="6">
        <f t="shared" si="2"/>
        <v>3.275627970128988E-2</v>
      </c>
      <c r="D59" s="7">
        <f t="shared" si="3"/>
        <v>3.2231227839106688E-2</v>
      </c>
      <c r="O59" s="1"/>
      <c r="P59" s="2"/>
      <c r="Q59" s="3"/>
    </row>
    <row r="60" spans="1:17" x14ac:dyDescent="0.2">
      <c r="A60" s="1" t="s">
        <v>61</v>
      </c>
      <c r="B60" s="2">
        <v>58.92</v>
      </c>
      <c r="C60" s="6">
        <f t="shared" si="2"/>
        <v>4.4495656798440086E-2</v>
      </c>
      <c r="D60" s="7">
        <f t="shared" si="3"/>
        <v>4.353414384254483E-2</v>
      </c>
      <c r="O60" s="1"/>
      <c r="P60" s="2"/>
      <c r="Q60" s="3"/>
    </row>
    <row r="61" spans="1:17" x14ac:dyDescent="0.2">
      <c r="A61" s="1" t="s">
        <v>60</v>
      </c>
      <c r="B61" s="2">
        <v>56.41</v>
      </c>
      <c r="C61" s="6">
        <f t="shared" si="2"/>
        <v>2.0072332730560569E-2</v>
      </c>
      <c r="D61" s="7">
        <f t="shared" si="3"/>
        <v>1.9873539223595565E-2</v>
      </c>
      <c r="O61" s="1"/>
      <c r="P61" s="2"/>
      <c r="Q61" s="3"/>
    </row>
    <row r="62" spans="1:17" x14ac:dyDescent="0.2">
      <c r="A62" s="1" t="s">
        <v>59</v>
      </c>
      <c r="B62" s="2">
        <v>55.3</v>
      </c>
      <c r="C62" s="6">
        <f t="shared" si="2"/>
        <v>-5.7533261416756612E-3</v>
      </c>
      <c r="D62" s="7">
        <f t="shared" si="3"/>
        <v>-5.7699402775296888E-3</v>
      </c>
      <c r="O62" s="1"/>
      <c r="P62" s="2"/>
      <c r="Q62" s="3"/>
    </row>
    <row r="63" spans="1:17" x14ac:dyDescent="0.2">
      <c r="A63" s="1" t="s">
        <v>58</v>
      </c>
      <c r="B63" s="2">
        <v>55.62</v>
      </c>
      <c r="C63" s="6">
        <f t="shared" si="2"/>
        <v>-1.6445623342175062E-2</v>
      </c>
      <c r="D63" s="7">
        <f t="shared" si="3"/>
        <v>-1.658235375631064E-2</v>
      </c>
      <c r="O63" s="1"/>
      <c r="P63" s="2"/>
      <c r="Q63" s="3"/>
    </row>
    <row r="64" spans="1:17" x14ac:dyDescent="0.2">
      <c r="A64" s="1" t="s">
        <v>57</v>
      </c>
      <c r="B64" s="2">
        <v>56.55</v>
      </c>
      <c r="C64" s="6">
        <f t="shared" si="2"/>
        <v>-1.1881880132797479E-2</v>
      </c>
      <c r="D64" s="7">
        <f t="shared" si="3"/>
        <v>-1.195303385888141E-2</v>
      </c>
      <c r="O64" s="1"/>
      <c r="P64" s="2"/>
      <c r="Q64" s="3"/>
    </row>
    <row r="65" spans="1:17" x14ac:dyDescent="0.2">
      <c r="A65" s="1" t="s">
        <v>56</v>
      </c>
      <c r="B65" s="2">
        <v>57.23</v>
      </c>
      <c r="C65" s="6">
        <f t="shared" si="2"/>
        <v>-1.0204081632653119E-2</v>
      </c>
      <c r="D65" s="7">
        <f t="shared" si="3"/>
        <v>-1.025650016718911E-2</v>
      </c>
      <c r="O65" s="1"/>
      <c r="P65" s="2"/>
      <c r="Q65" s="3"/>
    </row>
    <row r="66" spans="1:17" x14ac:dyDescent="0.2">
      <c r="A66" s="1" t="s">
        <v>55</v>
      </c>
      <c r="B66" s="2">
        <v>57.82</v>
      </c>
      <c r="C66" s="6">
        <f t="shared" ref="C66:C97" si="4">(B66-B67)/B67</f>
        <v>0.12797502926258297</v>
      </c>
      <c r="D66" s="7">
        <f t="shared" ref="D66:D97" si="5">LN(B66/B67)</f>
        <v>0.12042401565227501</v>
      </c>
      <c r="O66" s="1"/>
      <c r="P66" s="2"/>
      <c r="Q66" s="3"/>
    </row>
    <row r="67" spans="1:17" x14ac:dyDescent="0.2">
      <c r="A67" s="1" t="s">
        <v>54</v>
      </c>
      <c r="B67" s="2">
        <v>51.26</v>
      </c>
      <c r="C67" s="6">
        <f t="shared" si="4"/>
        <v>1.7588430721124937E-3</v>
      </c>
      <c r="D67" s="7">
        <f t="shared" si="5"/>
        <v>1.7572981189245367E-3</v>
      </c>
      <c r="O67" s="1"/>
      <c r="P67" s="2"/>
      <c r="Q67" s="3"/>
    </row>
    <row r="68" spans="1:17" x14ac:dyDescent="0.2">
      <c r="A68" s="1" t="s">
        <v>53</v>
      </c>
      <c r="B68" s="2">
        <v>51.17</v>
      </c>
      <c r="C68" s="6">
        <f t="shared" si="4"/>
        <v>-6.7934782608695928E-3</v>
      </c>
      <c r="D68" s="7">
        <f t="shared" si="5"/>
        <v>-6.8166589790977922E-3</v>
      </c>
      <c r="O68" s="1"/>
      <c r="P68" s="2"/>
      <c r="Q68" s="3"/>
    </row>
    <row r="69" spans="1:17" x14ac:dyDescent="0.2">
      <c r="A69" s="1" t="s">
        <v>52</v>
      </c>
      <c r="B69" s="2">
        <v>51.52</v>
      </c>
      <c r="C69" s="6">
        <f t="shared" si="4"/>
        <v>-1.3404825737265334E-2</v>
      </c>
      <c r="D69" s="7">
        <f t="shared" si="5"/>
        <v>-1.3495481474884509E-2</v>
      </c>
      <c r="O69" s="1"/>
      <c r="P69" s="2"/>
      <c r="Q69" s="3"/>
    </row>
    <row r="70" spans="1:17" x14ac:dyDescent="0.2">
      <c r="A70" s="1" t="s">
        <v>51</v>
      </c>
      <c r="B70" s="2">
        <v>52.22</v>
      </c>
      <c r="C70" s="6">
        <f t="shared" si="4"/>
        <v>1.2997090203685776E-2</v>
      </c>
      <c r="D70" s="7">
        <f t="shared" si="5"/>
        <v>1.2913352808013893E-2</v>
      </c>
      <c r="O70" s="1"/>
      <c r="P70" s="2"/>
      <c r="Q70" s="3"/>
    </row>
    <row r="71" spans="1:17" x14ac:dyDescent="0.2">
      <c r="A71" s="1" t="s">
        <v>50</v>
      </c>
      <c r="B71" s="2">
        <v>51.55</v>
      </c>
      <c r="C71" s="6">
        <f t="shared" si="4"/>
        <v>3.5972668810289377E-2</v>
      </c>
      <c r="D71" s="7">
        <f t="shared" si="5"/>
        <v>3.5340762032044809E-2</v>
      </c>
      <c r="O71" s="1"/>
      <c r="P71" s="2"/>
      <c r="Q71" s="3"/>
    </row>
    <row r="72" spans="1:17" x14ac:dyDescent="0.2">
      <c r="A72" s="1" t="s">
        <v>49</v>
      </c>
      <c r="B72" s="2">
        <v>49.76</v>
      </c>
      <c r="C72" s="6">
        <f t="shared" si="4"/>
        <v>6.8798057466611957E-3</v>
      </c>
      <c r="D72" s="7">
        <f t="shared" si="5"/>
        <v>6.8562478704599691E-3</v>
      </c>
      <c r="O72" s="1"/>
      <c r="P72" s="2"/>
      <c r="Q72" s="3"/>
    </row>
    <row r="73" spans="1:17" x14ac:dyDescent="0.2">
      <c r="A73" s="1" t="s">
        <v>48</v>
      </c>
      <c r="B73" s="2">
        <v>49.42</v>
      </c>
      <c r="C73" s="6">
        <f t="shared" si="4"/>
        <v>1.7710049423393728E-2</v>
      </c>
      <c r="D73" s="7">
        <f t="shared" si="5"/>
        <v>1.7555053809221167E-2</v>
      </c>
      <c r="O73" s="1"/>
      <c r="P73" s="2"/>
      <c r="Q73" s="3"/>
    </row>
    <row r="74" spans="1:17" x14ac:dyDescent="0.2">
      <c r="A74" s="1" t="s">
        <v>47</v>
      </c>
      <c r="B74" s="2">
        <v>48.56</v>
      </c>
      <c r="C74" s="6">
        <f t="shared" si="4"/>
        <v>3.3851394507132287E-2</v>
      </c>
      <c r="D74" s="7">
        <f t="shared" si="5"/>
        <v>3.3291046712339248E-2</v>
      </c>
      <c r="O74" s="1"/>
      <c r="P74" s="2"/>
      <c r="Q74" s="3"/>
    </row>
    <row r="75" spans="1:17" x14ac:dyDescent="0.2">
      <c r="A75" s="1" t="s">
        <v>46</v>
      </c>
      <c r="B75" s="2">
        <v>46.97</v>
      </c>
      <c r="C75" s="6">
        <f t="shared" si="4"/>
        <v>-1.0115911485774582E-2</v>
      </c>
      <c r="D75" s="7">
        <f t="shared" si="5"/>
        <v>-1.0167425017033264E-2</v>
      </c>
      <c r="O75" s="1"/>
      <c r="P75" s="2"/>
      <c r="Q75" s="3"/>
    </row>
    <row r="76" spans="1:17" x14ac:dyDescent="0.2">
      <c r="A76" s="1" t="s">
        <v>45</v>
      </c>
      <c r="B76" s="2">
        <v>47.45</v>
      </c>
      <c r="C76" s="6">
        <f t="shared" si="4"/>
        <v>-1.9628099173553633E-2</v>
      </c>
      <c r="D76" s="7">
        <f t="shared" si="5"/>
        <v>-1.9823288666649112E-2</v>
      </c>
      <c r="O76" s="1"/>
      <c r="P76" s="2"/>
      <c r="Q76" s="3"/>
    </row>
    <row r="77" spans="1:17" x14ac:dyDescent="0.2">
      <c r="A77" s="1" t="s">
        <v>44</v>
      </c>
      <c r="B77" s="2">
        <v>48.4</v>
      </c>
      <c r="C77" s="6">
        <f t="shared" si="4"/>
        <v>-1.2849275953497911E-2</v>
      </c>
      <c r="D77" s="7">
        <f t="shared" si="5"/>
        <v>-1.2932541940555944E-2</v>
      </c>
      <c r="O77" s="1"/>
      <c r="P77" s="2"/>
      <c r="Q77" s="3"/>
    </row>
    <row r="78" spans="1:17" x14ac:dyDescent="0.2">
      <c r="A78" s="1" t="s">
        <v>43</v>
      </c>
      <c r="B78" s="2">
        <v>49.03</v>
      </c>
      <c r="C78" s="6">
        <f t="shared" si="4"/>
        <v>-2.8531801069942495E-2</v>
      </c>
      <c r="D78" s="7">
        <f t="shared" si="5"/>
        <v>-2.8946744689029053E-2</v>
      </c>
      <c r="O78" s="1"/>
      <c r="P78" s="2"/>
      <c r="Q78" s="3"/>
    </row>
    <row r="79" spans="1:17" x14ac:dyDescent="0.2">
      <c r="A79" s="1" t="s">
        <v>42</v>
      </c>
      <c r="B79" s="2">
        <v>50.47</v>
      </c>
      <c r="C79" s="6">
        <f t="shared" si="4"/>
        <v>-3.961180431769286E-4</v>
      </c>
      <c r="D79" s="7">
        <f t="shared" si="5"/>
        <v>-3.961965186534137E-4</v>
      </c>
      <c r="O79" s="1"/>
      <c r="P79" s="2"/>
      <c r="Q79" s="3"/>
    </row>
    <row r="80" spans="1:17" x14ac:dyDescent="0.2">
      <c r="A80" s="1" t="s">
        <v>41</v>
      </c>
      <c r="B80" s="2">
        <v>50.49</v>
      </c>
      <c r="C80" s="6">
        <f t="shared" si="4"/>
        <v>0.1353721610074208</v>
      </c>
      <c r="D80" s="7">
        <f t="shared" si="5"/>
        <v>0.12696049234821929</v>
      </c>
      <c r="O80" s="1"/>
      <c r="P80" s="2"/>
      <c r="Q80" s="3"/>
    </row>
    <row r="81" spans="1:17" x14ac:dyDescent="0.2">
      <c r="A81" s="1" t="s">
        <v>40</v>
      </c>
      <c r="B81" s="2">
        <v>44.47</v>
      </c>
      <c r="C81" s="6">
        <f t="shared" si="4"/>
        <v>2.1359669269637109E-2</v>
      </c>
      <c r="D81" s="7">
        <f t="shared" si="5"/>
        <v>2.1134748716203754E-2</v>
      </c>
      <c r="O81" s="1"/>
      <c r="P81" s="2"/>
      <c r="Q81" s="3"/>
    </row>
    <row r="82" spans="1:17" x14ac:dyDescent="0.2">
      <c r="A82" s="1" t="s">
        <v>39</v>
      </c>
      <c r="B82" s="2">
        <v>43.54</v>
      </c>
      <c r="C82" s="6">
        <f t="shared" si="4"/>
        <v>-8.8777600728431726E-3</v>
      </c>
      <c r="D82" s="7">
        <f t="shared" si="5"/>
        <v>-8.9174021812867873E-3</v>
      </c>
      <c r="O82" s="1"/>
      <c r="P82" s="2"/>
      <c r="Q82" s="3"/>
    </row>
    <row r="83" spans="1:17" x14ac:dyDescent="0.2">
      <c r="A83" s="1" t="s">
        <v>38</v>
      </c>
      <c r="B83" s="2">
        <v>43.93</v>
      </c>
      <c r="C83" s="6">
        <f t="shared" si="4"/>
        <v>-1.303077960008983E-2</v>
      </c>
      <c r="D83" s="7">
        <f t="shared" si="5"/>
        <v>-1.3116425040074695E-2</v>
      </c>
      <c r="O83" s="1"/>
      <c r="P83" s="2"/>
      <c r="Q83" s="3"/>
    </row>
    <row r="84" spans="1:17" x14ac:dyDescent="0.2">
      <c r="A84" s="1" t="s">
        <v>37</v>
      </c>
      <c r="B84" s="2">
        <v>44.51</v>
      </c>
      <c r="C84" s="6">
        <f t="shared" si="4"/>
        <v>-1.4174972314507211E-2</v>
      </c>
      <c r="D84" s="7">
        <f t="shared" si="5"/>
        <v>-1.4276396835231537E-2</v>
      </c>
      <c r="O84" s="1"/>
      <c r="P84" s="2"/>
      <c r="Q84" s="3"/>
    </row>
    <row r="85" spans="1:17" x14ac:dyDescent="0.2">
      <c r="A85" s="1" t="s">
        <v>36</v>
      </c>
      <c r="B85" s="2">
        <v>45.15</v>
      </c>
      <c r="C85" s="6">
        <f t="shared" si="4"/>
        <v>-6.6401062417001193E-4</v>
      </c>
      <c r="D85" s="7">
        <f t="shared" si="5"/>
        <v>-6.6423117686278325E-4</v>
      </c>
      <c r="O85" s="1"/>
      <c r="P85" s="2"/>
      <c r="Q85" s="3"/>
    </row>
    <row r="86" spans="1:17" x14ac:dyDescent="0.2">
      <c r="A86" s="1" t="s">
        <v>35</v>
      </c>
      <c r="B86" s="2">
        <v>45.18</v>
      </c>
      <c r="C86" s="6">
        <f t="shared" si="4"/>
        <v>-6.1592608886933816E-3</v>
      </c>
      <c r="D86" s="7">
        <f t="shared" si="5"/>
        <v>-6.1783073845399199E-3</v>
      </c>
      <c r="O86" s="1"/>
      <c r="P86" s="2"/>
      <c r="Q86" s="3"/>
    </row>
    <row r="87" spans="1:17" x14ac:dyDescent="0.2">
      <c r="A87" s="1" t="s">
        <v>34</v>
      </c>
      <c r="B87" s="2">
        <v>45.46</v>
      </c>
      <c r="C87" s="6">
        <f t="shared" si="4"/>
        <v>5.7522123893804867E-3</v>
      </c>
      <c r="D87" s="7">
        <f t="shared" si="5"/>
        <v>5.7357315862116192E-3</v>
      </c>
      <c r="O87" s="1"/>
      <c r="P87" s="2"/>
      <c r="Q87" s="3"/>
    </row>
    <row r="88" spans="1:17" x14ac:dyDescent="0.2">
      <c r="A88" s="1" t="s">
        <v>33</v>
      </c>
      <c r="B88" s="2">
        <v>45.2</v>
      </c>
      <c r="C88" s="6">
        <f t="shared" si="4"/>
        <v>-8.5545075674490142E-3</v>
      </c>
      <c r="D88" s="7">
        <f t="shared" si="5"/>
        <v>-8.5913073871645568E-3</v>
      </c>
      <c r="O88" s="1"/>
      <c r="P88" s="2"/>
      <c r="Q88" s="3"/>
    </row>
    <row r="89" spans="1:17" x14ac:dyDescent="0.2">
      <c r="A89" s="1" t="s">
        <v>32</v>
      </c>
      <c r="B89" s="2">
        <v>45.59</v>
      </c>
      <c r="C89" s="6">
        <f t="shared" si="4"/>
        <v>7.0686989176054838E-3</v>
      </c>
      <c r="D89" s="7">
        <f t="shared" si="5"/>
        <v>7.0438327774827621E-3</v>
      </c>
      <c r="O89" s="1"/>
      <c r="P89" s="2"/>
      <c r="Q89" s="3"/>
    </row>
    <row r="90" spans="1:17" x14ac:dyDescent="0.2">
      <c r="A90" s="1" t="s">
        <v>31</v>
      </c>
      <c r="B90" s="2">
        <v>45.27</v>
      </c>
      <c r="C90" s="6">
        <f t="shared" si="4"/>
        <v>1.9365007881108006E-2</v>
      </c>
      <c r="D90" s="7">
        <f t="shared" si="5"/>
        <v>1.9179892143856521E-2</v>
      </c>
      <c r="O90" s="1"/>
      <c r="P90" s="2"/>
      <c r="Q90" s="3"/>
    </row>
    <row r="91" spans="1:17" x14ac:dyDescent="0.2">
      <c r="A91" s="1" t="s">
        <v>30</v>
      </c>
      <c r="B91" s="2">
        <v>44.41</v>
      </c>
      <c r="C91" s="6">
        <f t="shared" si="4"/>
        <v>-8.9265788886410541E-3</v>
      </c>
      <c r="D91" s="7">
        <f t="shared" si="5"/>
        <v>-8.9666594940408413E-3</v>
      </c>
      <c r="O91" s="1"/>
      <c r="P91" s="2"/>
      <c r="Q91" s="3"/>
    </row>
    <row r="92" spans="1:17" x14ac:dyDescent="0.2">
      <c r="A92" s="1" t="s">
        <v>29</v>
      </c>
      <c r="B92" s="2">
        <v>44.81</v>
      </c>
      <c r="C92" s="6">
        <f t="shared" si="4"/>
        <v>-9.9425541316835123E-3</v>
      </c>
      <c r="D92" s="7">
        <f t="shared" si="5"/>
        <v>-9.9923114073395963E-3</v>
      </c>
      <c r="O92" s="1"/>
      <c r="P92" s="2"/>
      <c r="Q92" s="3"/>
    </row>
    <row r="93" spans="1:17" x14ac:dyDescent="0.2">
      <c r="A93" s="1" t="s">
        <v>28</v>
      </c>
      <c r="B93" s="2">
        <v>45.26</v>
      </c>
      <c r="C93" s="6">
        <f t="shared" si="4"/>
        <v>-9.194395796847674E-3</v>
      </c>
      <c r="D93" s="7">
        <f t="shared" si="5"/>
        <v>-9.2369251423634908E-3</v>
      </c>
      <c r="O93" s="1"/>
      <c r="P93" s="2"/>
      <c r="Q93" s="3"/>
    </row>
    <row r="94" spans="1:17" x14ac:dyDescent="0.2">
      <c r="A94" s="1" t="s">
        <v>27</v>
      </c>
      <c r="B94" s="2">
        <v>45.68</v>
      </c>
      <c r="C94" s="6">
        <f t="shared" si="4"/>
        <v>-1.7634408602150545E-2</v>
      </c>
      <c r="D94" s="7">
        <f t="shared" si="5"/>
        <v>-1.7791747245555913E-2</v>
      </c>
      <c r="O94" s="1"/>
      <c r="P94" s="2"/>
      <c r="Q94" s="3"/>
    </row>
    <row r="95" spans="1:17" x14ac:dyDescent="0.2">
      <c r="A95" s="1" t="s">
        <v>26</v>
      </c>
      <c r="B95" s="2">
        <v>46.5</v>
      </c>
      <c r="C95" s="6">
        <f t="shared" si="4"/>
        <v>1.6393442622950821E-2</v>
      </c>
      <c r="D95" s="7">
        <f t="shared" si="5"/>
        <v>1.6260520871780326E-2</v>
      </c>
      <c r="O95" s="1"/>
      <c r="P95" s="2"/>
      <c r="Q95" s="3"/>
    </row>
    <row r="96" spans="1:17" x14ac:dyDescent="0.2">
      <c r="A96" s="1" t="s">
        <v>25</v>
      </c>
      <c r="B96" s="2">
        <v>45.75</v>
      </c>
      <c r="C96" s="6">
        <f t="shared" si="4"/>
        <v>-1.5277171540811934E-3</v>
      </c>
      <c r="D96" s="7">
        <f t="shared" si="5"/>
        <v>-1.5288853038191305E-3</v>
      </c>
      <c r="O96" s="1"/>
      <c r="P96" s="2"/>
      <c r="Q96" s="3"/>
    </row>
    <row r="97" spans="1:17" x14ac:dyDescent="0.2">
      <c r="A97" s="1" t="s">
        <v>24</v>
      </c>
      <c r="B97" s="2">
        <v>45.82</v>
      </c>
      <c r="C97" s="6">
        <f t="shared" si="4"/>
        <v>-1.0580868063053379E-2</v>
      </c>
      <c r="D97" s="7">
        <f t="shared" si="5"/>
        <v>-1.0637243467311156E-2</v>
      </c>
      <c r="O97" s="1"/>
      <c r="P97" s="2"/>
      <c r="Q97" s="3"/>
    </row>
    <row r="98" spans="1:17" x14ac:dyDescent="0.2">
      <c r="A98" s="1" t="s">
        <v>23</v>
      </c>
      <c r="B98" s="2">
        <v>46.31</v>
      </c>
      <c r="C98" s="6">
        <f t="shared" ref="C98:C118" si="6">(B98-B99)/B99</f>
        <v>-1.4261387824606101E-2</v>
      </c>
      <c r="D98" s="7">
        <f t="shared" ref="D98:D118" si="7">LN(B98/B99)</f>
        <v>-1.4364058738105987E-2</v>
      </c>
      <c r="O98" s="1"/>
      <c r="P98" s="2"/>
      <c r="Q98" s="3"/>
    </row>
    <row r="99" spans="1:17" x14ac:dyDescent="0.2">
      <c r="A99" s="1" t="s">
        <v>22</v>
      </c>
      <c r="B99" s="2">
        <v>46.98</v>
      </c>
      <c r="C99" s="6">
        <f t="shared" si="6"/>
        <v>-2.0025031289111407E-2</v>
      </c>
      <c r="D99" s="7">
        <f t="shared" si="7"/>
        <v>-2.0228249775471548E-2</v>
      </c>
      <c r="O99" s="1"/>
      <c r="P99" s="2"/>
      <c r="Q99" s="3"/>
    </row>
    <row r="100" spans="1:17" x14ac:dyDescent="0.2">
      <c r="A100" s="1" t="s">
        <v>21</v>
      </c>
      <c r="B100" s="2">
        <v>47.94</v>
      </c>
      <c r="C100" s="6">
        <f t="shared" si="6"/>
        <v>1.9783024888321628E-2</v>
      </c>
      <c r="D100" s="7">
        <f t="shared" si="7"/>
        <v>1.9589883970199246E-2</v>
      </c>
      <c r="O100" s="1"/>
      <c r="P100" s="2"/>
      <c r="Q100" s="3"/>
    </row>
    <row r="101" spans="1:17" x14ac:dyDescent="0.2">
      <c r="A101" s="1" t="s">
        <v>20</v>
      </c>
      <c r="B101" s="2">
        <v>47.01</v>
      </c>
      <c r="C101" s="6">
        <f t="shared" si="6"/>
        <v>2.7990378307456838E-2</v>
      </c>
      <c r="D101" s="7">
        <f t="shared" si="7"/>
        <v>2.7605807366075395E-2</v>
      </c>
      <c r="O101" s="1"/>
      <c r="P101" s="2"/>
      <c r="Q101" s="3"/>
    </row>
    <row r="102" spans="1:17" x14ac:dyDescent="0.2">
      <c r="A102" s="1" t="s">
        <v>19</v>
      </c>
      <c r="B102" s="2">
        <v>45.73</v>
      </c>
      <c r="C102" s="6">
        <f t="shared" si="6"/>
        <v>7.2687224669603151E-3</v>
      </c>
      <c r="D102" s="7">
        <f t="shared" si="7"/>
        <v>7.2424326226614745E-3</v>
      </c>
      <c r="O102" s="1"/>
      <c r="P102" s="2"/>
      <c r="Q102" s="3"/>
    </row>
    <row r="103" spans="1:17" x14ac:dyDescent="0.2">
      <c r="A103" s="1" t="s">
        <v>18</v>
      </c>
      <c r="B103" s="2">
        <v>45.4</v>
      </c>
      <c r="C103" s="6">
        <f t="shared" si="6"/>
        <v>2.9011786038077997E-2</v>
      </c>
      <c r="D103" s="7">
        <f t="shared" si="7"/>
        <v>2.8598910662000685E-2</v>
      </c>
      <c r="O103" s="1"/>
      <c r="P103" s="2"/>
      <c r="Q103" s="3"/>
    </row>
    <row r="104" spans="1:17" x14ac:dyDescent="0.2">
      <c r="A104" s="1" t="s">
        <v>17</v>
      </c>
      <c r="B104" s="2">
        <v>44.12</v>
      </c>
      <c r="C104" s="6">
        <f t="shared" si="6"/>
        <v>3.6410617805966577E-2</v>
      </c>
      <c r="D104" s="7">
        <f t="shared" si="7"/>
        <v>3.5763414545240756E-2</v>
      </c>
      <c r="O104" s="1"/>
      <c r="P104" s="2"/>
      <c r="Q104" s="3"/>
    </row>
    <row r="105" spans="1:17" x14ac:dyDescent="0.2">
      <c r="A105" s="1" t="s">
        <v>16</v>
      </c>
      <c r="B105" s="2">
        <v>42.57</v>
      </c>
      <c r="C105" s="6">
        <f t="shared" si="6"/>
        <v>-5.838393274170948E-3</v>
      </c>
      <c r="D105" s="7">
        <f t="shared" si="7"/>
        <v>-5.855503321475713E-3</v>
      </c>
      <c r="O105" s="1"/>
      <c r="P105" s="2"/>
      <c r="Q105" s="3"/>
    </row>
    <row r="106" spans="1:17" x14ac:dyDescent="0.2">
      <c r="A106" s="1" t="s">
        <v>15</v>
      </c>
      <c r="B106" s="2">
        <v>42.82</v>
      </c>
      <c r="C106" s="6">
        <f t="shared" si="6"/>
        <v>-7.1875724553675463E-3</v>
      </c>
      <c r="D106" s="7">
        <f t="shared" si="7"/>
        <v>-7.2135274982150326E-3</v>
      </c>
      <c r="O106" s="1"/>
      <c r="P106" s="2"/>
      <c r="Q106" s="3"/>
    </row>
    <row r="107" spans="1:17" x14ac:dyDescent="0.2">
      <c r="A107" s="1" t="s">
        <v>14</v>
      </c>
      <c r="B107" s="2">
        <v>43.13</v>
      </c>
      <c r="C107" s="6">
        <f t="shared" si="6"/>
        <v>-3.4658040665434052E-3</v>
      </c>
      <c r="D107" s="7">
        <f t="shared" si="7"/>
        <v>-3.4718238784742753E-3</v>
      </c>
      <c r="O107" s="1"/>
      <c r="P107" s="2"/>
      <c r="Q107" s="3"/>
    </row>
    <row r="108" spans="1:17" x14ac:dyDescent="0.2">
      <c r="A108" s="1" t="s">
        <v>13</v>
      </c>
      <c r="B108" s="2">
        <v>43.28</v>
      </c>
      <c r="C108" s="6">
        <f t="shared" si="6"/>
        <v>4.6232085067043753E-4</v>
      </c>
      <c r="D108" s="7">
        <f t="shared" si="7"/>
        <v>4.6221401331344693E-4</v>
      </c>
      <c r="O108" s="1"/>
      <c r="P108" s="2"/>
      <c r="Q108" s="3"/>
    </row>
    <row r="109" spans="1:17" x14ac:dyDescent="0.2">
      <c r="A109" s="1" t="s">
        <v>12</v>
      </c>
      <c r="B109" s="2">
        <v>43.26</v>
      </c>
      <c r="C109" s="6">
        <f t="shared" si="6"/>
        <v>1.1693171188026194E-2</v>
      </c>
      <c r="D109" s="7">
        <f t="shared" si="7"/>
        <v>1.1625334368068193E-2</v>
      </c>
      <c r="O109" s="1"/>
      <c r="P109" s="2"/>
      <c r="Q109" s="3"/>
    </row>
    <row r="110" spans="1:17" x14ac:dyDescent="0.2">
      <c r="A110" s="1" t="s">
        <v>11</v>
      </c>
      <c r="B110" s="2">
        <v>42.76</v>
      </c>
      <c r="C110" s="6">
        <f t="shared" si="6"/>
        <v>1.7126546146527092E-2</v>
      </c>
      <c r="D110" s="7">
        <f t="shared" si="7"/>
        <v>1.6981540148094072E-2</v>
      </c>
      <c r="O110" s="1"/>
      <c r="P110" s="2"/>
      <c r="Q110" s="3"/>
    </row>
    <row r="111" spans="1:17" x14ac:dyDescent="0.2">
      <c r="A111" s="1" t="s">
        <v>10</v>
      </c>
      <c r="B111" s="2">
        <v>42.04</v>
      </c>
      <c r="C111" s="6">
        <f t="shared" si="6"/>
        <v>6.9461077844311173E-3</v>
      </c>
      <c r="D111" s="7">
        <f t="shared" si="7"/>
        <v>6.9220947118858057E-3</v>
      </c>
      <c r="O111" s="1"/>
      <c r="P111" s="2"/>
      <c r="Q111" s="3"/>
    </row>
    <row r="112" spans="1:17" x14ac:dyDescent="0.2">
      <c r="A112" s="1" t="s">
        <v>9</v>
      </c>
      <c r="B112" s="2">
        <v>41.75</v>
      </c>
      <c r="C112" s="6">
        <f t="shared" si="6"/>
        <v>1.4087928102987571E-2</v>
      </c>
      <c r="D112" s="7">
        <f t="shared" si="7"/>
        <v>1.3989615515051092E-2</v>
      </c>
      <c r="O112" s="1"/>
      <c r="P112" s="2"/>
      <c r="Q112" s="3"/>
    </row>
    <row r="113" spans="1:17" x14ac:dyDescent="0.2">
      <c r="A113" s="1" t="s">
        <v>8</v>
      </c>
      <c r="B113" s="2">
        <v>41.17</v>
      </c>
      <c r="C113" s="6">
        <f t="shared" si="6"/>
        <v>-2.9062727052554479E-3</v>
      </c>
      <c r="D113" s="7">
        <f t="shared" si="7"/>
        <v>-2.9105041161854909E-3</v>
      </c>
      <c r="O113" s="1"/>
      <c r="P113" s="2"/>
      <c r="Q113" s="3"/>
    </row>
    <row r="114" spans="1:17" x14ac:dyDescent="0.2">
      <c r="A114" s="1" t="s">
        <v>7</v>
      </c>
      <c r="B114" s="2">
        <v>41.29</v>
      </c>
      <c r="C114" s="6">
        <f t="shared" si="6"/>
        <v>2.3042616451932601E-2</v>
      </c>
      <c r="D114" s="7">
        <f t="shared" si="7"/>
        <v>2.278114441259067E-2</v>
      </c>
      <c r="O114" s="1"/>
      <c r="P114" s="2"/>
      <c r="Q114" s="3"/>
    </row>
    <row r="115" spans="1:17" x14ac:dyDescent="0.2">
      <c r="A115" s="1" t="s">
        <v>6</v>
      </c>
      <c r="B115" s="2">
        <v>40.36</v>
      </c>
      <c r="C115" s="6">
        <f t="shared" si="6"/>
        <v>-2.4177949709864605E-2</v>
      </c>
      <c r="D115" s="7">
        <f t="shared" si="7"/>
        <v>-2.4475034714765524E-2</v>
      </c>
      <c r="O115" s="1"/>
      <c r="P115" s="2"/>
      <c r="Q115" s="3"/>
    </row>
    <row r="116" spans="1:17" x14ac:dyDescent="0.2">
      <c r="A116" s="1" t="s">
        <v>5</v>
      </c>
      <c r="B116" s="2">
        <v>41.36</v>
      </c>
      <c r="C116" s="6">
        <f t="shared" si="6"/>
        <v>4.1272153435300248E-3</v>
      </c>
      <c r="D116" s="7">
        <f t="shared" si="7"/>
        <v>4.1187217521844455E-3</v>
      </c>
      <c r="O116" s="1"/>
      <c r="P116" s="2"/>
      <c r="Q116" s="3"/>
    </row>
    <row r="117" spans="1:17" x14ac:dyDescent="0.2">
      <c r="A117" s="1" t="s">
        <v>4</v>
      </c>
      <c r="B117" s="2">
        <v>41.19</v>
      </c>
      <c r="C117" s="6">
        <f t="shared" si="6"/>
        <v>-9.1412076016358559E-3</v>
      </c>
      <c r="D117" s="7">
        <f t="shared" si="7"/>
        <v>-9.1832448165567425E-3</v>
      </c>
      <c r="O117" s="1"/>
      <c r="P117" s="2"/>
      <c r="Q117" s="3"/>
    </row>
    <row r="118" spans="1:17" x14ac:dyDescent="0.2">
      <c r="A118" s="1" t="s">
        <v>3</v>
      </c>
      <c r="B118" s="2">
        <v>41.57</v>
      </c>
      <c r="C118" s="6">
        <f t="shared" si="6"/>
        <v>1.4644862094215314E-2</v>
      </c>
      <c r="D118" s="7">
        <f t="shared" si="7"/>
        <v>1.4538661705766315E-2</v>
      </c>
      <c r="O118" s="1"/>
      <c r="P118" s="2"/>
      <c r="Q118" s="3"/>
    </row>
    <row r="119" spans="1:17" x14ac:dyDescent="0.2">
      <c r="A119" s="1" t="s">
        <v>2</v>
      </c>
      <c r="B119" s="2">
        <v>40.97</v>
      </c>
      <c r="C119" s="6">
        <f t="shared" ref="C119:C125" si="8">(B119-B120)/B120</f>
        <v>1.1105626850937703E-2</v>
      </c>
      <c r="D119" s="7">
        <f t="shared" ref="D119:D125" si="9">LN(B119/B120)</f>
        <v>1.1044412178297013E-2</v>
      </c>
      <c r="O119" s="1"/>
      <c r="P119" s="2"/>
      <c r="Q119" s="3"/>
    </row>
    <row r="120" spans="1:17" x14ac:dyDescent="0.2">
      <c r="A120" s="1" t="s">
        <v>144</v>
      </c>
      <c r="B120" s="2">
        <v>40.520000000000003</v>
      </c>
      <c r="C120" s="6">
        <f t="shared" si="8"/>
        <v>-4.4226044226044151E-3</v>
      </c>
      <c r="D120" s="7">
        <f t="shared" si="9"/>
        <v>-4.4324130680666986E-3</v>
      </c>
      <c r="O120" s="1"/>
      <c r="P120" s="2"/>
      <c r="Q120" s="3"/>
    </row>
    <row r="121" spans="1:17" x14ac:dyDescent="0.2">
      <c r="A121" s="1" t="s">
        <v>143</v>
      </c>
      <c r="B121" s="2">
        <v>40.700000000000003</v>
      </c>
      <c r="C121" s="6">
        <f t="shared" si="8"/>
        <v>1.0928961748633999E-2</v>
      </c>
      <c r="D121" s="7">
        <f t="shared" si="9"/>
        <v>1.0869672236903891E-2</v>
      </c>
      <c r="O121" s="1"/>
      <c r="P121" s="2"/>
      <c r="Q121" s="3"/>
    </row>
    <row r="122" spans="1:17" x14ac:dyDescent="0.2">
      <c r="A122" s="1" t="s">
        <v>142</v>
      </c>
      <c r="B122" s="2">
        <v>40.26</v>
      </c>
      <c r="C122" s="6">
        <f t="shared" si="8"/>
        <v>-1.0081140890091067E-2</v>
      </c>
      <c r="D122" s="7">
        <f t="shared" si="9"/>
        <v>-1.0132299707487809E-2</v>
      </c>
      <c r="O122" s="1"/>
      <c r="P122" s="2"/>
      <c r="Q122" s="3"/>
    </row>
    <row r="123" spans="1:17" x14ac:dyDescent="0.2">
      <c r="A123" s="1" t="s">
        <v>141</v>
      </c>
      <c r="B123" s="2">
        <v>40.67</v>
      </c>
      <c r="C123" s="6">
        <f t="shared" si="8"/>
        <v>-2.3763802208353217E-2</v>
      </c>
      <c r="D123" s="7">
        <f t="shared" si="9"/>
        <v>-2.4050715913692598E-2</v>
      </c>
      <c r="O123" s="1"/>
      <c r="P123" s="2"/>
      <c r="Q123" s="3"/>
    </row>
    <row r="124" spans="1:17" x14ac:dyDescent="0.2">
      <c r="A124" s="1" t="s">
        <v>140</v>
      </c>
      <c r="B124" s="2">
        <v>41.66</v>
      </c>
      <c r="C124" s="6">
        <f t="shared" si="8"/>
        <v>3.709235748070687E-2</v>
      </c>
      <c r="D124" s="7">
        <f t="shared" si="9"/>
        <v>3.6420987461635052E-2</v>
      </c>
      <c r="O124" s="1"/>
      <c r="P124" s="2"/>
      <c r="Q124" s="3"/>
    </row>
    <row r="125" spans="1:17" x14ac:dyDescent="0.2">
      <c r="A125" s="1" t="s">
        <v>139</v>
      </c>
      <c r="B125" s="2">
        <v>40.17</v>
      </c>
      <c r="C125" s="6">
        <f t="shared" si="8"/>
        <v>-2.3815309842041239E-2</v>
      </c>
      <c r="D125" s="7">
        <f t="shared" si="9"/>
        <v>-2.4103478751887952E-2</v>
      </c>
      <c r="O125" s="1"/>
      <c r="P125" s="2"/>
      <c r="Q125" s="3"/>
    </row>
    <row r="126" spans="1:17" x14ac:dyDescent="0.2">
      <c r="A126" s="1" t="s">
        <v>138</v>
      </c>
      <c r="B126" s="2">
        <v>41.15</v>
      </c>
      <c r="C126" s="8" t="s">
        <v>145</v>
      </c>
      <c r="D126" s="9" t="s">
        <v>145</v>
      </c>
      <c r="O126" s="1"/>
      <c r="P126" s="2"/>
      <c r="Q126" s="3"/>
    </row>
    <row r="127" spans="1:17" x14ac:dyDescent="0.2">
      <c r="O127" s="1"/>
      <c r="P127" s="2"/>
      <c r="Q127" s="3"/>
    </row>
    <row r="128" spans="1:17" x14ac:dyDescent="0.2">
      <c r="O128" s="1"/>
      <c r="P128" s="2"/>
      <c r="Q128" s="3"/>
    </row>
    <row r="129" spans="15:17" x14ac:dyDescent="0.2">
      <c r="O129" s="1"/>
      <c r="P129" s="2"/>
      <c r="Q129" s="3"/>
    </row>
  </sheetData>
  <sortState xmlns:xlrd2="http://schemas.microsoft.com/office/spreadsheetml/2017/richdata2" ref="O2:P129">
    <sortCondition descending="1" ref="O2:O129"/>
  </sortState>
  <mergeCells count="2">
    <mergeCell ref="K20:L20"/>
    <mergeCell ref="F9:R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A50F-2264-445A-8085-EF52AD448FA4}">
  <sheetPr codeName="Sheet4"/>
  <dimension ref="A1:AD126"/>
  <sheetViews>
    <sheetView tabSelected="1" topLeftCell="D1" zoomScale="50" zoomScaleNormal="50" workbookViewId="0">
      <selection activeCell="W94" sqref="W94"/>
    </sheetView>
  </sheetViews>
  <sheetFormatPr baseColWidth="10" defaultColWidth="8.83203125" defaultRowHeight="16" x14ac:dyDescent="0.2"/>
  <cols>
    <col min="1" max="1" width="17.1640625" customWidth="1"/>
    <col min="2" max="2" width="18" customWidth="1"/>
    <col min="3" max="3" width="16.33203125" customWidth="1"/>
    <col min="6" max="6" width="3.1640625" customWidth="1"/>
    <col min="7" max="7" width="8" customWidth="1"/>
    <col min="8" max="8" width="15.1640625" customWidth="1"/>
    <col min="9" max="9" width="33.33203125" customWidth="1"/>
    <col min="10" max="10" width="20.6640625" customWidth="1"/>
    <col min="11" max="11" width="19.1640625" customWidth="1"/>
    <col min="12" max="12" width="14.1640625" bestFit="1" customWidth="1"/>
    <col min="13" max="13" width="10" customWidth="1"/>
    <col min="16" max="16" width="17.1640625" customWidth="1"/>
    <col min="17" max="17" width="16.33203125" customWidth="1"/>
    <col min="19" max="19" width="14.83203125" customWidth="1"/>
    <col min="20" max="20" width="12.1640625" bestFit="1" customWidth="1"/>
    <col min="23" max="23" width="15.5" customWidth="1"/>
    <col min="24" max="24" width="14.5" customWidth="1"/>
    <col min="25" max="25" width="24.5" customWidth="1"/>
    <col min="26" max="26" width="27.1640625" customWidth="1"/>
    <col min="27" max="27" width="12.5" customWidth="1"/>
    <col min="28" max="28" width="14.1640625" customWidth="1"/>
    <col min="30" max="30" width="10.83203125" bestFit="1" customWidth="1"/>
    <col min="31" max="31" width="15.6640625" customWidth="1"/>
    <col min="32" max="32" width="12.83203125" customWidth="1"/>
    <col min="33" max="33" width="12.33203125" customWidth="1"/>
  </cols>
  <sheetData>
    <row r="1" spans="1:30" x14ac:dyDescent="0.2">
      <c r="A1" s="38" t="s">
        <v>172</v>
      </c>
      <c r="B1" s="38" t="s">
        <v>173</v>
      </c>
      <c r="C1" s="38" t="s">
        <v>174</v>
      </c>
      <c r="P1" s="38" t="s">
        <v>213</v>
      </c>
      <c r="Q1" s="38" t="s">
        <v>174</v>
      </c>
      <c r="S1" s="176"/>
      <c r="T1" s="177" t="s">
        <v>208</v>
      </c>
      <c r="U1" s="174"/>
      <c r="V1" s="261" t="s">
        <v>214</v>
      </c>
      <c r="W1" s="262"/>
      <c r="X1" s="177" t="s">
        <v>239</v>
      </c>
      <c r="Y1" s="177"/>
      <c r="Z1" s="174"/>
      <c r="AA1" s="272"/>
      <c r="AB1" s="273" t="s">
        <v>216</v>
      </c>
      <c r="AC1" s="276" t="s">
        <v>217</v>
      </c>
      <c r="AD1" s="230" t="s">
        <v>218</v>
      </c>
    </row>
    <row r="2" spans="1:30" ht="17" thickBot="1" x14ac:dyDescent="0.25">
      <c r="A2" s="22">
        <v>1.8435716855633513E-2</v>
      </c>
      <c r="B2" s="22">
        <v>2.1867832071449211E-2</v>
      </c>
      <c r="C2" s="22">
        <v>-3.0617539840834054E-2</v>
      </c>
      <c r="P2" s="22">
        <v>2.1867832071449211E-2</v>
      </c>
      <c r="Q2" s="22">
        <v>-3.0617539840834054E-2</v>
      </c>
      <c r="S2" s="25"/>
      <c r="T2" s="178" t="s">
        <v>194</v>
      </c>
      <c r="U2" s="35" t="s">
        <v>166</v>
      </c>
      <c r="V2" s="25" t="s">
        <v>194</v>
      </c>
      <c r="W2" s="178" t="s">
        <v>166</v>
      </c>
      <c r="X2" s="183" t="s">
        <v>236</v>
      </c>
      <c r="Y2" s="183" t="s">
        <v>237</v>
      </c>
      <c r="Z2" s="184" t="s">
        <v>238</v>
      </c>
      <c r="AA2" s="183"/>
      <c r="AB2" s="274"/>
      <c r="AC2" s="175">
        <v>4.2999999999999997E-2</v>
      </c>
      <c r="AD2" s="268">
        <v>0</v>
      </c>
    </row>
    <row r="3" spans="1:30" ht="17" thickBot="1" x14ac:dyDescent="0.25">
      <c r="A3" s="22">
        <v>-4.2404998710537361E-3</v>
      </c>
      <c r="B3" s="22">
        <v>2.25467512478814E-2</v>
      </c>
      <c r="C3" s="22">
        <v>2.3567711935522139E-3</v>
      </c>
      <c r="I3" s="160" t="s">
        <v>206</v>
      </c>
      <c r="J3" s="161"/>
      <c r="K3" s="161"/>
      <c r="L3" s="162"/>
      <c r="M3" s="119"/>
      <c r="P3" s="22">
        <v>2.25467512478814E-2</v>
      </c>
      <c r="Q3" s="22">
        <v>2.3567711935522139E-3</v>
      </c>
      <c r="S3" s="123" t="s">
        <v>209</v>
      </c>
      <c r="T3" s="179">
        <f>AVERAGE(P2:P125)</f>
        <v>3.076879915328646E-3</v>
      </c>
      <c r="U3" s="180">
        <f>AVERAGE(Q2:Q125)</f>
        <v>5.9931586609820956E-3</v>
      </c>
      <c r="V3" s="126">
        <v>0</v>
      </c>
      <c r="W3" s="181">
        <v>1</v>
      </c>
      <c r="X3" s="259">
        <f>SQRT(Z3)</f>
        <v>0.39955466076878243</v>
      </c>
      <c r="Y3" s="263">
        <f>V3*$J$25+W3*$J$26</f>
        <v>1.5102759825674881</v>
      </c>
      <c r="Z3" s="264">
        <f>(V3^2*$K$25^2+W3^2*$K$26^2+2*V3*W3*$K$25*$K$26*$J$32)</f>
        <v>0.15964392694205681</v>
      </c>
      <c r="AA3" s="185"/>
      <c r="AB3" s="274"/>
      <c r="AC3" s="277">
        <f>$Y$29+(($Z$27-$Y$29)/$Y$27)*AD3</f>
        <v>0.52503066803507648</v>
      </c>
      <c r="AD3" s="268">
        <f>AD2+10%</f>
        <v>0.1</v>
      </c>
    </row>
    <row r="4" spans="1:30" ht="17" thickBot="1" x14ac:dyDescent="0.25">
      <c r="A4" s="22">
        <v>2.7624239683355374E-2</v>
      </c>
      <c r="B4" s="22">
        <v>1.1178638358240936E-2</v>
      </c>
      <c r="C4" s="22">
        <v>1.4714470354002342E-2</v>
      </c>
      <c r="I4" s="133"/>
      <c r="J4" s="41" t="s">
        <v>175</v>
      </c>
      <c r="L4" s="35"/>
      <c r="P4" s="22">
        <v>1.1178638358240936E-2</v>
      </c>
      <c r="Q4" s="22">
        <v>1.4714470354002342E-2</v>
      </c>
      <c r="S4" s="123" t="s">
        <v>210</v>
      </c>
      <c r="T4" s="181">
        <f>_xlfn.STDEV.P(P2:P125)</f>
        <v>1.46431016950629E-2</v>
      </c>
      <c r="U4" s="29">
        <f>_xlfn.STDEV.P(Q2:Q125)</f>
        <v>2.506788211958938E-2</v>
      </c>
      <c r="V4" s="175">
        <f>V3+10%</f>
        <v>0.1</v>
      </c>
      <c r="W4" s="231">
        <f>W3-10%</f>
        <v>0.9</v>
      </c>
      <c r="X4" s="259">
        <f>SQRT(Z4)</f>
        <v>0.36045401102931918</v>
      </c>
      <c r="Y4" s="263">
        <f>V4*$J$25+W4*$J$26</f>
        <v>1.4367857581770211</v>
      </c>
      <c r="Z4" s="264">
        <f>(V4^2*$K$25^2+W4^2*$K$26^2+2*V4*W4*$K$25*$K$26*$J$32)</f>
        <v>0.12992709406712455</v>
      </c>
      <c r="AA4" s="185"/>
      <c r="AB4" s="274"/>
      <c r="AC4" s="277">
        <f>$Y$29+(($Z$27-$Y$29)/$Y$27)*AD4</f>
        <v>1.007061336070153</v>
      </c>
      <c r="AD4" s="268">
        <f>AD3+10%</f>
        <v>0.2</v>
      </c>
    </row>
    <row r="5" spans="1:30" x14ac:dyDescent="0.2">
      <c r="A5" s="22">
        <v>1.4103653968222454E-2</v>
      </c>
      <c r="B5" s="22">
        <v>-1.790183019961903E-2</v>
      </c>
      <c r="C5" s="22">
        <v>1.2160296685402123E-2</v>
      </c>
      <c r="I5" s="40" t="s">
        <v>164</v>
      </c>
      <c r="J5" s="42">
        <v>4.4380000000000001E-3</v>
      </c>
      <c r="L5" s="35"/>
      <c r="P5" s="22">
        <v>-1.790183019961903E-2</v>
      </c>
      <c r="Q5" s="22">
        <v>1.2160296685402123E-2</v>
      </c>
      <c r="S5" s="123" t="s">
        <v>211</v>
      </c>
      <c r="T5" s="179">
        <f>_xlfn.COVARIANCE.P(P2:P125,Q2:Q125)</f>
        <v>3.9902493760579764E-5</v>
      </c>
      <c r="U5" s="35"/>
      <c r="V5" s="175">
        <f>V4+10%</f>
        <v>0.2</v>
      </c>
      <c r="W5" s="231">
        <f>W4-10%</f>
        <v>0.8</v>
      </c>
      <c r="X5" s="259">
        <f>SQRT(Z5)</f>
        <v>0.32322882859295932</v>
      </c>
      <c r="Y5" s="263">
        <f>V5*$J$25+W5*$J$26</f>
        <v>1.3632955337865544</v>
      </c>
      <c r="Z5" s="264">
        <f>(V5^2*$K$25^2+W5^2*$K$26^2+2*V5*W5*$K$25*$K$26*$J$32)</f>
        <v>0.10447687563357669</v>
      </c>
      <c r="AA5" s="185"/>
      <c r="AB5" s="274"/>
      <c r="AC5" s="277">
        <f>$Y$29+(($Z$27-$Y$29)/$Y$27)*AD5</f>
        <v>1.4890920041052296</v>
      </c>
      <c r="AD5" s="268">
        <f>AD4+10%</f>
        <v>0.30000000000000004</v>
      </c>
    </row>
    <row r="6" spans="1:30" ht="17" thickBot="1" x14ac:dyDescent="0.25">
      <c r="A6" s="22">
        <v>7.4323313268955821E-3</v>
      </c>
      <c r="B6" s="22">
        <v>2.532748754251489E-2</v>
      </c>
      <c r="C6" s="22">
        <v>1.7582102796769597E-2</v>
      </c>
      <c r="I6" s="40" t="s">
        <v>165</v>
      </c>
      <c r="J6" s="43">
        <v>3.076879915328646E-3</v>
      </c>
      <c r="L6" s="35"/>
      <c r="P6" s="22">
        <v>2.532748754251489E-2</v>
      </c>
      <c r="Q6" s="22">
        <v>1.7582102796769597E-2</v>
      </c>
      <c r="S6" s="131" t="s">
        <v>212</v>
      </c>
      <c r="T6" s="47">
        <f>0.043/252</f>
        <v>1.7063492063492061E-4</v>
      </c>
      <c r="U6" s="67"/>
      <c r="V6" s="175">
        <f>V5+10%</f>
        <v>0.30000000000000004</v>
      </c>
      <c r="W6" s="231">
        <f>W5-10%</f>
        <v>0.70000000000000007</v>
      </c>
      <c r="X6" s="259">
        <f>SQRT(Z6)</f>
        <v>0.28860573736745643</v>
      </c>
      <c r="Y6" s="263">
        <f>V6*$J$25+W6*$J$26</f>
        <v>1.2898053093960875</v>
      </c>
      <c r="Z6" s="264">
        <f>(V6^2*$K$25^2+W6^2*$K$26^2+2*V6*W6*$K$25*$K$26*$J$32)</f>
        <v>8.3293271641413244E-2</v>
      </c>
      <c r="AA6" s="185"/>
      <c r="AB6" s="274"/>
      <c r="AC6" s="277">
        <f>$Y$29+(($Z$27-$Y$29)/$Y$27)*AD6</f>
        <v>1.9711226721403059</v>
      </c>
      <c r="AD6" s="268">
        <f>AD5+10%</f>
        <v>0.4</v>
      </c>
    </row>
    <row r="7" spans="1:30" ht="17" thickBot="1" x14ac:dyDescent="0.25">
      <c r="A7" s="22">
        <v>-1.5484485384111473E-2</v>
      </c>
      <c r="B7" s="22">
        <v>7.192871439553937E-2</v>
      </c>
      <c r="C7" s="22">
        <v>4.5295748155661029E-2</v>
      </c>
      <c r="I7" s="41" t="s">
        <v>166</v>
      </c>
      <c r="J7" s="44">
        <v>5.9931586609820956E-3</v>
      </c>
      <c r="L7" s="35"/>
      <c r="P7" s="22">
        <v>7.192871439553937E-2</v>
      </c>
      <c r="Q7" s="22">
        <v>4.5295748155661029E-2</v>
      </c>
      <c r="V7" s="175">
        <f>V6+10%</f>
        <v>0.4</v>
      </c>
      <c r="W7" s="231">
        <f>W6-10%</f>
        <v>0.60000000000000009</v>
      </c>
      <c r="X7" s="259">
        <f>SQRT(Z7)</f>
        <v>0.25763594875450557</v>
      </c>
      <c r="Y7" s="263">
        <f>V7*$J$25+W7*$J$26</f>
        <v>1.2163150850056206</v>
      </c>
      <c r="Z7" s="264">
        <f>(V7^2*$K$25^2+W7^2*$K$26^2+2*V7*W7*$K$25*$K$26*$J$32)</f>
        <v>6.6376282090634231E-2</v>
      </c>
      <c r="AA7" s="185"/>
      <c r="AB7" s="274"/>
      <c r="AC7" s="277">
        <f>$Y$29+(($Z$27-$Y$29)/$Y$27)*AD7</f>
        <v>2.4531533401753824</v>
      </c>
      <c r="AD7" s="268">
        <f>AD6+10%</f>
        <v>0.5</v>
      </c>
    </row>
    <row r="8" spans="1:30" ht="17" thickBot="1" x14ac:dyDescent="0.25">
      <c r="A8" s="22">
        <v>-1.2435914335250925E-2</v>
      </c>
      <c r="B8" s="22">
        <v>6.8886609951853157E-3</v>
      </c>
      <c r="C8" s="22">
        <v>2.8803188084823555E-2</v>
      </c>
      <c r="I8" s="25"/>
      <c r="L8" s="35"/>
      <c r="P8" s="22">
        <v>6.8886609951853157E-3</v>
      </c>
      <c r="Q8" s="22">
        <v>2.8803188084823555E-2</v>
      </c>
      <c r="V8" s="175">
        <f>V7+10%</f>
        <v>0.5</v>
      </c>
      <c r="W8" s="231">
        <f>W7-10%</f>
        <v>0.50000000000000011</v>
      </c>
      <c r="X8" s="259">
        <f>SQRT(Z8)</f>
        <v>0.23178849622282732</v>
      </c>
      <c r="Y8" s="263">
        <f>V8*$J$25+W8*$J$26</f>
        <v>1.1428248606151536</v>
      </c>
      <c r="Z8" s="264">
        <f>(V8^2*$K$25^2+W8^2*$K$26^2+2*V8*W8*$K$25*$K$26*$J$32)</f>
        <v>5.3725906981239642E-2</v>
      </c>
      <c r="AA8" s="185"/>
      <c r="AB8" s="274"/>
      <c r="AC8" s="277">
        <f>$Y$29+(($Z$27-$Y$29)/$Y$27)*AD8</f>
        <v>2.935184008210459</v>
      </c>
      <c r="AD8" s="268">
        <f>AD7+10%</f>
        <v>0.6</v>
      </c>
    </row>
    <row r="9" spans="1:30" ht="17" thickBot="1" x14ac:dyDescent="0.25">
      <c r="A9" s="22">
        <v>2.6365577039009828E-2</v>
      </c>
      <c r="B9" s="22">
        <v>-5.8479698824230996E-3</v>
      </c>
      <c r="C9" s="22">
        <v>-1.6684825365574023E-2</v>
      </c>
      <c r="I9" s="158" t="s">
        <v>167</v>
      </c>
      <c r="J9" s="165"/>
      <c r="K9" s="165"/>
      <c r="L9" s="159"/>
      <c r="P9" s="22">
        <v>-5.8479698824230996E-3</v>
      </c>
      <c r="Q9" s="22">
        <v>-1.6684825365574023E-2</v>
      </c>
      <c r="V9" s="175">
        <f>V8+10%</f>
        <v>0.6</v>
      </c>
      <c r="W9" s="231">
        <f>W8-10%</f>
        <v>0.40000000000000013</v>
      </c>
      <c r="X9" s="259">
        <f>SQRT(Z9)</f>
        <v>0.21293695384603742</v>
      </c>
      <c r="Y9" s="263">
        <f>V9*$J$25+W9*$J$26</f>
        <v>1.0693346362246867</v>
      </c>
      <c r="Z9" s="264">
        <f>(V9^2*$K$25^2+W9^2*$K$26^2+2*V9*W9*$K$25*$K$26*$J$32)</f>
        <v>4.534214631322947E-2</v>
      </c>
      <c r="AA9" s="181"/>
      <c r="AB9" s="274"/>
      <c r="AC9" s="277">
        <f>$Y$29+(($Z$27-$Y$29)/$Y$27)*AD9</f>
        <v>3.4172146762455351</v>
      </c>
      <c r="AD9" s="268">
        <f>AD8+10%</f>
        <v>0.7</v>
      </c>
    </row>
    <row r="10" spans="1:30" x14ac:dyDescent="0.2">
      <c r="A10" s="22">
        <v>4.9705187977215114E-3</v>
      </c>
      <c r="B10" s="22">
        <v>-2.0610787306859404E-2</v>
      </c>
      <c r="C10" s="22">
        <v>-2.2389913041079255E-2</v>
      </c>
      <c r="I10" s="33"/>
      <c r="J10" s="32" t="s">
        <v>164</v>
      </c>
      <c r="K10" s="32" t="s">
        <v>194</v>
      </c>
      <c r="L10" s="34" t="s">
        <v>166</v>
      </c>
      <c r="P10" s="22">
        <v>-2.0610787306859404E-2</v>
      </c>
      <c r="Q10" s="22">
        <v>-2.2389913041079255E-2</v>
      </c>
      <c r="V10" s="175">
        <f>V9+10%</f>
        <v>0.7</v>
      </c>
      <c r="W10" s="231">
        <f>W9-10%</f>
        <v>0.30000000000000016</v>
      </c>
      <c r="X10" s="259">
        <f>SQRT(Z10)</f>
        <v>0.20303940525573777</v>
      </c>
      <c r="Y10" s="263">
        <f>V10*$J$25+W10*$J$26</f>
        <v>0.99584441183421979</v>
      </c>
      <c r="Z10" s="264">
        <f>(V10^2*$K$25^2+W10^2*$K$26^2+2*V10*W10*$K$25*$K$26*$J$32)</f>
        <v>4.1225000086603715E-2</v>
      </c>
      <c r="AA10" s="181"/>
      <c r="AB10" s="274"/>
      <c r="AC10" s="277">
        <f>$Y$29+(($Z$27-$Y$29)/$Y$27)*AD10</f>
        <v>3.8992453442806116</v>
      </c>
      <c r="AD10" s="268">
        <f>AD9+10%</f>
        <v>0.79999999999999993</v>
      </c>
    </row>
    <row r="11" spans="1:30" x14ac:dyDescent="0.2">
      <c r="A11" s="22">
        <v>-4.0797490641618604E-2</v>
      </c>
      <c r="B11" s="22">
        <v>-1.6288487998891946E-2</v>
      </c>
      <c r="C11" s="22">
        <v>0.11350388313499837</v>
      </c>
      <c r="I11" s="25" t="s">
        <v>164</v>
      </c>
      <c r="J11">
        <f>VARP('Portfolio Calculations'!$A$2:$A$125)</f>
        <v>9.7819446512543051E-4</v>
      </c>
      <c r="K11">
        <v>1.6967307684406387E-5</v>
      </c>
      <c r="L11" s="35">
        <v>3.3060174798336297E-6</v>
      </c>
      <c r="P11" s="22">
        <v>-1.6288487998891946E-2</v>
      </c>
      <c r="Q11" s="22">
        <v>0.11350388313499837</v>
      </c>
      <c r="V11" s="175">
        <f>V10+10%</f>
        <v>0.79999999999999993</v>
      </c>
      <c r="W11" s="231">
        <f>W10-10%</f>
        <v>0.20000000000000015</v>
      </c>
      <c r="X11" s="259">
        <f>SQRT(Z11)</f>
        <v>0.20340714909108379</v>
      </c>
      <c r="Y11" s="263">
        <f>V11*$J$25+W11*$J$26</f>
        <v>0.92235418744375286</v>
      </c>
      <c r="Z11" s="264">
        <f>(V11^2*$K$25^2+W11^2*$K$26^2+2*V11*W11*$K$25*$K$26*$J$32)</f>
        <v>4.1374468301362384E-2</v>
      </c>
      <c r="AA11" s="181"/>
      <c r="AB11" s="274"/>
      <c r="AC11" s="277">
        <f>$Y$29+(($Z$27-$Y$29)/$Y$27)*AD11</f>
        <v>4.3812760123156878</v>
      </c>
      <c r="AD11" s="268">
        <f t="shared" ref="AD11" si="0">AD10+10%</f>
        <v>0.89999999999999991</v>
      </c>
    </row>
    <row r="12" spans="1:30" ht="17" thickBot="1" x14ac:dyDescent="0.25">
      <c r="A12" s="22">
        <v>2.6938879615626882E-2</v>
      </c>
      <c r="B12" s="22">
        <v>1.6798614011076834E-2</v>
      </c>
      <c r="C12" s="22">
        <v>5.7400731610599805E-3</v>
      </c>
      <c r="I12" s="25" t="s">
        <v>194</v>
      </c>
      <c r="J12">
        <v>1.6967307684406387E-5</v>
      </c>
      <c r="K12">
        <f>VARP('Portfolio Calculations'!$B$2:$B$125)</f>
        <v>2.1442042725195397E-4</v>
      </c>
      <c r="L12" s="35">
        <v>3.9902493760579764E-5</v>
      </c>
      <c r="P12" s="22">
        <v>1.6798614011076834E-2</v>
      </c>
      <c r="Q12" s="22">
        <v>5.7400731610599805E-3</v>
      </c>
      <c r="V12" s="175">
        <f>V11+10%</f>
        <v>0.89999999999999991</v>
      </c>
      <c r="W12" s="231">
        <f>W11-10%</f>
        <v>0.10000000000000014</v>
      </c>
      <c r="X12" s="259">
        <f>SQRT(Z12)</f>
        <v>0.21398726821356795</v>
      </c>
      <c r="Y12" s="263">
        <f>V12*$J$25+W12*$J$26</f>
        <v>0.84886396305328593</v>
      </c>
      <c r="Z12" s="264">
        <f>(V12^2*$K$25^2+W12^2*$K$26^2+2*V12*W12*$K$25*$K$26*$J$32)</f>
        <v>4.579055095750547E-2</v>
      </c>
      <c r="AA12" s="181"/>
      <c r="AB12" s="275"/>
      <c r="AC12" s="277">
        <f>$Y$29+(($Z$27-$Y$29)/$Y$27)*AD12</f>
        <v>4.8633066803507639</v>
      </c>
      <c r="AD12" s="268">
        <f>AD11+10%</f>
        <v>0.99999999999999989</v>
      </c>
    </row>
    <row r="13" spans="1:30" ht="17" thickBot="1" x14ac:dyDescent="0.25">
      <c r="A13" s="22">
        <v>1.8185969185220991E-2</v>
      </c>
      <c r="B13" s="22">
        <v>-3.9720987194666341E-3</v>
      </c>
      <c r="C13" s="22">
        <v>-7.7821404420550747E-3</v>
      </c>
      <c r="I13" s="27" t="s">
        <v>166</v>
      </c>
      <c r="J13" s="10">
        <v>3.3060174798336297E-6</v>
      </c>
      <c r="K13" s="10">
        <v>3.9902493760579764E-5</v>
      </c>
      <c r="L13" s="36">
        <f>VARP('Portfolio Calculations'!$C$2:$C$125)</f>
        <v>6.2839871396162892E-4</v>
      </c>
      <c r="P13" s="22">
        <v>-3.9720987194666341E-3</v>
      </c>
      <c r="Q13" s="22">
        <v>-7.7821404420550747E-3</v>
      </c>
      <c r="V13" s="265">
        <f>V12+10%</f>
        <v>0.99999999999999989</v>
      </c>
      <c r="W13" s="266">
        <f>W12-10%</f>
        <v>1.3877787807814457E-16</v>
      </c>
      <c r="X13" s="260">
        <f t="shared" ref="X4:X13" si="1">SQRT(Z13)</f>
        <v>0.23339504719473586</v>
      </c>
      <c r="Y13" s="267">
        <f>V13*$J$25+W13*$J$26</f>
        <v>0.77537373866281889</v>
      </c>
      <c r="Z13" s="60">
        <f>(V13^2*$K$25^2+W13^2*$K$26^2+2*V13*W13*$K$25*$K$26*$J$32)</f>
        <v>5.447324805503298E-2</v>
      </c>
      <c r="AA13" s="181"/>
      <c r="AB13" s="259"/>
      <c r="AC13" s="259"/>
    </row>
    <row r="14" spans="1:30" ht="17" thickBot="1" x14ac:dyDescent="0.25">
      <c r="A14" s="22">
        <v>2.7097023981347453E-2</v>
      </c>
      <c r="B14" s="22">
        <v>1.2066819900800179E-2</v>
      </c>
      <c r="C14" s="22">
        <v>8.0563008275967209E-3</v>
      </c>
      <c r="P14" s="22">
        <v>1.2066819900800179E-2</v>
      </c>
      <c r="Q14" s="22">
        <v>8.0563008275967209E-3</v>
      </c>
      <c r="W14" s="170"/>
      <c r="X14" s="170"/>
      <c r="Y14" s="269"/>
      <c r="Z14" s="270"/>
      <c r="AA14" s="270"/>
      <c r="AB14" s="271"/>
    </row>
    <row r="15" spans="1:30" ht="17" thickBot="1" x14ac:dyDescent="0.25">
      <c r="A15" s="22">
        <v>2.1454267439905269E-3</v>
      </c>
      <c r="B15" s="22">
        <v>2.5753297777325536E-3</v>
      </c>
      <c r="C15" s="22">
        <v>-3.9911242648142629E-2</v>
      </c>
      <c r="I15" s="160" t="s">
        <v>205</v>
      </c>
      <c r="J15" s="161"/>
      <c r="K15" s="161"/>
      <c r="L15" s="161"/>
      <c r="M15" s="162"/>
      <c r="P15" s="22">
        <v>2.5753297777325536E-3</v>
      </c>
      <c r="Q15" s="22">
        <v>-3.9911242648142629E-2</v>
      </c>
      <c r="W15" s="172"/>
      <c r="X15" s="168"/>
    </row>
    <row r="16" spans="1:30" ht="17" thickBot="1" x14ac:dyDescent="0.25">
      <c r="A16" s="22">
        <v>1.7456938453295785E-2</v>
      </c>
      <c r="B16" s="22">
        <v>1.4127169612989651E-2</v>
      </c>
      <c r="C16" s="22">
        <v>2.0226903825426877E-2</v>
      </c>
      <c r="I16" s="131" t="s">
        <v>192</v>
      </c>
      <c r="J16" s="134" t="s">
        <v>195</v>
      </c>
      <c r="K16" s="134" t="s">
        <v>193</v>
      </c>
      <c r="L16" s="132" t="s">
        <v>168</v>
      </c>
      <c r="M16" s="35"/>
      <c r="P16" s="22">
        <v>1.4127169612989651E-2</v>
      </c>
      <c r="Q16" s="22">
        <v>2.0226903825426877E-2</v>
      </c>
      <c r="W16" s="169"/>
      <c r="X16" s="169"/>
      <c r="Z16" s="167"/>
    </row>
    <row r="17" spans="1:27" ht="17" thickBot="1" x14ac:dyDescent="0.25">
      <c r="A17" s="22">
        <v>-2.5439512467360487E-3</v>
      </c>
      <c r="B17" s="22">
        <v>1.8370449043153381E-2</v>
      </c>
      <c r="C17" s="22">
        <v>8.0983031329746637E-3</v>
      </c>
      <c r="I17" s="46">
        <v>0.14283972852924101</v>
      </c>
      <c r="J17" s="47">
        <v>0.65855189677333459</v>
      </c>
      <c r="K17" s="47">
        <v>0.19860837469742423</v>
      </c>
      <c r="L17" s="48">
        <f>SUM(I17:K17)</f>
        <v>0.99999999999999978</v>
      </c>
      <c r="M17" s="35"/>
      <c r="P17" s="22">
        <v>1.8370449043153381E-2</v>
      </c>
      <c r="Q17" s="22">
        <v>8.0983031329746637E-3</v>
      </c>
    </row>
    <row r="18" spans="1:27" ht="17" thickBot="1" x14ac:dyDescent="0.25">
      <c r="A18" s="22">
        <v>1.5417441241414276E-2</v>
      </c>
      <c r="B18" s="22">
        <v>-1.58565690139102E-2</v>
      </c>
      <c r="C18" s="22">
        <v>1.7498737686774023E-2</v>
      </c>
      <c r="I18" s="25"/>
      <c r="M18" s="45" t="s">
        <v>160</v>
      </c>
      <c r="P18" s="22">
        <v>-1.58565690139102E-2</v>
      </c>
      <c r="Q18" s="22">
        <v>1.7498737686774023E-2</v>
      </c>
    </row>
    <row r="19" spans="1:27" ht="22" thickBot="1" x14ac:dyDescent="0.3">
      <c r="A19" s="22">
        <v>-7.9819703164735384E-2</v>
      </c>
      <c r="B19" s="22">
        <v>2.4202433848808946E-2</v>
      </c>
      <c r="C19" s="22">
        <v>-2.9086040601698032E-2</v>
      </c>
      <c r="I19" s="45" t="s">
        <v>169</v>
      </c>
      <c r="K19" s="39" t="s">
        <v>170</v>
      </c>
      <c r="L19" s="52">
        <f>I17*J5+J17*J6+K17*J7</f>
        <v>3.8504993205576736E-3</v>
      </c>
      <c r="M19" s="112">
        <f>L19*252</f>
        <v>0.97032582878053375</v>
      </c>
      <c r="P19" s="22">
        <v>2.4202433848808946E-2</v>
      </c>
      <c r="Q19" s="22">
        <v>-2.9086040601698032E-2</v>
      </c>
      <c r="U19" s="210" t="s">
        <v>226</v>
      </c>
      <c r="V19" s="211"/>
      <c r="W19" s="211"/>
      <c r="X19" s="211"/>
      <c r="Y19" s="211"/>
      <c r="Z19" s="211"/>
      <c r="AA19" s="212"/>
    </row>
    <row r="20" spans="1:27" ht="17" thickBot="1" x14ac:dyDescent="0.25">
      <c r="A20" s="22">
        <v>-3.2721986702697589E-2</v>
      </c>
      <c r="B20" s="22">
        <v>1.6129902954107101E-3</v>
      </c>
      <c r="C20" s="22">
        <v>1.3893796034324321E-2</v>
      </c>
      <c r="I20" s="51">
        <f>I17^2*J11+J17^2*K12+K17^2*L13+2*I17*J17*K11+2*I17*K17*L11+2*J17*K17*L12</f>
        <v>1.5155550221601516E-4</v>
      </c>
      <c r="J20" s="10"/>
      <c r="K20" s="41" t="s">
        <v>171</v>
      </c>
      <c r="L20" s="53">
        <f>SQRT(I20)</f>
        <v>1.2310788042039191E-2</v>
      </c>
      <c r="M20" s="113">
        <f>L20*SQRT(252)</f>
        <v>0.19542770161478085</v>
      </c>
      <c r="P20" s="22">
        <v>1.6129902954107101E-3</v>
      </c>
      <c r="Q20" s="22">
        <v>1.3893796034324321E-2</v>
      </c>
      <c r="U20" s="213"/>
      <c r="V20" s="214"/>
      <c r="W20" s="214"/>
      <c r="X20" s="214"/>
      <c r="Y20" s="214"/>
      <c r="Z20" s="214"/>
      <c r="AA20" s="215"/>
    </row>
    <row r="21" spans="1:27" x14ac:dyDescent="0.2">
      <c r="A21" s="22">
        <v>-7.3591779071066742E-3</v>
      </c>
      <c r="B21" s="22">
        <v>-1.290600308200695E-3</v>
      </c>
      <c r="C21" s="22">
        <v>3.8105653076950952E-3</v>
      </c>
      <c r="P21" s="22">
        <v>-1.290600308200695E-3</v>
      </c>
      <c r="Q21" s="22">
        <v>3.8105653076950952E-3</v>
      </c>
      <c r="U21" s="216" t="s">
        <v>194</v>
      </c>
      <c r="V21" s="217" t="s">
        <v>164</v>
      </c>
      <c r="W21" s="218" t="s">
        <v>220</v>
      </c>
      <c r="X21" s="219" t="s">
        <v>221</v>
      </c>
      <c r="Y21" s="219" t="s">
        <v>227</v>
      </c>
      <c r="Z21" s="219" t="s">
        <v>228</v>
      </c>
      <c r="AA21" s="220"/>
    </row>
    <row r="22" spans="1:27" ht="17" thickBot="1" x14ac:dyDescent="0.25">
      <c r="A22" s="22">
        <v>-1.3976439977640492E-3</v>
      </c>
      <c r="B22" s="22">
        <v>8.6021510680792915E-4</v>
      </c>
      <c r="C22" s="22">
        <v>-9.6343780706277526E-3</v>
      </c>
      <c r="P22" s="22">
        <v>8.6021510680792915E-4</v>
      </c>
      <c r="Q22" s="22">
        <v>-9.6343780706277526E-3</v>
      </c>
      <c r="U22" s="221">
        <v>0.65855189677333459</v>
      </c>
      <c r="V22" s="222">
        <v>0.14283972852924101</v>
      </c>
      <c r="W22" s="223">
        <v>0.19860837469742423</v>
      </c>
      <c r="X22" s="223">
        <f>SUM(U22:W22)</f>
        <v>0.99999999999999978</v>
      </c>
      <c r="Y22" s="223">
        <v>0.19542770161478085</v>
      </c>
      <c r="Z22" s="223">
        <v>0.97032582878053375</v>
      </c>
      <c r="AA22" s="224"/>
    </row>
    <row r="23" spans="1:27" ht="17" thickBot="1" x14ac:dyDescent="0.25">
      <c r="A23" s="22">
        <v>3.4340741618744302E-3</v>
      </c>
      <c r="B23" s="22">
        <v>1.2121360532344602E-2</v>
      </c>
      <c r="C23" s="22">
        <v>3.6582737199438609E-2</v>
      </c>
      <c r="I23" s="160" t="s">
        <v>204</v>
      </c>
      <c r="J23" s="161"/>
      <c r="K23" s="162"/>
      <c r="P23" s="22">
        <v>1.2121360532344602E-2</v>
      </c>
      <c r="Q23" s="22">
        <v>3.6582737199438609E-2</v>
      </c>
      <c r="U23" s="225"/>
      <c r="V23" s="226"/>
      <c r="W23" s="227"/>
      <c r="X23" s="228"/>
      <c r="Y23" s="228"/>
      <c r="Z23" s="228"/>
      <c r="AA23" s="229"/>
    </row>
    <row r="24" spans="1:27" ht="17" thickBot="1" x14ac:dyDescent="0.25">
      <c r="A24" s="22">
        <v>1.4121034846554584E-2</v>
      </c>
      <c r="B24" s="22">
        <v>2.0709582855422785E-3</v>
      </c>
      <c r="C24" s="22">
        <v>2.4962294559913775E-2</v>
      </c>
      <c r="I24" s="25"/>
      <c r="J24" s="131" t="s">
        <v>176</v>
      </c>
      <c r="K24" s="132" t="s">
        <v>177</v>
      </c>
      <c r="L24" s="72"/>
      <c r="P24" s="22">
        <v>2.0709582855422785E-3</v>
      </c>
      <c r="Q24" s="22">
        <v>2.4962294559913775E-2</v>
      </c>
      <c r="Z24" s="171"/>
    </row>
    <row r="25" spans="1:27" ht="21" x14ac:dyDescent="0.25">
      <c r="A25" s="22">
        <v>1.3006057656188475E-2</v>
      </c>
      <c r="B25" s="22">
        <v>-7.933530716745232E-3</v>
      </c>
      <c r="C25" s="22">
        <v>2.8848154337658128E-2</v>
      </c>
      <c r="I25" s="39" t="s">
        <v>194</v>
      </c>
      <c r="J25" s="126">
        <v>0.77537373866281878</v>
      </c>
      <c r="K25" s="62">
        <v>0.23339504719473589</v>
      </c>
      <c r="L25" s="166"/>
      <c r="P25" s="22">
        <v>-7.933530716745232E-3</v>
      </c>
      <c r="Q25" s="22">
        <v>2.8848154337658128E-2</v>
      </c>
      <c r="U25" s="186" t="s">
        <v>219</v>
      </c>
      <c r="V25" s="187"/>
      <c r="W25" s="188"/>
      <c r="X25" s="189"/>
      <c r="Y25" s="189"/>
      <c r="Z25" s="189"/>
      <c r="AA25" s="190"/>
    </row>
    <row r="26" spans="1:27" ht="17" thickBot="1" x14ac:dyDescent="0.25">
      <c r="A26" s="22">
        <v>3.4539000817048672E-2</v>
      </c>
      <c r="B26" s="22">
        <v>1.5050998485609146E-2</v>
      </c>
      <c r="C26" s="22">
        <v>-1.4780873576521829E-4</v>
      </c>
      <c r="I26" s="40" t="s">
        <v>166</v>
      </c>
      <c r="J26" s="127">
        <v>1.5102759825674881</v>
      </c>
      <c r="K26" s="29">
        <v>0.39955466076878243</v>
      </c>
      <c r="L26" s="166"/>
      <c r="P26" s="22">
        <v>1.5050998485609146E-2</v>
      </c>
      <c r="Q26" s="22">
        <v>-1.4780873576521829E-4</v>
      </c>
      <c r="U26" s="197" t="s">
        <v>194</v>
      </c>
      <c r="V26" s="191"/>
      <c r="W26" s="192" t="s">
        <v>166</v>
      </c>
      <c r="X26" s="193" t="s">
        <v>221</v>
      </c>
      <c r="Y26" s="193" t="s">
        <v>222</v>
      </c>
      <c r="Z26" s="193" t="s">
        <v>223</v>
      </c>
      <c r="AA26" s="194"/>
    </row>
    <row r="27" spans="1:27" ht="17" thickBot="1" x14ac:dyDescent="0.25">
      <c r="A27" s="22">
        <v>2.1104827637985952E-2</v>
      </c>
      <c r="B27" s="22">
        <v>1.171672517428882E-2</v>
      </c>
      <c r="C27" s="22">
        <v>1.3540866072203443E-2</v>
      </c>
      <c r="I27" s="41" t="s">
        <v>178</v>
      </c>
      <c r="J27" s="61">
        <v>4.2999999999999997E-2</v>
      </c>
      <c r="K27" s="36"/>
      <c r="L27" s="166"/>
      <c r="P27" s="22">
        <v>1.171672517428882E-2</v>
      </c>
      <c r="Q27" s="22">
        <v>1.3540866072203443E-2</v>
      </c>
      <c r="U27" s="195">
        <v>0.59326848635601048</v>
      </c>
      <c r="V27" s="196" t="s">
        <v>215</v>
      </c>
      <c r="W27" s="196">
        <v>0.40673151364398952</v>
      </c>
      <c r="X27" s="196">
        <v>1</v>
      </c>
      <c r="Y27" s="208">
        <v>0.21394523400562657</v>
      </c>
      <c r="Z27" s="208">
        <v>1.0742816407065292</v>
      </c>
      <c r="AA27" s="194"/>
    </row>
    <row r="28" spans="1:27" ht="17" thickBot="1" x14ac:dyDescent="0.25">
      <c r="A28" s="22">
        <v>-2.7676340749421385E-4</v>
      </c>
      <c r="B28" s="22">
        <v>6.6733402543292411E-4</v>
      </c>
      <c r="C28" s="22">
        <v>-5.9746256888878069E-3</v>
      </c>
      <c r="I28" s="25"/>
      <c r="K28" s="35"/>
      <c r="P28" s="22">
        <v>6.6733402543292411E-4</v>
      </c>
      <c r="Q28" s="22">
        <v>-5.9746256888878069E-3</v>
      </c>
      <c r="U28" s="197"/>
      <c r="V28" s="198"/>
      <c r="W28" s="198"/>
      <c r="X28" s="198"/>
      <c r="Y28" s="198"/>
      <c r="Z28" s="198"/>
      <c r="AA28" s="194"/>
    </row>
    <row r="29" spans="1:27" ht="17" thickBot="1" x14ac:dyDescent="0.25">
      <c r="A29" s="22">
        <v>1.9396231443816761E-2</v>
      </c>
      <c r="B29" s="22">
        <v>8.2672797987186318E-3</v>
      </c>
      <c r="C29" s="22">
        <v>-2.0342682628485636E-2</v>
      </c>
      <c r="I29" s="158" t="s">
        <v>179</v>
      </c>
      <c r="J29" s="165"/>
      <c r="K29" s="159"/>
      <c r="P29" s="22">
        <v>8.2672797987186318E-3</v>
      </c>
      <c r="Q29" s="22">
        <v>-2.0342682628485636E-2</v>
      </c>
      <c r="U29" s="199" t="s">
        <v>224</v>
      </c>
      <c r="V29" s="200"/>
      <c r="W29" s="200"/>
      <c r="X29" s="200"/>
      <c r="Y29" s="201">
        <v>4.2999999999999997E-2</v>
      </c>
      <c r="Z29" s="200"/>
      <c r="AA29" s="202"/>
    </row>
    <row r="30" spans="1:27" x14ac:dyDescent="0.2">
      <c r="A30" s="22">
        <v>1.3929505519642641E-2</v>
      </c>
      <c r="B30" s="22">
        <v>-1.6577116548280466E-2</v>
      </c>
      <c r="C30" s="22">
        <v>1.7220235663661102E-2</v>
      </c>
      <c r="I30" s="33"/>
      <c r="J30" s="32" t="s">
        <v>194</v>
      </c>
      <c r="K30" s="34" t="s">
        <v>166</v>
      </c>
      <c r="P30" s="22">
        <v>-1.6577116548280466E-2</v>
      </c>
      <c r="Q30" s="22">
        <v>1.7220235663661102E-2</v>
      </c>
      <c r="U30" s="203" t="s">
        <v>225</v>
      </c>
      <c r="V30" s="200"/>
      <c r="W30" s="200"/>
      <c r="X30" s="200"/>
      <c r="Y30" s="209">
        <v>1.7063492063492061E-4</v>
      </c>
      <c r="Z30" s="200"/>
      <c r="AA30" s="202"/>
    </row>
    <row r="31" spans="1:27" x14ac:dyDescent="0.2">
      <c r="A31" s="22">
        <v>2.5483084592187358E-2</v>
      </c>
      <c r="B31" s="22">
        <v>-6.598506290692775E-3</v>
      </c>
      <c r="C31" s="22">
        <v>-4.4437934184910965E-3</v>
      </c>
      <c r="I31" s="25" t="s">
        <v>194</v>
      </c>
      <c r="J31">
        <v>1</v>
      </c>
      <c r="K31" s="129">
        <v>4.2167213331920058E-3</v>
      </c>
      <c r="P31" s="22">
        <v>-6.598506290692775E-3</v>
      </c>
      <c r="Q31" s="22">
        <v>-4.4437934184910965E-3</v>
      </c>
      <c r="U31" s="204"/>
      <c r="V31" s="205"/>
      <c r="W31" s="205"/>
      <c r="X31" s="205"/>
      <c r="Y31" s="206"/>
      <c r="Z31" s="205"/>
      <c r="AA31" s="207"/>
    </row>
    <row r="32" spans="1:27" ht="17" thickBot="1" x14ac:dyDescent="0.25">
      <c r="A32" s="22">
        <v>1.2799334582570319E-2</v>
      </c>
      <c r="B32" s="22">
        <v>-1.9710913083443044E-3</v>
      </c>
      <c r="C32" s="22">
        <v>1.3241285482784934E-2</v>
      </c>
      <c r="I32" s="27" t="s">
        <v>166</v>
      </c>
      <c r="J32" s="128">
        <v>4.2167213331920058E-3</v>
      </c>
      <c r="K32" s="36">
        <v>1</v>
      </c>
      <c r="P32" s="22">
        <v>-1.9710913083443044E-3</v>
      </c>
      <c r="Q32" s="22">
        <v>1.3241285482784934E-2</v>
      </c>
    </row>
    <row r="33" spans="1:27" ht="22" thickBot="1" x14ac:dyDescent="0.3">
      <c r="A33" s="22">
        <v>2.5889004389401407E-2</v>
      </c>
      <c r="B33" s="22">
        <v>-5.1284961551700701E-3</v>
      </c>
      <c r="C33" s="22">
        <v>1.722096938414612E-2</v>
      </c>
      <c r="I33" s="25"/>
      <c r="K33" s="35"/>
      <c r="P33" s="22">
        <v>-5.1284961551700701E-3</v>
      </c>
      <c r="Q33" s="22">
        <v>1.722096938414612E-2</v>
      </c>
      <c r="U33" s="232" t="s">
        <v>229</v>
      </c>
      <c r="V33" s="233"/>
      <c r="W33" s="233"/>
      <c r="X33" s="234"/>
      <c r="Y33" s="235"/>
      <c r="Z33" s="235"/>
      <c r="AA33" s="236"/>
    </row>
    <row r="34" spans="1:27" ht="17" thickBot="1" x14ac:dyDescent="0.25">
      <c r="A34" s="22">
        <v>6.4868496708812423E-2</v>
      </c>
      <c r="B34" s="22">
        <v>-5.3188727836213298E-3</v>
      </c>
      <c r="C34" s="22">
        <v>4.5815596329722656E-3</v>
      </c>
      <c r="I34" s="158" t="s">
        <v>167</v>
      </c>
      <c r="J34" s="165"/>
      <c r="K34" s="159"/>
      <c r="P34" s="22">
        <v>-5.3188727836213298E-3</v>
      </c>
      <c r="Q34" s="22">
        <v>4.5815596329722656E-3</v>
      </c>
      <c r="U34" s="237"/>
      <c r="V34" s="238"/>
      <c r="W34" s="239"/>
      <c r="X34" s="251"/>
      <c r="Y34" s="252" t="s">
        <v>230</v>
      </c>
      <c r="Z34" s="253" t="s">
        <v>231</v>
      </c>
      <c r="AA34" s="240"/>
    </row>
    <row r="35" spans="1:27" x14ac:dyDescent="0.2">
      <c r="A35" s="22">
        <v>-1.3282794411558516E-3</v>
      </c>
      <c r="B35" s="22">
        <v>3.9049838102488492E-3</v>
      </c>
      <c r="C35" s="22">
        <v>-7.4723946625347782E-3</v>
      </c>
      <c r="I35" s="33"/>
      <c r="J35" s="32" t="s">
        <v>165</v>
      </c>
      <c r="K35" s="37" t="s">
        <v>166</v>
      </c>
      <c r="P35" s="22">
        <v>3.9049838102488492E-3</v>
      </c>
      <c r="Q35" s="22">
        <v>-7.4723946625347782E-3</v>
      </c>
      <c r="U35" s="237"/>
      <c r="V35" s="238"/>
      <c r="W35" s="239"/>
      <c r="X35" s="254" t="s">
        <v>232</v>
      </c>
      <c r="Y35" s="242">
        <v>0.21394523400562657</v>
      </c>
      <c r="Z35" s="255">
        <v>1.0742816407065292</v>
      </c>
      <c r="AA35" s="240"/>
    </row>
    <row r="36" spans="1:27" ht="17" thickBot="1" x14ac:dyDescent="0.25">
      <c r="A36" s="22">
        <v>-3.3467419486150313E-2</v>
      </c>
      <c r="B36" s="22">
        <v>-2.2567044076426578E-2</v>
      </c>
      <c r="C36" s="22">
        <v>-7.5935913740782896E-4</v>
      </c>
      <c r="I36" s="25" t="s">
        <v>194</v>
      </c>
      <c r="J36" s="130">
        <f>VARP('Portfolio Calculations'!$P$2:$P$125)</f>
        <v>2.1442042725195397E-4</v>
      </c>
      <c r="K36" s="55">
        <v>3.3060174798336297E-6</v>
      </c>
      <c r="P36" s="22">
        <v>-2.2567044076426578E-2</v>
      </c>
      <c r="Q36" s="22">
        <v>-7.5935913740782896E-4</v>
      </c>
      <c r="U36" s="237"/>
      <c r="V36" s="238"/>
      <c r="W36" s="239"/>
      <c r="X36" s="256" t="s">
        <v>190</v>
      </c>
      <c r="Y36" s="257">
        <v>0</v>
      </c>
      <c r="Z36" s="258">
        <v>4.2999999999999997E-2</v>
      </c>
      <c r="AA36" s="240"/>
    </row>
    <row r="37" spans="1:27" ht="17" thickBot="1" x14ac:dyDescent="0.25">
      <c r="A37" s="22">
        <v>-1.8935487239846539E-2</v>
      </c>
      <c r="B37" s="22">
        <v>-3.182688873728677E-3</v>
      </c>
      <c r="C37" s="22">
        <v>-4.6951998408645227E-3</v>
      </c>
      <c r="I37" s="27" t="s">
        <v>166</v>
      </c>
      <c r="J37" s="54">
        <v>3.3060174798336297E-6</v>
      </c>
      <c r="K37" s="56">
        <f>VARP('Portfolio Calculations'!$Q$2:$Q$125)</f>
        <v>6.2839871396162892E-4</v>
      </c>
      <c r="P37" s="22">
        <v>-3.182688873728677E-3</v>
      </c>
      <c r="Q37" s="22">
        <v>-4.6951998408645227E-3</v>
      </c>
      <c r="U37" s="237"/>
      <c r="V37" s="238"/>
      <c r="W37" s="238"/>
      <c r="X37" s="238"/>
      <c r="Y37" s="238"/>
      <c r="Z37" s="238"/>
      <c r="AA37" s="240"/>
    </row>
    <row r="38" spans="1:27" ht="17" thickBot="1" x14ac:dyDescent="0.25">
      <c r="A38" s="22">
        <v>4.9909690796590611E-3</v>
      </c>
      <c r="B38" s="22">
        <v>4.8842738849508025E-3</v>
      </c>
      <c r="C38" s="22">
        <v>1.369259183761465E-2</v>
      </c>
      <c r="I38" s="25"/>
      <c r="K38" s="35"/>
      <c r="P38" s="22">
        <v>4.8842738849508025E-3</v>
      </c>
      <c r="Q38" s="22">
        <v>1.369259183761465E-2</v>
      </c>
      <c r="U38" s="243" t="s">
        <v>194</v>
      </c>
      <c r="V38" s="244" t="s">
        <v>166</v>
      </c>
      <c r="W38" s="238" t="s">
        <v>233</v>
      </c>
      <c r="X38" s="238" t="s">
        <v>234</v>
      </c>
      <c r="Y38" s="238" t="s">
        <v>235</v>
      </c>
      <c r="Z38" s="238"/>
      <c r="AA38" s="240"/>
    </row>
    <row r="39" spans="1:27" ht="17" thickBot="1" x14ac:dyDescent="0.25">
      <c r="A39" s="22">
        <v>1.8908263321694575E-2</v>
      </c>
      <c r="B39" s="22">
        <v>5.8713806246773184E-3</v>
      </c>
      <c r="C39" s="22">
        <v>8.4609380984326243E-3</v>
      </c>
      <c r="I39" s="173" t="s">
        <v>180</v>
      </c>
      <c r="J39" s="165"/>
      <c r="K39" s="159"/>
      <c r="P39" s="22">
        <v>5.8713806246773184E-3</v>
      </c>
      <c r="Q39" s="22">
        <v>8.4609380984326243E-3</v>
      </c>
      <c r="U39" s="245">
        <v>0.63704552214498156</v>
      </c>
      <c r="V39" s="246">
        <v>0.43674406350764522</v>
      </c>
      <c r="W39" s="250">
        <v>-7.3789585652626721E-2</v>
      </c>
      <c r="X39" s="241">
        <v>0.22973216417525602</v>
      </c>
      <c r="Y39" s="241">
        <v>1.150379485665425</v>
      </c>
      <c r="Z39" s="238"/>
      <c r="AA39" s="240"/>
    </row>
    <row r="40" spans="1:27" x14ac:dyDescent="0.2">
      <c r="A40" s="22">
        <v>5.5707999052414022E-3</v>
      </c>
      <c r="B40" s="22">
        <v>8.9262301556771468E-3</v>
      </c>
      <c r="C40" s="22">
        <v>9.0006814957734448E-3</v>
      </c>
      <c r="I40" s="57"/>
      <c r="J40" s="280" t="s">
        <v>165</v>
      </c>
      <c r="K40" s="58" t="s">
        <v>166</v>
      </c>
      <c r="P40" s="22">
        <v>8.9262301556771468E-3</v>
      </c>
      <c r="Q40" s="22">
        <v>9.0006814957734448E-3</v>
      </c>
      <c r="U40" s="247"/>
      <c r="V40" s="248"/>
      <c r="W40" s="248"/>
      <c r="X40" s="248"/>
      <c r="Y40" s="248"/>
      <c r="Z40" s="248"/>
      <c r="AA40" s="249"/>
    </row>
    <row r="41" spans="1:27" x14ac:dyDescent="0.2">
      <c r="A41" s="22">
        <v>3.3006651845036712E-2</v>
      </c>
      <c r="B41" s="22">
        <v>1.6117086322401341E-2</v>
      </c>
      <c r="C41" s="22">
        <v>2.3500805537599895E-2</v>
      </c>
      <c r="I41" s="25" t="s">
        <v>194</v>
      </c>
      <c r="J41" s="178" cm="1">
        <f t="array" ref="J41:K42">MINVERSE(J36:K37)</f>
        <v>4664.1130970164095</v>
      </c>
      <c r="K41" s="35">
        <v>-24.537986924649825</v>
      </c>
      <c r="P41" s="22">
        <v>1.6117086322401341E-2</v>
      </c>
      <c r="Q41" s="22">
        <v>2.3500805537599895E-2</v>
      </c>
    </row>
    <row r="42" spans="1:27" ht="17" thickBot="1" x14ac:dyDescent="0.25">
      <c r="A42" s="22">
        <v>-1.6401744569469232E-2</v>
      </c>
      <c r="B42" s="22">
        <v>4.4009312972422545E-3</v>
      </c>
      <c r="C42" s="22">
        <v>9.2994096490824386E-3</v>
      </c>
      <c r="I42" s="27" t="s">
        <v>166</v>
      </c>
      <c r="J42" s="59">
        <v>-24.537986924649825</v>
      </c>
      <c r="K42" s="60">
        <v>1591.4754451180486</v>
      </c>
      <c r="P42" s="22">
        <v>4.4009312972422545E-3</v>
      </c>
      <c r="Q42" s="22">
        <v>9.2994096490824386E-3</v>
      </c>
    </row>
    <row r="43" spans="1:27" ht="17" thickBot="1" x14ac:dyDescent="0.25">
      <c r="A43" s="22">
        <v>-7.6996932314080696E-2</v>
      </c>
      <c r="B43" s="22">
        <v>-2.2999542332678466E-2</v>
      </c>
      <c r="C43" s="22">
        <v>-2.7486042005292276E-2</v>
      </c>
      <c r="I43" s="25"/>
      <c r="K43" s="35"/>
      <c r="P43" s="22">
        <v>-2.2999542332678466E-2</v>
      </c>
      <c r="Q43" s="22">
        <v>-2.7486042005292276E-2</v>
      </c>
    </row>
    <row r="44" spans="1:27" ht="17" thickBot="1" x14ac:dyDescent="0.25">
      <c r="A44" s="22">
        <v>-1.0150525241435506E-2</v>
      </c>
      <c r="B44" s="22">
        <v>8.1147321130680804E-3</v>
      </c>
      <c r="C44" s="22">
        <v>-6.0932928156599382E-3</v>
      </c>
      <c r="I44" s="45" t="s">
        <v>196</v>
      </c>
      <c r="J44" s="115">
        <f>J25-J27</f>
        <v>0.73237373866281874</v>
      </c>
      <c r="K44" s="35"/>
      <c r="P44" s="22">
        <v>8.1147321130680804E-3</v>
      </c>
      <c r="Q44" s="22">
        <v>-6.0932928156599382E-3</v>
      </c>
    </row>
    <row r="45" spans="1:27" ht="17" thickBot="1" x14ac:dyDescent="0.25">
      <c r="A45" s="22">
        <v>1.4054585339708771E-2</v>
      </c>
      <c r="B45" s="22">
        <v>2.0662287814395045E-3</v>
      </c>
      <c r="C45" s="22">
        <v>1.5698909543103833E-2</v>
      </c>
      <c r="I45" s="41" t="s">
        <v>181</v>
      </c>
      <c r="J45" s="116">
        <f>J26-J27</f>
        <v>1.4672759825674881</v>
      </c>
      <c r="K45" s="35"/>
      <c r="P45" s="22">
        <v>2.0662287814395045E-3</v>
      </c>
      <c r="Q45" s="22">
        <v>1.5698909543103833E-2</v>
      </c>
    </row>
    <row r="46" spans="1:27" ht="17" thickBot="1" x14ac:dyDescent="0.25">
      <c r="A46" s="22">
        <v>1.7613942103777685E-3</v>
      </c>
      <c r="B46" s="22">
        <v>-5.6448261048119295E-3</v>
      </c>
      <c r="C46" s="22">
        <v>2.7429741187433392E-2</v>
      </c>
      <c r="I46" s="25"/>
      <c r="K46" s="35"/>
      <c r="P46" s="22">
        <v>-5.6448261048119295E-3</v>
      </c>
      <c r="Q46" s="22">
        <v>2.7429741187433392E-2</v>
      </c>
    </row>
    <row r="47" spans="1:27" ht="17" thickBot="1" x14ac:dyDescent="0.25">
      <c r="A47" s="22">
        <v>-8.4364814441306862E-3</v>
      </c>
      <c r="B47" s="22">
        <v>0</v>
      </c>
      <c r="C47" s="22">
        <v>-1.3086865828029082E-2</v>
      </c>
      <c r="I47" s="25"/>
      <c r="J47" s="49" t="s">
        <v>182</v>
      </c>
      <c r="K47" s="50" t="s">
        <v>184</v>
      </c>
      <c r="P47" s="22">
        <v>0</v>
      </c>
      <c r="Q47" s="22">
        <v>-1.3086865828029082E-2</v>
      </c>
    </row>
    <row r="48" spans="1:27" x14ac:dyDescent="0.2">
      <c r="A48" s="22">
        <v>-7.1214097847979066E-2</v>
      </c>
      <c r="B48" s="22">
        <v>4.3308792361643292E-4</v>
      </c>
      <c r="C48" s="22">
        <v>1.4714470354002342E-2</v>
      </c>
      <c r="I48" s="39" t="s">
        <v>194</v>
      </c>
      <c r="J48" s="114">
        <f>J41*J44+K41*J45</f>
        <v>3379.8699475330322</v>
      </c>
      <c r="K48" s="66">
        <f>J48/(J48+J49)</f>
        <v>0.59326848635601048</v>
      </c>
      <c r="P48" s="22">
        <v>4.3308792361643292E-4</v>
      </c>
      <c r="Q48" s="22">
        <v>1.4714470354002342E-2</v>
      </c>
    </row>
    <row r="49" spans="1:17" ht="17" thickBot="1" x14ac:dyDescent="0.25">
      <c r="A49" s="22">
        <v>-2.359885811250588E-2</v>
      </c>
      <c r="B49" s="22">
        <v>1.9133585397646483E-2</v>
      </c>
      <c r="C49" s="22">
        <v>-1.4232813444955692E-2</v>
      </c>
      <c r="I49" s="41" t="s">
        <v>166</v>
      </c>
      <c r="J49" s="65">
        <f>J42*J44+K42*J45</f>
        <v>2317.1627202443501</v>
      </c>
      <c r="K49" s="67">
        <f>1-K48</f>
        <v>0.40673151364398952</v>
      </c>
      <c r="P49" s="22">
        <v>1.9133585397646483E-2</v>
      </c>
      <c r="Q49" s="22">
        <v>-1.4232813444955692E-2</v>
      </c>
    </row>
    <row r="50" spans="1:17" ht="17" thickBot="1" x14ac:dyDescent="0.25">
      <c r="A50" s="22">
        <v>-8.5538585995673516E-3</v>
      </c>
      <c r="B50" s="22">
        <v>-1.685679143964415E-2</v>
      </c>
      <c r="C50" s="22">
        <v>3.2123353954364661E-4</v>
      </c>
      <c r="I50" s="25"/>
      <c r="K50" s="178"/>
      <c r="P50" s="22">
        <v>-1.685679143964415E-2</v>
      </c>
      <c r="Q50" s="22">
        <v>3.2123353954364661E-4</v>
      </c>
    </row>
    <row r="51" spans="1:17" ht="17" thickBot="1" x14ac:dyDescent="0.25">
      <c r="A51" s="22">
        <v>-6.1078444532425159E-3</v>
      </c>
      <c r="B51" s="22">
        <v>-1.3583650000785857E-2</v>
      </c>
      <c r="C51" s="22">
        <v>-2.0983125603500432E-2</v>
      </c>
      <c r="I51" s="49" t="s">
        <v>186</v>
      </c>
      <c r="J51" s="278">
        <f>K48*J25+K49*J26</f>
        <v>1.0742816407065292</v>
      </c>
      <c r="K51" s="178"/>
      <c r="P51" s="22">
        <v>-1.3583650000785857E-2</v>
      </c>
      <c r="Q51" s="22">
        <v>-2.0983125603500432E-2</v>
      </c>
    </row>
    <row r="52" spans="1:17" x14ac:dyDescent="0.2">
      <c r="A52" s="22">
        <v>-3.0193622407246198E-2</v>
      </c>
      <c r="B52" s="22">
        <v>1.9462177706730234E-2</v>
      </c>
      <c r="C52" s="22">
        <v>-4.0816383196485067E-3</v>
      </c>
      <c r="I52" s="123" t="s">
        <v>240</v>
      </c>
      <c r="J52" s="279">
        <f>(K48^2*K25^2+K49^2*K26^2+2*K48*K49*K25*K26*K31)</f>
        <v>4.5772563153722315E-2</v>
      </c>
      <c r="K52" s="23"/>
      <c r="P52" s="22">
        <v>1.9462177706730234E-2</v>
      </c>
      <c r="Q52" s="22">
        <v>-4.0816383196485067E-3</v>
      </c>
    </row>
    <row r="53" spans="1:17" ht="17" thickBot="1" x14ac:dyDescent="0.25">
      <c r="A53" s="22">
        <v>-0.12322480884303538</v>
      </c>
      <c r="B53" s="22">
        <v>-9.7784351512724063E-3</v>
      </c>
      <c r="C53" s="22">
        <v>-7.6473256027448956E-3</v>
      </c>
      <c r="I53" s="131" t="s">
        <v>183</v>
      </c>
      <c r="J53" s="113">
        <f>SQRT(J52)</f>
        <v>0.21394523400562657</v>
      </c>
      <c r="P53" s="22">
        <v>-9.7784351512724063E-3</v>
      </c>
      <c r="Q53" s="22">
        <v>-7.6473256027448956E-3</v>
      </c>
    </row>
    <row r="54" spans="1:17" x14ac:dyDescent="0.2">
      <c r="A54" s="22">
        <v>4.5332618155461656E-2</v>
      </c>
      <c r="B54" s="22">
        <v>-1.6406995029815741E-2</v>
      </c>
      <c r="C54" s="22">
        <v>-4.0341404594183231E-3</v>
      </c>
      <c r="P54" s="22">
        <v>-1.6406995029815741E-2</v>
      </c>
      <c r="Q54" s="22">
        <v>-4.0341404594183231E-3</v>
      </c>
    </row>
    <row r="55" spans="1:17" ht="17" thickBot="1" x14ac:dyDescent="0.25">
      <c r="A55" s="22">
        <v>-6.4361463440254299E-2</v>
      </c>
      <c r="B55" s="22">
        <v>1.5434389992860051E-2</v>
      </c>
      <c r="C55" s="22">
        <v>3.6264418364331509E-2</v>
      </c>
      <c r="P55" s="22">
        <v>1.5434389992860051E-2</v>
      </c>
      <c r="Q55" s="22">
        <v>3.6264418364331509E-2</v>
      </c>
    </row>
    <row r="56" spans="1:17" ht="17" thickBot="1" x14ac:dyDescent="0.25">
      <c r="A56" s="22">
        <v>-2.2616031992075895E-2</v>
      </c>
      <c r="B56" s="22">
        <v>1.8379377031754198E-3</v>
      </c>
      <c r="C56" s="22">
        <v>2.2078818938836408E-2</v>
      </c>
      <c r="I56" s="160" t="s">
        <v>202</v>
      </c>
      <c r="J56" s="162"/>
      <c r="P56" s="22">
        <v>1.8379377031754198E-3</v>
      </c>
      <c r="Q56" s="22">
        <v>2.2078818938836408E-2</v>
      </c>
    </row>
    <row r="57" spans="1:17" x14ac:dyDescent="0.2">
      <c r="A57" s="22">
        <v>4.0473536785810095E-2</v>
      </c>
      <c r="B57" s="22">
        <v>1.153691507593344E-2</v>
      </c>
      <c r="C57" s="22">
        <v>-2.2954592797707397E-3</v>
      </c>
      <c r="I57" s="39" t="s">
        <v>197</v>
      </c>
      <c r="J57" s="117">
        <v>4</v>
      </c>
      <c r="K57" s="23"/>
      <c r="P57" s="22">
        <v>1.153691507593344E-2</v>
      </c>
      <c r="Q57" s="22">
        <v>-2.2954592797707397E-3</v>
      </c>
    </row>
    <row r="58" spans="1:17" x14ac:dyDescent="0.2">
      <c r="A58" s="22">
        <v>-2.6513196977727662E-2</v>
      </c>
      <c r="B58" s="22">
        <v>9.4589354609738146E-3</v>
      </c>
      <c r="C58" s="22">
        <v>3.4451678731957291E-3</v>
      </c>
      <c r="I58" s="40" t="s">
        <v>185</v>
      </c>
      <c r="J58" s="111">
        <v>4.2999999999999997E-2</v>
      </c>
      <c r="L58" s="64"/>
      <c r="P58" s="22">
        <v>9.4589354609738146E-3</v>
      </c>
      <c r="Q58" s="22">
        <v>3.4451678731957291E-3</v>
      </c>
    </row>
    <row r="59" spans="1:17" x14ac:dyDescent="0.2">
      <c r="A59" s="22">
        <v>-6.9405838661930494E-2</v>
      </c>
      <c r="B59" s="22">
        <v>3.3207911854249402E-3</v>
      </c>
      <c r="C59" s="22">
        <v>3.2231227839106688E-2</v>
      </c>
      <c r="I59" s="40" t="s">
        <v>199</v>
      </c>
      <c r="J59" s="111">
        <v>1.0742816407065292</v>
      </c>
      <c r="P59" s="22">
        <v>3.3207911854249402E-3</v>
      </c>
      <c r="Q59" s="22">
        <v>3.2231227839106688E-2</v>
      </c>
    </row>
    <row r="60" spans="1:17" x14ac:dyDescent="0.2">
      <c r="A60" s="22">
        <v>0.13235619574284688</v>
      </c>
      <c r="B60" s="22">
        <v>4.7791144032304708E-3</v>
      </c>
      <c r="C60" s="22">
        <v>4.353414384254483E-2</v>
      </c>
      <c r="I60" s="40" t="s">
        <v>200</v>
      </c>
      <c r="J60" s="111">
        <v>0.21394523400562657</v>
      </c>
      <c r="P60" s="22">
        <v>4.7791144032304708E-3</v>
      </c>
      <c r="Q60" s="22">
        <v>4.353414384254483E-2</v>
      </c>
    </row>
    <row r="61" spans="1:17" ht="17" thickBot="1" x14ac:dyDescent="0.25">
      <c r="A61" s="22">
        <v>4.3719014204121283E-2</v>
      </c>
      <c r="B61" s="22">
        <v>1.2669041024079673E-2</v>
      </c>
      <c r="C61" s="22">
        <v>1.9873539223595565E-2</v>
      </c>
      <c r="I61" s="41" t="s">
        <v>187</v>
      </c>
      <c r="J61" s="118">
        <v>4.5772563153722315E-2</v>
      </c>
      <c r="P61" s="22">
        <v>1.2669041024079673E-2</v>
      </c>
      <c r="Q61" s="22">
        <v>1.9873539223595565E-2</v>
      </c>
    </row>
    <row r="62" spans="1:17" ht="17" thickBot="1" x14ac:dyDescent="0.25">
      <c r="A62" s="22">
        <v>2.1297781844156385E-2</v>
      </c>
      <c r="B62" s="22">
        <v>9.9785384043313049E-3</v>
      </c>
      <c r="C62" s="22">
        <v>-5.7699402775296888E-3</v>
      </c>
      <c r="I62" s="121"/>
      <c r="J62" s="122"/>
      <c r="P62" s="22">
        <v>9.9785384043313049E-3</v>
      </c>
      <c r="Q62" s="22">
        <v>-5.7699402775296888E-3</v>
      </c>
    </row>
    <row r="63" spans="1:17" ht="17" thickBot="1" x14ac:dyDescent="0.25">
      <c r="A63" s="22">
        <v>1.5169436074565161E-2</v>
      </c>
      <c r="B63" s="22">
        <v>-8.0586100942054758E-3</v>
      </c>
      <c r="C63" s="22">
        <v>-1.658235375631064E-2</v>
      </c>
      <c r="I63" s="24" t="s">
        <v>188</v>
      </c>
      <c r="J63" s="120">
        <f>J59-J58/J57*J61</f>
        <v>1.0737895856526267</v>
      </c>
      <c r="P63" s="22">
        <v>-8.0586100942054758E-3</v>
      </c>
      <c r="Q63" s="22">
        <v>-1.658235375631064E-2</v>
      </c>
    </row>
    <row r="64" spans="1:17" ht="17" thickBot="1" x14ac:dyDescent="0.25">
      <c r="A64" s="22">
        <v>2.8138399516308116E-2</v>
      </c>
      <c r="B64" s="22">
        <v>6.7850279658272501E-4</v>
      </c>
      <c r="C64" s="22">
        <v>-1.195303385888141E-2</v>
      </c>
      <c r="I64" s="25"/>
      <c r="J64" s="35"/>
      <c r="P64" s="22">
        <v>6.7850279658272501E-4</v>
      </c>
      <c r="Q64" s="22">
        <v>-1.195303385888141E-2</v>
      </c>
    </row>
    <row r="65" spans="1:17" ht="18" thickBot="1" x14ac:dyDescent="0.25">
      <c r="A65" s="22">
        <v>-9.2608251692375407E-4</v>
      </c>
      <c r="B65" s="22">
        <v>-4.1111545356546438E-2</v>
      </c>
      <c r="C65" s="22">
        <v>-1.025650016718911E-2</v>
      </c>
      <c r="I65" s="70" t="s">
        <v>191</v>
      </c>
      <c r="J65" s="71">
        <f>1-J63</f>
        <v>-7.3789585652626721E-2</v>
      </c>
      <c r="P65" s="22">
        <v>-4.1111545356546438E-2</v>
      </c>
      <c r="Q65" s="22">
        <v>-1.025650016718911E-2</v>
      </c>
    </row>
    <row r="66" spans="1:17" ht="17" thickBot="1" x14ac:dyDescent="0.25">
      <c r="A66" s="22">
        <v>-3.8275173027768681E-3</v>
      </c>
      <c r="B66" s="22">
        <v>-5.6295482657918363E-3</v>
      </c>
      <c r="C66" s="22">
        <v>0.12042401565227501</v>
      </c>
      <c r="H66" s="68"/>
      <c r="I66" s="25"/>
      <c r="J66" s="35"/>
      <c r="P66" s="22">
        <v>-5.6295482657918363E-3</v>
      </c>
      <c r="Q66" s="22">
        <v>0.12042401565227501</v>
      </c>
    </row>
    <row r="67" spans="1:17" ht="17" thickBot="1" x14ac:dyDescent="0.25">
      <c r="A67" s="22">
        <v>-2.9095006942209657E-2</v>
      </c>
      <c r="B67" s="22">
        <v>-1.8398208548623098E-2</v>
      </c>
      <c r="C67" s="22">
        <v>1.7572981189245367E-3</v>
      </c>
      <c r="I67" s="163" t="s">
        <v>189</v>
      </c>
      <c r="J67" s="164"/>
      <c r="P67" s="22">
        <v>-1.8398208548623098E-2</v>
      </c>
      <c r="Q67" s="22">
        <v>1.7572981189245367E-3</v>
      </c>
    </row>
    <row r="68" spans="1:17" x14ac:dyDescent="0.2">
      <c r="A68" s="22">
        <v>4.9026692277806599E-3</v>
      </c>
      <c r="B68" s="22">
        <v>-2.8008937222648949E-2</v>
      </c>
      <c r="C68" s="22">
        <v>-6.8166589790977922E-3</v>
      </c>
      <c r="I68" s="39" t="s">
        <v>190</v>
      </c>
      <c r="J68" s="29">
        <f>J65</f>
        <v>-7.3789585652626721E-2</v>
      </c>
      <c r="L68" s="69"/>
      <c r="P68" s="22">
        <v>-2.8008937222648949E-2</v>
      </c>
      <c r="Q68" s="22">
        <v>-6.8166589790977922E-3</v>
      </c>
    </row>
    <row r="69" spans="1:17" x14ac:dyDescent="0.2">
      <c r="A69" s="22">
        <v>1.8616657692815893E-2</v>
      </c>
      <c r="B69" s="22">
        <v>4.7520750583816005E-3</v>
      </c>
      <c r="C69" s="22">
        <v>-1.3495481474884509E-2</v>
      </c>
      <c r="I69" s="40" t="s">
        <v>194</v>
      </c>
      <c r="J69" s="182">
        <f>J63*K48</f>
        <v>0.63704552214498156</v>
      </c>
      <c r="L69" s="69"/>
      <c r="P69" s="22">
        <v>4.7520750583816005E-3</v>
      </c>
      <c r="Q69" s="22">
        <v>-1.3495481474884509E-2</v>
      </c>
    </row>
    <row r="70" spans="1:17" x14ac:dyDescent="0.2">
      <c r="A70" s="22">
        <v>2.8606386335471207E-2</v>
      </c>
      <c r="B70" s="22">
        <v>-1.367841555763835E-2</v>
      </c>
      <c r="C70" s="22">
        <v>1.2913352808013893E-2</v>
      </c>
      <c r="I70" s="40" t="s">
        <v>166</v>
      </c>
      <c r="J70" s="29">
        <f>J63*K49</f>
        <v>0.43674406350764522</v>
      </c>
      <c r="L70" s="69"/>
      <c r="P70" s="22">
        <v>-1.367841555763835E-2</v>
      </c>
      <c r="Q70" s="22">
        <v>1.2913352808013893E-2</v>
      </c>
    </row>
    <row r="71" spans="1:17" x14ac:dyDescent="0.2">
      <c r="A71" s="22">
        <v>4.2702875096871122E-3</v>
      </c>
      <c r="B71" s="22">
        <v>6.5533227474655412E-2</v>
      </c>
      <c r="C71" s="22">
        <v>3.5340762032044809E-2</v>
      </c>
      <c r="I71" s="123" t="s">
        <v>198</v>
      </c>
      <c r="J71" s="125">
        <f>SUM(J68:J70)</f>
        <v>1</v>
      </c>
      <c r="P71" s="22">
        <v>6.5533227474655412E-2</v>
      </c>
      <c r="Q71" s="22">
        <v>3.5340762032044809E-2</v>
      </c>
    </row>
    <row r="72" spans="1:17" x14ac:dyDescent="0.2">
      <c r="A72" s="22">
        <v>6.7244706091615203E-2</v>
      </c>
      <c r="B72" s="22">
        <v>1.616219008155953E-2</v>
      </c>
      <c r="C72" s="22">
        <v>6.8562478704599691E-3</v>
      </c>
      <c r="I72" s="40" t="s">
        <v>203</v>
      </c>
      <c r="J72" s="29">
        <f>(J63*J59)+(J65*J58)</f>
        <v>1.150379485665425</v>
      </c>
      <c r="P72" s="22">
        <v>1.616219008155953E-2</v>
      </c>
      <c r="Q72" s="22">
        <v>6.8562478704599691E-3</v>
      </c>
    </row>
    <row r="73" spans="1:17" ht="17" thickBot="1" x14ac:dyDescent="0.25">
      <c r="A73" s="22">
        <v>2.9030124094253349E-2</v>
      </c>
      <c r="B73" s="22">
        <v>4.2208215500621768E-3</v>
      </c>
      <c r="C73" s="22">
        <v>1.7555053809221167E-2</v>
      </c>
      <c r="I73" s="124" t="s">
        <v>201</v>
      </c>
      <c r="J73" s="63">
        <f>J63*J60</f>
        <v>0.22973216417525602</v>
      </c>
      <c r="P73" s="22">
        <v>4.2208215500621768E-3</v>
      </c>
      <c r="Q73" s="22">
        <v>1.7555053809221167E-2</v>
      </c>
    </row>
    <row r="74" spans="1:17" x14ac:dyDescent="0.2">
      <c r="A74" s="22">
        <v>2.9377795420835698E-2</v>
      </c>
      <c r="B74" s="22">
        <v>3.6799595473400687E-3</v>
      </c>
      <c r="C74" s="22">
        <v>3.3291046712339248E-2</v>
      </c>
      <c r="P74" s="22">
        <v>3.6799595473400687E-3</v>
      </c>
      <c r="Q74" s="22">
        <v>3.3291046712339248E-2</v>
      </c>
    </row>
    <row r="75" spans="1:17" x14ac:dyDescent="0.2">
      <c r="A75" s="22">
        <v>5.6614735888401279E-3</v>
      </c>
      <c r="B75" s="22">
        <v>7.7385010188915733E-3</v>
      </c>
      <c r="C75" s="22">
        <v>-1.0167425017033264E-2</v>
      </c>
      <c r="P75" s="22">
        <v>7.7385010188915733E-3</v>
      </c>
      <c r="Q75" s="22">
        <v>-1.0167425017033264E-2</v>
      </c>
    </row>
    <row r="76" spans="1:17" x14ac:dyDescent="0.2">
      <c r="A76" s="22">
        <v>1.0665595170041156E-2</v>
      </c>
      <c r="B76" s="22">
        <v>5.9849989504649499E-3</v>
      </c>
      <c r="C76" s="22">
        <v>-1.9823288666649112E-2</v>
      </c>
      <c r="P76" s="22">
        <v>5.9849989504649499E-3</v>
      </c>
      <c r="Q76" s="22">
        <v>-1.9823288666649112E-2</v>
      </c>
    </row>
    <row r="77" spans="1:17" x14ac:dyDescent="0.2">
      <c r="A77" s="22">
        <v>3.9544959781226199E-2</v>
      </c>
      <c r="B77" s="22">
        <v>2.3813584990666514E-3</v>
      </c>
      <c r="C77" s="22">
        <v>-1.2932541940555944E-2</v>
      </c>
      <c r="P77" s="22">
        <v>2.3813584990666514E-3</v>
      </c>
      <c r="Q77" s="22">
        <v>-1.2932541940555944E-2</v>
      </c>
    </row>
    <row r="78" spans="1:17" x14ac:dyDescent="0.2">
      <c r="A78" s="22">
        <v>1.6906473501313482E-2</v>
      </c>
      <c r="B78" s="22">
        <v>-7.6906056499687269E-3</v>
      </c>
      <c r="C78" s="22">
        <v>-2.8946744689029053E-2</v>
      </c>
      <c r="P78" s="22">
        <v>-7.6906056499687269E-3</v>
      </c>
      <c r="Q78" s="22">
        <v>-2.8946744689029053E-2</v>
      </c>
    </row>
    <row r="79" spans="1:17" x14ac:dyDescent="0.2">
      <c r="A79" s="22">
        <v>-7.0373910382702772E-3</v>
      </c>
      <c r="B79" s="22">
        <v>-2.7002716677466481E-3</v>
      </c>
      <c r="C79" s="22">
        <v>-3.961965186534137E-4</v>
      </c>
      <c r="P79" s="22">
        <v>-2.7002716677466481E-3</v>
      </c>
      <c r="Q79" s="22">
        <v>-3.961965186534137E-4</v>
      </c>
    </row>
    <row r="80" spans="1:17" x14ac:dyDescent="0.2">
      <c r="A80" s="22">
        <v>7.3492775874803521E-3</v>
      </c>
      <c r="B80" s="22">
        <v>2.4749703262505378E-3</v>
      </c>
      <c r="C80" s="22">
        <v>0.12696049234821929</v>
      </c>
      <c r="P80" s="22">
        <v>2.4749703262505378E-3</v>
      </c>
      <c r="Q80" s="22">
        <v>0.12696049234821929</v>
      </c>
    </row>
    <row r="81" spans="1:17" x14ac:dyDescent="0.2">
      <c r="A81" s="22">
        <v>5.2524462705191019E-3</v>
      </c>
      <c r="B81" s="22">
        <v>1.76130909607621E-2</v>
      </c>
      <c r="C81" s="22">
        <v>2.1134748716203754E-2</v>
      </c>
      <c r="P81" s="22">
        <v>1.76130909607621E-2</v>
      </c>
      <c r="Q81" s="22">
        <v>2.1134748716203754E-2</v>
      </c>
    </row>
    <row r="82" spans="1:17" x14ac:dyDescent="0.2">
      <c r="A82" s="22">
        <v>-6.8658673474700522E-3</v>
      </c>
      <c r="B82" s="22">
        <v>-1.0605036959477104E-2</v>
      </c>
      <c r="C82" s="22">
        <v>-8.9174021812867873E-3</v>
      </c>
      <c r="P82" s="22">
        <v>-1.0605036959477104E-2</v>
      </c>
      <c r="Q82" s="22">
        <v>-8.9174021812867873E-3</v>
      </c>
    </row>
    <row r="83" spans="1:17" x14ac:dyDescent="0.2">
      <c r="A83" s="22">
        <v>1.58430124451743E-2</v>
      </c>
      <c r="B83" s="22">
        <v>2.1439628884388034E-2</v>
      </c>
      <c r="C83" s="22">
        <v>-1.3116425040074695E-2</v>
      </c>
      <c r="P83" s="22">
        <v>2.1439628884388034E-2</v>
      </c>
      <c r="Q83" s="22">
        <v>-1.3116425040074695E-2</v>
      </c>
    </row>
    <row r="84" spans="1:17" x14ac:dyDescent="0.2">
      <c r="A84" s="22">
        <v>1.5039428373743289E-2</v>
      </c>
      <c r="B84" s="22">
        <v>-4.970821171119879E-3</v>
      </c>
      <c r="C84" s="22">
        <v>-1.4276396835231537E-2</v>
      </c>
      <c r="P84" s="22">
        <v>-4.970821171119879E-3</v>
      </c>
      <c r="Q84" s="22">
        <v>-1.4276396835231537E-2</v>
      </c>
    </row>
    <row r="85" spans="1:17" x14ac:dyDescent="0.2">
      <c r="A85" s="22">
        <v>-7.0509341091897198E-3</v>
      </c>
      <c r="B85" s="22">
        <v>-7.352974305258806E-3</v>
      </c>
      <c r="C85" s="22">
        <v>-6.6423117686278325E-4</v>
      </c>
      <c r="P85" s="22">
        <v>-7.352974305258806E-3</v>
      </c>
      <c r="Q85" s="22">
        <v>-6.6423117686278325E-4</v>
      </c>
    </row>
    <row r="86" spans="1:17" x14ac:dyDescent="0.2">
      <c r="A86" s="22">
        <v>1.7086670062227742E-2</v>
      </c>
      <c r="B86" s="22">
        <v>7.00709316962624E-3</v>
      </c>
      <c r="C86" s="22">
        <v>-6.1783073845399199E-3</v>
      </c>
      <c r="P86" s="22">
        <v>7.00709316962624E-3</v>
      </c>
      <c r="Q86" s="22">
        <v>-6.1783073845399199E-3</v>
      </c>
    </row>
    <row r="87" spans="1:17" x14ac:dyDescent="0.2">
      <c r="A87" s="22">
        <v>1.0831764279557612E-2</v>
      </c>
      <c r="B87" s="22">
        <v>1.0778339263589955E-2</v>
      </c>
      <c r="C87" s="22">
        <v>5.7357315862116192E-3</v>
      </c>
      <c r="P87" s="22">
        <v>1.0778339263589955E-2</v>
      </c>
      <c r="Q87" s="22">
        <v>5.7357315862116192E-3</v>
      </c>
    </row>
    <row r="88" spans="1:17" x14ac:dyDescent="0.2">
      <c r="A88" s="22">
        <v>-2.8077893307234664E-2</v>
      </c>
      <c r="B88" s="22">
        <v>9.0127607215079019E-3</v>
      </c>
      <c r="C88" s="22">
        <v>-8.5913073871645568E-3</v>
      </c>
      <c r="P88" s="22">
        <v>9.0127607215079019E-3</v>
      </c>
      <c r="Q88" s="22">
        <v>-8.5913073871645568E-3</v>
      </c>
    </row>
    <row r="89" spans="1:17" x14ac:dyDescent="0.2">
      <c r="A89" s="22">
        <v>7.3143161716407636E-3</v>
      </c>
      <c r="B89" s="22">
        <v>1.1764707239295894E-3</v>
      </c>
      <c r="C89" s="22">
        <v>7.0438327774827621E-3</v>
      </c>
      <c r="P89" s="22">
        <v>1.1764707239295894E-3</v>
      </c>
      <c r="Q89" s="22">
        <v>7.0438327774827621E-3</v>
      </c>
    </row>
    <row r="90" spans="1:17" x14ac:dyDescent="0.2">
      <c r="A90" s="22">
        <v>5.457964654405386E-2</v>
      </c>
      <c r="B90" s="22">
        <v>3.3015004637552349E-3</v>
      </c>
      <c r="C90" s="22">
        <v>1.9179892143856521E-2</v>
      </c>
      <c r="P90" s="22">
        <v>3.3015004637552349E-3</v>
      </c>
      <c r="Q90" s="22">
        <v>1.9179892143856521E-2</v>
      </c>
    </row>
    <row r="91" spans="1:17" x14ac:dyDescent="0.2">
      <c r="A91" s="22">
        <v>2.2247241349191083E-2</v>
      </c>
      <c r="B91" s="22">
        <v>-1.7212531971778713E-2</v>
      </c>
      <c r="C91" s="22">
        <v>-8.9666594940408413E-3</v>
      </c>
      <c r="P91" s="22">
        <v>-1.7212531971778713E-2</v>
      </c>
      <c r="Q91" s="22">
        <v>-8.9666594940408413E-3</v>
      </c>
    </row>
    <row r="92" spans="1:17" x14ac:dyDescent="0.2">
      <c r="A92" s="22">
        <v>9.5233445366616626E-3</v>
      </c>
      <c r="B92" s="22">
        <v>1.0855081786100083E-2</v>
      </c>
      <c r="C92" s="22">
        <v>-9.9923114073395963E-3</v>
      </c>
      <c r="P92" s="22">
        <v>1.0855081786100083E-2</v>
      </c>
      <c r="Q92" s="22">
        <v>-9.9923114073395963E-3</v>
      </c>
    </row>
    <row r="93" spans="1:17" x14ac:dyDescent="0.2">
      <c r="A93" s="22">
        <v>-1.5037877364540559E-2</v>
      </c>
      <c r="B93" s="22">
        <v>9.1960091584559513E-3</v>
      </c>
      <c r="C93" s="22">
        <v>-9.2369251423634908E-3</v>
      </c>
      <c r="P93" s="22">
        <v>9.1960091584559513E-3</v>
      </c>
      <c r="Q93" s="22">
        <v>-9.2369251423634908E-3</v>
      </c>
    </row>
    <row r="94" spans="1:17" x14ac:dyDescent="0.2">
      <c r="A94" s="22">
        <v>4.2705993912420335E-3</v>
      </c>
      <c r="B94" s="22">
        <v>-1.8932676345145714E-3</v>
      </c>
      <c r="C94" s="22">
        <v>-1.7791747245555913E-2</v>
      </c>
      <c r="P94" s="22">
        <v>-1.8932676345145714E-3</v>
      </c>
      <c r="Q94" s="22">
        <v>-1.7791747245555913E-2</v>
      </c>
    </row>
    <row r="95" spans="1:17" x14ac:dyDescent="0.2">
      <c r="A95" s="22">
        <v>1.1179368721511686E-2</v>
      </c>
      <c r="B95" s="22">
        <v>4.9774930924385329E-3</v>
      </c>
      <c r="C95" s="22">
        <v>1.6260520871780326E-2</v>
      </c>
      <c r="P95" s="22">
        <v>4.9774930924385329E-3</v>
      </c>
      <c r="Q95" s="22">
        <v>1.6260520871780326E-2</v>
      </c>
    </row>
    <row r="96" spans="1:17" x14ac:dyDescent="0.2">
      <c r="A96" s="22">
        <v>4.2574847113894712E-2</v>
      </c>
      <c r="B96" s="22">
        <v>-6.7491819749283376E-3</v>
      </c>
      <c r="C96" s="22">
        <v>-1.5288853038191305E-3</v>
      </c>
      <c r="P96" s="22">
        <v>-6.7491819749283376E-3</v>
      </c>
      <c r="Q96" s="22">
        <v>-1.5288853038191305E-3</v>
      </c>
    </row>
    <row r="97" spans="1:17" x14ac:dyDescent="0.2">
      <c r="A97" s="22">
        <v>1.6992845247839471E-2</v>
      </c>
      <c r="B97" s="22">
        <v>9.4854872929682615E-3</v>
      </c>
      <c r="C97" s="22">
        <v>-1.0637243467311156E-2</v>
      </c>
      <c r="P97" s="22">
        <v>9.4854872929682615E-3</v>
      </c>
      <c r="Q97" s="22">
        <v>-1.0637243467311156E-2</v>
      </c>
    </row>
    <row r="98" spans="1:17" x14ac:dyDescent="0.2">
      <c r="A98" s="22">
        <v>3.2908676995987901E-2</v>
      </c>
      <c r="B98" s="22">
        <v>1.1920373327126909E-3</v>
      </c>
      <c r="C98" s="22">
        <v>-1.4364058738105987E-2</v>
      </c>
      <c r="P98" s="22">
        <v>1.1920373327126909E-3</v>
      </c>
      <c r="Q98" s="22">
        <v>-1.4364058738105987E-2</v>
      </c>
    </row>
    <row r="99" spans="1:17" x14ac:dyDescent="0.2">
      <c r="A99" s="22">
        <v>-2.6413533659916774E-3</v>
      </c>
      <c r="B99" s="22">
        <v>2.7470904107655403E-3</v>
      </c>
      <c r="C99" s="22">
        <v>-2.0228249775471548E-2</v>
      </c>
      <c r="P99" s="22">
        <v>2.7470904107655403E-3</v>
      </c>
      <c r="Q99" s="22">
        <v>-2.0228249775471548E-2</v>
      </c>
    </row>
    <row r="100" spans="1:17" x14ac:dyDescent="0.2">
      <c r="A100" s="22">
        <v>1.496921726632966E-2</v>
      </c>
      <c r="B100" s="22">
        <v>6.8407107443879895E-3</v>
      </c>
      <c r="C100" s="22">
        <v>1.9589883970199246E-2</v>
      </c>
      <c r="P100" s="22">
        <v>6.8407107443879895E-3</v>
      </c>
      <c r="Q100" s="22">
        <v>1.9589883970199246E-2</v>
      </c>
    </row>
    <row r="101" spans="1:17" x14ac:dyDescent="0.2">
      <c r="A101" s="22">
        <v>-5.9774789543178879E-2</v>
      </c>
      <c r="B101" s="22">
        <v>1.0045470253536514E-2</v>
      </c>
      <c r="C101" s="22">
        <v>2.7605807366075395E-2</v>
      </c>
      <c r="P101" s="22">
        <v>1.0045470253536514E-2</v>
      </c>
      <c r="Q101" s="22">
        <v>2.7605807366075395E-2</v>
      </c>
    </row>
    <row r="102" spans="1:17" x14ac:dyDescent="0.2">
      <c r="A102" s="22">
        <v>-1.3777227334270186E-2</v>
      </c>
      <c r="B102" s="22">
        <v>-1.9036719461153186E-2</v>
      </c>
      <c r="C102" s="22">
        <v>7.2424326226614745E-3</v>
      </c>
      <c r="P102" s="22">
        <v>-1.9036719461153186E-2</v>
      </c>
      <c r="Q102" s="22">
        <v>7.2424326226614745E-3</v>
      </c>
    </row>
    <row r="103" spans="1:17" x14ac:dyDescent="0.2">
      <c r="A103" s="22">
        <v>-1.2183610579532758E-2</v>
      </c>
      <c r="B103" s="22">
        <v>-2.3840755123405166E-3</v>
      </c>
      <c r="C103" s="22">
        <v>2.8598910662000685E-2</v>
      </c>
      <c r="P103" s="22">
        <v>-2.3840755123405166E-3</v>
      </c>
      <c r="Q103" s="22">
        <v>2.8598910662000685E-2</v>
      </c>
    </row>
    <row r="104" spans="1:17" x14ac:dyDescent="0.2">
      <c r="A104" s="22">
        <v>1.6787003048776721E-2</v>
      </c>
      <c r="B104" s="22">
        <v>5.9548623209097914E-4</v>
      </c>
      <c r="C104" s="22">
        <v>3.5763414545240756E-2</v>
      </c>
      <c r="P104" s="22">
        <v>5.9548623209097914E-4</v>
      </c>
      <c r="Q104" s="22">
        <v>3.5763414545240756E-2</v>
      </c>
    </row>
    <row r="105" spans="1:17" x14ac:dyDescent="0.2">
      <c r="A105" s="22">
        <v>2.2269460310865383E-2</v>
      </c>
      <c r="B105" s="22">
        <v>4.766444322843146E-4</v>
      </c>
      <c r="C105" s="22">
        <v>-5.855503321475713E-3</v>
      </c>
      <c r="P105" s="22">
        <v>4.766444322843146E-4</v>
      </c>
      <c r="Q105" s="22">
        <v>-5.855503321475713E-3</v>
      </c>
    </row>
    <row r="106" spans="1:17" x14ac:dyDescent="0.2">
      <c r="A106" s="22">
        <v>3.7679843807001012E-2</v>
      </c>
      <c r="B106" s="22">
        <v>1.1919661495741988E-4</v>
      </c>
      <c r="C106" s="22">
        <v>-7.2135274982150326E-3</v>
      </c>
      <c r="P106" s="22">
        <v>1.1919661495741988E-4</v>
      </c>
      <c r="Q106" s="22">
        <v>-7.2135274982150326E-3</v>
      </c>
    </row>
    <row r="107" spans="1:17" x14ac:dyDescent="0.2">
      <c r="A107" s="22">
        <v>9.4456952183469677E-3</v>
      </c>
      <c r="B107" s="22">
        <v>1.0063580798899475E-2</v>
      </c>
      <c r="C107" s="22">
        <v>-3.4718238784742753E-3</v>
      </c>
      <c r="P107" s="22">
        <v>1.0063580798899475E-2</v>
      </c>
      <c r="Q107" s="22">
        <v>-3.4718238784742753E-3</v>
      </c>
    </row>
    <row r="108" spans="1:17" x14ac:dyDescent="0.2">
      <c r="A108" s="22">
        <v>4.077381840362708E-2</v>
      </c>
      <c r="B108" s="22">
        <v>-1.323626930508253E-3</v>
      </c>
      <c r="C108" s="22">
        <v>4.6221401331344693E-4</v>
      </c>
      <c r="P108" s="22">
        <v>-1.323626930508253E-3</v>
      </c>
      <c r="Q108" s="22">
        <v>4.6221401331344693E-4</v>
      </c>
    </row>
    <row r="109" spans="1:17" x14ac:dyDescent="0.2">
      <c r="A109" s="22">
        <v>3.5959203259199768E-2</v>
      </c>
      <c r="B109" s="22">
        <v>4.2176359442032919E-3</v>
      </c>
      <c r="C109" s="22">
        <v>1.1625334368068193E-2</v>
      </c>
      <c r="P109" s="22">
        <v>4.2176359442032919E-3</v>
      </c>
      <c r="Q109" s="22">
        <v>1.1625334368068193E-2</v>
      </c>
    </row>
    <row r="110" spans="1:17" x14ac:dyDescent="0.2">
      <c r="A110" s="22">
        <v>1.7834454540492414E-2</v>
      </c>
      <c r="B110" s="22">
        <v>-4.217635944203357E-3</v>
      </c>
      <c r="C110" s="22">
        <v>1.6981540148094072E-2</v>
      </c>
      <c r="P110" s="22">
        <v>-4.217635944203357E-3</v>
      </c>
      <c r="Q110" s="22">
        <v>1.6981540148094072E-2</v>
      </c>
    </row>
    <row r="111" spans="1:17" x14ac:dyDescent="0.2">
      <c r="A111" s="22">
        <v>6.8689740640698717E-3</v>
      </c>
      <c r="B111" s="22">
        <v>2.7058323542092672E-2</v>
      </c>
      <c r="C111" s="22">
        <v>6.9220947118858057E-3</v>
      </c>
      <c r="P111" s="22">
        <v>2.7058323542092672E-2</v>
      </c>
      <c r="Q111" s="22">
        <v>6.9220947118858057E-3</v>
      </c>
    </row>
    <row r="112" spans="1:17" x14ac:dyDescent="0.2">
      <c r="A112" s="22">
        <v>2.0292986861230561E-3</v>
      </c>
      <c r="B112" s="22">
        <v>-6.1584133544931065E-3</v>
      </c>
      <c r="C112" s="22">
        <v>1.3989615515051092E-2</v>
      </c>
      <c r="P112" s="22">
        <v>-6.1584133544931065E-3</v>
      </c>
      <c r="Q112" s="22">
        <v>1.3989615515051092E-2</v>
      </c>
    </row>
    <row r="113" spans="1:17" x14ac:dyDescent="0.2">
      <c r="A113" s="22">
        <v>-4.9013187274204589E-3</v>
      </c>
      <c r="B113" s="22">
        <v>2.8269113618870276E-2</v>
      </c>
      <c r="C113" s="22">
        <v>-2.9105041161854909E-3</v>
      </c>
      <c r="P113" s="22">
        <v>2.8269113618870276E-2</v>
      </c>
      <c r="Q113" s="22">
        <v>-2.9105041161854909E-3</v>
      </c>
    </row>
    <row r="114" spans="1:17" x14ac:dyDescent="0.2">
      <c r="A114" s="22">
        <v>-8.7923435787783562E-3</v>
      </c>
      <c r="B114" s="22">
        <v>5.7001864393445376E-3</v>
      </c>
      <c r="C114" s="22">
        <v>2.278114441259067E-2</v>
      </c>
      <c r="P114" s="22">
        <v>5.7001864393445376E-3</v>
      </c>
      <c r="Q114" s="22">
        <v>2.278114441259067E-2</v>
      </c>
    </row>
    <row r="115" spans="1:17" x14ac:dyDescent="0.2">
      <c r="A115" s="22">
        <v>7.2648065924676144E-3</v>
      </c>
      <c r="B115" s="22">
        <v>-6.349609712349017E-4</v>
      </c>
      <c r="C115" s="22">
        <v>-2.4475034714765524E-2</v>
      </c>
      <c r="P115" s="22">
        <v>-6.349609712349017E-4</v>
      </c>
      <c r="Q115" s="22">
        <v>-2.4475034714765524E-2</v>
      </c>
    </row>
    <row r="116" spans="1:17" x14ac:dyDescent="0.2">
      <c r="A116" s="22">
        <v>-1.381803268834962E-2</v>
      </c>
      <c r="B116" s="22">
        <v>-4.5598559058690237E-3</v>
      </c>
      <c r="C116" s="22">
        <v>4.1187217521844455E-3</v>
      </c>
      <c r="P116" s="22">
        <v>-4.5598559058690237E-3</v>
      </c>
      <c r="Q116" s="22">
        <v>4.1187217521844455E-3</v>
      </c>
    </row>
    <row r="117" spans="1:17" x14ac:dyDescent="0.2">
      <c r="A117" s="22">
        <v>-1.3936474637033335E-2</v>
      </c>
      <c r="B117" s="22">
        <v>-7.1775161750674875E-3</v>
      </c>
      <c r="C117" s="22">
        <v>-9.1832448165567425E-3</v>
      </c>
      <c r="P117" s="22">
        <v>-7.1775161750674875E-3</v>
      </c>
      <c r="Q117" s="22">
        <v>-9.1832448165567425E-3</v>
      </c>
    </row>
    <row r="118" spans="1:17" x14ac:dyDescent="0.2">
      <c r="A118" s="22">
        <v>-6.3979343183606111E-2</v>
      </c>
      <c r="B118" s="22">
        <v>8.8217333291479086E-3</v>
      </c>
      <c r="C118" s="22">
        <v>1.4538661705766315E-2</v>
      </c>
      <c r="P118" s="22">
        <v>8.8217333291479086E-3</v>
      </c>
      <c r="Q118" s="22">
        <v>1.4538661705766315E-2</v>
      </c>
    </row>
    <row r="119" spans="1:17" x14ac:dyDescent="0.2">
      <c r="A119" s="22">
        <v>-2.1613427127748618E-3</v>
      </c>
      <c r="B119" s="22">
        <v>-5.6800405157035683E-3</v>
      </c>
      <c r="C119" s="22">
        <v>1.1044412178297013E-2</v>
      </c>
      <c r="P119" s="22">
        <v>-5.6800405157035683E-3</v>
      </c>
      <c r="Q119" s="22">
        <v>1.1044412178297013E-2</v>
      </c>
    </row>
    <row r="120" spans="1:17" x14ac:dyDescent="0.2">
      <c r="A120" s="22">
        <v>-2.5691328402466973E-3</v>
      </c>
      <c r="B120" s="22">
        <v>1.1265228936514462E-2</v>
      </c>
      <c r="C120" s="22">
        <v>-4.4324130680666986E-3</v>
      </c>
      <c r="P120" s="22">
        <v>1.1265228936514462E-2</v>
      </c>
      <c r="Q120" s="22">
        <v>-4.4324130680666986E-3</v>
      </c>
    </row>
    <row r="121" spans="1:17" x14ac:dyDescent="0.2">
      <c r="A121" s="22">
        <v>1.6970020199228861E-2</v>
      </c>
      <c r="B121" s="22">
        <v>2.0057242192526539E-2</v>
      </c>
      <c r="C121" s="22">
        <v>1.0869672236903891E-2</v>
      </c>
      <c r="P121" s="22">
        <v>2.0057242192526539E-2</v>
      </c>
      <c r="Q121" s="22">
        <v>1.0869672236903891E-2</v>
      </c>
    </row>
    <row r="122" spans="1:17" x14ac:dyDescent="0.2">
      <c r="A122" s="22">
        <v>-4.2550782098866062E-3</v>
      </c>
      <c r="B122" s="22">
        <v>5.196154962327853E-4</v>
      </c>
      <c r="C122" s="22">
        <v>-1.0132299707487809E-2</v>
      </c>
      <c r="P122" s="22">
        <v>5.196154962327853E-4</v>
      </c>
      <c r="Q122" s="22">
        <v>-1.0132299707487809E-2</v>
      </c>
    </row>
    <row r="123" spans="1:17" x14ac:dyDescent="0.2">
      <c r="A123" s="22">
        <v>3.4515051783441187E-3</v>
      </c>
      <c r="B123" s="22">
        <v>3.1233757822681551E-3</v>
      </c>
      <c r="C123" s="22">
        <v>-2.4050715913692598E-2</v>
      </c>
      <c r="P123" s="22">
        <v>3.1233757822681551E-3</v>
      </c>
      <c r="Q123" s="22">
        <v>-2.4050715913692598E-2</v>
      </c>
    </row>
    <row r="124" spans="1:17" x14ac:dyDescent="0.2">
      <c r="A124" s="22">
        <v>3.4439203475381507E-2</v>
      </c>
      <c r="B124" s="22">
        <v>1.0745746173598549E-2</v>
      </c>
      <c r="C124" s="22">
        <v>3.6420987461635052E-2</v>
      </c>
      <c r="P124" s="22">
        <v>1.0745746173598549E-2</v>
      </c>
      <c r="Q124" s="22">
        <v>3.6420987461635052E-2</v>
      </c>
    </row>
    <row r="125" spans="1:17" x14ac:dyDescent="0.2">
      <c r="A125" s="22">
        <v>5.5217050925311954E-3</v>
      </c>
      <c r="B125" s="22">
        <v>1.0196738020515085E-2</v>
      </c>
      <c r="C125" s="22">
        <v>-2.4103478751887952E-2</v>
      </c>
      <c r="P125" s="22">
        <v>1.0196738020515085E-2</v>
      </c>
      <c r="Q125" s="22">
        <v>-2.4103478751887952E-2</v>
      </c>
    </row>
    <row r="126" spans="1:17" x14ac:dyDescent="0.2">
      <c r="A126" s="22" t="s">
        <v>145</v>
      </c>
      <c r="B126" s="22" t="s">
        <v>145</v>
      </c>
      <c r="C126" s="22" t="s">
        <v>145</v>
      </c>
      <c r="P126" s="22" t="s">
        <v>145</v>
      </c>
      <c r="Q126" s="22" t="s">
        <v>145</v>
      </c>
    </row>
  </sheetData>
  <mergeCells count="13">
    <mergeCell ref="X1:Z1"/>
    <mergeCell ref="AB1:AB12"/>
    <mergeCell ref="T1:U1"/>
    <mergeCell ref="I23:K23"/>
    <mergeCell ref="I56:J56"/>
    <mergeCell ref="I67:J67"/>
    <mergeCell ref="I15:M15"/>
    <mergeCell ref="I3:L3"/>
    <mergeCell ref="I9:L9"/>
    <mergeCell ref="I29:K29"/>
    <mergeCell ref="I34:K34"/>
    <mergeCell ref="I39:K39"/>
    <mergeCell ref="L25:L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TPL</vt:lpstr>
      <vt:lpstr>GILD</vt:lpstr>
      <vt:lpstr>TPR</vt:lpstr>
      <vt:lpstr>Portfolio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Zappone</dc:creator>
  <cp:lastModifiedBy>Leon Zappone</cp:lastModifiedBy>
  <dcterms:created xsi:type="dcterms:W3CDTF">2025-03-05T17:19:00Z</dcterms:created>
  <dcterms:modified xsi:type="dcterms:W3CDTF">2025-03-11T17:24:34Z</dcterms:modified>
</cp:coreProperties>
</file>