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<sst xmlns="http://schemas.openxmlformats.org/spreadsheetml/2006/main" count="60">
  <si>
    <t>士兰微营收拆分</t>
  </si>
  <si>
    <t>年份</t>
  </si>
  <si>
    <t>营收(万元）</t>
  </si>
  <si>
    <t>二极管营收</t>
  </si>
  <si>
    <t>增速</t>
  </si>
  <si>
    <t>营收比例</t>
  </si>
  <si>
    <t>毛利率</t>
  </si>
  <si>
    <t>集成电路营收</t>
  </si>
  <si>
    <t>独立器件营收</t>
  </si>
  <si>
    <t>其他业务营收</t>
  </si>
  <si>
    <t>整体毛利率</t>
  </si>
  <si>
    <t>2020E</t>
  </si>
  <si>
    <t>2021E</t>
  </si>
  <si>
    <t>2021E（毛利恢复）</t>
  </si>
  <si>
    <t>明年营收为核心预测，基于明年晶圆代工产能供给依旧紧平衡或供不应求，保持满产）</t>
  </si>
  <si>
    <t>（2021财务分析拆出厦门12寸分部，华虹无锡厂从19年9月投片到预计2021年Q2ebitda转正用18个月。假设在涨价条件下厦门士兰用12-15个月ebitda转正）</t>
  </si>
  <si>
    <t>按照开源电子专家访谈，Q4满产营收为约18亿，全年48亿。年化产能有望达72亿，此处按最保守不计入新产能情况下估计70亿）</t>
  </si>
  <si>
    <t>产能</t>
  </si>
  <si>
    <t>5寸</t>
  </si>
  <si>
    <t>6寸</t>
  </si>
  <si>
    <t>8寸</t>
  </si>
  <si>
    <t>12寸</t>
  </si>
  <si>
    <t>10万/月</t>
  </si>
  <si>
    <t>11万/月</t>
  </si>
  <si>
    <t>6万/月</t>
  </si>
  <si>
    <t>投片</t>
  </si>
  <si>
    <t>8万/月</t>
  </si>
  <si>
    <t>5万片（年底达满产可靠性存疑，士兰微8寸厂产能爬坡共用了快3年，假设第一年不贡献利润，ebitda能打平，将分部拆出不计算在内）</t>
  </si>
  <si>
    <t>2016A</t>
  </si>
  <si>
    <t>2017A</t>
  </si>
  <si>
    <t>2018A</t>
  </si>
  <si>
    <t>2019A</t>
  </si>
  <si>
    <t>2020Q3</t>
  </si>
  <si>
    <t>营业总收入</t>
  </si>
  <si>
    <t>同比增速</t>
  </si>
  <si>
    <t>营业成本</t>
  </si>
  <si>
    <t>毛利</t>
  </si>
  <si>
    <t>％营业收入</t>
  </si>
  <si>
    <t>营业税金及附加</t>
  </si>
  <si>
    <t>销售费用</t>
  </si>
  <si>
    <t>管理费用</t>
  </si>
  <si>
    <t>研发费用</t>
  </si>
  <si>
    <t>。</t>
  </si>
  <si>
    <t>财务费用</t>
  </si>
  <si>
    <t>操作利润</t>
  </si>
  <si>
    <t>加：其他收益</t>
  </si>
  <si>
    <t>投资收益</t>
  </si>
  <si>
    <r>
      <rPr>
        <sz val="10"/>
        <color theme="1"/>
        <rFont val="Courier New"/>
        <charset val="134"/>
      </rPr>
      <t xml:space="preserve"> </t>
    </r>
    <r>
      <rPr>
        <sz val="10"/>
        <color theme="1"/>
        <rFont val="宋体"/>
        <charset val="134"/>
      </rPr>
      <t>公允价值变动收益</t>
    </r>
  </si>
  <si>
    <t>资产减值损失</t>
  </si>
  <si>
    <t>信用减值损失</t>
  </si>
  <si>
    <t>营业利润</t>
  </si>
  <si>
    <t>营业外收支</t>
  </si>
  <si>
    <t>利润总额</t>
  </si>
  <si>
    <t>所得税费用</t>
  </si>
  <si>
    <t>算下税率</t>
  </si>
  <si>
    <t>N/A</t>
  </si>
  <si>
    <t>净利润</t>
  </si>
  <si>
    <t>？</t>
  </si>
  <si>
    <t>归属于母公司所有者的净利润</t>
  </si>
  <si>
    <t>少数股东损益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</si>
</sst>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_ "/>
    <numFmt numFmtId="178" formatCode="0.00_ 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Courier New"/>
      <charset val="134"/>
    </font>
    <font>
      <sz val="10"/>
      <color theme="1"/>
      <name val="Songti SC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2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21" fillId="17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5" borderId="2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178" fontId="0" fillId="0" borderId="3" xfId="0" applyNumberFormat="1" applyBorder="1"/>
    <xf numFmtId="10" fontId="0" fillId="0" borderId="0" xfId="47" applyNumberFormat="1"/>
    <xf numFmtId="0" fontId="1" fillId="0" borderId="0" xfId="0" applyFont="1"/>
    <xf numFmtId="0" fontId="0" fillId="0" borderId="4" xfId="0" applyBorder="1"/>
    <xf numFmtId="9" fontId="1" fillId="0" borderId="5" xfId="0" applyNumberFormat="1" applyFont="1" applyBorder="1"/>
    <xf numFmtId="0" fontId="2" fillId="0" borderId="0" xfId="0" applyFont="1"/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7" fontId="3" fillId="0" borderId="9" xfId="0" applyNumberFormat="1" applyFont="1" applyFill="1" applyBorder="1" applyAlignment="1">
      <alignment horizontal="center" vertical="center" wrapText="1"/>
    </xf>
    <xf numFmtId="9" fontId="3" fillId="0" borderId="9" xfId="47" applyFont="1" applyFill="1" applyBorder="1" applyAlignment="1">
      <alignment horizontal="center" vertical="center" wrapText="1"/>
    </xf>
    <xf numFmtId="9" fontId="3" fillId="0" borderId="9" xfId="47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9" fontId="4" fillId="0" borderId="9" xfId="47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8" fontId="4" fillId="0" borderId="9" xfId="47" applyNumberFormat="1" applyFont="1" applyFill="1" applyBorder="1" applyAlignment="1">
      <alignment horizontal="center" vertical="center" wrapText="1"/>
    </xf>
    <xf numFmtId="177" fontId="5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7" fontId="3" fillId="0" borderId="11" xfId="0" applyNumberFormat="1" applyFont="1" applyFill="1" applyBorder="1" applyAlignment="1">
      <alignment horizontal="center" vertical="center" wrapText="1"/>
    </xf>
    <xf numFmtId="0" fontId="0" fillId="0" borderId="12" xfId="0" applyBorder="1"/>
    <xf numFmtId="10" fontId="0" fillId="0" borderId="0" xfId="0" applyNumberFormat="1"/>
    <xf numFmtId="10" fontId="0" fillId="0" borderId="11" xfId="0" applyNumberFormat="1" applyBorder="1"/>
    <xf numFmtId="0" fontId="0" fillId="0" borderId="11" xfId="0" applyNumberFormat="1" applyBorder="1"/>
    <xf numFmtId="10" fontId="0" fillId="0" borderId="5" xfId="47" applyNumberFormat="1" applyBorder="1"/>
    <xf numFmtId="0" fontId="0" fillId="0" borderId="9" xfId="0" applyBorder="1"/>
    <xf numFmtId="9" fontId="1" fillId="0" borderId="5" xfId="47" applyNumberFormat="1" applyFont="1" applyBorder="1"/>
    <xf numFmtId="0" fontId="1" fillId="0" borderId="0" xfId="0" applyFont="1"/>
    <xf numFmtId="0" fontId="5" fillId="0" borderId="7" xfId="0" applyFont="1" applyFill="1" applyBorder="1" applyAlignment="1">
      <alignment horizontal="center" vertical="center"/>
    </xf>
    <xf numFmtId="9" fontId="3" fillId="0" borderId="11" xfId="47" applyNumberFormat="1" applyFont="1" applyFill="1" applyBorder="1" applyAlignment="1">
      <alignment horizontal="center" vertical="center" wrapText="1"/>
    </xf>
    <xf numFmtId="9" fontId="5" fillId="0" borderId="9" xfId="47" applyNumberFormat="1" applyFont="1" applyFill="1" applyBorder="1" applyAlignment="1">
      <alignment horizontal="center" vertical="center"/>
    </xf>
    <xf numFmtId="9" fontId="5" fillId="0" borderId="13" xfId="47" applyNumberFormat="1" applyFont="1" applyFill="1" applyBorder="1" applyAlignment="1">
      <alignment horizontal="center" vertical="center"/>
    </xf>
    <xf numFmtId="9" fontId="5" fillId="0" borderId="14" xfId="47" applyNumberFormat="1" applyFont="1" applyFill="1" applyBorder="1" applyAlignment="1">
      <alignment horizontal="center" vertical="center"/>
    </xf>
    <xf numFmtId="9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0" fontId="1" fillId="0" borderId="5" xfId="0" applyNumberFormat="1" applyFont="1" applyBorder="1"/>
    <xf numFmtId="10" fontId="0" fillId="0" borderId="9" xfId="0" applyNumberFormat="1" applyBorder="1"/>
    <xf numFmtId="0" fontId="5" fillId="0" borderId="15" xfId="0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9" fontId="5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 wrapText="1"/>
    </xf>
    <xf numFmtId="177" fontId="5" fillId="0" borderId="16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9" fontId="0" fillId="0" borderId="0" xfId="0" applyNumberFormat="1"/>
    <xf numFmtId="176" fontId="1" fillId="0" borderId="5" xfId="0" applyNumberFormat="1" applyFont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9" fontId="3" fillId="0" borderId="0" xfId="47" applyFont="1" applyFill="1" applyBorder="1" applyAlignment="1">
      <alignment horizontal="center" vertical="center" wrapText="1"/>
    </xf>
    <xf numFmtId="9" fontId="3" fillId="0" borderId="0" xfId="47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47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0" xfId="47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0" fontId="0" fillId="0" borderId="12" xfId="47" applyNumberFormat="1" applyBorder="1"/>
    <xf numFmtId="10" fontId="0" fillId="0" borderId="11" xfId="47" applyNumberFormat="1" applyBorder="1"/>
    <xf numFmtId="10" fontId="8" fillId="0" borderId="0" xfId="47" applyNumberFormat="1" applyFont="1"/>
    <xf numFmtId="10" fontId="0" fillId="0" borderId="9" xfId="47" applyNumberFormat="1" applyBorder="1"/>
    <xf numFmtId="0" fontId="0" fillId="0" borderId="0" xfId="0" applyAlignment="1">
      <alignment horizont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abSelected="1" zoomScale="101" zoomScaleNormal="101" workbookViewId="0">
      <selection activeCell="C21" sqref="C21"/>
    </sheetView>
  </sheetViews>
  <sheetFormatPr defaultColWidth="9" defaultRowHeight="14"/>
  <cols>
    <col min="1" max="1" width="15.71875" customWidth="1"/>
    <col min="2" max="2" width="10.5"/>
    <col min="3" max="4" width="12.6875"/>
    <col min="6" max="6" width="12.6875"/>
    <col min="7" max="8" width="14.1875"/>
    <col min="11" max="12" width="14.1875"/>
    <col min="14" max="14" width="11" customWidth="1"/>
    <col min="15" max="16" width="11" hidden="1" customWidth="1"/>
    <col min="17" max="17" width="11.0625" hidden="1" customWidth="1"/>
    <col min="18" max="18" width="12.75"/>
    <col min="19" max="21" width="12.6875"/>
    <col min="22" max="22" width="13.8125"/>
  </cols>
  <sheetData>
    <row r="1" spans="1:1">
      <c r="A1" t="s">
        <v>0</v>
      </c>
    </row>
    <row r="2" spans="1:22">
      <c r="A2" t="s">
        <v>1</v>
      </c>
      <c r="B2" t="s">
        <v>2</v>
      </c>
      <c r="C2" s="1" t="s">
        <v>3</v>
      </c>
      <c r="D2" s="2" t="s">
        <v>4</v>
      </c>
      <c r="E2" s="2" t="s">
        <v>5</v>
      </c>
      <c r="F2" s="26" t="s">
        <v>6</v>
      </c>
      <c r="G2" s="1" t="s">
        <v>7</v>
      </c>
      <c r="H2" s="2" t="s">
        <v>4</v>
      </c>
      <c r="I2" s="2" t="s">
        <v>5</v>
      </c>
      <c r="J2" s="26" t="s">
        <v>6</v>
      </c>
      <c r="K2" s="1" t="s">
        <v>8</v>
      </c>
      <c r="L2" s="2" t="s">
        <v>4</v>
      </c>
      <c r="M2" s="2" t="s">
        <v>5</v>
      </c>
      <c r="N2" s="26" t="s">
        <v>6</v>
      </c>
      <c r="R2" s="1" t="s">
        <v>9</v>
      </c>
      <c r="S2" s="2" t="s">
        <v>4</v>
      </c>
      <c r="T2" s="2" t="s">
        <v>5</v>
      </c>
      <c r="U2" s="69" t="s">
        <v>6</v>
      </c>
      <c r="V2" t="s">
        <v>10</v>
      </c>
    </row>
    <row r="3" spans="1:22">
      <c r="A3">
        <v>2015</v>
      </c>
      <c r="B3">
        <v>192641.48</v>
      </c>
      <c r="C3" s="3">
        <f>B3*E3</f>
        <v>30071.335028</v>
      </c>
      <c r="D3" s="4">
        <v>-0.234</v>
      </c>
      <c r="E3" s="27">
        <v>0.1561</v>
      </c>
      <c r="F3" s="28">
        <v>0.2445</v>
      </c>
      <c r="G3" s="3">
        <f>B3*I3</f>
        <v>76748.365632</v>
      </c>
      <c r="H3" s="4">
        <v>0.1321</v>
      </c>
      <c r="I3" s="27">
        <v>0.3984</v>
      </c>
      <c r="J3" s="28">
        <v>0.2987</v>
      </c>
      <c r="K3" s="3">
        <f>B3*M3</f>
        <v>82835.8364</v>
      </c>
      <c r="L3" s="27">
        <v>0.0523</v>
      </c>
      <c r="M3" s="53">
        <v>0.43</v>
      </c>
      <c r="N3" s="28">
        <v>0.2395</v>
      </c>
      <c r="R3" s="3">
        <v>2975.69</v>
      </c>
      <c r="S3" s="4">
        <f>R3/(194.29+1033.67)-1</f>
        <v>1.42327925991075</v>
      </c>
      <c r="T3" s="4">
        <v>0.0155</v>
      </c>
      <c r="U3" s="70">
        <f>(192.26+1068.58)/R3</f>
        <v>0.423713491660758</v>
      </c>
      <c r="V3" s="4">
        <f>(R3*U3+K3*N3+G3*J3+C3*F3)/B3</f>
        <v>0.266698537856044</v>
      </c>
    </row>
    <row r="4" spans="1:22">
      <c r="A4">
        <v>2016</v>
      </c>
      <c r="B4">
        <v>237505.38</v>
      </c>
      <c r="C4" s="3">
        <f>B4*E4</f>
        <v>42133.454412</v>
      </c>
      <c r="D4" s="4">
        <v>0.401</v>
      </c>
      <c r="E4" s="27">
        <v>0.1774</v>
      </c>
      <c r="F4" s="28">
        <v>0.0627</v>
      </c>
      <c r="G4" s="3">
        <f>B4*I4</f>
        <v>92793.351966</v>
      </c>
      <c r="H4" s="27">
        <f>G4/G3-1</f>
        <v>0.209059648396084</v>
      </c>
      <c r="I4" s="27">
        <v>0.3907</v>
      </c>
      <c r="J4" s="28">
        <v>0.3001</v>
      </c>
      <c r="K4" s="3">
        <f>B4*M4</f>
        <v>98184.724092</v>
      </c>
      <c r="L4" s="27">
        <f>K4/K3-1</f>
        <v>0.185292843762486</v>
      </c>
      <c r="M4" s="27">
        <v>0.4134</v>
      </c>
      <c r="N4" s="28">
        <v>0.2685</v>
      </c>
      <c r="R4" s="3">
        <f>T4*B4</f>
        <v>4393.84953</v>
      </c>
      <c r="S4" s="4">
        <f>R4/R3</f>
        <v>1.47658174406608</v>
      </c>
      <c r="T4" s="4">
        <v>0.0185</v>
      </c>
      <c r="U4" s="70">
        <v>0.393185972392641</v>
      </c>
      <c r="V4" s="4">
        <f t="shared" ref="V4:V9" si="0">(R4*U4+K4*N4+G4*J4+C4*F4)/B4</f>
        <v>0.246643890489264</v>
      </c>
    </row>
    <row r="5" spans="1:22">
      <c r="A5">
        <v>2017</v>
      </c>
      <c r="B5">
        <v>274179.18</v>
      </c>
      <c r="C5" s="3">
        <f>B5*E5</f>
        <v>50531.222874</v>
      </c>
      <c r="D5" s="4">
        <v>0.1991</v>
      </c>
      <c r="E5" s="27">
        <v>0.1843</v>
      </c>
      <c r="F5" s="28">
        <v>0.1952</v>
      </c>
      <c r="G5" s="3">
        <f t="shared" ref="G5:G10" si="1">B5*I5</f>
        <v>105833.16348</v>
      </c>
      <c r="H5" s="27">
        <f t="shared" ref="H5:H10" si="2">G5/G4-1</f>
        <v>0.14052527727178</v>
      </c>
      <c r="I5" s="27">
        <v>0.386</v>
      </c>
      <c r="J5" s="28">
        <v>0.282</v>
      </c>
      <c r="K5" s="3">
        <f t="shared" ref="K5:K10" si="3">B5*M5</f>
        <v>114661.733076</v>
      </c>
      <c r="L5" s="27">
        <f t="shared" ref="L5:L10" si="4">K5/K4-1</f>
        <v>0.167816420898233</v>
      </c>
      <c r="M5" s="27">
        <v>0.4182</v>
      </c>
      <c r="N5" s="28">
        <v>0.2782</v>
      </c>
      <c r="R5" s="3">
        <f>T5*B5</f>
        <v>3180.478488</v>
      </c>
      <c r="S5" s="4">
        <f>R5/R4</f>
        <v>0.723847839186245</v>
      </c>
      <c r="T5" s="4">
        <v>0.0116</v>
      </c>
      <c r="U5" s="70">
        <v>0.505389363916364</v>
      </c>
      <c r="V5" s="4">
        <f t="shared" si="0"/>
        <v>0.26703311662143</v>
      </c>
    </row>
    <row r="6" spans="1:22">
      <c r="A6">
        <v>2018</v>
      </c>
      <c r="B6">
        <v>302585.71</v>
      </c>
      <c r="C6" s="3">
        <f>B6*E6</f>
        <v>50501.554999</v>
      </c>
      <c r="D6" s="4">
        <v>-0.0005</v>
      </c>
      <c r="E6" s="27">
        <v>0.1669</v>
      </c>
      <c r="F6" s="28">
        <v>0.1206</v>
      </c>
      <c r="G6" s="3">
        <f t="shared" si="1"/>
        <v>96313.031493</v>
      </c>
      <c r="H6" s="27">
        <f t="shared" si="2"/>
        <v>-0.0899541473953869</v>
      </c>
      <c r="I6" s="27">
        <v>0.3183</v>
      </c>
      <c r="J6" s="28">
        <v>0.3019</v>
      </c>
      <c r="K6" s="3">
        <f t="shared" si="3"/>
        <v>147540.792196</v>
      </c>
      <c r="L6" s="27">
        <f t="shared" si="4"/>
        <v>0.286748318187438</v>
      </c>
      <c r="M6" s="27">
        <v>0.4876</v>
      </c>
      <c r="N6" s="28">
        <v>0.2684</v>
      </c>
      <c r="R6" s="3">
        <f>T6*B6</f>
        <v>8260.589883</v>
      </c>
      <c r="S6" s="4">
        <f>R6/R5</f>
        <v>2.59727896735266</v>
      </c>
      <c r="T6" s="4">
        <v>0.0273</v>
      </c>
      <c r="U6" s="70">
        <v>0.273883588465761</v>
      </c>
      <c r="V6" s="4">
        <f t="shared" si="0"/>
        <v>0.254571771965115</v>
      </c>
    </row>
    <row r="7" spans="1:22">
      <c r="A7">
        <v>2019</v>
      </c>
      <c r="B7">
        <v>311057.38</v>
      </c>
      <c r="C7" s="3">
        <f>B7*E7</f>
        <v>42272.697942</v>
      </c>
      <c r="D7" s="4">
        <v>-0.1626</v>
      </c>
      <c r="E7" s="27">
        <v>0.1359</v>
      </c>
      <c r="F7" s="29">
        <v>-2426.58</v>
      </c>
      <c r="G7" s="3">
        <f t="shared" si="1"/>
        <v>103737.63623</v>
      </c>
      <c r="H7" s="27">
        <f t="shared" si="2"/>
        <v>0.0770882675159033</v>
      </c>
      <c r="I7" s="27">
        <v>0.3335</v>
      </c>
      <c r="J7" s="28">
        <v>0.233</v>
      </c>
      <c r="K7" s="3">
        <f t="shared" si="3"/>
        <v>151827.107178</v>
      </c>
      <c r="L7" s="27">
        <f t="shared" si="4"/>
        <v>0.029051728123473</v>
      </c>
      <c r="M7" s="27">
        <v>0.4881</v>
      </c>
      <c r="N7" s="28">
        <v>0.2185</v>
      </c>
      <c r="R7" s="3">
        <f>T7*B7</f>
        <v>13188.832912</v>
      </c>
      <c r="S7" s="4">
        <f>R7/R6</f>
        <v>1.59659698626876</v>
      </c>
      <c r="T7" s="4">
        <v>0.0424</v>
      </c>
      <c r="U7" s="70">
        <v>0.428471574225369</v>
      </c>
      <c r="V7" s="71">
        <f>(R7*U7+K7*N7+G7*J7+F7)/B7</f>
        <v>0.194721476018293</v>
      </c>
    </row>
    <row r="8" spans="1:22">
      <c r="A8" t="s">
        <v>11</v>
      </c>
      <c r="B8">
        <v>480000</v>
      </c>
      <c r="C8" s="3">
        <f>B8*E8</f>
        <v>39264</v>
      </c>
      <c r="D8" s="4">
        <f>C8/C7-1</f>
        <v>-0.0711735490866484</v>
      </c>
      <c r="E8" s="27">
        <v>0.0818</v>
      </c>
      <c r="F8" s="29">
        <v>-4554.79</v>
      </c>
      <c r="G8" s="3">
        <f t="shared" si="1"/>
        <v>151488</v>
      </c>
      <c r="H8" s="27">
        <f t="shared" si="2"/>
        <v>0.460299323421358</v>
      </c>
      <c r="I8" s="27">
        <v>0.3156</v>
      </c>
      <c r="J8" s="28">
        <v>0.2529</v>
      </c>
      <c r="K8" s="3">
        <f t="shared" si="3"/>
        <v>259200</v>
      </c>
      <c r="L8" s="27">
        <f t="shared" si="4"/>
        <v>0.707205022987875</v>
      </c>
      <c r="M8" s="53">
        <v>0.54</v>
      </c>
      <c r="N8" s="28">
        <v>0.2144</v>
      </c>
      <c r="R8" s="3">
        <f>T8*B8</f>
        <v>30096</v>
      </c>
      <c r="S8" s="4">
        <f>R8/R7</f>
        <v>2.28193049383595</v>
      </c>
      <c r="T8" s="4">
        <v>0.0627</v>
      </c>
      <c r="U8" s="70">
        <v>0.452776078470026</v>
      </c>
      <c r="V8" s="4">
        <f>(R8*U8+K8*N8+G8*J8+F8)/B8</f>
        <v>0.214491154286737</v>
      </c>
    </row>
    <row r="9" ht="14.75" spans="1:22">
      <c r="A9" t="s">
        <v>12</v>
      </c>
      <c r="B9" s="5">
        <v>700000</v>
      </c>
      <c r="C9" s="6">
        <f>C8*(D9+1)</f>
        <v>41227.2</v>
      </c>
      <c r="D9" s="7">
        <v>0.05</v>
      </c>
      <c r="E9" s="30">
        <f>C9/B9</f>
        <v>0.058896</v>
      </c>
      <c r="F9" s="31">
        <v>-4000</v>
      </c>
      <c r="G9" s="6">
        <f t="shared" si="1"/>
        <v>213570</v>
      </c>
      <c r="H9" s="32">
        <f t="shared" si="2"/>
        <v>0.40981463878327</v>
      </c>
      <c r="I9" s="44">
        <v>0.3051</v>
      </c>
      <c r="J9" s="45">
        <v>0.2529</v>
      </c>
      <c r="K9" s="6">
        <f t="shared" si="3"/>
        <v>385000</v>
      </c>
      <c r="L9" s="32">
        <f t="shared" si="4"/>
        <v>0.48533950617284</v>
      </c>
      <c r="M9" s="54">
        <v>0.55</v>
      </c>
      <c r="N9" s="45">
        <v>0.2144</v>
      </c>
      <c r="R9" s="6">
        <f>R8*2</f>
        <v>60192</v>
      </c>
      <c r="S9" s="7">
        <v>1</v>
      </c>
      <c r="T9" s="30">
        <f>R9/B9</f>
        <v>0.0859885714285714</v>
      </c>
      <c r="U9" s="72">
        <v>0.4528</v>
      </c>
      <c r="V9" s="4">
        <f>(R9*U9+K9*N9+G9*J9+F9)/B9</f>
        <v>0.228301129428571</v>
      </c>
    </row>
    <row r="10" ht="14.75" spans="1:22">
      <c r="A10" t="s">
        <v>13</v>
      </c>
      <c r="B10" s="5">
        <v>700000</v>
      </c>
      <c r="C10" s="6">
        <v>41227.2</v>
      </c>
      <c r="D10" s="7">
        <v>0.05</v>
      </c>
      <c r="E10" s="30">
        <v>0.058896</v>
      </c>
      <c r="F10" s="31">
        <v>-4000</v>
      </c>
      <c r="G10" s="6">
        <v>213570</v>
      </c>
      <c r="H10" s="32">
        <v>0.40981463878327</v>
      </c>
      <c r="I10" s="44">
        <v>0.3051</v>
      </c>
      <c r="J10" s="45">
        <v>0.29</v>
      </c>
      <c r="K10" s="6">
        <v>385000</v>
      </c>
      <c r="L10" s="32">
        <v>0.48533950617284</v>
      </c>
      <c r="M10" s="54">
        <v>0.55</v>
      </c>
      <c r="N10" s="45">
        <v>0.26</v>
      </c>
      <c r="R10" s="6">
        <v>60192</v>
      </c>
      <c r="S10" s="7">
        <v>1</v>
      </c>
      <c r="T10" s="30">
        <v>0.0859885714285714</v>
      </c>
      <c r="U10" s="72">
        <v>0.4528</v>
      </c>
      <c r="V10" s="4">
        <f>(R10*U10+K10*N10+G10*J10+F10)/B10</f>
        <v>0.264700339428571</v>
      </c>
    </row>
    <row r="11" spans="2:2">
      <c r="B11" t="s">
        <v>14</v>
      </c>
    </row>
    <row r="12" spans="2:2">
      <c r="B12" t="s">
        <v>15</v>
      </c>
    </row>
    <row r="13" ht="19.5" customHeight="1" spans="2:20">
      <c r="B13" s="8" t="s">
        <v>16</v>
      </c>
      <c r="M13" s="55"/>
      <c r="N13" s="56"/>
      <c r="O13" s="56"/>
      <c r="P13" s="56"/>
      <c r="Q13" s="64"/>
      <c r="R13" s="64"/>
      <c r="S13" s="64"/>
      <c r="T13" s="64"/>
    </row>
    <row r="14" ht="14.4" spans="1:20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M14" s="55"/>
      <c r="N14" s="56"/>
      <c r="O14" s="57"/>
      <c r="P14" s="57"/>
      <c r="Q14" s="65"/>
      <c r="R14" s="65"/>
      <c r="S14" s="65"/>
      <c r="T14" s="65"/>
    </row>
    <row r="15" ht="14.4" spans="1:22">
      <c r="A15">
        <v>2020</v>
      </c>
      <c r="B15" t="s">
        <v>22</v>
      </c>
      <c r="C15" t="s">
        <v>23</v>
      </c>
      <c r="D15" t="s">
        <v>24</v>
      </c>
      <c r="E15" t="s">
        <v>25</v>
      </c>
      <c r="M15" s="55"/>
      <c r="N15" s="56"/>
      <c r="O15" s="58"/>
      <c r="P15" s="59"/>
      <c r="Q15" s="59"/>
      <c r="R15" s="66"/>
      <c r="S15" s="67"/>
      <c r="T15" s="66"/>
      <c r="U15" s="73"/>
      <c r="V15" s="73"/>
    </row>
    <row r="16" ht="14.4" spans="1:22">
      <c r="A16">
        <v>2021</v>
      </c>
      <c r="B16" t="s">
        <v>22</v>
      </c>
      <c r="C16" t="s">
        <v>23</v>
      </c>
      <c r="D16" t="s">
        <v>26</v>
      </c>
      <c r="E16" s="33" t="s">
        <v>27</v>
      </c>
      <c r="M16" s="55"/>
      <c r="N16" s="56"/>
      <c r="O16" s="58"/>
      <c r="P16" s="58"/>
      <c r="Q16" s="58"/>
      <c r="R16" s="67"/>
      <c r="S16" s="67"/>
      <c r="T16" s="67"/>
      <c r="U16" s="73"/>
      <c r="V16" s="73"/>
    </row>
    <row r="17" ht="15.15" spans="13:22">
      <c r="M17" s="55"/>
      <c r="N17" s="56"/>
      <c r="O17" s="57"/>
      <c r="P17" s="57"/>
      <c r="Q17" s="65"/>
      <c r="R17" s="65"/>
      <c r="S17" s="65"/>
      <c r="T17" s="65"/>
      <c r="U17" s="73"/>
      <c r="V17" s="73"/>
    </row>
    <row r="18" ht="15.75" spans="2:22">
      <c r="B18" s="9"/>
      <c r="C18" s="10" t="s">
        <v>28</v>
      </c>
      <c r="D18" s="10" t="s">
        <v>29</v>
      </c>
      <c r="E18" s="10" t="s">
        <v>30</v>
      </c>
      <c r="F18" s="34" t="s">
        <v>31</v>
      </c>
      <c r="G18" s="34" t="s">
        <v>32</v>
      </c>
      <c r="H18" s="34" t="s">
        <v>11</v>
      </c>
      <c r="I18" s="46" t="s">
        <v>12</v>
      </c>
      <c r="J18" s="46" t="s">
        <v>12</v>
      </c>
      <c r="K18"/>
      <c r="L18"/>
      <c r="M18"/>
      <c r="N18"/>
      <c r="O18">
        <v>311057.38</v>
      </c>
      <c r="P18">
        <v>480000</v>
      </c>
      <c r="Q18" s="5">
        <v>700000</v>
      </c>
      <c r="R18" s="65"/>
      <c r="S18" s="65"/>
      <c r="T18" s="65"/>
      <c r="U18" s="73"/>
      <c r="V18" s="73"/>
    </row>
    <row r="19" ht="15.75" spans="1:22">
      <c r="A19">
        <v>1</v>
      </c>
      <c r="B19" s="11" t="s">
        <v>33</v>
      </c>
      <c r="C19" s="12">
        <v>237505.38</v>
      </c>
      <c r="D19" s="12">
        <v>274179.18</v>
      </c>
      <c r="E19" s="19">
        <v>302585.71</v>
      </c>
      <c r="F19" s="19">
        <v>311057.38</v>
      </c>
      <c r="G19" s="19">
        <v>296400</v>
      </c>
      <c r="H19" s="19">
        <v>480000</v>
      </c>
      <c r="I19" s="47">
        <v>700000</v>
      </c>
      <c r="J19" s="47">
        <v>700000</v>
      </c>
      <c r="K19"/>
      <c r="M19" s="55"/>
      <c r="N19" s="60"/>
      <c r="O19" s="61"/>
      <c r="P19" s="61"/>
      <c r="Q19" s="61"/>
      <c r="R19" s="66"/>
      <c r="S19" s="66"/>
      <c r="T19" s="66"/>
      <c r="U19" s="73"/>
      <c r="V19" s="73"/>
    </row>
    <row r="20" ht="15.75" spans="1:20">
      <c r="A20">
        <v>2</v>
      </c>
      <c r="B20" s="11" t="s">
        <v>34</v>
      </c>
      <c r="C20" s="13"/>
      <c r="D20" s="14">
        <f t="shared" ref="D20:J20" si="5">D19/C19-1</f>
        <v>0.154412502150478</v>
      </c>
      <c r="E20" s="14">
        <f t="shared" si="5"/>
        <v>0.103605715065601</v>
      </c>
      <c r="F20" s="14">
        <f t="shared" si="5"/>
        <v>0.0279975878570076</v>
      </c>
      <c r="G20" s="14">
        <v>0.3329</v>
      </c>
      <c r="H20" s="35">
        <f t="shared" si="5"/>
        <v>0.619433198380567</v>
      </c>
      <c r="I20" s="35">
        <f t="shared" si="5"/>
        <v>0.458333333333333</v>
      </c>
      <c r="J20" s="35">
        <v>0.46</v>
      </c>
      <c r="K20"/>
      <c r="M20" s="55"/>
      <c r="N20" s="56"/>
      <c r="O20" s="57"/>
      <c r="P20" s="57"/>
      <c r="Q20" s="65"/>
      <c r="R20" s="65"/>
      <c r="S20" s="65"/>
      <c r="T20" s="65"/>
    </row>
    <row r="21" ht="15.75" spans="1:20">
      <c r="A21">
        <v>3</v>
      </c>
      <c r="B21" s="11" t="s">
        <v>6</v>
      </c>
      <c r="C21" s="13">
        <v>0.246643890489264</v>
      </c>
      <c r="D21" s="13">
        <v>0.26703311662143</v>
      </c>
      <c r="E21" s="13">
        <v>0.254571771965115</v>
      </c>
      <c r="F21" s="36">
        <v>0.194721476018293</v>
      </c>
      <c r="G21" s="37">
        <v>0.2113</v>
      </c>
      <c r="H21" s="38">
        <v>0.2145</v>
      </c>
      <c r="I21" s="38">
        <v>0.2283</v>
      </c>
      <c r="J21" s="38">
        <v>0.2647</v>
      </c>
      <c r="K21"/>
      <c r="M21" s="55"/>
      <c r="N21" s="60"/>
      <c r="O21" s="61"/>
      <c r="P21" s="61"/>
      <c r="Q21" s="61"/>
      <c r="R21" s="66"/>
      <c r="S21" s="66"/>
      <c r="T21" s="66"/>
    </row>
    <row r="22" ht="15.75" spans="1:20">
      <c r="A22">
        <v>4</v>
      </c>
      <c r="B22" s="11" t="s">
        <v>35</v>
      </c>
      <c r="C22" s="12">
        <f t="shared" ref="C22:J22" si="6">C19*(1-C21)</f>
        <v>178926.129064669</v>
      </c>
      <c r="D22" s="12">
        <f t="shared" si="6"/>
        <v>200964.259051892</v>
      </c>
      <c r="E22" s="12">
        <f t="shared" si="6"/>
        <v>225555.929633978</v>
      </c>
      <c r="F22" s="12">
        <f t="shared" si="6"/>
        <v>250487.827840017</v>
      </c>
      <c r="G22" s="12">
        <f t="shared" si="6"/>
        <v>233770.68</v>
      </c>
      <c r="H22" s="12">
        <f t="shared" si="6"/>
        <v>377040</v>
      </c>
      <c r="I22" s="12">
        <f t="shared" si="6"/>
        <v>540190</v>
      </c>
      <c r="J22" s="12">
        <f t="shared" si="6"/>
        <v>514710</v>
      </c>
      <c r="M22" s="55"/>
      <c r="N22" s="56"/>
      <c r="O22" s="57"/>
      <c r="P22" s="57"/>
      <c r="Q22" s="65"/>
      <c r="R22" s="65"/>
      <c r="S22" s="65"/>
      <c r="T22" s="65"/>
    </row>
    <row r="23" ht="15.75" spans="1:20">
      <c r="A23">
        <v>5</v>
      </c>
      <c r="B23" s="11" t="s">
        <v>36</v>
      </c>
      <c r="C23" s="12">
        <f t="shared" ref="C23:J23" si="7">C19-C22</f>
        <v>58579.250935331</v>
      </c>
      <c r="D23" s="12">
        <f t="shared" si="7"/>
        <v>73214.920948108</v>
      </c>
      <c r="E23" s="12">
        <f t="shared" si="7"/>
        <v>77029.7803660225</v>
      </c>
      <c r="F23" s="12">
        <f t="shared" si="7"/>
        <v>60569.552159983</v>
      </c>
      <c r="G23" s="19">
        <f t="shared" si="7"/>
        <v>62629.32</v>
      </c>
      <c r="H23" s="19">
        <f t="shared" si="7"/>
        <v>102960</v>
      </c>
      <c r="I23" s="47">
        <f t="shared" si="7"/>
        <v>159810</v>
      </c>
      <c r="J23" s="47">
        <f t="shared" si="7"/>
        <v>185290</v>
      </c>
      <c r="M23" s="55"/>
      <c r="N23" s="60"/>
      <c r="O23" s="61"/>
      <c r="P23" s="61"/>
      <c r="Q23" s="61"/>
      <c r="R23" s="66"/>
      <c r="S23" s="66"/>
      <c r="T23" s="66"/>
    </row>
    <row r="24" ht="15.75" spans="1:20">
      <c r="A24">
        <v>6</v>
      </c>
      <c r="B24" s="15" t="s">
        <v>37</v>
      </c>
      <c r="C24" s="16">
        <f t="shared" ref="C24:J24" si="8">C22/C$19</f>
        <v>0.753356109510736</v>
      </c>
      <c r="D24" s="16">
        <f t="shared" si="8"/>
        <v>0.73296688337857</v>
      </c>
      <c r="E24" s="16">
        <f t="shared" si="8"/>
        <v>0.745428228034885</v>
      </c>
      <c r="F24" s="16">
        <f t="shared" si="8"/>
        <v>0.805278523981707</v>
      </c>
      <c r="G24" s="16">
        <f t="shared" si="8"/>
        <v>0.7887</v>
      </c>
      <c r="H24" s="16">
        <f t="shared" si="8"/>
        <v>0.7855</v>
      </c>
      <c r="I24" s="16">
        <f t="shared" si="8"/>
        <v>0.7717</v>
      </c>
      <c r="J24" s="16">
        <f t="shared" si="8"/>
        <v>0.7353</v>
      </c>
      <c r="K24" s="5"/>
      <c r="M24" s="55"/>
      <c r="N24" s="56"/>
      <c r="O24" s="57"/>
      <c r="P24" s="57"/>
      <c r="Q24" s="65"/>
      <c r="R24" s="65"/>
      <c r="S24" s="65"/>
      <c r="T24" s="65"/>
    </row>
    <row r="25" ht="29.75" spans="1:20">
      <c r="A25">
        <v>7</v>
      </c>
      <c r="B25" s="11" t="s">
        <v>38</v>
      </c>
      <c r="C25" s="12">
        <v>1408</v>
      </c>
      <c r="D25" s="12">
        <v>3348</v>
      </c>
      <c r="E25" s="19">
        <v>2409</v>
      </c>
      <c r="F25" s="19">
        <v>2496</v>
      </c>
      <c r="G25" s="19">
        <v>1730</v>
      </c>
      <c r="H25" s="19">
        <f t="shared" ref="H25:J25" si="9">H26*H19</f>
        <v>4800</v>
      </c>
      <c r="I25" s="19">
        <f t="shared" si="9"/>
        <v>7000</v>
      </c>
      <c r="J25" s="19">
        <f t="shared" si="9"/>
        <v>7000</v>
      </c>
      <c r="M25" s="55"/>
      <c r="N25" s="60"/>
      <c r="O25" s="61"/>
      <c r="P25" s="61"/>
      <c r="Q25" s="61"/>
      <c r="R25" s="66"/>
      <c r="S25" s="66"/>
      <c r="T25" s="66"/>
    </row>
    <row r="26" ht="15.75" spans="1:20">
      <c r="A26">
        <v>8</v>
      </c>
      <c r="B26" s="15" t="s">
        <v>37</v>
      </c>
      <c r="C26" s="16">
        <f>C25/C$19</f>
        <v>0.00592828676133568</v>
      </c>
      <c r="D26" s="16">
        <f>D25/D$19</f>
        <v>0.0122109928259323</v>
      </c>
      <c r="E26" s="16">
        <f>E25/E$19</f>
        <v>0.00796138059527001</v>
      </c>
      <c r="F26" s="16">
        <f>F25/F$19</f>
        <v>0.00802424298693701</v>
      </c>
      <c r="G26" s="16">
        <f>G25/G$19</f>
        <v>0.00583670715249663</v>
      </c>
      <c r="H26" s="39">
        <v>0.01</v>
      </c>
      <c r="I26" s="48">
        <v>0.01</v>
      </c>
      <c r="J26" s="48">
        <v>0.01</v>
      </c>
      <c r="M26" s="55"/>
      <c r="N26" s="56"/>
      <c r="O26" s="57"/>
      <c r="P26" s="57"/>
      <c r="Q26" s="65"/>
      <c r="R26" s="65"/>
      <c r="S26" s="65"/>
      <c r="T26" s="65"/>
    </row>
    <row r="27" ht="15.75" spans="1:20">
      <c r="A27">
        <v>9</v>
      </c>
      <c r="B27" s="11" t="s">
        <v>39</v>
      </c>
      <c r="C27" s="12">
        <v>7636</v>
      </c>
      <c r="D27" s="12">
        <v>8883</v>
      </c>
      <c r="E27" s="19">
        <v>9739</v>
      </c>
      <c r="F27" s="19">
        <v>10386</v>
      </c>
      <c r="G27" s="19">
        <v>7226</v>
      </c>
      <c r="H27" s="19">
        <f t="shared" ref="H27:J27" si="10">H28*H19</f>
        <v>9600</v>
      </c>
      <c r="I27" s="19">
        <f t="shared" si="10"/>
        <v>14000</v>
      </c>
      <c r="J27" s="19">
        <f t="shared" si="10"/>
        <v>14000</v>
      </c>
      <c r="M27" s="55"/>
      <c r="N27" s="60"/>
      <c r="O27" s="61"/>
      <c r="P27" s="61"/>
      <c r="Q27" s="61"/>
      <c r="R27" s="66"/>
      <c r="S27" s="66"/>
      <c r="T27" s="66"/>
    </row>
    <row r="28" ht="15.75" spans="1:20">
      <c r="A28">
        <v>10</v>
      </c>
      <c r="B28" s="15" t="s">
        <v>37</v>
      </c>
      <c r="C28" s="16">
        <f>C27/C$19</f>
        <v>0.0321508506459938</v>
      </c>
      <c r="D28" s="16">
        <f>D27/D$19</f>
        <v>0.0323985212881591</v>
      </c>
      <c r="E28" s="16">
        <f>E27/E$19</f>
        <v>0.032185921800471</v>
      </c>
      <c r="F28" s="16">
        <f>F27/F$19</f>
        <v>0.0333893380057403</v>
      </c>
      <c r="G28" s="39">
        <f>G27/G19</f>
        <v>0.0243792172739541</v>
      </c>
      <c r="H28" s="39">
        <v>0.02</v>
      </c>
      <c r="I28" s="48">
        <v>0.02</v>
      </c>
      <c r="J28" s="48">
        <v>0.02</v>
      </c>
      <c r="M28" s="55"/>
      <c r="N28" s="56"/>
      <c r="O28" s="57"/>
      <c r="P28" s="57"/>
      <c r="Q28" s="65"/>
      <c r="R28" s="65"/>
      <c r="S28" s="65"/>
      <c r="T28" s="65"/>
    </row>
    <row r="29" ht="15.75" spans="1:20">
      <c r="A29">
        <v>11</v>
      </c>
      <c r="B29" s="11" t="s">
        <v>40</v>
      </c>
      <c r="C29" s="12">
        <v>40844</v>
      </c>
      <c r="D29" s="12">
        <v>46194</v>
      </c>
      <c r="E29" s="19">
        <v>21584</v>
      </c>
      <c r="F29" s="19">
        <v>23381</v>
      </c>
      <c r="G29" s="19">
        <v>17608</v>
      </c>
      <c r="H29" s="19">
        <f t="shared" ref="H29:J29" si="11">H19*H30</f>
        <v>28800</v>
      </c>
      <c r="I29" s="19">
        <f t="shared" si="11"/>
        <v>42000</v>
      </c>
      <c r="J29" s="19">
        <f t="shared" si="11"/>
        <v>42000</v>
      </c>
      <c r="M29" s="55"/>
      <c r="N29" s="60"/>
      <c r="O29" s="61"/>
      <c r="P29" s="61"/>
      <c r="Q29" s="61"/>
      <c r="R29" s="66"/>
      <c r="S29" s="66"/>
      <c r="T29" s="66"/>
    </row>
    <row r="30" ht="15.75" spans="1:20">
      <c r="A30">
        <v>12</v>
      </c>
      <c r="B30" s="15" t="s">
        <v>37</v>
      </c>
      <c r="C30" s="16">
        <f>C29/C$19</f>
        <v>0.171970841249996</v>
      </c>
      <c r="D30" s="16">
        <f>D29/D$19</f>
        <v>0.168481064098302</v>
      </c>
      <c r="E30" s="16">
        <f>E29/E$19</f>
        <v>0.0713318550304309</v>
      </c>
      <c r="F30" s="16">
        <f>F29/F$19</f>
        <v>0.0751661960246691</v>
      </c>
      <c r="G30" s="16">
        <f>G29/G$19</f>
        <v>0.0594062078272605</v>
      </c>
      <c r="H30" s="39">
        <v>0.06</v>
      </c>
      <c r="I30" s="48">
        <v>0.06</v>
      </c>
      <c r="J30" s="48">
        <v>0.06</v>
      </c>
      <c r="M30" s="55"/>
      <c r="N30" s="56"/>
      <c r="O30" s="57"/>
      <c r="P30" s="57"/>
      <c r="Q30" s="65"/>
      <c r="R30" s="65"/>
      <c r="S30" s="65"/>
      <c r="T30" s="65"/>
    </row>
    <row r="31" ht="15.75" spans="1:21">
      <c r="A31">
        <v>13</v>
      </c>
      <c r="B31" s="11" t="s">
        <v>41</v>
      </c>
      <c r="C31" s="12">
        <v>0</v>
      </c>
      <c r="D31" s="12">
        <v>0</v>
      </c>
      <c r="E31" s="19">
        <v>31408</v>
      </c>
      <c r="F31" s="19">
        <v>33437</v>
      </c>
      <c r="G31" s="19">
        <v>27472</v>
      </c>
      <c r="H31" s="19">
        <v>36000</v>
      </c>
      <c r="I31" s="19">
        <v>42000</v>
      </c>
      <c r="J31" s="19">
        <v>42000</v>
      </c>
      <c r="M31" s="55"/>
      <c r="N31" s="56"/>
      <c r="O31" s="56"/>
      <c r="P31" s="56"/>
      <c r="Q31" s="64"/>
      <c r="R31" s="64"/>
      <c r="S31" s="64"/>
      <c r="T31" s="64"/>
      <c r="U31" t="s">
        <v>42</v>
      </c>
    </row>
    <row r="32" ht="15.75" spans="1:21">
      <c r="A32">
        <v>14</v>
      </c>
      <c r="B32" s="15" t="s">
        <v>37</v>
      </c>
      <c r="C32" s="16">
        <f>C31/C$19</f>
        <v>0</v>
      </c>
      <c r="D32" s="16">
        <f>D31/D$19</f>
        <v>0</v>
      </c>
      <c r="E32" s="16">
        <f>E31/E$19</f>
        <v>0.103798688973118</v>
      </c>
      <c r="F32" s="16">
        <f>F31/F$19</f>
        <v>0.107494636520117</v>
      </c>
      <c r="G32" s="16">
        <f>G31/G$19</f>
        <v>0.0926855600539811</v>
      </c>
      <c r="H32" s="39">
        <f t="shared" ref="H32:J32" si="12">H31/H19</f>
        <v>0.075</v>
      </c>
      <c r="I32" s="48">
        <f t="shared" si="12"/>
        <v>0.06</v>
      </c>
      <c r="J32" s="48">
        <f t="shared" si="12"/>
        <v>0.06</v>
      </c>
      <c r="M32" s="55"/>
      <c r="N32" s="56"/>
      <c r="O32" s="56"/>
      <c r="P32" s="56"/>
      <c r="Q32" s="64"/>
      <c r="R32" s="64"/>
      <c r="S32" s="64"/>
      <c r="T32" s="64"/>
      <c r="U32" t="s">
        <v>42</v>
      </c>
    </row>
    <row r="33" ht="15.75" spans="1:20">
      <c r="A33">
        <v>15</v>
      </c>
      <c r="B33" s="11" t="s">
        <v>43</v>
      </c>
      <c r="C33" s="12">
        <v>4077</v>
      </c>
      <c r="D33" s="12">
        <v>7808</v>
      </c>
      <c r="E33" s="19">
        <v>7298</v>
      </c>
      <c r="F33" s="19">
        <v>10888</v>
      </c>
      <c r="G33" s="19">
        <v>11673</v>
      </c>
      <c r="H33" s="19">
        <f t="shared" ref="H33:J33" si="13">H34*H19</f>
        <v>14400</v>
      </c>
      <c r="I33" s="19">
        <v>18000</v>
      </c>
      <c r="J33" s="19">
        <v>18000</v>
      </c>
      <c r="M33" s="55"/>
      <c r="N33" s="62"/>
      <c r="O33" s="62"/>
      <c r="P33" s="62"/>
      <c r="Q33" s="64"/>
      <c r="R33" s="64"/>
      <c r="S33" s="64"/>
      <c r="T33" s="64"/>
    </row>
    <row r="34" ht="15.75" spans="1:20">
      <c r="A34">
        <v>16</v>
      </c>
      <c r="B34" s="15" t="s">
        <v>37</v>
      </c>
      <c r="C34" s="16">
        <f>C33/C$19</f>
        <v>0.0171659269360551</v>
      </c>
      <c r="D34" s="16">
        <f>D33/D$19</f>
        <v>0.02847772759405</v>
      </c>
      <c r="E34" s="16">
        <f>E33/E$19</f>
        <v>0.0241187860457786</v>
      </c>
      <c r="F34" s="16">
        <f>F33/F$19</f>
        <v>0.0350031881577605</v>
      </c>
      <c r="G34" s="39">
        <f>G33/G19</f>
        <v>0.0393825910931174</v>
      </c>
      <c r="H34" s="39">
        <v>0.03</v>
      </c>
      <c r="I34" s="48">
        <v>0.02</v>
      </c>
      <c r="J34" s="48">
        <v>0.02</v>
      </c>
      <c r="M34" s="55"/>
      <c r="N34" s="56"/>
      <c r="O34" s="56"/>
      <c r="P34" s="56"/>
      <c r="Q34" s="64"/>
      <c r="R34" s="64"/>
      <c r="S34" s="64"/>
      <c r="T34" s="64"/>
    </row>
    <row r="35" ht="15.75" spans="2:20">
      <c r="B35" s="17" t="s">
        <v>44</v>
      </c>
      <c r="C35" s="18">
        <f>C23-C25-C27-C29-C31-C33</f>
        <v>4614.25093533099</v>
      </c>
      <c r="D35" s="18">
        <f t="shared" ref="D35:J35" si="14">D23-D25-D27-D29-D31-D33</f>
        <v>6981.92094810802</v>
      </c>
      <c r="E35" s="18">
        <f t="shared" si="14"/>
        <v>4591.78036602252</v>
      </c>
      <c r="F35" s="18">
        <f t="shared" si="14"/>
        <v>-20018.447840017</v>
      </c>
      <c r="G35" s="18">
        <f t="shared" si="14"/>
        <v>-3079.67999999999</v>
      </c>
      <c r="H35" s="18">
        <f t="shared" si="14"/>
        <v>9360</v>
      </c>
      <c r="I35" s="18">
        <f t="shared" si="14"/>
        <v>36810</v>
      </c>
      <c r="J35" s="18">
        <f>J23-J25-J27-J29-J31-J33</f>
        <v>62289.9999999999</v>
      </c>
      <c r="M35" s="55"/>
      <c r="N35" s="56"/>
      <c r="O35" s="56"/>
      <c r="P35" s="56"/>
      <c r="Q35" s="64"/>
      <c r="R35" s="64"/>
      <c r="S35" s="64"/>
      <c r="T35" s="64"/>
    </row>
    <row r="36" ht="15.75" spans="1:20">
      <c r="A36">
        <v>17</v>
      </c>
      <c r="B36" s="11" t="s">
        <v>45</v>
      </c>
      <c r="C36" s="12">
        <v>0</v>
      </c>
      <c r="D36" s="19">
        <v>8030</v>
      </c>
      <c r="E36" s="19">
        <v>8421</v>
      </c>
      <c r="F36" s="19">
        <v>13326</v>
      </c>
      <c r="G36" s="19">
        <v>6160</v>
      </c>
      <c r="H36" s="19">
        <v>8000</v>
      </c>
      <c r="I36" s="47">
        <v>8000</v>
      </c>
      <c r="J36" s="47">
        <v>8000</v>
      </c>
      <c r="M36" s="55"/>
      <c r="N36" s="56"/>
      <c r="O36" s="57"/>
      <c r="P36" s="57"/>
      <c r="Q36" s="65"/>
      <c r="R36" s="65"/>
      <c r="S36" s="65"/>
      <c r="T36" s="65"/>
    </row>
    <row r="37" ht="15.75" spans="1:20">
      <c r="A37">
        <v>18</v>
      </c>
      <c r="B37" s="11" t="s">
        <v>46</v>
      </c>
      <c r="C37" s="20">
        <v>1593.25</v>
      </c>
      <c r="D37" s="20">
        <v>1331.52</v>
      </c>
      <c r="E37" s="40">
        <v>865.62</v>
      </c>
      <c r="F37" s="40">
        <v>718.35</v>
      </c>
      <c r="G37" s="40">
        <v>842</v>
      </c>
      <c r="H37" s="40">
        <v>900</v>
      </c>
      <c r="I37" s="49">
        <v>900</v>
      </c>
      <c r="J37" s="49">
        <v>900</v>
      </c>
      <c r="M37" s="55"/>
      <c r="N37" s="56"/>
      <c r="O37" s="57"/>
      <c r="P37" s="57"/>
      <c r="Q37" s="65"/>
      <c r="R37" s="65"/>
      <c r="S37" s="65"/>
      <c r="T37" s="65"/>
    </row>
    <row r="38" ht="29.75" spans="1:20">
      <c r="A38">
        <v>19</v>
      </c>
      <c r="B38" s="21" t="s">
        <v>47</v>
      </c>
      <c r="C38" s="22">
        <v>-11.98</v>
      </c>
      <c r="D38" s="22">
        <v>-202.78</v>
      </c>
      <c r="E38" s="40">
        <v>209.02</v>
      </c>
      <c r="F38" s="40">
        <v>1784.82</v>
      </c>
      <c r="G38" s="40">
        <v>105</v>
      </c>
      <c r="H38" s="40">
        <v>150</v>
      </c>
      <c r="I38" s="49">
        <v>150</v>
      </c>
      <c r="J38" s="49">
        <v>150</v>
      </c>
      <c r="M38" s="55"/>
      <c r="N38" s="56"/>
      <c r="O38" s="57"/>
      <c r="P38" s="57"/>
      <c r="Q38" s="65"/>
      <c r="R38" s="65"/>
      <c r="S38" s="65"/>
      <c r="T38" s="65"/>
    </row>
    <row r="39" ht="15.75" spans="1:20">
      <c r="A39">
        <v>20</v>
      </c>
      <c r="B39" s="11" t="s">
        <v>48</v>
      </c>
      <c r="C39" s="20">
        <v>4971.65</v>
      </c>
      <c r="D39" s="20">
        <v>4015.83</v>
      </c>
      <c r="E39" s="40">
        <v>6164.97</v>
      </c>
      <c r="F39" s="40">
        <v>-9424.08</v>
      </c>
      <c r="G39" s="40">
        <v>-5778</v>
      </c>
      <c r="H39" s="40">
        <v>-6000</v>
      </c>
      <c r="I39" s="49">
        <v>-3000</v>
      </c>
      <c r="J39" s="49">
        <v>-3000</v>
      </c>
      <c r="M39" s="55"/>
      <c r="N39" s="60"/>
      <c r="O39" s="61"/>
      <c r="P39" s="61"/>
      <c r="Q39" s="61"/>
      <c r="R39" s="66"/>
      <c r="S39" s="66"/>
      <c r="T39" s="66"/>
    </row>
    <row r="40" ht="15.75" spans="1:20">
      <c r="A40">
        <v>21</v>
      </c>
      <c r="B40" s="11" t="s">
        <v>49</v>
      </c>
      <c r="C40" s="20">
        <v>0</v>
      </c>
      <c r="D40" s="20">
        <v>0</v>
      </c>
      <c r="E40" s="40">
        <v>0</v>
      </c>
      <c r="F40" s="40">
        <v>309.8</v>
      </c>
      <c r="G40" s="40">
        <v>-1820</v>
      </c>
      <c r="H40" s="40">
        <v>0</v>
      </c>
      <c r="I40" s="49">
        <v>0</v>
      </c>
      <c r="J40" s="49">
        <v>0</v>
      </c>
      <c r="M40" s="55"/>
      <c r="N40" s="56"/>
      <c r="O40" s="56"/>
      <c r="P40" s="56"/>
      <c r="Q40" s="64"/>
      <c r="R40" s="64"/>
      <c r="S40" s="64"/>
      <c r="T40" s="64"/>
    </row>
    <row r="41" ht="15.75" spans="1:20">
      <c r="A41">
        <v>22</v>
      </c>
      <c r="B41" s="11" t="s">
        <v>50</v>
      </c>
      <c r="C41" s="12">
        <v>1227.43</v>
      </c>
      <c r="D41" s="12">
        <v>11922</v>
      </c>
      <c r="E41" s="19">
        <v>7980</v>
      </c>
      <c r="F41" s="19">
        <v>-13077</v>
      </c>
      <c r="G41" s="19">
        <v>-3563</v>
      </c>
      <c r="H41" s="19">
        <f t="shared" ref="H41:J41" si="15">H23-H25-H27-H29-H31-H33+H36+H39+H40+H37+H38</f>
        <v>12410</v>
      </c>
      <c r="I41" s="47">
        <f t="shared" si="15"/>
        <v>42860</v>
      </c>
      <c r="J41" s="47">
        <f t="shared" si="15"/>
        <v>68339.9999999999</v>
      </c>
      <c r="M41" s="55"/>
      <c r="N41" s="56"/>
      <c r="O41" s="57"/>
      <c r="P41" s="57"/>
      <c r="Q41" s="65"/>
      <c r="R41" s="65"/>
      <c r="S41" s="65"/>
      <c r="T41" s="65"/>
    </row>
    <row r="42" ht="15.75" spans="1:20">
      <c r="A42">
        <v>23</v>
      </c>
      <c r="B42" s="15" t="s">
        <v>37</v>
      </c>
      <c r="C42" s="16">
        <f>C41/C$19</f>
        <v>0.00516800924678001</v>
      </c>
      <c r="D42" s="16">
        <f>D41/D$19</f>
        <v>0.0434825138801568</v>
      </c>
      <c r="E42" s="16">
        <f>E41/E$19</f>
        <v>0.0263726928809692</v>
      </c>
      <c r="F42" s="16">
        <f>F41/F$19</f>
        <v>-0.0420404749760317</v>
      </c>
      <c r="G42" s="16">
        <f>G41/G$19</f>
        <v>-0.0120209176788124</v>
      </c>
      <c r="H42" s="39">
        <v>0.38</v>
      </c>
      <c r="I42" s="48">
        <v>0.35</v>
      </c>
      <c r="J42" s="48">
        <v>0.35</v>
      </c>
      <c r="M42" s="55"/>
      <c r="N42" s="56"/>
      <c r="O42" s="59"/>
      <c r="P42" s="59"/>
      <c r="Q42" s="59"/>
      <c r="R42" s="66"/>
      <c r="S42" s="66"/>
      <c r="T42" s="66"/>
    </row>
    <row r="43" ht="15.75" spans="1:20">
      <c r="A43">
        <v>24</v>
      </c>
      <c r="B43" s="11" t="s">
        <v>51</v>
      </c>
      <c r="C43" s="20">
        <f>8128.83-491.81</f>
        <v>7637.02</v>
      </c>
      <c r="D43" s="20">
        <f>211.26-242.71</f>
        <v>-31.45</v>
      </c>
      <c r="E43" s="40">
        <f>252.11-240.49</f>
        <v>11.62</v>
      </c>
      <c r="F43" s="40">
        <f>423.18-339.38</f>
        <v>83.8</v>
      </c>
      <c r="G43" s="40">
        <v>20</v>
      </c>
      <c r="H43" s="40">
        <v>0</v>
      </c>
      <c r="I43" s="49">
        <v>0</v>
      </c>
      <c r="J43" s="49">
        <v>0</v>
      </c>
      <c r="M43" s="55"/>
      <c r="N43" s="56"/>
      <c r="O43" s="57"/>
      <c r="P43" s="57"/>
      <c r="Q43" s="57"/>
      <c r="R43" s="57"/>
      <c r="S43" s="57"/>
      <c r="T43" s="57"/>
    </row>
    <row r="44" ht="15.75" spans="1:20">
      <c r="A44">
        <v>25</v>
      </c>
      <c r="B44" s="23" t="s">
        <v>52</v>
      </c>
      <c r="C44" s="12">
        <v>8861</v>
      </c>
      <c r="D44" s="12">
        <v>11890</v>
      </c>
      <c r="E44" s="19">
        <v>7992</v>
      </c>
      <c r="F44" s="19">
        <v>-12993</v>
      </c>
      <c r="G44" s="19">
        <v>-3544</v>
      </c>
      <c r="H44" s="19">
        <f t="shared" ref="G44:J44" si="16">H41+H43</f>
        <v>12410</v>
      </c>
      <c r="I44" s="47">
        <f t="shared" si="16"/>
        <v>42860</v>
      </c>
      <c r="J44" s="47">
        <f t="shared" si="16"/>
        <v>68339.9999999999</v>
      </c>
      <c r="M44" s="55"/>
      <c r="N44" s="56"/>
      <c r="O44" s="57"/>
      <c r="P44" s="57"/>
      <c r="Q44" s="65"/>
      <c r="R44" s="65"/>
      <c r="S44" s="65"/>
      <c r="T44" s="65"/>
    </row>
    <row r="45" ht="15.75" spans="1:20">
      <c r="A45">
        <v>26</v>
      </c>
      <c r="B45" s="15" t="s">
        <v>37</v>
      </c>
      <c r="C45" s="16">
        <f>C44/C$19</f>
        <v>0.0373086285455934</v>
      </c>
      <c r="D45" s="16">
        <f>D44/D$19</f>
        <v>0.0433658018818205</v>
      </c>
      <c r="E45" s="16">
        <f>E44/E$19</f>
        <v>0.0264123510657526</v>
      </c>
      <c r="F45" s="16">
        <f>F44/F$19</f>
        <v>-0.0417704283370483</v>
      </c>
      <c r="G45" s="16">
        <f>G44/G$19</f>
        <v>-0.0119568151147099</v>
      </c>
      <c r="H45" s="39">
        <f t="shared" ref="H45:J45" si="17">H44/H19</f>
        <v>0.0258541666666667</v>
      </c>
      <c r="I45" s="39">
        <f t="shared" si="17"/>
        <v>0.0612285714285714</v>
      </c>
      <c r="J45" s="39">
        <f t="shared" si="17"/>
        <v>0.0976285714285713</v>
      </c>
      <c r="M45" s="55"/>
      <c r="N45" s="56"/>
      <c r="O45" s="56"/>
      <c r="P45" s="56"/>
      <c r="Q45" s="65"/>
      <c r="R45" s="64"/>
      <c r="S45" s="64"/>
      <c r="T45" s="64"/>
    </row>
    <row r="46" ht="15.75" spans="1:20">
      <c r="A46">
        <v>27</v>
      </c>
      <c r="B46" s="11" t="s">
        <v>53</v>
      </c>
      <c r="C46" s="12">
        <v>-302</v>
      </c>
      <c r="D46" s="12">
        <v>1609</v>
      </c>
      <c r="E46" s="19">
        <v>566</v>
      </c>
      <c r="F46" s="19">
        <v>-2262</v>
      </c>
      <c r="G46" s="19">
        <v>-964</v>
      </c>
      <c r="H46" s="19">
        <f t="shared" ref="G46:J46" si="18">H47*H$14</f>
        <v>0</v>
      </c>
      <c r="I46" s="47">
        <f t="shared" si="18"/>
        <v>0</v>
      </c>
      <c r="J46" s="47">
        <f t="shared" si="18"/>
        <v>0</v>
      </c>
      <c r="M46" s="55"/>
      <c r="N46" s="56"/>
      <c r="O46" s="56"/>
      <c r="P46" s="56"/>
      <c r="Q46" s="64"/>
      <c r="R46" s="64"/>
      <c r="S46" s="64"/>
      <c r="T46" s="64"/>
    </row>
    <row r="47" ht="15.75" spans="1:20">
      <c r="A47">
        <v>28</v>
      </c>
      <c r="B47" s="11" t="s">
        <v>54</v>
      </c>
      <c r="C47" s="14">
        <f t="shared" ref="C47:F47" si="19">C46/C44</f>
        <v>-0.034081932061844</v>
      </c>
      <c r="D47" s="14">
        <f t="shared" si="19"/>
        <v>0.135323801513877</v>
      </c>
      <c r="E47" s="14">
        <f t="shared" si="19"/>
        <v>0.0708208208208208</v>
      </c>
      <c r="F47" s="14" t="s">
        <v>55</v>
      </c>
      <c r="G47" s="39" t="s">
        <v>55</v>
      </c>
      <c r="H47" s="39">
        <v>0</v>
      </c>
      <c r="I47" s="48">
        <v>0</v>
      </c>
      <c r="J47" s="48">
        <v>0</v>
      </c>
      <c r="M47" s="55"/>
      <c r="N47" s="63"/>
      <c r="O47" s="63"/>
      <c r="P47" s="63"/>
      <c r="Q47" s="64"/>
      <c r="R47" s="68"/>
      <c r="S47" s="68"/>
      <c r="T47" s="68"/>
    </row>
    <row r="48" ht="15.75" spans="1:20">
      <c r="A48">
        <v>29</v>
      </c>
      <c r="B48" s="23" t="s">
        <v>56</v>
      </c>
      <c r="C48" s="12">
        <f t="shared" ref="C48:J48" si="20">C44-C46</f>
        <v>9163</v>
      </c>
      <c r="D48" s="12">
        <f t="shared" si="20"/>
        <v>10281</v>
      </c>
      <c r="E48" s="12">
        <f t="shared" si="20"/>
        <v>7426</v>
      </c>
      <c r="F48" s="12">
        <f t="shared" si="20"/>
        <v>-10731</v>
      </c>
      <c r="G48" s="12">
        <f t="shared" si="20"/>
        <v>-2580</v>
      </c>
      <c r="H48" s="12" t="s">
        <v>57</v>
      </c>
      <c r="I48" s="50" t="s">
        <v>57</v>
      </c>
      <c r="J48" s="50" t="s">
        <v>57</v>
      </c>
      <c r="M48" s="55"/>
      <c r="N48" s="55"/>
      <c r="O48" s="55"/>
      <c r="P48" s="55"/>
      <c r="Q48" s="55"/>
      <c r="R48" s="55"/>
      <c r="S48" s="55"/>
      <c r="T48" s="55"/>
    </row>
    <row r="49" ht="44.75" spans="1:20">
      <c r="A49">
        <v>30</v>
      </c>
      <c r="B49" s="24" t="s">
        <v>58</v>
      </c>
      <c r="C49" s="25">
        <f>C48-C50</f>
        <v>9587.83</v>
      </c>
      <c r="D49" s="25">
        <f>D48-D50</f>
        <v>16948</v>
      </c>
      <c r="E49" s="25">
        <f>E48-E50</f>
        <v>17046</v>
      </c>
      <c r="F49" s="25">
        <f>F48-F50</f>
        <v>1453</v>
      </c>
      <c r="G49" s="41">
        <f>G48-G50</f>
        <v>4426</v>
      </c>
      <c r="H49" s="41" t="e">
        <f t="shared" ref="G49:J49" si="21">H48-H50</f>
        <v>#VALUE!</v>
      </c>
      <c r="I49" s="51" t="e">
        <f t="shared" si="21"/>
        <v>#VALUE!</v>
      </c>
      <c r="J49" s="51" t="e">
        <f t="shared" si="21"/>
        <v>#VALUE!</v>
      </c>
      <c r="M49" s="55"/>
      <c r="N49" s="55"/>
      <c r="O49" s="55"/>
      <c r="P49" s="55"/>
      <c r="Q49" s="55"/>
      <c r="R49" s="55"/>
      <c r="S49" s="55"/>
      <c r="T49" s="55"/>
    </row>
    <row r="50" ht="15.75" spans="1:10">
      <c r="A50">
        <v>31</v>
      </c>
      <c r="B50" s="9" t="s">
        <v>59</v>
      </c>
      <c r="C50" s="10">
        <v>-424.83</v>
      </c>
      <c r="D50" s="10">
        <v>-6667</v>
      </c>
      <c r="E50" s="42">
        <v>-9620</v>
      </c>
      <c r="F50" s="42">
        <v>-12184</v>
      </c>
      <c r="G50" s="34">
        <v>-7006</v>
      </c>
      <c r="H50" s="43" t="s">
        <v>57</v>
      </c>
      <c r="I50" s="52" t="s">
        <v>57</v>
      </c>
      <c r="J50" s="52" t="s">
        <v>57</v>
      </c>
    </row>
  </sheetData>
  <mergeCells count="1">
    <mergeCell ref="U15:V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2020-12-18T02:33:11Z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1033-2.1.2.3417</vt:lpwstr>
  </property>
</Properties>
</file>