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060" firstSheet="3" activeTab="5"/>
  </bookViews>
  <sheets>
    <sheet name="表格1、计算底稿" sheetId="2" r:id="rId1"/>
    <sheet name="表格2、蓝牙SoC芯片出货量（2020.7月）" sheetId="3" r:id="rId2"/>
    <sheet name="表格3、市面主要TWS产品搭载的芯片" sheetId="4" r:id="rId3"/>
    <sheet name="表格四、tws耳机出货量" sheetId="5" r:id="rId4"/>
    <sheet name="表格3、市面主要TWS产品搭载的芯片 (2)" sheetId="6" r:id="rId5"/>
    <sheet name="Sheet1" sheetId="7" r:id="rId6"/>
  </sheets>
  <definedNames>
    <definedName name="_xlnm._FilterDatabase" localSheetId="2" hidden="1">表格3、市面主要TWS产品搭载的芯片!$C$2:$D$44</definedName>
    <definedName name="_xlnm._FilterDatabase" localSheetId="4" hidden="1">'表格3、市面主要TWS产品搭载的芯片 (2)'!$C$2:$D$33</definedName>
    <definedName name="_xlnm.Criteria" localSheetId="2">表格3、市面主要TWS产品搭载的芯片!$C$3:$D$26</definedName>
    <definedName name="_xlnm.Criteria" localSheetId="4">'表格3、市面主要TWS产品搭载的芯片 (2)'!$C$3:$D$5</definedName>
  </definedNames>
  <calcPr calcId="144525"/>
</workbook>
</file>

<file path=xl/sharedStrings.xml><?xml version="1.0" encoding="utf-8"?>
<sst xmlns="http://schemas.openxmlformats.org/spreadsheetml/2006/main" count="286">
  <si>
    <t>数据来源</t>
  </si>
  <si>
    <t>TWS全球出货量（万副）</t>
  </si>
  <si>
    <t>年份</t>
  </si>
  <si>
    <t>2020E</t>
  </si>
  <si>
    <t>2021E</t>
  </si>
  <si>
    <t>2024E</t>
  </si>
  <si>
    <t>出货量</t>
  </si>
  <si>
    <t>手机全球出货量预测</t>
  </si>
  <si>
    <t>对比2020</t>
  </si>
  <si>
    <t>2020-2024年增长率</t>
  </si>
  <si>
    <t>IDC</t>
  </si>
  <si>
    <t>手机出货量（万台）</t>
  </si>
  <si>
    <t>IDC预测</t>
  </si>
  <si>
    <t>苹果手机出货量（万台）</t>
  </si>
  <si>
    <t>中泰电子预测</t>
  </si>
  <si>
    <t>Airpods出货量</t>
  </si>
  <si>
    <t>Airpods渗透率</t>
  </si>
  <si>
    <t>安卓手机出货量（万台）</t>
  </si>
  <si>
    <t>安卓TWS出货量</t>
  </si>
  <si>
    <t>安卓TWS渗透率</t>
  </si>
  <si>
    <t>低端蓝牙音频SoC芯片单价</t>
  </si>
  <si>
    <t>杰理科技招股书</t>
  </si>
  <si>
    <t>杰理科技(IPO终止)</t>
  </si>
  <si>
    <t>（2018上半年）</t>
  </si>
  <si>
    <t>颗数（万颗）</t>
  </si>
  <si>
    <t>总收入（万元）</t>
  </si>
  <si>
    <t>单价（元）</t>
  </si>
  <si>
    <t>平均单价=</t>
  </si>
  <si>
    <t>毛利率</t>
  </si>
  <si>
    <t>平均毛利=</t>
  </si>
  <si>
    <t>博通集成2019年报</t>
  </si>
  <si>
    <t>博通集成（603068.SH）</t>
  </si>
  <si>
    <t>总平均单价=</t>
  </si>
  <si>
    <t>高端蓝牙音频SoC芯片单价</t>
  </si>
  <si>
    <t>总平均毛利=</t>
  </si>
  <si>
    <t>恒玄科技招股书</t>
  </si>
  <si>
    <t>恒玄科技 （不带智能语音）</t>
  </si>
  <si>
    <t>2020上半年</t>
  </si>
  <si>
    <t>恒玄科技 （智能语音）</t>
  </si>
  <si>
    <t>天猫商城数据来源
直接对天猫商家销售量进行计数</t>
  </si>
  <si>
    <t>安卓TWS耳机价格分布</t>
  </si>
  <si>
    <t>价格区间</t>
  </si>
  <si>
    <t>主流搭载芯片</t>
  </si>
  <si>
    <t>代表厂商</t>
  </si>
  <si>
    <t>下游品牌</t>
  </si>
  <si>
    <t>天猫商城成交数（单）</t>
  </si>
  <si>
    <t>占比</t>
  </si>
  <si>
    <t>SoC芯片代表性单价</t>
  </si>
  <si>
    <t>低端</t>
  </si>
  <si>
    <t>0-150</t>
  </si>
  <si>
    <t>低端蓝牙芯片</t>
  </si>
  <si>
    <t>杰理、中科蓝讯</t>
  </si>
  <si>
    <t>夏新、QCY、索爱</t>
  </si>
  <si>
    <t>中端</t>
  </si>
  <si>
    <t>150-400</t>
  </si>
  <si>
    <t>普通蓝牙</t>
  </si>
  <si>
    <t>恒玄、络达、高通</t>
  </si>
  <si>
    <t>小米、漫步者、oppo</t>
  </si>
  <si>
    <t>高端</t>
  </si>
  <si>
    <t>400+</t>
  </si>
  <si>
    <t>智能语音蓝牙</t>
  </si>
  <si>
    <t>恒玄、高通</t>
  </si>
  <si>
    <t>荣耀、vivo、漫步者</t>
  </si>
  <si>
    <t>*对价格区间的判断由表格3得出</t>
  </si>
  <si>
    <t>*从图表得知中科蓝汛与杰理出货量占比接近75%，与通过天猫商城观察得到的TWS耳机低中高端分别的销量比较接近</t>
  </si>
  <si>
    <t>安卓TWS2020年规模</t>
  </si>
  <si>
    <t>类别</t>
  </si>
  <si>
    <t>规模占比</t>
  </si>
  <si>
    <t>出货量（万台）</t>
  </si>
  <si>
    <t>* 考虑到TWS耳机较低的良品率，直接用TWS销量计算芯片份额并不准确</t>
  </si>
  <si>
    <t>旭日大数据、表格2</t>
  </si>
  <si>
    <t>安卓TWS蓝牙芯片7月出货量</t>
  </si>
  <si>
    <t>厂商</t>
  </si>
  <si>
    <t>出货量（万颗）</t>
  </si>
  <si>
    <t>市场份额%</t>
  </si>
  <si>
    <t>芯片定位</t>
  </si>
  <si>
    <t>杰理</t>
  </si>
  <si>
    <t>*低端出货量占比约75%，与天猫商城估算65%有一定差异，此处取平均值70%</t>
  </si>
  <si>
    <t>中科蓝汛</t>
  </si>
  <si>
    <t>恒玄</t>
  </si>
  <si>
    <t>中端、高端</t>
  </si>
  <si>
    <t>*由此估算恒玄半年出货量3000万颗，与实际半年报3300万颗十分接近，得出结论总市场份额7%较为可靠</t>
  </si>
  <si>
    <t>络达（联发科）</t>
  </si>
  <si>
    <t>瑞昱</t>
  </si>
  <si>
    <t>原相</t>
  </si>
  <si>
    <t>高通</t>
  </si>
  <si>
    <t>矩芯</t>
  </si>
  <si>
    <t>易兆微</t>
  </si>
  <si>
    <t>博通集成</t>
  </si>
  <si>
    <t>总和</t>
  </si>
  <si>
    <t>蓝牙音频SoC芯片市场规模</t>
  </si>
  <si>
    <t>2022E</t>
  </si>
  <si>
    <t>同比增速</t>
  </si>
  <si>
    <t>低端市场份额</t>
  </si>
  <si>
    <t>预计市场全年出货颗数（万颗）</t>
  </si>
  <si>
    <t>平均单价</t>
  </si>
  <si>
    <t>低端蓝牙芯片2020市场规模（万元）</t>
  </si>
  <si>
    <t>CAGR</t>
  </si>
  <si>
    <t>中高端市场份额</t>
  </si>
  <si>
    <t>*假设中高端市场份额逐步提高</t>
  </si>
  <si>
    <t>恒玄科技总市场份额</t>
  </si>
  <si>
    <t>恒玄科技在中高端市场份额</t>
  </si>
  <si>
    <t>恒玄上半年蓝牙芯片营收（万元）</t>
  </si>
  <si>
    <t>/</t>
  </si>
  <si>
    <t>平均单价（含语音与非语音蓝牙）</t>
  </si>
  <si>
    <t>中高端蓝牙芯片2020市场规模（万元）</t>
  </si>
  <si>
    <t>增速</t>
  </si>
  <si>
    <t>预计全年总出货颗数（万颗）</t>
  </si>
  <si>
    <t>总蓝牙芯片2020市场规模（万元）</t>
  </si>
  <si>
    <t>恒玄科技的影响（万元）</t>
  </si>
  <si>
    <t>2018A</t>
  </si>
  <si>
    <t>2019A</t>
  </si>
  <si>
    <t>营业总收入</t>
  </si>
  <si>
    <t>*我们选用市场平均增速为恒玄的营收增速，并假设恒玄市场份额不变</t>
  </si>
  <si>
    <t>营业成本</t>
  </si>
  <si>
    <t>毛利</t>
  </si>
  <si>
    <t>％营业收入</t>
  </si>
  <si>
    <t>营业税金及附加</t>
  </si>
  <si>
    <t>销售费用</t>
  </si>
  <si>
    <t>管理费用</t>
  </si>
  <si>
    <t>研发费用</t>
  </si>
  <si>
    <t>*我们预测研发费用占营业收入比随着营收提高和减少</t>
  </si>
  <si>
    <t>财务费用</t>
  </si>
  <si>
    <t>加：其他收益</t>
  </si>
  <si>
    <t>资产减值损失</t>
  </si>
  <si>
    <t>信用减值损失</t>
  </si>
  <si>
    <r>
      <rPr>
        <sz val="10"/>
        <color theme="1"/>
        <rFont val="Courier New"/>
        <charset val="134"/>
      </rPr>
      <t xml:space="preserve"> </t>
    </r>
    <r>
      <rPr>
        <sz val="10"/>
        <color theme="1"/>
        <rFont val="宋体"/>
        <charset val="134"/>
      </rPr>
      <t>公允价值变动收益</t>
    </r>
  </si>
  <si>
    <t>投资收益</t>
  </si>
  <si>
    <t>营业利润</t>
  </si>
  <si>
    <t>营业外收支</t>
  </si>
  <si>
    <t>利润总额</t>
  </si>
  <si>
    <t>所得税费用</t>
  </si>
  <si>
    <t>算下税率</t>
  </si>
  <si>
    <t>净利润</t>
  </si>
  <si>
    <t>归属于母公司所有者的净利润</t>
  </si>
  <si>
    <t>少数股东损益</t>
  </si>
  <si>
    <t>2020.7月蓝牙芯片出货量排行</t>
  </si>
  <si>
    <t>数据来源：旭日大数据</t>
  </si>
  <si>
    <t>单价</t>
  </si>
  <si>
    <t>市场份额（个数）</t>
  </si>
  <si>
    <t>市场规模份额（营收万元）</t>
  </si>
  <si>
    <t>盈利规模（毛利，万元）</t>
  </si>
  <si>
    <t>定位</t>
  </si>
  <si>
    <t>*9.24由普通蓝牙与智能蓝牙出货价格加权平均得到</t>
  </si>
  <si>
    <t>安卓主要TWS耳机芯片搭载</t>
  </si>
  <si>
    <t>型号</t>
  </si>
  <si>
    <t>下游厂商</t>
  </si>
  <si>
    <t>产品</t>
  </si>
  <si>
    <t>价格</t>
  </si>
  <si>
    <t>BES2300（智能蓝牙）</t>
  </si>
  <si>
    <t>魅族</t>
  </si>
  <si>
    <t>POP2</t>
  </si>
  <si>
    <t>平均价格=</t>
  </si>
  <si>
    <t>百度</t>
  </si>
  <si>
    <t>小度</t>
  </si>
  <si>
    <t>中位数=</t>
  </si>
  <si>
    <t>漫步者</t>
  </si>
  <si>
    <t>NB2</t>
  </si>
  <si>
    <t>芯片单价=：</t>
  </si>
  <si>
    <t>DreamPods</t>
  </si>
  <si>
    <t>松下</t>
  </si>
  <si>
    <t>RZ-C100W</t>
  </si>
  <si>
    <t>小米</t>
  </si>
  <si>
    <t>Air2 SE</t>
  </si>
  <si>
    <t>颈挂式主动降噪</t>
  </si>
  <si>
    <t>Air2 Pro</t>
  </si>
  <si>
    <t>华为</t>
  </si>
  <si>
    <t>FlyPods 3</t>
  </si>
  <si>
    <t>FreeLace Pro</t>
  </si>
  <si>
    <t>FlyPOds</t>
  </si>
  <si>
    <t>FreeBuds2 Pro</t>
  </si>
  <si>
    <t>Free Lace</t>
  </si>
  <si>
    <t>倍思</t>
  </si>
  <si>
    <t>W07</t>
  </si>
  <si>
    <t>Realme</t>
  </si>
  <si>
    <t>Buds Air Pro</t>
  </si>
  <si>
    <t>OPPO</t>
  </si>
  <si>
    <t>Enco M31</t>
  </si>
  <si>
    <t>Enco Q1</t>
  </si>
  <si>
    <t>Enco W51</t>
  </si>
  <si>
    <t>Enco W31</t>
  </si>
  <si>
    <t>Enco Free</t>
  </si>
  <si>
    <t>One Plus</t>
  </si>
  <si>
    <t>Buds Z</t>
  </si>
  <si>
    <t>OnePlus Buds</t>
  </si>
  <si>
    <t>JBL</t>
  </si>
  <si>
    <t>TUNE225</t>
  </si>
  <si>
    <t>T280</t>
  </si>
  <si>
    <t>WT230（智能蓝牙）</t>
  </si>
  <si>
    <t>Buds Q</t>
  </si>
  <si>
    <t>Air2</t>
  </si>
  <si>
    <t>Air2s</t>
  </si>
  <si>
    <t>锤子</t>
  </si>
  <si>
    <t>真无线蓝牙</t>
  </si>
  <si>
    <t>BES2000（普通蓝牙）</t>
  </si>
  <si>
    <t>1MORE</t>
  </si>
  <si>
    <t>高清降噪圈铁蓝牙</t>
  </si>
  <si>
    <t>三单元圈铁蓝牙</t>
  </si>
  <si>
    <t>Stylish双动圈颈挂蓝牙耳机</t>
  </si>
  <si>
    <t>TUNE120</t>
  </si>
  <si>
    <t>REFLECT Contour 2</t>
  </si>
  <si>
    <t>QCY</t>
  </si>
  <si>
    <t>L2</t>
  </si>
  <si>
    <t>FlyPods青春版</t>
  </si>
  <si>
    <t>FreeBuds</t>
  </si>
  <si>
    <t>白牌</t>
  </si>
  <si>
    <t>AirPods Pro 山寨</t>
  </si>
  <si>
    <t>索爱</t>
  </si>
  <si>
    <t>T1S</t>
  </si>
  <si>
    <t>EP52 Lite</t>
  </si>
  <si>
    <t>POP</t>
  </si>
  <si>
    <t>WT200（普通蓝牙）</t>
  </si>
  <si>
    <t>Air</t>
  </si>
  <si>
    <t>T5</t>
  </si>
  <si>
    <t>AC6936D</t>
  </si>
  <si>
    <t>W04 Pro</t>
  </si>
  <si>
    <t>W09</t>
  </si>
  <si>
    <t>WM01</t>
  </si>
  <si>
    <t>A1S</t>
  </si>
  <si>
    <t>中科蓝讯</t>
  </si>
  <si>
    <t>AB5376A</t>
  </si>
  <si>
    <t>山水</t>
  </si>
  <si>
    <t>X15</t>
  </si>
  <si>
    <t>凡蒂尼</t>
  </si>
  <si>
    <t>A10</t>
  </si>
  <si>
    <t>BT8852</t>
  </si>
  <si>
    <t>夏新</t>
  </si>
  <si>
    <t>F9</t>
  </si>
  <si>
    <t>飞利浦</t>
  </si>
  <si>
    <t>TAT1205</t>
  </si>
  <si>
    <t>络达</t>
  </si>
  <si>
    <t>AB1526P</t>
  </si>
  <si>
    <t>TWS2</t>
  </si>
  <si>
    <t>联想</t>
  </si>
  <si>
    <t>S1</t>
  </si>
  <si>
    <t>酷我</t>
  </si>
  <si>
    <t>X1</t>
  </si>
  <si>
    <t>AB155X</t>
  </si>
  <si>
    <t>索尼</t>
  </si>
  <si>
    <t>WF-XB700</t>
  </si>
  <si>
    <t>WF-H800</t>
  </si>
  <si>
    <t>BK3266</t>
  </si>
  <si>
    <t>Skullcandy</t>
  </si>
  <si>
    <t>小魔豆</t>
  </si>
  <si>
    <t>QCC3020</t>
  </si>
  <si>
    <t>TWS1</t>
  </si>
  <si>
    <t>Lollopods</t>
  </si>
  <si>
    <t>QCC304X</t>
  </si>
  <si>
    <t>VIVO</t>
  </si>
  <si>
    <t>TWS Neo</t>
  </si>
  <si>
    <t>CSR8670</t>
  </si>
  <si>
    <t>BOSE</t>
  </si>
  <si>
    <t>SOUNDSPORT Free</t>
  </si>
  <si>
    <t>TWS7</t>
  </si>
  <si>
    <t>品牌出货量</t>
  </si>
  <si>
    <t>白牌出货量</t>
  </si>
  <si>
    <t>总出货量</t>
  </si>
  <si>
    <t>品牌同比增速</t>
  </si>
  <si>
    <t>白牌同比增速</t>
  </si>
  <si>
    <t>安卓及白牌出货量</t>
  </si>
  <si>
    <t>研发费用&amp;研发增速</t>
  </si>
  <si>
    <t>研发营收比</t>
  </si>
  <si>
    <t>2020Q3</t>
  </si>
  <si>
    <t>营业收入&amp;净利润</t>
  </si>
  <si>
    <t>营业收入</t>
  </si>
  <si>
    <t>营收增长率</t>
  </si>
  <si>
    <t>营收按产品分类</t>
  </si>
  <si>
    <t>普通蓝牙音频芯片</t>
  </si>
  <si>
    <t>智能蓝牙音频芯片</t>
  </si>
  <si>
    <t>Type-C音频芯片</t>
  </si>
  <si>
    <t>2020Q2</t>
  </si>
  <si>
    <t>毛利率按产品分类</t>
  </si>
  <si>
    <t>x</t>
  </si>
  <si>
    <t>恒玄科技</t>
  </si>
  <si>
    <t>TWS总出货量(万台)</t>
  </si>
  <si>
    <t>白牌(低端)渗透率</t>
  </si>
  <si>
    <t>品牌(中高端)渗透率</t>
  </si>
  <si>
    <t>1.中端品牌</t>
  </si>
  <si>
    <t>2.高端品牌</t>
  </si>
  <si>
    <t>低端白牌单价(元/副)</t>
  </si>
  <si>
    <t>中端白牌单价(元/副)</t>
  </si>
  <si>
    <t>高端白牌单价(元/副)</t>
  </si>
  <si>
    <t>低端市场规模(亿元)</t>
  </si>
  <si>
    <t>中端市场规模(亿元)</t>
  </si>
  <si>
    <t>高端市场规模(亿元)</t>
  </si>
  <si>
    <t>总市场规模(亿元)</t>
  </si>
</sst>
</file>

<file path=xl/styles.xml><?xml version="1.0" encoding="utf-8"?>
<styleSheet xmlns="http://schemas.openxmlformats.org/spreadsheetml/2006/main">
  <numFmts count="9">
    <numFmt numFmtId="176" formatCode="0.000_ "/>
    <numFmt numFmtId="177" formatCode="0.0%"/>
    <numFmt numFmtId="178" formatCode="0.0_ "/>
    <numFmt numFmtId="179" formatCode="0.00_ "/>
    <numFmt numFmtId="180" formatCode="_ * #,##0.00_ ;_ * \-#,##0.00_ ;_ * &quot;-&quot;??_ ;_ @_ "/>
    <numFmt numFmtId="42" formatCode="_(&quot;$&quot;* #,##0_);_(&quot;$&quot;* \(#,##0\);_(&quot;$&quot;* &quot;-&quot;_);_(@_)"/>
    <numFmt numFmtId="181" formatCode="_ * #,##0_ ;_ * \-#,##0_ ;_ * &quot;-&quot;_ ;_ @_ "/>
    <numFmt numFmtId="44" formatCode="_(&quot;$&quot;* #,##0.00_);_(&quot;$&quot;* \(#,##0.00\);_(&quot;$&quot;* &quot;-&quot;??_);_(@_)"/>
    <numFmt numFmtId="182" formatCode="0_ "/>
  </numFmts>
  <fonts count="32">
    <font>
      <sz val="11"/>
      <color theme="1"/>
      <name val="Calibri"/>
      <charset val="134"/>
      <scheme val="minor"/>
    </font>
    <font>
      <b/>
      <sz val="11"/>
      <color theme="0"/>
      <name val="方正楷体_GBK"/>
      <charset val="134"/>
    </font>
    <font>
      <sz val="11"/>
      <color theme="1"/>
      <name val="方正楷体_GBK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rgb="FF262626"/>
      <name val="Calibri"/>
      <charset val="134"/>
      <scheme val="minor"/>
    </font>
    <font>
      <b/>
      <sz val="10.55"/>
      <color rgb="FF000000"/>
      <name val="SimSun"/>
      <charset val="134"/>
    </font>
    <font>
      <sz val="10.55"/>
      <color rgb="FF000000"/>
      <name val="TimesNewRomanPSMT"/>
      <charset val="134"/>
    </font>
    <font>
      <sz val="10.55"/>
      <color rgb="FF000000"/>
      <name val="SimSun"/>
      <charset val="134"/>
    </font>
    <font>
      <sz val="10"/>
      <color theme="1"/>
      <name val="宋体"/>
      <charset val="134"/>
    </font>
    <font>
      <i/>
      <sz val="10"/>
      <color theme="1"/>
      <name val="宋体"/>
      <charset val="134"/>
    </font>
    <font>
      <sz val="10"/>
      <color theme="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9" fontId="0" fillId="0" borderId="0" xfId="47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9" fontId="2" fillId="3" borderId="1" xfId="47" applyNumberFormat="1" applyFont="1" applyFill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3" borderId="1" xfId="47" applyFont="1" applyFill="1" applyBorder="1">
      <alignment vertical="center"/>
    </xf>
    <xf numFmtId="0" fontId="2" fillId="3" borderId="1" xfId="47" applyNumberFormat="1" applyFont="1" applyFill="1" applyBorder="1" applyAlignment="1">
      <alignment horizontal="center" vertical="center"/>
    </xf>
    <xf numFmtId="9" fontId="2" fillId="0" borderId="1" xfId="47" applyFont="1" applyBorder="1">
      <alignment vertical="center"/>
    </xf>
    <xf numFmtId="0" fontId="2" fillId="0" borderId="1" xfId="47" applyNumberFormat="1" applyFont="1" applyBorder="1">
      <alignment vertical="center"/>
    </xf>
    <xf numFmtId="0" fontId="2" fillId="3" borderId="1" xfId="47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4" borderId="0" xfId="0" applyFill="1">
      <alignment vertical="center"/>
    </xf>
    <xf numFmtId="0" fontId="4" fillId="0" borderId="1" xfId="0" applyFont="1" applyBorder="1">
      <alignment vertical="center"/>
    </xf>
    <xf numFmtId="10" fontId="0" fillId="0" borderId="0" xfId="47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9" fontId="0" fillId="0" borderId="0" xfId="47" applyNumberFormat="1" applyAlignment="1">
      <alignment horizontal="center" vertical="center"/>
    </xf>
    <xf numFmtId="0" fontId="8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82" fontId="0" fillId="0" borderId="0" xfId="0" applyNumberFormat="1">
      <alignment vertical="center"/>
    </xf>
    <xf numFmtId="179" fontId="3" fillId="0" borderId="0" xfId="0" applyNumberFormat="1" applyFont="1">
      <alignment vertical="center"/>
    </xf>
    <xf numFmtId="177" fontId="3" fillId="0" borderId="0" xfId="47" applyNumberFormat="1" applyFont="1">
      <alignment vertical="center"/>
    </xf>
    <xf numFmtId="177" fontId="0" fillId="0" borderId="0" xfId="47" applyNumberFormat="1">
      <alignment vertical="center"/>
    </xf>
    <xf numFmtId="176" fontId="0" fillId="0" borderId="0" xfId="47" applyNumberFormat="1">
      <alignment vertical="center"/>
    </xf>
    <xf numFmtId="0" fontId="0" fillId="0" borderId="0" xfId="0" applyFill="1">
      <alignment vertical="center"/>
    </xf>
    <xf numFmtId="9" fontId="0" fillId="0" borderId="0" xfId="47" applyNumberFormat="1">
      <alignment vertical="center"/>
    </xf>
    <xf numFmtId="0" fontId="0" fillId="0" borderId="0" xfId="0" applyNumberFormat="1">
      <alignment vertical="center"/>
    </xf>
    <xf numFmtId="182" fontId="0" fillId="0" borderId="0" xfId="0" applyNumberFormat="1" applyAlignment="1">
      <alignment horizontal="righ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182" fontId="9" fillId="0" borderId="6" xfId="0" applyNumberFormat="1" applyFont="1" applyFill="1" applyBorder="1" applyAlignment="1">
      <alignment horizontal="center" vertical="center" wrapText="1"/>
    </xf>
    <xf numFmtId="9" fontId="9" fillId="0" borderId="6" xfId="47" applyFont="1" applyFill="1" applyBorder="1" applyAlignment="1">
      <alignment horizontal="center" vertical="center" wrapText="1"/>
    </xf>
    <xf numFmtId="9" fontId="9" fillId="0" borderId="6" xfId="47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9" fontId="10" fillId="0" borderId="6" xfId="47" applyNumberFormat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82" fontId="9" fillId="0" borderId="8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182" fontId="12" fillId="0" borderId="6" xfId="0" applyNumberFormat="1" applyFont="1" applyFill="1" applyBorder="1" applyAlignment="1">
      <alignment horizontal="center" vertical="center"/>
    </xf>
    <xf numFmtId="179" fontId="12" fillId="0" borderId="6" xfId="0" applyNumberFormat="1" applyFont="1" applyFill="1" applyBorder="1" applyAlignment="1">
      <alignment horizontal="center" vertical="center"/>
    </xf>
    <xf numFmtId="9" fontId="12" fillId="0" borderId="6" xfId="0" applyNumberFormat="1" applyFont="1" applyFill="1" applyBorder="1" applyAlignment="1">
      <alignment horizontal="center" vertical="center"/>
    </xf>
    <xf numFmtId="9" fontId="12" fillId="0" borderId="6" xfId="47" applyNumberFormat="1" applyFont="1" applyFill="1" applyBorder="1" applyAlignment="1">
      <alignment horizontal="center" vertical="center"/>
    </xf>
    <xf numFmtId="177" fontId="10" fillId="0" borderId="6" xfId="47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182" fontId="12" fillId="0" borderId="8" xfId="0" applyNumberFormat="1" applyFont="1" applyFill="1" applyBorder="1" applyAlignment="1">
      <alignment horizontal="center" vertical="center"/>
    </xf>
    <xf numFmtId="182" fontId="12" fillId="0" borderId="4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TWS</a:t>
            </a:r>
            <a:r>
              <a:rPr lang="zh-CN" altLang="en-US"/>
              <a:t>全球</a:t>
            </a:r>
            <a:r>
              <a:t>出货量</a:t>
            </a:r>
            <a:r>
              <a:rPr lang="zh-CN" altLang="en-US"/>
              <a:t>（万副）</a:t>
            </a:r>
            <a:endParaRPr lang="zh-CN" altLang="en-US"/>
          </a:p>
        </c:rich>
      </c:tx>
      <c:layout>
        <c:manualLayout>
          <c:xMode val="edge"/>
          <c:yMode val="edge"/>
          <c:x val="0.307285137205739"/>
          <c:y val="0.025328787140769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表格1、计算底稿!$B$3</c:f>
              <c:strCache>
                <c:ptCount val="1"/>
                <c:pt idx="0">
                  <c:v>出货量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表格1、计算底稿!$C$2:$G$2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2020E</c:v>
                </c:pt>
              </c:strCache>
            </c:strRef>
          </c:cat>
          <c:val>
            <c:numRef>
              <c:f>表格1、计算底稿!$C$3:$G$3</c:f>
              <c:numCache>
                <c:formatCode>General</c:formatCode>
                <c:ptCount val="5"/>
                <c:pt idx="0">
                  <c:v>918</c:v>
                </c:pt>
                <c:pt idx="1">
                  <c:v>2000</c:v>
                </c:pt>
                <c:pt idx="2">
                  <c:v>15000</c:v>
                </c:pt>
                <c:pt idx="3">
                  <c:v>31500</c:v>
                </c:pt>
                <c:pt idx="4">
                  <c:v>40500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594720"/>
        <c:axId val="291317518"/>
      </c:barChart>
      <c:catAx>
        <c:axId val="63759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317518"/>
        <c:crosses val="autoZero"/>
        <c:auto val="1"/>
        <c:lblAlgn val="ctr"/>
        <c:lblOffset val="100"/>
        <c:noMultiLvlLbl val="0"/>
      </c:catAx>
      <c:valAx>
        <c:axId val="2913175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759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安卓</a:t>
            </a:r>
            <a:r>
              <a:rPr altLang="zh-CN"/>
              <a:t>TWS</a:t>
            </a:r>
            <a:r>
              <a:rPr lang="zh-CN" altLang="en-US"/>
              <a:t>出货量及渗透率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表格1、计算底稿!$D$10</c:f>
              <c:strCache>
                <c:ptCount val="1"/>
                <c:pt idx="0">
                  <c:v>安卓手机出货量（万台）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表格1、计算底稿!$E$2:$I$2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2020E</c:v>
                </c:pt>
                <c:pt idx="3">
                  <c:v>2021E</c:v>
                </c:pt>
              </c:strCache>
            </c:strRef>
          </c:cat>
          <c:val>
            <c:numRef>
              <c:f>表格1、计算底稿!$E$10:$H$10</c:f>
              <c:numCache>
                <c:formatCode>General</c:formatCode>
                <c:ptCount val="4"/>
                <c:pt idx="0">
                  <c:v>122470</c:v>
                </c:pt>
                <c:pt idx="1">
                  <c:v>117560</c:v>
                </c:pt>
                <c:pt idx="2">
                  <c:v>107570</c:v>
                </c:pt>
                <c:pt idx="3" c:formatCode="0_ ">
                  <c:v>111101.309368386</c:v>
                </c:pt>
              </c:numCache>
            </c:numRef>
          </c:val>
        </c:ser>
        <c:ser>
          <c:idx val="1"/>
          <c:order val="1"/>
          <c:tx>
            <c:strRef>
              <c:f>表格1、计算底稿!$D$11</c:f>
              <c:strCache>
                <c:ptCount val="1"/>
                <c:pt idx="0">
                  <c:v>安卓TWS出货量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表格1、计算底稿!$E$2:$I$2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2020E</c:v>
                </c:pt>
                <c:pt idx="3">
                  <c:v>2021E</c:v>
                </c:pt>
              </c:strCache>
            </c:strRef>
          </c:cat>
          <c:val>
            <c:numRef>
              <c:f>表格1、计算底稿!$E$11:$H$11</c:f>
              <c:numCache>
                <c:formatCode>General</c:formatCode>
                <c:ptCount val="4"/>
                <c:pt idx="0">
                  <c:v>12400</c:v>
                </c:pt>
                <c:pt idx="1">
                  <c:v>26000</c:v>
                </c:pt>
                <c:pt idx="2">
                  <c:v>31200</c:v>
                </c:pt>
                <c:pt idx="3">
                  <c:v>50100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317289"/>
        <c:axId val="776625031"/>
      </c:barChart>
      <c:lineChart>
        <c:grouping val="standard"/>
        <c:varyColors val="0"/>
        <c:ser>
          <c:idx val="2"/>
          <c:order val="2"/>
          <c:tx>
            <c:strRef>
              <c:f>表格1、计算底稿!$D$12</c:f>
              <c:strCache>
                <c:ptCount val="1"/>
                <c:pt idx="0">
                  <c:v>安卓TWS渗透率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表格1、计算底稿!$E$12:$H$12</c:f>
              <c:numCache>
                <c:formatCode>0%</c:formatCode>
                <c:ptCount val="4"/>
                <c:pt idx="0">
                  <c:v>0.101249285539316</c:v>
                </c:pt>
                <c:pt idx="1">
                  <c:v>0.221163661109221</c:v>
                </c:pt>
                <c:pt idx="2">
                  <c:v>0.290043692479316</c:v>
                </c:pt>
                <c:pt idx="3">
                  <c:v>0.450939779961371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48574929"/>
        <c:axId val="860258879"/>
      </c:lineChart>
      <c:catAx>
        <c:axId val="5983172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6625031"/>
        <c:crosses val="autoZero"/>
        <c:auto val="1"/>
        <c:lblAlgn val="ctr"/>
        <c:lblOffset val="100"/>
        <c:noMultiLvlLbl val="0"/>
      </c:catAx>
      <c:valAx>
        <c:axId val="776625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出货量（万台）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317289"/>
        <c:crosses val="autoZero"/>
        <c:crossBetween val="between"/>
      </c:valAx>
      <c:catAx>
        <c:axId val="44857492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258879"/>
        <c:crosses val="autoZero"/>
        <c:auto val="1"/>
        <c:lblAlgn val="ctr"/>
        <c:lblOffset val="100"/>
        <c:noMultiLvlLbl val="0"/>
      </c:catAx>
      <c:valAx>
        <c:axId val="86025887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857492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/>
              <a:t>Airpods</a:t>
            </a:r>
            <a:r>
              <a:rPr lang="zh-CN" altLang="en-US"/>
              <a:t>出货量及渗透率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表格1、计算底稿!$B$6</c:f>
              <c:strCache>
                <c:ptCount val="1"/>
                <c:pt idx="0">
                  <c:v>苹果手机出货量（万台）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表格1、计算底稿!$E$2:$I$2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2020E</c:v>
                </c:pt>
                <c:pt idx="3">
                  <c:v>2021E</c:v>
                </c:pt>
              </c:strCache>
            </c:strRef>
          </c:cat>
          <c:val>
            <c:numRef>
              <c:f>表格1、计算底稿!$E$6:$H$6</c:f>
              <c:numCache>
                <c:formatCode>General</c:formatCode>
                <c:ptCount val="4"/>
                <c:pt idx="0">
                  <c:v>20630</c:v>
                </c:pt>
                <c:pt idx="1">
                  <c:v>19740</c:v>
                </c:pt>
                <c:pt idx="2">
                  <c:v>16000</c:v>
                </c:pt>
                <c:pt idx="3">
                  <c:v>18500</c:v>
                </c:pt>
              </c:numCache>
            </c:numRef>
          </c:val>
        </c:ser>
        <c:ser>
          <c:idx val="1"/>
          <c:order val="1"/>
          <c:tx>
            <c:strRef>
              <c:f>表格1、计算底稿!$B$7</c:f>
              <c:strCache>
                <c:ptCount val="1"/>
                <c:pt idx="0">
                  <c:v>Airpods出货量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表格1、计算底稿!$E$7:$H$7</c:f>
              <c:numCache>
                <c:formatCode>General</c:formatCode>
                <c:ptCount val="4"/>
                <c:pt idx="0">
                  <c:v>2600</c:v>
                </c:pt>
                <c:pt idx="1">
                  <c:v>5500</c:v>
                </c:pt>
                <c:pt idx="2">
                  <c:v>9300</c:v>
                </c:pt>
                <c:pt idx="3">
                  <c:v>12400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0"/>
        <c:axId val="598317289"/>
        <c:axId val="776625031"/>
      </c:barChart>
      <c:lineChart>
        <c:grouping val="standard"/>
        <c:varyColors val="0"/>
        <c:ser>
          <c:idx val="2"/>
          <c:order val="2"/>
          <c:tx>
            <c:strRef>
              <c:f>表格1、计算底稿!$B$8</c:f>
              <c:strCache>
                <c:ptCount val="1"/>
                <c:pt idx="0">
                  <c:v>Airpods渗透率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表格1、计算底稿!$E$2:$I$2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2020E</c:v>
                </c:pt>
                <c:pt idx="3">
                  <c:v>2021E</c:v>
                </c:pt>
              </c:strCache>
            </c:strRef>
          </c:cat>
          <c:val>
            <c:numRef>
              <c:f>表格1、计算底稿!$E$8:$H$8</c:f>
              <c:numCache>
                <c:formatCode>0%</c:formatCode>
                <c:ptCount val="4"/>
                <c:pt idx="0">
                  <c:v>0.126030053320407</c:v>
                </c:pt>
                <c:pt idx="1">
                  <c:v>0.278622087132725</c:v>
                </c:pt>
                <c:pt idx="2">
                  <c:v>0.58125</c:v>
                </c:pt>
                <c:pt idx="3">
                  <c:v>0.67027027027027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36496086"/>
        <c:axId val="929990079"/>
      </c:lineChart>
      <c:catAx>
        <c:axId val="5983172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6625031"/>
        <c:crosses val="autoZero"/>
        <c:auto val="1"/>
        <c:lblAlgn val="ctr"/>
        <c:lblOffset val="100"/>
        <c:noMultiLvlLbl val="0"/>
      </c:catAx>
      <c:valAx>
        <c:axId val="776625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出货量（万台）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317289"/>
        <c:crosses val="autoZero"/>
        <c:crossBetween val="between"/>
      </c:valAx>
      <c:catAx>
        <c:axId val="3364960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90079"/>
        <c:crosses val="autoZero"/>
        <c:auto val="1"/>
        <c:lblAlgn val="ctr"/>
        <c:lblOffset val="100"/>
        <c:noMultiLvlLbl val="0"/>
      </c:catAx>
      <c:valAx>
        <c:axId val="92999007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4960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'表格2、蓝牙SoC芯片出货量（2020.7月）'!$B$2</c:f>
              <c:strCache>
                <c:ptCount val="1"/>
                <c:pt idx="0">
                  <c:v>出货量（万颗）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'表格2、蓝牙SoC芯片出货量（2020.7月）'!$A$3:$A$12</c:f>
              <c:strCache>
                <c:ptCount val="10"/>
                <c:pt idx="0">
                  <c:v>杰理</c:v>
                </c:pt>
                <c:pt idx="1">
                  <c:v>中科蓝汛</c:v>
                </c:pt>
                <c:pt idx="2">
                  <c:v>恒玄</c:v>
                </c:pt>
                <c:pt idx="3">
                  <c:v>络达（联发科）</c:v>
                </c:pt>
                <c:pt idx="4">
                  <c:v>瑞昱</c:v>
                </c:pt>
                <c:pt idx="5">
                  <c:v>原相</c:v>
                </c:pt>
                <c:pt idx="6">
                  <c:v>高通</c:v>
                </c:pt>
                <c:pt idx="7">
                  <c:v>矩芯</c:v>
                </c:pt>
                <c:pt idx="8">
                  <c:v>易兆微</c:v>
                </c:pt>
                <c:pt idx="9">
                  <c:v>博通集成</c:v>
                </c:pt>
              </c:strCache>
            </c:strRef>
          </c:cat>
          <c:val>
            <c:numRef>
              <c:f>'表格2、蓝牙SoC芯片出货量（2020.7月）'!$B$3:$B$12</c:f>
              <c:numCache>
                <c:formatCode>General</c:formatCode>
                <c:ptCount val="10"/>
                <c:pt idx="0">
                  <c:v>3000</c:v>
                </c:pt>
                <c:pt idx="1">
                  <c:v>2500</c:v>
                </c:pt>
                <c:pt idx="2">
                  <c:v>500</c:v>
                </c:pt>
                <c:pt idx="3">
                  <c:v>430</c:v>
                </c:pt>
                <c:pt idx="4">
                  <c:v>400</c:v>
                </c:pt>
                <c:pt idx="5">
                  <c:v>200</c:v>
                </c:pt>
                <c:pt idx="6">
                  <c:v>150</c:v>
                </c:pt>
                <c:pt idx="7">
                  <c:v>120</c:v>
                </c:pt>
                <c:pt idx="8">
                  <c:v>100</c:v>
                </c:pt>
                <c:pt idx="9">
                  <c:v>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222707"/>
        <c:axId val="882667029"/>
      </c:barChart>
      <c:catAx>
        <c:axId val="3682227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667029"/>
        <c:crosses val="autoZero"/>
        <c:auto val="1"/>
        <c:lblAlgn val="ctr"/>
        <c:lblOffset val="100"/>
        <c:noMultiLvlLbl val="0"/>
      </c:catAx>
      <c:valAx>
        <c:axId val="8826670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2227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TWS</a:t>
            </a:r>
            <a:r>
              <a:rPr lang="zh-CN" altLang="en-US"/>
              <a:t>耳机全球出货量（万副）</a:t>
            </a:r>
            <a:endParaRPr lang="zh-CN" altLang="en-US"/>
          </a:p>
        </c:rich>
      </c:tx>
      <c:layout>
        <c:manualLayout>
          <c:xMode val="edge"/>
          <c:yMode val="edge"/>
          <c:x val="0.260945586795356"/>
          <c:y val="0.04257354699832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表格四、tws耳机出货量!$B$11</c:f>
              <c:strCache>
                <c:ptCount val="1"/>
                <c:pt idx="0">
                  <c:v>品牌出货量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表格四、tws耳机出货量!$C$9:$H$10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2020E</c:v>
                  </c:pt>
                  <c:pt idx="5">
                    <c:v>2021E</c:v>
                  </c:pt>
                </c:lvl>
                <c:lvl/>
              </c:multiLvlStrCache>
            </c:multiLvlStrRef>
          </c:cat>
          <c:val>
            <c:numRef>
              <c:f>表格四、tws耳机出货量!$C$11:$H$11</c:f>
              <c:numCache>
                <c:formatCode>General</c:formatCode>
                <c:ptCount val="6"/>
                <c:pt idx="0">
                  <c:v>918</c:v>
                </c:pt>
                <c:pt idx="1">
                  <c:v>2000</c:v>
                </c:pt>
                <c:pt idx="2">
                  <c:v>4600</c:v>
                </c:pt>
                <c:pt idx="3">
                  <c:v>12900</c:v>
                </c:pt>
                <c:pt idx="4">
                  <c:v>18500</c:v>
                </c:pt>
                <c:pt idx="5">
                  <c:v>30000</c:v>
                </c:pt>
              </c:numCache>
            </c:numRef>
          </c:val>
        </c:ser>
        <c:ser>
          <c:idx val="1"/>
          <c:order val="1"/>
          <c:tx>
            <c:strRef>
              <c:f>表格四、tws耳机出货量!$B$12</c:f>
              <c:strCache>
                <c:ptCount val="1"/>
                <c:pt idx="0">
                  <c:v>白牌出货量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表格四、tws耳机出货量!$C$9:$H$10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2020E</c:v>
                  </c:pt>
                  <c:pt idx="5">
                    <c:v>2021E</c:v>
                  </c:pt>
                </c:lvl>
                <c:lvl/>
              </c:multiLvlStrCache>
            </c:multiLvlStrRef>
          </c:cat>
          <c:val>
            <c:numRef>
              <c:f>表格四、tws耳机出货量!$C$12:$H$12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10400</c:v>
                </c:pt>
                <c:pt idx="3">
                  <c:v>18600</c:v>
                </c:pt>
                <c:pt idx="4">
                  <c:v>22000</c:v>
                </c:pt>
                <c:pt idx="5">
                  <c:v>32500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4855077"/>
        <c:axId val="166062998"/>
      </c:barChart>
      <c:lineChart>
        <c:grouping val="standard"/>
        <c:varyColors val="0"/>
        <c:ser>
          <c:idx val="2"/>
          <c:order val="2"/>
          <c:tx>
            <c:strRef>
              <c:f>表格四、tws耳机出货量!$B$13</c:f>
              <c:strCache>
                <c:ptCount val="1"/>
                <c:pt idx="0">
                  <c:v>品牌同比增速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表格四、tws耳机出货量!$C$9:$H$10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2020E</c:v>
                  </c:pt>
                  <c:pt idx="5">
                    <c:v>2021E</c:v>
                  </c:pt>
                </c:lvl>
                <c:lvl/>
              </c:multiLvlStrCache>
            </c:multiLvlStrRef>
          </c:cat>
          <c:val>
            <c:numRef>
              <c:f>表格四、tws耳机出货量!$C$13:$H$13</c:f>
              <c:numCache>
                <c:formatCode>General</c:formatCode>
                <c:ptCount val="6"/>
                <c:pt idx="1" c:formatCode="0%">
                  <c:v>1.17864923747277</c:v>
                </c:pt>
                <c:pt idx="2" c:formatCode="0%">
                  <c:v>1.3</c:v>
                </c:pt>
                <c:pt idx="3" c:formatCode="0%">
                  <c:v>1.80434782608696</c:v>
                </c:pt>
                <c:pt idx="4" c:formatCode="0%">
                  <c:v>0.434108527131783</c:v>
                </c:pt>
                <c:pt idx="5" c:formatCode="0%">
                  <c:v>0.621621621621622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表格四、tws耳机出货量!$B$14</c:f>
              <c:strCache>
                <c:ptCount val="1"/>
                <c:pt idx="0">
                  <c:v>白牌同比增速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表格四、tws耳机出货量!$C$9:$H$10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2020E</c:v>
                  </c:pt>
                  <c:pt idx="5">
                    <c:v>2021E</c:v>
                  </c:pt>
                </c:lvl>
                <c:lvl/>
              </c:multiLvlStrCache>
            </c:multiLvlStrRef>
          </c:cat>
          <c:val>
            <c:numRef>
              <c:f>表格四、tws耳机出货量!$C$14:$H$14</c:f>
              <c:numCache>
                <c:formatCode>General</c:formatCode>
                <c:ptCount val="6"/>
                <c:pt idx="3" c:formatCode="0%">
                  <c:v>0.788461538461539</c:v>
                </c:pt>
                <c:pt idx="4" c:formatCode="0%">
                  <c:v>0.182795698924731</c:v>
                </c:pt>
                <c:pt idx="5" c:formatCode="0%">
                  <c:v>0.477272727272727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55795517"/>
        <c:axId val="336546962"/>
      </c:lineChart>
      <c:catAx>
        <c:axId val="3648550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062998"/>
        <c:crosses val="autoZero"/>
        <c:auto val="1"/>
        <c:lblAlgn val="ctr"/>
        <c:lblOffset val="100"/>
        <c:noMultiLvlLbl val="0"/>
      </c:catAx>
      <c:valAx>
        <c:axId val="1660629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855077"/>
        <c:crosses val="autoZero"/>
        <c:crossBetween val="between"/>
      </c:valAx>
      <c:catAx>
        <c:axId val="75579551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546962"/>
        <c:crosses val="autoZero"/>
        <c:auto val="1"/>
        <c:lblAlgn val="ctr"/>
        <c:lblOffset val="100"/>
        <c:noMultiLvlLbl val="0"/>
      </c:catAx>
      <c:valAx>
        <c:axId val="336546962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579551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研发费用&amp;研发增速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表格四、tws耳机出货量!$B$20</c:f>
              <c:strCache>
                <c:ptCount val="1"/>
                <c:pt idx="0">
                  <c:v>研发费用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表格四、tws耳机出货量!$A$21:$A$24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表格四、tws耳机出货量!$B$21:$B$24</c:f>
              <c:numCache>
                <c:formatCode>General</c:formatCode>
                <c:ptCount val="4"/>
                <c:pt idx="0">
                  <c:v>4493.67</c:v>
                </c:pt>
                <c:pt idx="1">
                  <c:v>8724.02</c:v>
                </c:pt>
                <c:pt idx="2">
                  <c:v>13236.29</c:v>
                </c:pt>
                <c:pt idx="3">
                  <c:v>12647.02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482123"/>
        <c:axId val="239685343"/>
      </c:barChart>
      <c:lineChart>
        <c:grouping val="standard"/>
        <c:varyColors val="0"/>
        <c:ser>
          <c:idx val="1"/>
          <c:order val="1"/>
          <c:tx>
            <c:strRef>
              <c:f>表格四、tws耳机出货量!$C$20</c:f>
              <c:strCache>
                <c:ptCount val="1"/>
                <c:pt idx="0">
                  <c:v>同比增速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表格四、tws耳机出货量!$A$21:$A$24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表格四、tws耳机出货量!$C$21:$C$24</c:f>
              <c:numCache>
                <c:formatCode>General</c:formatCode>
                <c:ptCount val="4"/>
                <c:pt idx="1" c:formatCode="0.00%">
                  <c:v>0.941402016614482</c:v>
                </c:pt>
                <c:pt idx="2" c:formatCode="0.00%">
                  <c:v>0.51722371108732</c:v>
                </c:pt>
                <c:pt idx="3" c:formatCode="0.00%">
                  <c:v>0.320832080074861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3984623"/>
        <c:axId val="545582848"/>
      </c:lineChart>
      <c:catAx>
        <c:axId val="2854821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9685343"/>
        <c:crosses val="autoZero"/>
        <c:auto val="1"/>
        <c:lblAlgn val="ctr"/>
        <c:lblOffset val="100"/>
        <c:noMultiLvlLbl val="0"/>
      </c:catAx>
      <c:valAx>
        <c:axId val="2396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5482123"/>
        <c:crosses val="autoZero"/>
        <c:crossBetween val="between"/>
      </c:valAx>
      <c:catAx>
        <c:axId val="4398462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5582848"/>
        <c:crosses val="autoZero"/>
        <c:auto val="1"/>
        <c:lblAlgn val="ctr"/>
        <c:lblOffset val="100"/>
        <c:noMultiLvlLbl val="0"/>
      </c:catAx>
      <c:valAx>
        <c:axId val="54558284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8462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表格四、tws耳机出货量!$E$20</c:f>
              <c:strCache>
                <c:ptCount val="1"/>
                <c:pt idx="0">
                  <c:v>研发营收比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表格四、tws耳机出货量!$D$21:$D$24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表格四、tws耳机出货量!$E$21:$E$24</c:f>
              <c:numCache>
                <c:formatCode>0.00%</c:formatCode>
                <c:ptCount val="4"/>
                <c:pt idx="0">
                  <c:v>0.5314</c:v>
                </c:pt>
                <c:pt idx="1">
                  <c:v>0.2648</c:v>
                </c:pt>
                <c:pt idx="2">
                  <c:v>0.204</c:v>
                </c:pt>
                <c:pt idx="3">
                  <c:v>0.1889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79604364"/>
        <c:axId val="983723283"/>
      </c:lineChart>
      <c:catAx>
        <c:axId val="3796043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723283"/>
        <c:crosses val="autoZero"/>
        <c:auto val="1"/>
        <c:lblAlgn val="ctr"/>
        <c:lblOffset val="100"/>
        <c:noMultiLvlLbl val="0"/>
      </c:catAx>
      <c:valAx>
        <c:axId val="9837232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96043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营业收入&amp;净利润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表格四、tws耳机出货量!$B$29</c:f>
              <c:strCache>
                <c:ptCount val="1"/>
                <c:pt idx="0">
                  <c:v>营业收入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表格四、tws耳机出货量!$A$30:$A$33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表格四、tws耳机出货量!$B$30:$B$33</c:f>
              <c:numCache>
                <c:formatCode>General</c:formatCode>
                <c:ptCount val="4"/>
                <c:pt idx="0">
                  <c:v>8456.57</c:v>
                </c:pt>
                <c:pt idx="1">
                  <c:v>32995.56</c:v>
                </c:pt>
                <c:pt idx="2">
                  <c:v>64884.16</c:v>
                </c:pt>
                <c:pt idx="3">
                  <c:v>66925.07</c:v>
                </c:pt>
              </c:numCache>
            </c:numRef>
          </c:val>
        </c:ser>
        <c:ser>
          <c:idx val="1"/>
          <c:order val="1"/>
          <c:tx>
            <c:strRef>
              <c:f>表格四、tws耳机出货量!$C$29</c:f>
              <c:strCache>
                <c:ptCount val="1"/>
                <c:pt idx="0">
                  <c:v>净利润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表格四、tws耳机出货量!$A$30:$A$33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表格四、tws耳机出货量!$C$30:$C$33</c:f>
              <c:numCache>
                <c:formatCode>General</c:formatCode>
                <c:ptCount val="4"/>
                <c:pt idx="0">
                  <c:v>-14359.6</c:v>
                </c:pt>
                <c:pt idx="1">
                  <c:v>177.04</c:v>
                </c:pt>
                <c:pt idx="2">
                  <c:v>6737.88</c:v>
                </c:pt>
                <c:pt idx="3">
                  <c:v>11700.13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496709"/>
        <c:axId val="942070454"/>
      </c:barChart>
      <c:lineChart>
        <c:grouping val="standard"/>
        <c:varyColors val="0"/>
        <c:ser>
          <c:idx val="2"/>
          <c:order val="2"/>
          <c:tx>
            <c:strRef>
              <c:f>表格四、tws耳机出货量!$D$29</c:f>
              <c:strCache>
                <c:ptCount val="1"/>
                <c:pt idx="0">
                  <c:v>营收增长率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表格四、tws耳机出货量!$A$30:$A$33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表格四、tws耳机出货量!$D$30:$D$33</c:f>
              <c:numCache>
                <c:formatCode>General</c:formatCode>
                <c:ptCount val="4"/>
                <c:pt idx="1" c:formatCode="0.00%">
                  <c:v>2.90176631896857</c:v>
                </c:pt>
                <c:pt idx="2" c:formatCode="0.00%">
                  <c:v>0.966451243743098</c:v>
                </c:pt>
                <c:pt idx="3" c:formatCode="0.00%">
                  <c:v>0.4041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63221833"/>
        <c:axId val="931780443"/>
      </c:lineChart>
      <c:catAx>
        <c:axId val="8294967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070454"/>
        <c:crosses val="autoZero"/>
        <c:auto val="1"/>
        <c:lblAlgn val="ctr"/>
        <c:lblOffset val="100"/>
        <c:noMultiLvlLbl val="0"/>
      </c:catAx>
      <c:valAx>
        <c:axId val="9420704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9496709"/>
        <c:crosses val="autoZero"/>
        <c:crossBetween val="between"/>
      </c:valAx>
      <c:catAx>
        <c:axId val="46322183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1780443"/>
        <c:crosses val="autoZero"/>
        <c:auto val="1"/>
        <c:lblAlgn val="ctr"/>
        <c:lblOffset val="100"/>
        <c:noMultiLvlLbl val="0"/>
      </c:catAx>
      <c:valAx>
        <c:axId val="93178044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322183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营收按产品分类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表格四、tws耳机出货量!$B$35</c:f>
              <c:strCache>
                <c:ptCount val="1"/>
                <c:pt idx="0">
                  <c:v>普通蓝牙音频芯片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600" b="1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83%</a:t>
                    </a:r>
                    <a:endParaRPr sz="1600" b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600" b="1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66%</a:t>
                    </a:r>
                    <a:endParaRPr sz="1600" b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600" b="1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46%</a:t>
                    </a:r>
                    <a:endParaRPr sz="1600" b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600" b="1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29%</a:t>
                    </a:r>
                    <a:endParaRPr sz="1600" b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表格四、tws耳机出货量!$A$36:$A$39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表格四、tws耳机出货量!$B$36:$B$39</c:f>
              <c:numCache>
                <c:formatCode>General</c:formatCode>
                <c:ptCount val="4"/>
                <c:pt idx="0">
                  <c:v>7060.43</c:v>
                </c:pt>
                <c:pt idx="1">
                  <c:v>21715.72</c:v>
                </c:pt>
                <c:pt idx="2">
                  <c:v>30082.06</c:v>
                </c:pt>
                <c:pt idx="3">
                  <c:v>9753.7</c:v>
                </c:pt>
              </c:numCache>
            </c:numRef>
          </c:val>
        </c:ser>
        <c:ser>
          <c:idx val="1"/>
          <c:order val="1"/>
          <c:tx>
            <c:strRef>
              <c:f>表格四、tws耳机出货量!$C$35</c:f>
              <c:strCache>
                <c:ptCount val="1"/>
                <c:pt idx="0">
                  <c:v>智能蓝牙音频芯片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2"/>
              <c:layout/>
              <c:numFmt formatCode="\3\6%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  <a:sp3d>
                  <a:extrusionClr>
                    <a:srgbClr val="FFFFFF"/>
                  </a:extrusionClr>
                  <a:contourClr>
                    <a:srgbClr val="FFFFFF"/>
                  </a:contourClr>
                </a:sp3d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6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\5\6%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  <a:sp3d>
                  <a:extrusionClr>
                    <a:srgbClr val="FFFFFF"/>
                  </a:extrusionClr>
                  <a:contourClr>
                    <a:srgbClr val="FFFFFF"/>
                  </a:contourClr>
                </a:sp3d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6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\6%" sourceLinked="0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表格四、tws耳机出货量!$A$36:$A$39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表格四、tws耳机出货量!$C$36:$C$39</c:f>
              <c:numCache>
                <c:formatCode>General</c:formatCode>
                <c:ptCount val="4"/>
                <c:pt idx="0">
                  <c:v>0</c:v>
                </c:pt>
                <c:pt idx="1">
                  <c:v>1907.35</c:v>
                </c:pt>
                <c:pt idx="2">
                  <c:v>23204.83</c:v>
                </c:pt>
                <c:pt idx="3">
                  <c:v>18917.65</c:v>
                </c:pt>
              </c:numCache>
            </c:numRef>
          </c:val>
        </c:ser>
        <c:ser>
          <c:idx val="2"/>
          <c:order val="2"/>
          <c:tx>
            <c:strRef>
              <c:f>表格四、tws耳机出货量!$D$35</c:f>
              <c:strCache>
                <c:ptCount val="1"/>
                <c:pt idx="0">
                  <c:v>Type-C音频芯片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146703486365205"/>
                  <c:y val="-0.04064340083297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.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numFmt formatCode="\2\8%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1"/>
                  </a:solidFill>
                  <a:prstDash val="solid"/>
                  <a:miter lim="800000"/>
                </a:ln>
                <a:effectLst/>
                <a:sp3d>
                  <a:extrusionClr>
                    <a:srgbClr val="FFFFFF"/>
                  </a:extrusionClr>
                  <a:contourClr>
                    <a:srgbClr val="FFFFFF"/>
                  </a:contourClr>
                </a:sp3d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600" b="1" i="0" u="none" strike="noStrike" kern="1200" baseline="0">
                      <a:solidFill>
                        <a:schemeClr val="dk1"/>
                      </a:solidFill>
                      <a:effectLst>
                        <a:outerShdw blurRad="50800" dist="50800" dir="5400000" sx="14000" sy="14000" rotWithShape="0">
                          <a:srgbClr val="000000">
                            <a:alpha val="43000"/>
                          </a:srgb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.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\1\8%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1"/>
                  </a:solidFill>
                  <a:prstDash val="solid"/>
                  <a:miter lim="800000"/>
                </a:ln>
                <a:effectLst/>
                <a:sp3d>
                  <a:extrusionClr>
                    <a:srgbClr val="FFFFFF"/>
                  </a:extrusionClr>
                  <a:contourClr>
                    <a:srgbClr val="FFFFFF"/>
                  </a:contourClr>
                </a:sp3d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600" b="1" i="0" u="none" strike="noStrike" kern="1200" baseline="0">
                      <a:solidFill>
                        <a:schemeClr val="dk1"/>
                      </a:solidFill>
                      <a:effectLst>
                        <a:outerShdw blurRad="50800" dist="50800" dir="5400000" sx="14000" sy="14000" rotWithShape="0">
                          <a:srgbClr val="000000">
                            <a:alpha val="43000"/>
                          </a:srgb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.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600" b="1" i="0" u="none" strike="noStrike" kern="1200" baseline="0">
                        <a:solidFill>
                          <a:schemeClr val="dk1"/>
                        </a:solidFill>
                        <a:effectLst>
                          <a:outerShdw blurRad="50800" dist="50800" dir="5400000" sx="14000" sy="14000" rotWithShape="0">
                            <a:srgbClr val="000000">
                              <a:alpha val="43000"/>
                            </a:srgbClr>
                          </a:outerShd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>
                        <a:solidFill>
                          <a:schemeClr val="dk1"/>
                        </a:solidFill>
                        <a:effectLst>
                          <a:outerShdw blurRad="50800" dist="50800" dir="5400000" sx="14000" sy="14000" rotWithShape="0">
                            <a:srgbClr val="000000">
                              <a:alpha val="43000"/>
                            </a:srgbClr>
                          </a:outerShdw>
                        </a:effectLst>
                        <a:latin typeface="+mn-lt"/>
                        <a:ea typeface="+mn-ea"/>
                        <a:cs typeface="+mn-cs"/>
                      </a:rPr>
                      <a:t>14%</a:t>
                    </a:r>
                    <a:endParaRPr sz="1600" b="1">
                      <a:solidFill>
                        <a:schemeClr val="dk1"/>
                      </a:solidFill>
                      <a:effectLst>
                        <a:outerShdw blurRad="50800" dist="50800" dir="5400000" sx="14000" sy="14000" rotWithShape="0">
                          <a:srgbClr val="000000">
                            <a:alpha val="43000"/>
                          </a:srgbClr>
                        </a:outerShdw>
                      </a:effectLst>
                      <a:latin typeface="+mn-lt"/>
                      <a:ea typeface="+mn-ea"/>
                      <a:cs typeface="+mn-cs"/>
                    </a:endParaRPr>
                  </a:p>
                </c:rich>
              </c:tx>
              <c:numFmt formatCode="\1\4%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1"/>
                  </a:solidFill>
                  <a:prstDash val="solid"/>
                  <a:miter lim="800000"/>
                </a:ln>
                <a:effectLst/>
                <a:sp3d>
                  <a:extrusionClr>
                    <a:srgbClr val="FFFFFF"/>
                  </a:extrusionClr>
                  <a:contourClr>
                    <a:srgbClr val="FFFFFF"/>
                  </a:contourClr>
                </a:sp3d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600" b="1" i="0" u="none" strike="noStrike" kern="1200" baseline="0">
                      <a:solidFill>
                        <a:schemeClr val="dk1"/>
                      </a:solidFill>
                      <a:effectLst>
                        <a:outerShdw blurRad="50800" dist="50800" dir="5400000" sx="14000" sy="14000" rotWithShape="0">
                          <a:srgbClr val="000000">
                            <a:alpha val="43000"/>
                          </a:srgb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.</c:separator>
              <c:extLst>
                <c:ext xmlns:c15="http://schemas.microsoft.com/office/drawing/2012/chart" uri="{CE6537A1-D6FC-4f65-9D91-7224C49458BB}"/>
              </c:extLst>
            </c:dLbl>
            <c:numFmt formatCode="\1\7%" sourceLinked="0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dk1"/>
                    </a:solidFill>
                    <a:effectLst>
                      <a:outerShdw blurRad="50800" dist="50800" dir="5400000" sx="14000" sy="14000" rotWithShape="0">
                        <a:srgbClr val="000000">
                          <a:alpha val="43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.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表格四、tws耳机出货量!$A$36:$A$39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表格四、tws耳机出货量!$D$36:$D$39</c:f>
              <c:numCache>
                <c:formatCode>General</c:formatCode>
                <c:ptCount val="4"/>
                <c:pt idx="0">
                  <c:v>1396.14</c:v>
                </c:pt>
                <c:pt idx="1">
                  <c:v>9372.48</c:v>
                </c:pt>
                <c:pt idx="2">
                  <c:v>11597.28</c:v>
                </c:pt>
                <c:pt idx="3">
                  <c:v>4950.5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8430998"/>
        <c:axId val="517102926"/>
      </c:barChart>
      <c:catAx>
        <c:axId val="4184309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7102926"/>
        <c:crosses val="autoZero"/>
        <c:auto val="1"/>
        <c:lblAlgn val="ctr"/>
        <c:lblOffset val="100"/>
        <c:noMultiLvlLbl val="0"/>
      </c:catAx>
      <c:valAx>
        <c:axId val="5171029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4309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表格四、tws耳机出货量!$B$70</c:f>
              <c:strCache>
                <c:ptCount val="1"/>
                <c:pt idx="0">
                  <c:v>毛利率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表格四、tws耳机出货量!$A$71:$A$74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2020Q3</c:v>
                </c:pt>
              </c:strCache>
            </c:strRef>
          </c:cat>
          <c:val>
            <c:numRef>
              <c:f>表格四、tws耳机出货量!$B$71:$B$74</c:f>
              <c:numCache>
                <c:formatCode>0.00%</c:formatCode>
                <c:ptCount val="4"/>
                <c:pt idx="0">
                  <c:v>0.3922</c:v>
                </c:pt>
                <c:pt idx="1">
                  <c:v>0.3619</c:v>
                </c:pt>
                <c:pt idx="2">
                  <c:v>0.3769</c:v>
                </c:pt>
                <c:pt idx="3">
                  <c:v>0.4152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6051220"/>
        <c:axId val="232087253"/>
      </c:lineChart>
      <c:catAx>
        <c:axId val="860512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087253"/>
        <c:crosses val="autoZero"/>
        <c:auto val="1"/>
        <c:lblAlgn val="ctr"/>
        <c:lblOffset val="100"/>
        <c:noMultiLvlLbl val="0"/>
      </c:catAx>
      <c:valAx>
        <c:axId val="2320872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512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毛利率按产品分类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表格四、tws耳机出货量!$B$83</c:f>
              <c:strCache>
                <c:ptCount val="1"/>
                <c:pt idx="0">
                  <c:v>普通蓝牙音频芯片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0.028073394495412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表格四、tws耳机出货量!$A$84:$A$87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表格四、tws耳机出货量!$B$84:$B$87</c:f>
              <c:numCache>
                <c:formatCode>0.00%</c:formatCode>
                <c:ptCount val="4"/>
                <c:pt idx="0">
                  <c:v>0.4144</c:v>
                </c:pt>
                <c:pt idx="1">
                  <c:v>0.3853</c:v>
                </c:pt>
                <c:pt idx="2">
                  <c:v>0.3534</c:v>
                </c:pt>
                <c:pt idx="3">
                  <c:v>0.3689</c:v>
                </c:pt>
              </c:numCache>
            </c:numRef>
          </c:val>
        </c:ser>
        <c:ser>
          <c:idx val="1"/>
          <c:order val="1"/>
          <c:tx>
            <c:strRef>
              <c:f>表格四、tws耳机出货量!$C$83</c:f>
              <c:strCache>
                <c:ptCount val="1"/>
                <c:pt idx="0">
                  <c:v>智能蓝牙音频芯片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2"/>
              <c:layout>
                <c:manualLayout>
                  <c:x val="-0.00186301369863015"/>
                  <c:y val="-0.046788990825688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85730581116305"/>
                  <c:y val="-0.11853211009174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表格四、tws耳机出货量!$A$84:$A$87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表格四、tws耳机出货量!$C$84:$C$87</c:f>
              <c:numCache>
                <c:formatCode>General</c:formatCode>
                <c:ptCount val="4"/>
                <c:pt idx="0">
                  <c:v>0</c:v>
                </c:pt>
                <c:pt idx="1" c:formatCode="0.00%">
                  <c:v>0.0578</c:v>
                </c:pt>
                <c:pt idx="2" c:formatCode="0.00%">
                  <c:v>0.3576</c:v>
                </c:pt>
                <c:pt idx="3" c:formatCode="0.00%">
                  <c:v>0.4756</c:v>
                </c:pt>
              </c:numCache>
            </c:numRef>
          </c:val>
        </c:ser>
        <c:ser>
          <c:idx val="2"/>
          <c:order val="2"/>
          <c:tx>
            <c:strRef>
              <c:f>表格四、tws耳机出货量!$D$83</c:f>
              <c:strCache>
                <c:ptCount val="1"/>
                <c:pt idx="0">
                  <c:v>Type-C音频芯片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.0018601597548966"/>
                  <c:y val="0.0062385321100917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表格四、tws耳机出货量!$A$84:$A$87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2020Q2</c:v>
                </c:pt>
              </c:strCache>
            </c:strRef>
          </c:cat>
          <c:val>
            <c:numRef>
              <c:f>表格四、tws耳机出货量!$D$84:$D$87</c:f>
              <c:numCache>
                <c:formatCode>0.00%</c:formatCode>
                <c:ptCount val="4"/>
                <c:pt idx="0">
                  <c:v>0.2799</c:v>
                </c:pt>
                <c:pt idx="1">
                  <c:v>0.286</c:v>
                </c:pt>
                <c:pt idx="2">
                  <c:v>0.3049</c:v>
                </c:pt>
                <c:pt idx="3">
                  <c:v>0.2806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225233"/>
        <c:axId val="161421055"/>
      </c:barChart>
      <c:catAx>
        <c:axId val="6522252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421055"/>
        <c:crosses val="autoZero"/>
        <c:auto val="1"/>
        <c:lblAlgn val="ctr"/>
        <c:lblOffset val="100"/>
        <c:noMultiLvlLbl val="0"/>
      </c:catAx>
      <c:valAx>
        <c:axId val="1614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2252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'表格3、市面主要TWS产品搭载的芯片 (2)'!$F$2</c:f>
              <c:strCache>
                <c:ptCount val="1"/>
                <c:pt idx="0">
                  <c:v>价格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'表格3、市面主要TWS产品搭载的芯片 (2)'!$E$3:$E$33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</c:numCache>
            </c:numRef>
          </c:xVal>
          <c:yVal>
            <c:numRef>
              <c:f>'表格3、市面主要TWS产品搭载的芯片 (2)'!$F$3:$F$33</c:f>
              <c:numCache>
                <c:formatCode>General</c:formatCode>
                <c:ptCount val="31"/>
                <c:pt idx="0">
                  <c:v>749</c:v>
                </c:pt>
                <c:pt idx="1">
                  <c:v>499</c:v>
                </c:pt>
                <c:pt idx="2">
                  <c:v>899</c:v>
                </c:pt>
                <c:pt idx="3">
                  <c:v>149</c:v>
                </c:pt>
                <c:pt idx="4">
                  <c:v>399</c:v>
                </c:pt>
                <c:pt idx="5">
                  <c:v>199</c:v>
                </c:pt>
                <c:pt idx="6">
                  <c:v>899</c:v>
                </c:pt>
                <c:pt idx="7">
                  <c:v>369</c:v>
                </c:pt>
                <c:pt idx="8">
                  <c:v>232</c:v>
                </c:pt>
                <c:pt idx="9">
                  <c:v>129</c:v>
                </c:pt>
                <c:pt idx="10">
                  <c:v>269</c:v>
                </c:pt>
                <c:pt idx="11">
                  <c:v>138</c:v>
                </c:pt>
                <c:pt idx="12">
                  <c:v>99</c:v>
                </c:pt>
                <c:pt idx="13">
                  <c:v>69</c:v>
                </c:pt>
                <c:pt idx="14">
                  <c:v>89</c:v>
                </c:pt>
                <c:pt idx="15">
                  <c:v>98</c:v>
                </c:pt>
                <c:pt idx="16">
                  <c:v>130</c:v>
                </c:pt>
                <c:pt idx="17">
                  <c:v>59</c:v>
                </c:pt>
                <c:pt idx="18">
                  <c:v>59</c:v>
                </c:pt>
                <c:pt idx="19">
                  <c:v>199</c:v>
                </c:pt>
                <c:pt idx="20">
                  <c:v>199</c:v>
                </c:pt>
                <c:pt idx="21">
                  <c:v>99</c:v>
                </c:pt>
                <c:pt idx="22">
                  <c:v>169</c:v>
                </c:pt>
                <c:pt idx="23">
                  <c:v>699</c:v>
                </c:pt>
                <c:pt idx="24">
                  <c:v>1099</c:v>
                </c:pt>
                <c:pt idx="25">
                  <c:v>249</c:v>
                </c:pt>
                <c:pt idx="26">
                  <c:v>218</c:v>
                </c:pt>
                <c:pt idx="27">
                  <c:v>238</c:v>
                </c:pt>
                <c:pt idx="28">
                  <c:v>489</c:v>
                </c:pt>
                <c:pt idx="29">
                  <c:v>999</c:v>
                </c:pt>
                <c:pt idx="30">
                  <c:v>1466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945537"/>
        <c:axId val="530875666"/>
      </c:scatterChart>
      <c:valAx>
        <c:axId val="5449455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875666"/>
        <c:crosses val="autoZero"/>
        <c:crossBetween val="midCat"/>
      </c:valAx>
      <c:valAx>
        <c:axId val="5308756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94553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2.tiff"/><Relationship Id="rId8" Type="http://schemas.openxmlformats.org/officeDocument/2006/relationships/image" Target="../media/image1.tiff"/><Relationship Id="rId7" Type="http://schemas.openxmlformats.org/officeDocument/2006/relationships/chart" Target="../charts/chart11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290830</xdr:colOff>
      <xdr:row>14</xdr:row>
      <xdr:rowOff>143510</xdr:rowOff>
    </xdr:from>
    <xdr:to>
      <xdr:col>19</xdr:col>
      <xdr:colOff>473710</xdr:colOff>
      <xdr:row>32</xdr:row>
      <xdr:rowOff>41910</xdr:rowOff>
    </xdr:to>
    <xdr:graphicFrame>
      <xdr:nvGraphicFramePr>
        <xdr:cNvPr id="2" name="Chart 1"/>
        <xdr:cNvGraphicFramePr/>
      </xdr:nvGraphicFramePr>
      <xdr:xfrm>
        <a:off x="17298670" y="2632710"/>
        <a:ext cx="4572000" cy="309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</xdr:colOff>
      <xdr:row>33</xdr:row>
      <xdr:rowOff>106045</xdr:rowOff>
    </xdr:from>
    <xdr:to>
      <xdr:col>20</xdr:col>
      <xdr:colOff>695960</xdr:colOff>
      <xdr:row>54</xdr:row>
      <xdr:rowOff>28575</xdr:rowOff>
    </xdr:to>
    <xdr:graphicFrame>
      <xdr:nvGraphicFramePr>
        <xdr:cNvPr id="4" name="Chart 3"/>
        <xdr:cNvGraphicFramePr/>
      </xdr:nvGraphicFramePr>
      <xdr:xfrm>
        <a:off x="17031970" y="5973445"/>
        <a:ext cx="5792470" cy="3656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507365</xdr:colOff>
      <xdr:row>11</xdr:row>
      <xdr:rowOff>163195</xdr:rowOff>
    </xdr:from>
    <xdr:to>
      <xdr:col>27</xdr:col>
      <xdr:colOff>542925</xdr:colOff>
      <xdr:row>32</xdr:row>
      <xdr:rowOff>98425</xdr:rowOff>
    </xdr:to>
    <xdr:graphicFrame>
      <xdr:nvGraphicFramePr>
        <xdr:cNvPr id="3" name="Chart 2"/>
        <xdr:cNvGraphicFramePr/>
      </xdr:nvGraphicFramePr>
      <xdr:xfrm>
        <a:off x="21904325" y="2118995"/>
        <a:ext cx="5887720" cy="3669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908685</xdr:colOff>
      <xdr:row>8</xdr:row>
      <xdr:rowOff>177165</xdr:rowOff>
    </xdr:from>
    <xdr:to>
      <xdr:col>11</xdr:col>
      <xdr:colOff>45085</xdr:colOff>
      <xdr:row>22</xdr:row>
      <xdr:rowOff>146685</xdr:rowOff>
    </xdr:to>
    <xdr:graphicFrame>
      <xdr:nvGraphicFramePr>
        <xdr:cNvPr id="2" name="Chart 1"/>
        <xdr:cNvGraphicFramePr/>
      </xdr:nvGraphicFramePr>
      <xdr:xfrm>
        <a:off x="6753225" y="1762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448945</xdr:colOff>
      <xdr:row>21</xdr:row>
      <xdr:rowOff>70485</xdr:rowOff>
    </xdr:from>
    <xdr:to>
      <xdr:col>11</xdr:col>
      <xdr:colOff>332105</xdr:colOff>
      <xdr:row>37</xdr:row>
      <xdr:rowOff>146685</xdr:rowOff>
    </xdr:to>
    <xdr:graphicFrame>
      <xdr:nvGraphicFramePr>
        <xdr:cNvPr id="7" name="Chart 6"/>
        <xdr:cNvGraphicFramePr/>
      </xdr:nvGraphicFramePr>
      <xdr:xfrm>
        <a:off x="5462905" y="3804285"/>
        <a:ext cx="4572000" cy="292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550545</xdr:colOff>
      <xdr:row>17</xdr:row>
      <xdr:rowOff>0</xdr:rowOff>
    </xdr:from>
    <xdr:to>
      <xdr:col>13</xdr:col>
      <xdr:colOff>688975</xdr:colOff>
      <xdr:row>37</xdr:row>
      <xdr:rowOff>52705</xdr:rowOff>
    </xdr:to>
    <xdr:pic>
      <xdr:nvPicPr>
        <xdr:cNvPr id="8" name="图片 43" descr="手机屏幕截图&#10;&#10;描述已自动生成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27545" y="3022600"/>
          <a:ext cx="4827270" cy="3608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179070</xdr:colOff>
      <xdr:row>23</xdr:row>
      <xdr:rowOff>26670</xdr:rowOff>
    </xdr:from>
    <xdr:to>
      <xdr:col>14</xdr:col>
      <xdr:colOff>299085</xdr:colOff>
      <xdr:row>43</xdr:row>
      <xdr:rowOff>38735</xdr:rowOff>
    </xdr:to>
    <xdr:graphicFrame>
      <xdr:nvGraphicFramePr>
        <xdr:cNvPr id="9" name="Chart 8"/>
        <xdr:cNvGraphicFramePr/>
      </xdr:nvGraphicFramePr>
      <xdr:xfrm>
        <a:off x="7687310" y="4116070"/>
        <a:ext cx="4509135" cy="3568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256540</xdr:colOff>
      <xdr:row>18</xdr:row>
      <xdr:rowOff>83820</xdr:rowOff>
    </xdr:from>
    <xdr:to>
      <xdr:col>11</xdr:col>
      <xdr:colOff>670560</xdr:colOff>
      <xdr:row>30</xdr:row>
      <xdr:rowOff>69215</xdr:rowOff>
    </xdr:to>
    <xdr:pic>
      <xdr:nvPicPr>
        <xdr:cNvPr id="10" name="图片 4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733540" y="3284220"/>
          <a:ext cx="3639820" cy="211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322580</xdr:colOff>
      <xdr:row>24</xdr:row>
      <xdr:rowOff>73660</xdr:rowOff>
    </xdr:from>
    <xdr:to>
      <xdr:col>12</xdr:col>
      <xdr:colOff>73660</xdr:colOff>
      <xdr:row>38</xdr:row>
      <xdr:rowOff>169545</xdr:rowOff>
    </xdr:to>
    <xdr:graphicFrame>
      <xdr:nvGraphicFramePr>
        <xdr:cNvPr id="11" name="Chart 10"/>
        <xdr:cNvGraphicFramePr/>
      </xdr:nvGraphicFramePr>
      <xdr:xfrm>
        <a:off x="6068060" y="4340860"/>
        <a:ext cx="4439920" cy="2585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50165</xdr:colOff>
      <xdr:row>26</xdr:row>
      <xdr:rowOff>136525</xdr:rowOff>
    </xdr:from>
    <xdr:to>
      <xdr:col>19</xdr:col>
      <xdr:colOff>634365</xdr:colOff>
      <xdr:row>47</xdr:row>
      <xdr:rowOff>88900</xdr:rowOff>
    </xdr:to>
    <xdr:graphicFrame>
      <xdr:nvGraphicFramePr>
        <xdr:cNvPr id="13" name="Chart 12"/>
        <xdr:cNvGraphicFramePr/>
      </xdr:nvGraphicFramePr>
      <xdr:xfrm>
        <a:off x="9752965" y="4759325"/>
        <a:ext cx="6436360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403225</xdr:colOff>
      <xdr:row>45</xdr:row>
      <xdr:rowOff>114300</xdr:rowOff>
    </xdr:from>
    <xdr:to>
      <xdr:col>10</xdr:col>
      <xdr:colOff>477520</xdr:colOff>
      <xdr:row>71</xdr:row>
      <xdr:rowOff>144780</xdr:rowOff>
    </xdr:to>
    <xdr:graphicFrame>
      <xdr:nvGraphicFramePr>
        <xdr:cNvPr id="16" name="Chart 15"/>
        <xdr:cNvGraphicFramePr/>
      </xdr:nvGraphicFramePr>
      <xdr:xfrm>
        <a:off x="1810385" y="8115300"/>
        <a:ext cx="7638415" cy="465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737235</xdr:colOff>
      <xdr:row>64</xdr:row>
      <xdr:rowOff>87630</xdr:rowOff>
    </xdr:from>
    <xdr:to>
      <xdr:col>7</xdr:col>
      <xdr:colOff>239395</xdr:colOff>
      <xdr:row>79</xdr:row>
      <xdr:rowOff>163830</xdr:rowOff>
    </xdr:to>
    <xdr:graphicFrame>
      <xdr:nvGraphicFramePr>
        <xdr:cNvPr id="17" name="Chart 16"/>
        <xdr:cNvGraphicFramePr/>
      </xdr:nvGraphicFramePr>
      <xdr:xfrm>
        <a:off x="2144395" y="1146683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809625</xdr:colOff>
      <xdr:row>82</xdr:row>
      <xdr:rowOff>71120</xdr:rowOff>
    </xdr:from>
    <xdr:to>
      <xdr:col>10</xdr:col>
      <xdr:colOff>111760</xdr:colOff>
      <xdr:row>102</xdr:row>
      <xdr:rowOff>76200</xdr:rowOff>
    </xdr:to>
    <xdr:graphicFrame>
      <xdr:nvGraphicFramePr>
        <xdr:cNvPr id="18" name="Chart 17"/>
        <xdr:cNvGraphicFramePr/>
      </xdr:nvGraphicFramePr>
      <xdr:xfrm>
        <a:off x="2988945" y="14650720"/>
        <a:ext cx="6094095" cy="356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278130</xdr:colOff>
      <xdr:row>4</xdr:row>
      <xdr:rowOff>118110</xdr:rowOff>
    </xdr:from>
    <xdr:to>
      <xdr:col>12</xdr:col>
      <xdr:colOff>161290</xdr:colOff>
      <xdr:row>20</xdr:row>
      <xdr:rowOff>16510</xdr:rowOff>
    </xdr:to>
    <xdr:graphicFrame>
      <xdr:nvGraphicFramePr>
        <xdr:cNvPr id="4" name="Chart 3"/>
        <xdr:cNvGraphicFramePr/>
      </xdr:nvGraphicFramePr>
      <xdr:xfrm>
        <a:off x="6927850" y="8293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?__biz=MzU5NzE0NjE0MQ==&amp;mid=2247486394&amp;idx=1&amp;sn=5358c6c564cd0fb98b16817b2d11c1cc&amp;chksm=fe56a4c8c9212dde66d33146f483142d726faebebda5d25870642112796e014c5fe17d7b145e&amp;scene=21" TargetMode="External"/><Relationship Id="rId1" Type="http://schemas.openxmlformats.org/officeDocument/2006/relationships/hyperlink" Target="https://mp.weixin.qq.com/s/9J983iCygXO6c6IIvmX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5"/>
  <sheetViews>
    <sheetView zoomScale="81" zoomScaleNormal="81" workbookViewId="0">
      <selection activeCell="B3" sqref="B3:H3"/>
    </sheetView>
  </sheetViews>
  <sheetFormatPr defaultColWidth="9" defaultRowHeight="14"/>
  <cols>
    <col min="1" max="1" width="16.625" customWidth="1"/>
    <col min="2" max="2" width="32.6953125" customWidth="1"/>
    <col min="3" max="3" width="12.5546875" customWidth="1"/>
    <col min="4" max="4" width="12.6875"/>
    <col min="5" max="5" width="16.0625" customWidth="1"/>
    <col min="6" max="6" width="17.625" customWidth="1"/>
    <col min="7" max="7" width="17.1875"/>
    <col min="8" max="8" width="13.875"/>
    <col min="9" max="9" width="16.0625" customWidth="1"/>
    <col min="10" max="10" width="12.6875"/>
    <col min="12" max="12" width="12.6875"/>
    <col min="13" max="13" width="19.5" customWidth="1"/>
  </cols>
  <sheetData>
    <row r="1" spans="1:2">
      <c r="A1" t="s">
        <v>0</v>
      </c>
      <c r="B1" s="21" t="s">
        <v>1</v>
      </c>
    </row>
    <row r="2" spans="2:11">
      <c r="B2" s="22" t="s">
        <v>2</v>
      </c>
      <c r="C2" s="22">
        <v>2016</v>
      </c>
      <c r="D2" s="22">
        <v>2017</v>
      </c>
      <c r="E2" s="22">
        <v>2018</v>
      </c>
      <c r="F2" s="22">
        <v>2019</v>
      </c>
      <c r="G2" s="22" t="s">
        <v>3</v>
      </c>
      <c r="H2" s="22" t="s">
        <v>4</v>
      </c>
      <c r="I2" s="22"/>
      <c r="K2" t="s">
        <v>5</v>
      </c>
    </row>
    <row r="3" spans="2:8">
      <c r="B3" t="s">
        <v>6</v>
      </c>
      <c r="C3">
        <v>918</v>
      </c>
      <c r="D3">
        <v>2000</v>
      </c>
      <c r="E3">
        <v>15000</v>
      </c>
      <c r="F3">
        <v>31500</v>
      </c>
      <c r="G3">
        <v>40500</v>
      </c>
      <c r="H3">
        <v>62500</v>
      </c>
    </row>
    <row r="4" spans="11:13">
      <c r="K4" t="s">
        <v>7</v>
      </c>
      <c r="L4" t="s">
        <v>8</v>
      </c>
      <c r="M4" t="s">
        <v>9</v>
      </c>
    </row>
    <row r="5" spans="1:14">
      <c r="A5" t="s">
        <v>10</v>
      </c>
      <c r="B5" t="s">
        <v>11</v>
      </c>
      <c r="E5">
        <v>143100</v>
      </c>
      <c r="F5">
        <v>137300</v>
      </c>
      <c r="G5">
        <f>F5*0.9</f>
        <v>123570</v>
      </c>
      <c r="H5" s="37">
        <f>G5*M5</f>
        <v>129601.309368386</v>
      </c>
      <c r="K5">
        <v>149200</v>
      </c>
      <c r="L5" s="1">
        <v>0.21</v>
      </c>
      <c r="M5" s="41">
        <f>1.21^0.25</f>
        <v>1.04880884817015</v>
      </c>
      <c r="N5" t="s">
        <v>12</v>
      </c>
    </row>
    <row r="6" spans="2:8">
      <c r="B6" t="s">
        <v>13</v>
      </c>
      <c r="E6">
        <v>20630</v>
      </c>
      <c r="F6">
        <v>19740</v>
      </c>
      <c r="G6">
        <v>16000</v>
      </c>
      <c r="H6">
        <v>18500</v>
      </c>
    </row>
    <row r="7" spans="1:8">
      <c r="A7" t="s">
        <v>14</v>
      </c>
      <c r="B7" t="s">
        <v>15</v>
      </c>
      <c r="E7">
        <v>2600</v>
      </c>
      <c r="F7">
        <v>5500</v>
      </c>
      <c r="G7">
        <v>9300</v>
      </c>
      <c r="H7">
        <v>12400</v>
      </c>
    </row>
    <row r="8" spans="2:9">
      <c r="B8" t="s">
        <v>16</v>
      </c>
      <c r="E8" s="1">
        <f>E7/E6</f>
        <v>0.126030053320407</v>
      </c>
      <c r="F8" s="1">
        <f>F7/F6</f>
        <v>0.278622087132725</v>
      </c>
      <c r="G8" s="1">
        <f>G7/G6</f>
        <v>0.58125</v>
      </c>
      <c r="H8" s="1">
        <f>H7/H6</f>
        <v>0.67027027027027</v>
      </c>
      <c r="I8" s="1"/>
    </row>
    <row r="10" spans="2:8">
      <c r="B10" t="s">
        <v>17</v>
      </c>
      <c r="D10" t="s">
        <v>17</v>
      </c>
      <c r="E10">
        <f>E5-E6</f>
        <v>122470</v>
      </c>
      <c r="F10">
        <f>F5-F6</f>
        <v>117560</v>
      </c>
      <c r="G10">
        <f>G5-G6</f>
        <v>107570</v>
      </c>
      <c r="H10" s="37">
        <f>H5-H6</f>
        <v>111101.309368386</v>
      </c>
    </row>
    <row r="11" spans="1:8">
      <c r="A11" t="s">
        <v>14</v>
      </c>
      <c r="B11" t="s">
        <v>18</v>
      </c>
      <c r="D11" t="s">
        <v>18</v>
      </c>
      <c r="E11">
        <f>E3-E7</f>
        <v>12400</v>
      </c>
      <c r="F11">
        <f>F3-F7</f>
        <v>26000</v>
      </c>
      <c r="G11">
        <f>G3-G7</f>
        <v>31200</v>
      </c>
      <c r="H11">
        <f>H3-H7</f>
        <v>50100</v>
      </c>
    </row>
    <row r="12" spans="2:9">
      <c r="B12" t="s">
        <v>19</v>
      </c>
      <c r="D12" t="s">
        <v>19</v>
      </c>
      <c r="E12" s="1">
        <f>E11/E10</f>
        <v>0.101249285539316</v>
      </c>
      <c r="F12" s="1">
        <f>F11/F10</f>
        <v>0.221163661109221</v>
      </c>
      <c r="G12" s="1">
        <f>G11/G10</f>
        <v>0.290043692479316</v>
      </c>
      <c r="H12" s="1">
        <f>H11/H10</f>
        <v>0.450939779961371</v>
      </c>
      <c r="I12" s="1"/>
    </row>
    <row r="15" spans="2:2">
      <c r="B15" s="21" t="s">
        <v>20</v>
      </c>
    </row>
    <row r="16" spans="1:5">
      <c r="A16" t="s">
        <v>21</v>
      </c>
      <c r="B16" t="s">
        <v>22</v>
      </c>
      <c r="E16" t="s">
        <v>23</v>
      </c>
    </row>
    <row r="17" spans="2:5">
      <c r="B17" t="s">
        <v>24</v>
      </c>
      <c r="D17">
        <v>30072</v>
      </c>
      <c r="E17">
        <v>25081</v>
      </c>
    </row>
    <row r="18" spans="2:5">
      <c r="B18" t="s">
        <v>25</v>
      </c>
      <c r="D18">
        <v>78336</v>
      </c>
      <c r="E18">
        <v>53216</v>
      </c>
    </row>
    <row r="19" spans="2:8">
      <c r="B19" t="s">
        <v>26</v>
      </c>
      <c r="D19" s="34">
        <f>D18/D17</f>
        <v>2.6049481245012</v>
      </c>
      <c r="E19" s="34">
        <f>E18/E17</f>
        <v>2.1217654798453</v>
      </c>
      <c r="G19" s="18" t="s">
        <v>27</v>
      </c>
      <c r="H19" s="38">
        <f>AVERAGE(C19:F19)</f>
        <v>2.36335680217325</v>
      </c>
    </row>
    <row r="20" spans="2:8">
      <c r="B20" t="s">
        <v>28</v>
      </c>
      <c r="D20" s="23">
        <v>0.2834</v>
      </c>
      <c r="E20" s="23">
        <v>0.2646</v>
      </c>
      <c r="G20" s="18" t="s">
        <v>29</v>
      </c>
      <c r="H20" s="39">
        <f>AVERAGE(C20:F20)</f>
        <v>0.274</v>
      </c>
    </row>
    <row r="21" spans="4:5">
      <c r="D21" s="34"/>
      <c r="E21" s="34"/>
    </row>
    <row r="22" spans="1:2">
      <c r="A22" t="s">
        <v>30</v>
      </c>
      <c r="B22" t="s">
        <v>31</v>
      </c>
    </row>
    <row r="23" spans="2:6">
      <c r="B23" t="s">
        <v>24</v>
      </c>
      <c r="C23">
        <v>14470</v>
      </c>
      <c r="D23">
        <v>15455</v>
      </c>
      <c r="E23">
        <v>15270</v>
      </c>
      <c r="F23">
        <v>17124</v>
      </c>
    </row>
    <row r="24" spans="2:6">
      <c r="B24" t="s">
        <v>25</v>
      </c>
      <c r="C24">
        <f>C23*C25</f>
        <v>27782.4</v>
      </c>
      <c r="D24">
        <f>D23*D25</f>
        <v>32146.4</v>
      </c>
      <c r="E24">
        <f>E23*E25</f>
        <v>32372.4</v>
      </c>
      <c r="F24">
        <v>30139</v>
      </c>
    </row>
    <row r="25" spans="2:8">
      <c r="B25" t="s">
        <v>26</v>
      </c>
      <c r="C25">
        <v>1.92</v>
      </c>
      <c r="D25">
        <v>2.08</v>
      </c>
      <c r="E25">
        <v>2.12</v>
      </c>
      <c r="F25" s="34">
        <f>F24/F23</f>
        <v>1.7600443821537</v>
      </c>
      <c r="G25" s="18" t="s">
        <v>27</v>
      </c>
      <c r="H25" s="38">
        <f>AVERAGE(C25:F25)</f>
        <v>1.97001109553843</v>
      </c>
    </row>
    <row r="26" spans="2:8">
      <c r="B26" t="s">
        <v>28</v>
      </c>
      <c r="C26" s="24">
        <v>0.2842</v>
      </c>
      <c r="D26" s="24">
        <v>0.2825</v>
      </c>
      <c r="E26" s="24">
        <v>0.3876</v>
      </c>
      <c r="F26" s="24">
        <v>0.2574</v>
      </c>
      <c r="G26" s="18" t="s">
        <v>29</v>
      </c>
      <c r="H26" s="39">
        <f>AVERAGE(C26:F26)</f>
        <v>0.302925</v>
      </c>
    </row>
    <row r="27" spans="7:8">
      <c r="G27" t="s">
        <v>32</v>
      </c>
      <c r="H27">
        <f>(2.36+1.97)/2</f>
        <v>2.165</v>
      </c>
    </row>
    <row r="28" spans="2:8">
      <c r="B28" s="21" t="s">
        <v>33</v>
      </c>
      <c r="G28" t="s">
        <v>34</v>
      </c>
      <c r="H28" s="40">
        <f>AVERAGE(H20,H26)</f>
        <v>0.2884625</v>
      </c>
    </row>
    <row r="29" spans="1:7">
      <c r="A29" t="s">
        <v>35</v>
      </c>
      <c r="B29" t="s">
        <v>36</v>
      </c>
      <c r="G29" t="s">
        <v>37</v>
      </c>
    </row>
    <row r="30" spans="2:7">
      <c r="B30" t="s">
        <v>24</v>
      </c>
      <c r="D30" s="35">
        <v>1514.64</v>
      </c>
      <c r="E30" s="35">
        <v>4364.39</v>
      </c>
      <c r="F30" s="35">
        <v>4966.27</v>
      </c>
      <c r="G30" s="35">
        <v>1858.49</v>
      </c>
    </row>
    <row r="31" spans="2:7">
      <c r="B31" t="s">
        <v>25</v>
      </c>
      <c r="D31">
        <v>7060</v>
      </c>
      <c r="E31">
        <v>21716</v>
      </c>
      <c r="F31">
        <v>30082</v>
      </c>
      <c r="G31">
        <v>9754</v>
      </c>
    </row>
    <row r="32" spans="2:9">
      <c r="B32" t="s">
        <v>26</v>
      </c>
      <c r="D32">
        <v>4.66</v>
      </c>
      <c r="E32">
        <v>4.98</v>
      </c>
      <c r="F32">
        <v>6.06</v>
      </c>
      <c r="G32">
        <v>5.25</v>
      </c>
      <c r="H32" s="18" t="s">
        <v>27</v>
      </c>
      <c r="I32" s="38">
        <f>AVERAGE(D32:G32)</f>
        <v>5.2375</v>
      </c>
    </row>
    <row r="33" spans="2:9">
      <c r="B33" t="s">
        <v>28</v>
      </c>
      <c r="D33" s="24">
        <v>0.4144</v>
      </c>
      <c r="E33" s="24">
        <v>0.3853</v>
      </c>
      <c r="F33" s="24">
        <v>0.3534</v>
      </c>
      <c r="G33" s="24">
        <v>0.3689</v>
      </c>
      <c r="H33" s="18" t="s">
        <v>29</v>
      </c>
      <c r="I33" s="39">
        <f>AVERAGE(D33:G33)</f>
        <v>0.3805</v>
      </c>
    </row>
    <row r="35" spans="2:2">
      <c r="B35" t="s">
        <v>38</v>
      </c>
    </row>
    <row r="36" spans="2:7">
      <c r="B36" t="s">
        <v>24</v>
      </c>
      <c r="E36" s="35">
        <f>E37/E38</f>
        <v>132.799442896936</v>
      </c>
      <c r="F36" s="35">
        <f>F37/F38</f>
        <v>1884.97156783103</v>
      </c>
      <c r="G36" s="35">
        <f>G37/G38</f>
        <v>1451.80353031466</v>
      </c>
    </row>
    <row r="37" spans="2:7">
      <c r="B37" t="s">
        <v>25</v>
      </c>
      <c r="E37">
        <v>1907</v>
      </c>
      <c r="F37">
        <v>23204</v>
      </c>
      <c r="G37">
        <v>18917</v>
      </c>
    </row>
    <row r="38" spans="2:9">
      <c r="B38" t="s">
        <v>26</v>
      </c>
      <c r="E38">
        <v>14.36</v>
      </c>
      <c r="F38">
        <v>12.31</v>
      </c>
      <c r="G38">
        <v>13.03</v>
      </c>
      <c r="H38" s="18" t="s">
        <v>27</v>
      </c>
      <c r="I38" s="38">
        <f>AVERAGE(E38:G38)</f>
        <v>13.2333333333333</v>
      </c>
    </row>
    <row r="39" spans="2:9">
      <c r="B39" t="s">
        <v>28</v>
      </c>
      <c r="E39" s="24">
        <v>0.4678</v>
      </c>
      <c r="F39" s="24">
        <v>0.4432</v>
      </c>
      <c r="G39" s="24">
        <v>0.4756</v>
      </c>
      <c r="H39" s="18" t="s">
        <v>29</v>
      </c>
      <c r="I39" s="39">
        <f>AVERAGE(D39:G39)</f>
        <v>0.4622</v>
      </c>
    </row>
    <row r="40" spans="8:9">
      <c r="H40" s="18" t="s">
        <v>32</v>
      </c>
      <c r="I40" s="38">
        <f>AVERAGE(I38,I32)</f>
        <v>9.23541666666667</v>
      </c>
    </row>
    <row r="41" spans="8:9">
      <c r="H41" s="18" t="s">
        <v>34</v>
      </c>
      <c r="I41" s="39">
        <f>AVERAGE(I39,I33)</f>
        <v>0.42135</v>
      </c>
    </row>
    <row r="43" spans="1:9">
      <c r="A43" s="36" t="s">
        <v>39</v>
      </c>
      <c r="B43" s="21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</row>
    <row r="44" spans="1:9">
      <c r="A44" s="36"/>
      <c r="B44" t="s">
        <v>48</v>
      </c>
      <c r="C44" t="s">
        <v>49</v>
      </c>
      <c r="D44" t="s">
        <v>50</v>
      </c>
      <c r="E44" t="s">
        <v>51</v>
      </c>
      <c r="F44" t="s">
        <v>52</v>
      </c>
      <c r="G44">
        <v>1610000</v>
      </c>
      <c r="H44" s="1">
        <f>G44/G47</f>
        <v>0.653939886271324</v>
      </c>
      <c r="I44">
        <v>2.16</v>
      </c>
    </row>
    <row r="45" spans="1:9">
      <c r="A45" s="36"/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>
        <v>680000</v>
      </c>
      <c r="H45" s="1">
        <f>G45/G47</f>
        <v>0.276198212835093</v>
      </c>
      <c r="I45">
        <v>5.24</v>
      </c>
    </row>
    <row r="46" spans="1:9">
      <c r="A46" s="36"/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>
        <v>172000</v>
      </c>
      <c r="H46" s="1">
        <f>G46/G47</f>
        <v>0.0698619008935824</v>
      </c>
      <c r="I46">
        <v>13.23</v>
      </c>
    </row>
    <row r="47" spans="2:7">
      <c r="B47" t="s">
        <v>63</v>
      </c>
      <c r="G47">
        <f>SUM(G44:G46)</f>
        <v>2462000</v>
      </c>
    </row>
    <row r="48" spans="2:2">
      <c r="B48" t="s">
        <v>64</v>
      </c>
    </row>
    <row r="50" spans="2:2">
      <c r="B50" s="21" t="s">
        <v>65</v>
      </c>
    </row>
    <row r="51" spans="2:5">
      <c r="B51" t="s">
        <v>66</v>
      </c>
      <c r="C51" t="s">
        <v>67</v>
      </c>
      <c r="D51" t="s">
        <v>18</v>
      </c>
      <c r="E51" t="s">
        <v>68</v>
      </c>
    </row>
    <row r="52" spans="2:8">
      <c r="B52" t="s">
        <v>48</v>
      </c>
      <c r="C52" s="25">
        <v>0.653939886271324</v>
      </c>
      <c r="D52" s="29">
        <v>13700</v>
      </c>
      <c r="E52" s="37">
        <f>$D$52*C52</f>
        <v>8958.97644191714</v>
      </c>
      <c r="H52" s="34"/>
    </row>
    <row r="53" spans="2:8">
      <c r="B53" t="s">
        <v>53</v>
      </c>
      <c r="C53" s="25">
        <v>0.276198212835093</v>
      </c>
      <c r="D53" s="29"/>
      <c r="E53" s="37">
        <f>$D$52*C53</f>
        <v>3783.91551584078</v>
      </c>
      <c r="H53" s="34"/>
    </row>
    <row r="54" spans="2:8">
      <c r="B54" t="s">
        <v>58</v>
      </c>
      <c r="C54" s="25">
        <v>0.0698619008935824</v>
      </c>
      <c r="D54" s="29"/>
      <c r="E54" s="37">
        <f>$D$52*C54</f>
        <v>957.10804224208</v>
      </c>
      <c r="H54" s="34"/>
    </row>
    <row r="55" spans="2:2">
      <c r="B55" t="s">
        <v>69</v>
      </c>
    </row>
    <row r="57" spans="1:2">
      <c r="A57" t="s">
        <v>70</v>
      </c>
      <c r="B57" s="21" t="s">
        <v>71</v>
      </c>
    </row>
    <row r="58" ht="15.6" spans="2:5">
      <c r="B58" s="28" t="s">
        <v>72</v>
      </c>
      <c r="C58" t="s">
        <v>73</v>
      </c>
      <c r="D58" t="s">
        <v>74</v>
      </c>
      <c r="E58" s="29" t="s">
        <v>75</v>
      </c>
    </row>
    <row r="59" ht="15.6" spans="2:6">
      <c r="B59" s="28" t="s">
        <v>76</v>
      </c>
      <c r="C59" s="29">
        <v>3000</v>
      </c>
      <c r="D59" s="31">
        <f>C59/$C$69</f>
        <v>0.405405405405405</v>
      </c>
      <c r="E59" s="31" t="s">
        <v>48</v>
      </c>
      <c r="F59" t="s">
        <v>77</v>
      </c>
    </row>
    <row r="60" ht="15.6" spans="2:5">
      <c r="B60" s="28" t="s">
        <v>78</v>
      </c>
      <c r="C60" s="29">
        <v>2500</v>
      </c>
      <c r="D60" s="31">
        <f t="shared" ref="D60:D68" si="0">C60/$C$69</f>
        <v>0.337837837837838</v>
      </c>
      <c r="E60" s="31" t="s">
        <v>48</v>
      </c>
    </row>
    <row r="61" ht="15.6" spans="2:6">
      <c r="B61" s="32" t="s">
        <v>79</v>
      </c>
      <c r="C61" s="29">
        <v>500</v>
      </c>
      <c r="D61" s="31">
        <f t="shared" si="0"/>
        <v>0.0675675675675676</v>
      </c>
      <c r="E61" s="31" t="s">
        <v>80</v>
      </c>
      <c r="F61" t="s">
        <v>81</v>
      </c>
    </row>
    <row r="62" ht="15.6" spans="2:5">
      <c r="B62" s="28" t="s">
        <v>82</v>
      </c>
      <c r="C62" s="29">
        <v>430</v>
      </c>
      <c r="D62" s="31">
        <f t="shared" si="0"/>
        <v>0.0581081081081081</v>
      </c>
      <c r="E62" s="31" t="s">
        <v>80</v>
      </c>
    </row>
    <row r="63" ht="15.6" spans="2:5">
      <c r="B63" s="28" t="s">
        <v>83</v>
      </c>
      <c r="C63" s="29">
        <v>400</v>
      </c>
      <c r="D63" s="31">
        <f t="shared" si="0"/>
        <v>0.0540540540540541</v>
      </c>
      <c r="E63" s="31" t="s">
        <v>80</v>
      </c>
    </row>
    <row r="64" ht="15.6" spans="2:5">
      <c r="B64" s="28" t="s">
        <v>84</v>
      </c>
      <c r="C64" s="29">
        <v>200</v>
      </c>
      <c r="D64" s="31">
        <f t="shared" si="0"/>
        <v>0.027027027027027</v>
      </c>
      <c r="E64" s="31"/>
    </row>
    <row r="65" ht="15.6" spans="2:5">
      <c r="B65" s="28" t="s">
        <v>85</v>
      </c>
      <c r="C65" s="29">
        <v>150</v>
      </c>
      <c r="D65" s="31">
        <f t="shared" si="0"/>
        <v>0.0202702702702703</v>
      </c>
      <c r="E65" s="31" t="s">
        <v>80</v>
      </c>
    </row>
    <row r="66" ht="15.6" spans="2:5">
      <c r="B66" s="32" t="s">
        <v>86</v>
      </c>
      <c r="C66" s="29">
        <v>120</v>
      </c>
      <c r="D66" s="31">
        <f t="shared" si="0"/>
        <v>0.0162162162162162</v>
      </c>
      <c r="E66" s="31"/>
    </row>
    <row r="67" ht="15.6" spans="2:5">
      <c r="B67" s="28" t="s">
        <v>87</v>
      </c>
      <c r="C67" s="29">
        <v>100</v>
      </c>
      <c r="D67" s="31">
        <f t="shared" si="0"/>
        <v>0.0135135135135135</v>
      </c>
      <c r="E67" s="31"/>
    </row>
    <row r="68" ht="15.6" spans="2:5">
      <c r="B68" s="32" t="s">
        <v>88</v>
      </c>
      <c r="C68" s="29">
        <v>80</v>
      </c>
      <c r="D68" s="31">
        <f t="shared" si="0"/>
        <v>0.0108108108108108</v>
      </c>
      <c r="E68" s="31" t="s">
        <v>48</v>
      </c>
    </row>
    <row r="69" ht="15.6" spans="2:5">
      <c r="B69" s="32" t="s">
        <v>89</v>
      </c>
      <c r="C69" s="29">
        <f>SUM(C59:C67)</f>
        <v>7400</v>
      </c>
      <c r="D69" s="29"/>
      <c r="E69" s="29"/>
    </row>
    <row r="71" spans="2:5">
      <c r="B71" s="21" t="s">
        <v>90</v>
      </c>
      <c r="C71" t="s">
        <v>3</v>
      </c>
      <c r="D71" t="s">
        <v>4</v>
      </c>
      <c r="E71" t="s">
        <v>91</v>
      </c>
    </row>
    <row r="72" spans="2:5">
      <c r="B72" s="42" t="s">
        <v>18</v>
      </c>
      <c r="C72">
        <v>13500</v>
      </c>
      <c r="D72">
        <v>20000</v>
      </c>
      <c r="E72">
        <v>30000</v>
      </c>
    </row>
    <row r="73" spans="2:5">
      <c r="B73" s="42" t="s">
        <v>92</v>
      </c>
      <c r="D73" s="43">
        <f>D72/C72-1</f>
        <v>0.481481481481481</v>
      </c>
      <c r="E73" s="43">
        <f>E72/D72-1</f>
        <v>0.5</v>
      </c>
    </row>
    <row r="74" spans="2:2">
      <c r="B74" s="42"/>
    </row>
    <row r="75" spans="2:5">
      <c r="B75" t="s">
        <v>93</v>
      </c>
      <c r="C75" s="25">
        <v>0.7</v>
      </c>
      <c r="D75" s="25">
        <v>0.65</v>
      </c>
      <c r="E75" s="25">
        <v>0.6</v>
      </c>
    </row>
    <row r="76" spans="2:5">
      <c r="B76" t="s">
        <v>94</v>
      </c>
      <c r="C76" s="44">
        <f>5500*12</f>
        <v>66000</v>
      </c>
      <c r="D76" s="37">
        <f>D89*D75</f>
        <v>88317.4603174603</v>
      </c>
      <c r="E76" s="37">
        <f>E89*E75</f>
        <v>122285.714285714</v>
      </c>
    </row>
    <row r="77" spans="2:5">
      <c r="B77" t="s">
        <v>95</v>
      </c>
      <c r="C77" s="44">
        <v>2.16</v>
      </c>
      <c r="D77">
        <v>2.16</v>
      </c>
      <c r="E77">
        <v>2.16</v>
      </c>
    </row>
    <row r="78" spans="2:7">
      <c r="B78" s="21" t="s">
        <v>96</v>
      </c>
      <c r="C78" s="44">
        <f>C77*C76</f>
        <v>142560</v>
      </c>
      <c r="D78" s="37">
        <f>D77*D76</f>
        <v>190765.714285714</v>
      </c>
      <c r="E78" s="37">
        <f>E77*E76</f>
        <v>264137.142857143</v>
      </c>
      <c r="F78" t="s">
        <v>97</v>
      </c>
      <c r="G78" s="1">
        <f>(E78/C78)^0.5-1</f>
        <v>0.361181050710688</v>
      </c>
    </row>
    <row r="79" spans="3:3">
      <c r="C79" s="44"/>
    </row>
    <row r="80" spans="2:6">
      <c r="B80" t="s">
        <v>98</v>
      </c>
      <c r="C80" s="25">
        <v>0.3</v>
      </c>
      <c r="D80" s="25">
        <v>0.35</v>
      </c>
      <c r="E80" s="25">
        <v>0.4</v>
      </c>
      <c r="F80" t="s">
        <v>99</v>
      </c>
    </row>
    <row r="81" spans="2:5">
      <c r="B81" t="s">
        <v>94</v>
      </c>
      <c r="C81" s="37">
        <f>500/0.07*0.3*12</f>
        <v>25714.2857142857</v>
      </c>
      <c r="D81" s="37">
        <f>D89*D80</f>
        <v>47555.5555555555</v>
      </c>
      <c r="E81" s="37">
        <f>E89*E80</f>
        <v>81523.8095238095</v>
      </c>
    </row>
    <row r="82" spans="2:5">
      <c r="B82" t="s">
        <v>100</v>
      </c>
      <c r="C82" s="25">
        <v>0.07</v>
      </c>
      <c r="D82" s="25">
        <v>0.07</v>
      </c>
      <c r="E82" s="25">
        <v>0.07</v>
      </c>
    </row>
    <row r="83" spans="2:5">
      <c r="B83" t="s">
        <v>101</v>
      </c>
      <c r="C83" s="43">
        <f>7/30</f>
        <v>0.233333333333333</v>
      </c>
      <c r="D83" s="25">
        <v>0.23</v>
      </c>
      <c r="E83" s="25">
        <v>0.23</v>
      </c>
    </row>
    <row r="84" spans="2:5">
      <c r="B84" t="s">
        <v>102</v>
      </c>
      <c r="C84">
        <f>G31+G37</f>
        <v>28671</v>
      </c>
      <c r="D84" t="s">
        <v>103</v>
      </c>
      <c r="E84" t="s">
        <v>103</v>
      </c>
    </row>
    <row r="85" spans="2:5">
      <c r="B85" t="s">
        <v>104</v>
      </c>
      <c r="C85" s="34">
        <f>C86/C81</f>
        <v>9.557</v>
      </c>
      <c r="D85">
        <v>9.56</v>
      </c>
      <c r="E85" s="34">
        <v>9.56</v>
      </c>
    </row>
    <row r="86" spans="2:7">
      <c r="B86" s="21" t="s">
        <v>105</v>
      </c>
      <c r="C86" s="45">
        <f>C84/C83*2</f>
        <v>245751.428571429</v>
      </c>
      <c r="D86" s="37">
        <f>D81*D85</f>
        <v>454631.111111111</v>
      </c>
      <c r="E86" s="37">
        <f>E81*E85</f>
        <v>779367.619047619</v>
      </c>
      <c r="F86" t="s">
        <v>97</v>
      </c>
      <c r="G86" s="1">
        <f>(E86/C86)^0.5-1</f>
        <v>0.780832830102425</v>
      </c>
    </row>
    <row r="87" spans="2:7">
      <c r="B87" s="21" t="s">
        <v>106</v>
      </c>
      <c r="C87" s="45"/>
      <c r="D87" s="40">
        <f>D86/C86-1</f>
        <v>0.849963248449523</v>
      </c>
      <c r="E87" s="40">
        <f>E86/D86-1</f>
        <v>0.714285714285715</v>
      </c>
      <c r="G87" s="1"/>
    </row>
    <row r="88" spans="3:3">
      <c r="C88" s="45"/>
    </row>
    <row r="89" spans="2:5">
      <c r="B89" t="s">
        <v>107</v>
      </c>
      <c r="C89" s="37">
        <f>C81+C76</f>
        <v>91714.2857142857</v>
      </c>
      <c r="D89" s="37">
        <f>C89*(1+D73)</f>
        <v>135873.015873016</v>
      </c>
      <c r="E89" s="37">
        <f>D89*(1+E73)</f>
        <v>203809.523809524</v>
      </c>
    </row>
    <row r="90" spans="2:5">
      <c r="B90" s="21" t="s">
        <v>108</v>
      </c>
      <c r="C90" s="37">
        <f>C86+C78</f>
        <v>388311.428571429</v>
      </c>
      <c r="D90" s="37">
        <f>D86+D78</f>
        <v>645396.825396825</v>
      </c>
      <c r="E90" s="37">
        <f>E86+E78</f>
        <v>1043504.76190476</v>
      </c>
    </row>
    <row r="92" spans="2:2">
      <c r="B92" s="21" t="s">
        <v>109</v>
      </c>
    </row>
    <row r="93" ht="14.75"/>
    <row r="94" ht="15.75" spans="2:9">
      <c r="B94" s="46"/>
      <c r="C94" s="47" t="s">
        <v>110</v>
      </c>
      <c r="D94" s="47" t="s">
        <v>111</v>
      </c>
      <c r="E94" s="60">
        <v>20200630</v>
      </c>
      <c r="F94" s="60">
        <v>20200930</v>
      </c>
      <c r="G94" s="60" t="s">
        <v>3</v>
      </c>
      <c r="H94" s="60" t="s">
        <v>4</v>
      </c>
      <c r="I94" s="60" t="s">
        <v>91</v>
      </c>
    </row>
    <row r="95" ht="15.75" spans="2:9">
      <c r="B95" s="48" t="s">
        <v>112</v>
      </c>
      <c r="C95" s="49">
        <v>32995.56</v>
      </c>
      <c r="D95" s="49">
        <v>64884.16</v>
      </c>
      <c r="E95" s="61">
        <v>33784.28</v>
      </c>
      <c r="F95" s="61">
        <v>66925.07</v>
      </c>
      <c r="G95" s="62">
        <v>104301</v>
      </c>
      <c r="H95" s="61">
        <v>178117.2308</v>
      </c>
      <c r="I95" s="61">
        <v>317048.670824</v>
      </c>
    </row>
    <row r="96" ht="15.75" spans="2:10">
      <c r="B96" s="48" t="s">
        <v>92</v>
      </c>
      <c r="C96" s="50"/>
      <c r="D96" s="51">
        <f>D95/C95-1</f>
        <v>0.966451243743098</v>
      </c>
      <c r="E96" s="51">
        <v>0.1238</v>
      </c>
      <c r="F96" s="51">
        <v>0.4041</v>
      </c>
      <c r="G96" s="63">
        <v>0.79</v>
      </c>
      <c r="H96" s="64">
        <v>0.85</v>
      </c>
      <c r="I96" s="63">
        <v>0.714</v>
      </c>
      <c r="J96" t="s">
        <v>113</v>
      </c>
    </row>
    <row r="97" ht="15.75" spans="2:9">
      <c r="B97" s="48" t="s">
        <v>28</v>
      </c>
      <c r="C97" s="51">
        <v>0.3619</v>
      </c>
      <c r="D97" s="51">
        <v>0.3769</v>
      </c>
      <c r="E97" s="51">
        <v>0.4152</v>
      </c>
      <c r="F97" s="51">
        <v>0.4117</v>
      </c>
      <c r="G97" s="64">
        <v>0.41</v>
      </c>
      <c r="H97" s="64">
        <v>0.4</v>
      </c>
      <c r="I97" s="64">
        <v>0.39</v>
      </c>
    </row>
    <row r="98" ht="15.75" spans="2:9">
      <c r="B98" s="48" t="s">
        <v>114</v>
      </c>
      <c r="C98" s="49">
        <v>21054.67</v>
      </c>
      <c r="D98" s="49">
        <v>40432.13</v>
      </c>
      <c r="E98" s="61">
        <v>19758.07</v>
      </c>
      <c r="F98" s="61">
        <v>39372.51</v>
      </c>
      <c r="G98" s="61">
        <f>G100*G95</f>
        <v>61537.59</v>
      </c>
      <c r="H98" s="61">
        <f t="shared" ref="G98:I98" si="1">H100*H95</f>
        <v>106870.33848</v>
      </c>
      <c r="I98" s="61">
        <f t="shared" si="1"/>
        <v>193399.68920264</v>
      </c>
    </row>
    <row r="99" ht="15.75" spans="2:9">
      <c r="B99" s="48" t="s">
        <v>115</v>
      </c>
      <c r="C99" s="49">
        <f t="shared" ref="C99:I99" si="2">C95-C98</f>
        <v>11940.89</v>
      </c>
      <c r="D99" s="49">
        <f t="shared" si="2"/>
        <v>24452.03</v>
      </c>
      <c r="E99" s="49">
        <f t="shared" si="2"/>
        <v>14026.21</v>
      </c>
      <c r="F99" s="49">
        <f t="shared" si="2"/>
        <v>27552.56</v>
      </c>
      <c r="G99" s="61">
        <f t="shared" si="2"/>
        <v>42763.41</v>
      </c>
      <c r="H99" s="61">
        <f t="shared" si="2"/>
        <v>71246.89232</v>
      </c>
      <c r="I99" s="61">
        <f t="shared" si="2"/>
        <v>123648.98162136</v>
      </c>
    </row>
    <row r="100" ht="15.75" spans="2:9">
      <c r="B100" s="52" t="s">
        <v>116</v>
      </c>
      <c r="C100" s="53">
        <f>C98/C$95</f>
        <v>0.638106157313287</v>
      </c>
      <c r="D100" s="53">
        <f>D98/D$95</f>
        <v>0.623143306471102</v>
      </c>
      <c r="E100" s="53">
        <f>E98/E$95</f>
        <v>0.584830282012818</v>
      </c>
      <c r="F100" s="53">
        <f>F98/F$95</f>
        <v>0.588307341329639</v>
      </c>
      <c r="G100" s="53">
        <v>0.59</v>
      </c>
      <c r="H100" s="53">
        <v>0.6</v>
      </c>
      <c r="I100" s="53">
        <v>0.61</v>
      </c>
    </row>
    <row r="101" ht="15.75" spans="2:9">
      <c r="B101" s="48" t="s">
        <v>117</v>
      </c>
      <c r="C101" s="49">
        <v>14.75</v>
      </c>
      <c r="D101" s="49">
        <v>47.95</v>
      </c>
      <c r="E101" s="61">
        <v>24.47</v>
      </c>
      <c r="F101" s="61">
        <v>44.44</v>
      </c>
      <c r="G101" s="61">
        <f>G102*G$95</f>
        <v>104.301</v>
      </c>
      <c r="H101" s="61">
        <f>H102*H$95</f>
        <v>178.1172308</v>
      </c>
      <c r="I101" s="61">
        <f>I102*I$95</f>
        <v>317.048670824</v>
      </c>
    </row>
    <row r="102" ht="15.75" spans="2:9">
      <c r="B102" s="52" t="s">
        <v>116</v>
      </c>
      <c r="C102" s="53">
        <f t="shared" ref="C100:C104" si="3">C101/C$95</f>
        <v>0.000447029842803092</v>
      </c>
      <c r="D102" s="53">
        <f>D101/D$95</f>
        <v>0.000739009336022844</v>
      </c>
      <c r="E102" s="53">
        <f>E101/E$95</f>
        <v>0.000724301361461603</v>
      </c>
      <c r="F102" s="65">
        <f>F101/F$95</f>
        <v>0.000664026201242673</v>
      </c>
      <c r="G102" s="53">
        <v>0.001</v>
      </c>
      <c r="H102" s="53">
        <v>0.001</v>
      </c>
      <c r="I102" s="53">
        <v>0.001</v>
      </c>
    </row>
    <row r="103" ht="15.75" spans="2:9">
      <c r="B103" s="48" t="s">
        <v>118</v>
      </c>
      <c r="C103" s="49">
        <v>706.67</v>
      </c>
      <c r="D103" s="49">
        <v>814.55</v>
      </c>
      <c r="E103" s="61">
        <v>391.95</v>
      </c>
      <c r="F103" s="61">
        <v>616.99</v>
      </c>
      <c r="G103" s="61">
        <f>G104*G$95</f>
        <v>961.563043415569</v>
      </c>
      <c r="H103" s="61">
        <f>H104*H$95</f>
        <v>1642.08345589018</v>
      </c>
      <c r="I103" s="61">
        <f>I104*I$95</f>
        <v>2922.90855148452</v>
      </c>
    </row>
    <row r="104" ht="15.75" spans="2:9">
      <c r="B104" s="52" t="s">
        <v>116</v>
      </c>
      <c r="C104" s="53">
        <f t="shared" si="3"/>
        <v>0.0214171240009262</v>
      </c>
      <c r="D104" s="53">
        <f t="shared" ref="D104:I104" si="4">D103/D$95</f>
        <v>0.0125539114631368</v>
      </c>
      <c r="E104" s="53">
        <f t="shared" si="4"/>
        <v>0.0116015495964395</v>
      </c>
      <c r="F104" s="53">
        <f t="shared" si="4"/>
        <v>0.00921911624448058</v>
      </c>
      <c r="G104" s="53">
        <v>0.00921911624448058</v>
      </c>
      <c r="H104" s="53">
        <v>0.00921911624448058</v>
      </c>
      <c r="I104" s="53">
        <v>0.00921911624448058</v>
      </c>
    </row>
    <row r="105" ht="15.75" spans="2:9">
      <c r="B105" s="48" t="s">
        <v>119</v>
      </c>
      <c r="C105" s="49">
        <v>2386.76</v>
      </c>
      <c r="D105" s="49">
        <v>4591.07</v>
      </c>
      <c r="E105" s="61">
        <v>2408.48</v>
      </c>
      <c r="F105" s="61">
        <v>3807.55</v>
      </c>
      <c r="G105" s="61">
        <f>G106*G$95</f>
        <v>6258.06</v>
      </c>
      <c r="H105" s="61">
        <f>H106*H$95</f>
        <v>10687.033848</v>
      </c>
      <c r="I105" s="61">
        <f>I106*I$95</f>
        <v>15852.4335412</v>
      </c>
    </row>
    <row r="106" ht="15.75" spans="2:9">
      <c r="B106" s="52" t="s">
        <v>116</v>
      </c>
      <c r="C106" s="53">
        <f t="shared" ref="C106:I106" si="5">C105/C$95</f>
        <v>0.0723357930582175</v>
      </c>
      <c r="D106" s="53">
        <f t="shared" si="5"/>
        <v>0.0707579477024901</v>
      </c>
      <c r="E106" s="53">
        <f t="shared" si="5"/>
        <v>0.0712899608930544</v>
      </c>
      <c r="F106" s="53">
        <f t="shared" si="5"/>
        <v>0.0568927309302777</v>
      </c>
      <c r="G106" s="53">
        <v>0.06</v>
      </c>
      <c r="H106" s="53">
        <v>0.06</v>
      </c>
      <c r="I106" s="53">
        <v>0.05</v>
      </c>
    </row>
    <row r="107" ht="15.75" spans="2:9">
      <c r="B107" s="54" t="s">
        <v>120</v>
      </c>
      <c r="C107" s="49">
        <v>8724.02</v>
      </c>
      <c r="D107" s="49">
        <v>13236.29</v>
      </c>
      <c r="E107" s="61">
        <v>8181.48</v>
      </c>
      <c r="F107" s="61">
        <v>12627.02</v>
      </c>
      <c r="G107" s="61">
        <f>G108*G$95</f>
        <v>19817.19</v>
      </c>
      <c r="H107" s="61">
        <f>H108*H$95</f>
        <v>30279.929236</v>
      </c>
      <c r="I107" s="61">
        <f>I108*I$95</f>
        <v>47557.3006236</v>
      </c>
    </row>
    <row r="108" ht="15.75" spans="2:10">
      <c r="B108" s="52" t="s">
        <v>116</v>
      </c>
      <c r="C108" s="53">
        <f t="shared" ref="C108:I108" si="6">C107/C$95</f>
        <v>0.264399816217697</v>
      </c>
      <c r="D108" s="53">
        <f t="shared" si="6"/>
        <v>0.203998787993865</v>
      </c>
      <c r="E108" s="53">
        <f t="shared" si="6"/>
        <v>0.242168251032729</v>
      </c>
      <c r="F108" s="53">
        <f t="shared" si="6"/>
        <v>0.188673990180361</v>
      </c>
      <c r="G108" s="53">
        <v>0.19</v>
      </c>
      <c r="H108" s="53">
        <v>0.17</v>
      </c>
      <c r="I108" s="53">
        <v>0.15</v>
      </c>
      <c r="J108" t="s">
        <v>121</v>
      </c>
    </row>
    <row r="109" ht="15.75" spans="2:9">
      <c r="B109" s="48" t="s">
        <v>122</v>
      </c>
      <c r="C109" s="49">
        <v>-180.89</v>
      </c>
      <c r="D109" s="49">
        <v>-51.15</v>
      </c>
      <c r="E109" s="61">
        <v>-488.34</v>
      </c>
      <c r="F109" s="61">
        <v>119.34</v>
      </c>
      <c r="G109" s="61">
        <f>G110*G$95</f>
        <v>208.602</v>
      </c>
      <c r="H109" s="61">
        <f>H110*H$95</f>
        <v>356.2344616</v>
      </c>
      <c r="I109" s="61">
        <f>I110*I$95</f>
        <v>634.097341648</v>
      </c>
    </row>
    <row r="110" ht="15.75" spans="2:9">
      <c r="B110" s="52" t="s">
        <v>116</v>
      </c>
      <c r="C110" s="53">
        <f t="shared" ref="C110:I110" si="7">C109/C$95</f>
        <v>-0.00548225276370518</v>
      </c>
      <c r="D110" s="53">
        <f t="shared" si="7"/>
        <v>-0.000788327998697987</v>
      </c>
      <c r="E110" s="53">
        <f t="shared" si="7"/>
        <v>-0.014454651690076</v>
      </c>
      <c r="F110" s="65">
        <f t="shared" si="7"/>
        <v>0.00178318827309407</v>
      </c>
      <c r="G110" s="53">
        <v>0.002</v>
      </c>
      <c r="H110" s="53">
        <v>0.002</v>
      </c>
      <c r="I110" s="53">
        <v>0.002</v>
      </c>
    </row>
    <row r="111" ht="15.75" spans="2:9">
      <c r="B111" s="48" t="s">
        <v>123</v>
      </c>
      <c r="C111" s="49">
        <v>153.03</v>
      </c>
      <c r="D111" s="49">
        <v>1011.62</v>
      </c>
      <c r="E111" s="61">
        <v>1416.52</v>
      </c>
      <c r="F111" s="61">
        <v>1455.74</v>
      </c>
      <c r="G111" s="61">
        <v>1700</v>
      </c>
      <c r="H111" s="61">
        <v>1900</v>
      </c>
      <c r="I111" s="61">
        <v>2100</v>
      </c>
    </row>
    <row r="112" ht="15.75" spans="2:9">
      <c r="B112" s="48" t="s">
        <v>124</v>
      </c>
      <c r="C112" s="55">
        <v>139.45</v>
      </c>
      <c r="D112" s="55">
        <v>-227.81</v>
      </c>
      <c r="E112" s="66">
        <v>-253.71</v>
      </c>
      <c r="F112" s="66">
        <v>-336.06</v>
      </c>
      <c r="G112" s="66">
        <v>-350</v>
      </c>
      <c r="H112" s="66">
        <v>-350</v>
      </c>
      <c r="I112" s="66">
        <v>-350</v>
      </c>
    </row>
    <row r="113" ht="15.75" spans="2:9">
      <c r="B113" s="48" t="s">
        <v>125</v>
      </c>
      <c r="C113" s="55">
        <v>0</v>
      </c>
      <c r="D113" s="55">
        <v>16.33</v>
      </c>
      <c r="E113" s="66">
        <v>4.13</v>
      </c>
      <c r="F113" s="66">
        <v>-26.02</v>
      </c>
      <c r="G113" s="66">
        <v>-26</v>
      </c>
      <c r="H113" s="66">
        <v>-26</v>
      </c>
      <c r="I113" s="66">
        <v>-26</v>
      </c>
    </row>
    <row r="114" ht="15.75" spans="2:9">
      <c r="B114" s="56" t="s">
        <v>126</v>
      </c>
      <c r="C114" s="57">
        <v>0</v>
      </c>
      <c r="D114" s="57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</row>
    <row r="115" ht="15.75" spans="2:9">
      <c r="B115" s="48" t="s">
        <v>127</v>
      </c>
      <c r="C115" s="55">
        <v>8.58</v>
      </c>
      <c r="D115" s="55">
        <v>256.41</v>
      </c>
      <c r="E115" s="66">
        <v>179.9</v>
      </c>
      <c r="F115" s="66">
        <v>267.18</v>
      </c>
      <c r="G115" s="66">
        <v>300</v>
      </c>
      <c r="H115" s="66">
        <v>400</v>
      </c>
      <c r="I115" s="66">
        <v>500</v>
      </c>
    </row>
    <row r="116" ht="15.75" spans="2:9">
      <c r="B116" s="48" t="s">
        <v>128</v>
      </c>
      <c r="C116" s="49">
        <v>303.16</v>
      </c>
      <c r="D116" s="49">
        <v>6869.81</v>
      </c>
      <c r="E116" s="61">
        <v>4854.96</v>
      </c>
      <c r="F116" s="61">
        <v>11682.83</v>
      </c>
      <c r="G116" s="61">
        <f>G99-G101-G103-G105-G107-G109+G111+G112+G113</f>
        <v>16737.6939565844</v>
      </c>
      <c r="H116" s="61">
        <f t="shared" ref="G116:I116" si="8">H99-H101-H103-H105-H107-H109+H111+H112+H113</f>
        <v>29627.4940877098</v>
      </c>
      <c r="I116" s="61">
        <f t="shared" si="8"/>
        <v>58089.1928926035</v>
      </c>
    </row>
    <row r="117" ht="15.75" spans="2:9">
      <c r="B117" s="52" t="s">
        <v>116</v>
      </c>
      <c r="C117" s="53">
        <f t="shared" ref="C117:I117" si="9">C116/C$95</f>
        <v>0.00918790285723291</v>
      </c>
      <c r="D117" s="53">
        <f t="shared" si="9"/>
        <v>0.105878075635101</v>
      </c>
      <c r="E117" s="53">
        <f t="shared" si="9"/>
        <v>0.143704705265289</v>
      </c>
      <c r="F117" s="53">
        <f t="shared" si="9"/>
        <v>0.174565824137352</v>
      </c>
      <c r="G117" s="53">
        <f t="shared" si="9"/>
        <v>0.160474913534716</v>
      </c>
      <c r="H117" s="53">
        <f t="shared" si="9"/>
        <v>0.166337046419598</v>
      </c>
      <c r="I117" s="53">
        <f t="shared" si="9"/>
        <v>0.183218534686272</v>
      </c>
    </row>
    <row r="118" ht="15.75" spans="2:9">
      <c r="B118" s="48" t="s">
        <v>129</v>
      </c>
      <c r="C118" s="55">
        <v>-126.1</v>
      </c>
      <c r="D118" s="55">
        <v>5.79</v>
      </c>
      <c r="E118" s="66">
        <v>0.71</v>
      </c>
      <c r="F118" s="66">
        <v>0.71</v>
      </c>
      <c r="G118" s="66">
        <v>0</v>
      </c>
      <c r="H118" s="66">
        <v>0</v>
      </c>
      <c r="I118" s="66">
        <v>0</v>
      </c>
    </row>
    <row r="119" ht="15.75" spans="2:9">
      <c r="B119" s="48" t="s">
        <v>130</v>
      </c>
      <c r="C119" s="49">
        <f>C116+C118</f>
        <v>177.06</v>
      </c>
      <c r="D119" s="49">
        <f>D116+D118</f>
        <v>6875.6</v>
      </c>
      <c r="E119" s="49">
        <f>E116+E118</f>
        <v>4855.67</v>
      </c>
      <c r="F119" s="49">
        <f>F116+F118</f>
        <v>11683.54</v>
      </c>
      <c r="G119" s="61">
        <f>G116+G118</f>
        <v>16737.6939565844</v>
      </c>
      <c r="H119" s="61">
        <f t="shared" ref="G119:I119" si="10">H116+H118</f>
        <v>29627.4940877098</v>
      </c>
      <c r="I119" s="61">
        <f t="shared" si="10"/>
        <v>58089.1928926035</v>
      </c>
    </row>
    <row r="120" ht="15.75" spans="2:9">
      <c r="B120" s="52" t="s">
        <v>116</v>
      </c>
      <c r="C120" s="53">
        <f t="shared" ref="C120:I120" si="11">C119/C$95</f>
        <v>0.00536617654011631</v>
      </c>
      <c r="D120" s="53">
        <f t="shared" si="11"/>
        <v>0.105967311590379</v>
      </c>
      <c r="E120" s="53">
        <f t="shared" si="11"/>
        <v>0.143725720956611</v>
      </c>
      <c r="F120" s="53">
        <f t="shared" si="11"/>
        <v>0.174576433016805</v>
      </c>
      <c r="G120" s="53">
        <f t="shared" si="11"/>
        <v>0.160474913534716</v>
      </c>
      <c r="H120" s="53">
        <f t="shared" si="11"/>
        <v>0.166337046419598</v>
      </c>
      <c r="I120" s="53">
        <f t="shared" si="11"/>
        <v>0.183218534686272</v>
      </c>
    </row>
    <row r="121" ht="15.75" spans="2:9">
      <c r="B121" s="48" t="s">
        <v>131</v>
      </c>
      <c r="C121" s="49">
        <v>0</v>
      </c>
      <c r="D121" s="49">
        <v>126.14</v>
      </c>
      <c r="E121" s="61">
        <v>-33.3</v>
      </c>
      <c r="F121" s="61">
        <v>-18.02</v>
      </c>
      <c r="G121" s="61">
        <f>G122*G$95</f>
        <v>0</v>
      </c>
      <c r="H121" s="61">
        <f>H122*H$95</f>
        <v>0</v>
      </c>
      <c r="I121" s="61">
        <f>I122*I$95</f>
        <v>0</v>
      </c>
    </row>
    <row r="122" ht="15.75" spans="2:9">
      <c r="B122" s="48" t="s">
        <v>132</v>
      </c>
      <c r="C122" s="51">
        <f t="shared" ref="C122:F122" si="12">C121/C119</f>
        <v>0</v>
      </c>
      <c r="D122" s="51">
        <f t="shared" si="12"/>
        <v>0.018346035255105</v>
      </c>
      <c r="E122" s="51">
        <f t="shared" si="12"/>
        <v>-0.00685796192904378</v>
      </c>
      <c r="F122" s="51">
        <f t="shared" si="12"/>
        <v>-0.00154234076315911</v>
      </c>
      <c r="G122" s="63">
        <v>0</v>
      </c>
      <c r="H122" s="63">
        <v>0</v>
      </c>
      <c r="I122" s="63">
        <v>0</v>
      </c>
    </row>
    <row r="123" ht="15.75" spans="2:9">
      <c r="B123" s="48" t="s">
        <v>133</v>
      </c>
      <c r="C123" s="49">
        <f>C119-C121</f>
        <v>177.06</v>
      </c>
      <c r="D123" s="49">
        <f>D119-D121</f>
        <v>6749.46</v>
      </c>
      <c r="E123" s="49">
        <f>E119-E121</f>
        <v>4888.97</v>
      </c>
      <c r="F123" s="49">
        <f>F119-F121</f>
        <v>11701.56</v>
      </c>
      <c r="G123" s="49">
        <f t="shared" ref="C123:I123" si="13">G119-G121</f>
        <v>16737.6939565844</v>
      </c>
      <c r="H123" s="49">
        <f t="shared" si="13"/>
        <v>29627.4940877098</v>
      </c>
      <c r="I123" s="49">
        <f t="shared" si="13"/>
        <v>58089.1928926035</v>
      </c>
    </row>
    <row r="124" ht="15.75" spans="2:9">
      <c r="B124" s="58" t="s">
        <v>134</v>
      </c>
      <c r="C124" s="59">
        <f>C123-C125</f>
        <v>177.06</v>
      </c>
      <c r="D124" s="59">
        <f>D123-D125</f>
        <v>6749.46</v>
      </c>
      <c r="E124" s="59">
        <f>E123-E125</f>
        <v>4888.97</v>
      </c>
      <c r="F124" s="59">
        <f>F123-F125</f>
        <v>11701.56</v>
      </c>
      <c r="G124" s="67">
        <f t="shared" ref="G124:I124" si="14">G123-G125</f>
        <v>16737.6939565844</v>
      </c>
      <c r="H124" s="67">
        <f t="shared" si="14"/>
        <v>29627.4940877098</v>
      </c>
      <c r="I124" s="67">
        <f t="shared" si="14"/>
        <v>58089.1928926035</v>
      </c>
    </row>
    <row r="125" ht="15.75" spans="2:9">
      <c r="B125" s="46" t="s">
        <v>135</v>
      </c>
      <c r="C125" s="47">
        <v>0</v>
      </c>
      <c r="D125" s="47">
        <v>0</v>
      </c>
      <c r="E125" s="68">
        <v>0</v>
      </c>
      <c r="F125" s="68">
        <v>0</v>
      </c>
      <c r="G125" s="60">
        <v>0</v>
      </c>
      <c r="H125" s="60">
        <v>0</v>
      </c>
      <c r="I125" s="60">
        <v>0</v>
      </c>
    </row>
  </sheetData>
  <mergeCells count="2">
    <mergeCell ref="A43:A46"/>
    <mergeCell ref="D52:D5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A7" sqref="A7"/>
    </sheetView>
  </sheetViews>
  <sheetFormatPr defaultColWidth="9" defaultRowHeight="14" outlineLevelCol="7"/>
  <cols>
    <col min="1" max="1" width="11.84375" customWidth="1"/>
    <col min="2" max="2" width="14.1875" customWidth="1"/>
    <col min="3" max="3" width="9.375" customWidth="1"/>
    <col min="4" max="4" width="12.6875"/>
    <col min="5" max="5" width="23.8125" customWidth="1"/>
    <col min="6" max="6" width="21.875" customWidth="1"/>
  </cols>
  <sheetData>
    <row r="1" ht="15.6" spans="1:3">
      <c r="A1" s="27" t="s">
        <v>136</v>
      </c>
      <c r="C1" t="s">
        <v>137</v>
      </c>
    </row>
    <row r="2" ht="15.6" spans="1:7">
      <c r="A2" s="28" t="s">
        <v>72</v>
      </c>
      <c r="B2" t="s">
        <v>73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 ht="15.6" spans="1:7">
      <c r="A3" s="28" t="s">
        <v>76</v>
      </c>
      <c r="B3" s="29">
        <v>3000</v>
      </c>
      <c r="C3" s="30">
        <f>AVERAGE(表格1、计算底稿!D19:E19)</f>
        <v>2.36335680217325</v>
      </c>
      <c r="D3" s="31">
        <f>B3/$B$13</f>
        <v>0.405405405405405</v>
      </c>
      <c r="E3" s="33">
        <f>C3*B3</f>
        <v>7090.07040651975</v>
      </c>
      <c r="F3" s="33">
        <f>E3*表格1、计算底稿!H20</f>
        <v>1942.67929138641</v>
      </c>
      <c r="G3" t="s">
        <v>48</v>
      </c>
    </row>
    <row r="4" ht="15.6" spans="1:7">
      <c r="A4" s="28" t="s">
        <v>78</v>
      </c>
      <c r="B4" s="29">
        <v>2500</v>
      </c>
      <c r="C4" s="30"/>
      <c r="D4" s="31">
        <f t="shared" ref="D4:D12" si="0">B4/$B$13</f>
        <v>0.337837837837838</v>
      </c>
      <c r="E4" s="29"/>
      <c r="F4" s="33"/>
      <c r="G4" t="s">
        <v>48</v>
      </c>
    </row>
    <row r="5" ht="15.6" spans="1:8">
      <c r="A5" s="32" t="s">
        <v>79</v>
      </c>
      <c r="B5" s="29">
        <v>500</v>
      </c>
      <c r="C5" s="30">
        <v>9.24</v>
      </c>
      <c r="D5" s="31">
        <f t="shared" si="0"/>
        <v>0.0675675675675676</v>
      </c>
      <c r="E5" s="29">
        <f>B5*C5</f>
        <v>4620</v>
      </c>
      <c r="F5" s="33">
        <f>E5*表格1、计算底稿!I41</f>
        <v>1946.637</v>
      </c>
      <c r="G5" t="s">
        <v>58</v>
      </c>
      <c r="H5" t="s">
        <v>143</v>
      </c>
    </row>
    <row r="6" ht="15.6" spans="1:7">
      <c r="A6" s="28" t="s">
        <v>82</v>
      </c>
      <c r="B6" s="29">
        <v>430</v>
      </c>
      <c r="C6" s="30"/>
      <c r="D6" s="31">
        <f t="shared" si="0"/>
        <v>0.0581081081081081</v>
      </c>
      <c r="E6" s="29"/>
      <c r="F6" s="33"/>
      <c r="G6" t="s">
        <v>58</v>
      </c>
    </row>
    <row r="7" ht="15.6" spans="1:6">
      <c r="A7" s="28" t="s">
        <v>83</v>
      </c>
      <c r="B7" s="29">
        <v>400</v>
      </c>
      <c r="C7" s="30"/>
      <c r="D7" s="31">
        <f t="shared" si="0"/>
        <v>0.0540540540540541</v>
      </c>
      <c r="E7" s="29"/>
      <c r="F7" s="33"/>
    </row>
    <row r="8" ht="15.6" spans="1:6">
      <c r="A8" s="28" t="s">
        <v>84</v>
      </c>
      <c r="B8" s="29">
        <v>200</v>
      </c>
      <c r="C8" s="30"/>
      <c r="D8" s="31">
        <f t="shared" si="0"/>
        <v>0.027027027027027</v>
      </c>
      <c r="E8" s="29"/>
      <c r="F8" s="33"/>
    </row>
    <row r="9" ht="15.6" spans="1:7">
      <c r="A9" s="28" t="s">
        <v>85</v>
      </c>
      <c r="B9" s="29">
        <v>150</v>
      </c>
      <c r="C9" s="30"/>
      <c r="D9" s="31">
        <f t="shared" si="0"/>
        <v>0.0202702702702703</v>
      </c>
      <c r="E9" s="29"/>
      <c r="F9" s="33"/>
      <c r="G9" t="s">
        <v>58</v>
      </c>
    </row>
    <row r="10" ht="15.6" spans="1:6">
      <c r="A10" s="32" t="s">
        <v>86</v>
      </c>
      <c r="B10" s="29">
        <v>120</v>
      </c>
      <c r="C10" s="30"/>
      <c r="D10" s="31">
        <f t="shared" si="0"/>
        <v>0.0162162162162162</v>
      </c>
      <c r="E10" s="29"/>
      <c r="F10" s="33"/>
    </row>
    <row r="11" ht="15.6" spans="1:6">
      <c r="A11" s="28" t="s">
        <v>87</v>
      </c>
      <c r="B11" s="29">
        <v>100</v>
      </c>
      <c r="C11" s="30"/>
      <c r="D11" s="31">
        <f t="shared" si="0"/>
        <v>0.0135135135135135</v>
      </c>
      <c r="E11" s="29"/>
      <c r="F11" s="33"/>
    </row>
    <row r="12" ht="15.6" spans="1:6">
      <c r="A12" s="32" t="s">
        <v>88</v>
      </c>
      <c r="B12" s="29">
        <v>80</v>
      </c>
      <c r="C12" s="30">
        <v>1.97</v>
      </c>
      <c r="D12" s="31">
        <f t="shared" si="0"/>
        <v>0.0108108108108108</v>
      </c>
      <c r="E12" s="29">
        <f>C12*B12</f>
        <v>157.6</v>
      </c>
      <c r="F12" s="33">
        <f>E12*表格1、计算底稿!H26</f>
        <v>47.74098</v>
      </c>
    </row>
    <row r="13" ht="15.6" spans="1:6">
      <c r="A13" s="32" t="s">
        <v>89</v>
      </c>
      <c r="B13" s="29">
        <f>SUM(B3:B11)</f>
        <v>7400</v>
      </c>
      <c r="C13" s="29"/>
      <c r="D13" s="29"/>
      <c r="E13" s="29"/>
      <c r="F13" s="29"/>
    </row>
    <row r="14" ht="15.6" spans="1:1">
      <c r="A14" s="28"/>
    </row>
    <row r="15" ht="15.6" spans="1:1">
      <c r="A15" s="28"/>
    </row>
    <row r="16" ht="15.6" spans="1:1">
      <c r="A16" s="28"/>
    </row>
    <row r="17" ht="15.6" spans="1:1">
      <c r="A17" s="28"/>
    </row>
    <row r="18" ht="15.6" spans="1:1">
      <c r="A18" s="28"/>
    </row>
    <row r="19" ht="15.6" spans="1:1">
      <c r="A19" s="32"/>
    </row>
    <row r="20" ht="15.6" spans="1:1">
      <c r="A20" s="28"/>
    </row>
    <row r="21" ht="15.6" spans="1:1">
      <c r="A21" s="28"/>
    </row>
    <row r="22" ht="15.6" spans="1:1">
      <c r="A22" s="28"/>
    </row>
    <row r="23" ht="15.6" spans="1:1">
      <c r="A23" s="28"/>
    </row>
    <row r="24" ht="15.6" spans="1:1">
      <c r="A24" s="28"/>
    </row>
    <row r="25" ht="15.6" spans="1:1">
      <c r="A25" s="28"/>
    </row>
    <row r="26" ht="15.6" spans="1:1">
      <c r="A26" s="28"/>
    </row>
    <row r="27" ht="15.6" spans="1:1">
      <c r="A27" s="28"/>
    </row>
    <row r="28" ht="15.6" spans="1:1">
      <c r="A28" s="28"/>
    </row>
    <row r="29" ht="15.6" spans="1:1">
      <c r="A29" s="28"/>
    </row>
    <row r="30" ht="15.6" spans="1:1">
      <c r="A30" s="28"/>
    </row>
    <row r="31" ht="15.6" spans="1:1">
      <c r="A31" s="28"/>
    </row>
    <row r="32" ht="15.6" spans="1:1">
      <c r="A32" s="28"/>
    </row>
    <row r="33" ht="15.6" spans="1:1">
      <c r="A33" s="28"/>
    </row>
    <row r="34" ht="15.6" spans="1:1">
      <c r="A34" s="28"/>
    </row>
    <row r="35" ht="15.6" spans="1:1">
      <c r="A35" s="32"/>
    </row>
    <row r="36" ht="15.6" spans="1:1">
      <c r="A36" s="28"/>
    </row>
    <row r="37" ht="15.6" spans="1:1">
      <c r="A37" s="28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zoomScale="90" zoomScaleNormal="90" workbookViewId="0">
      <selection activeCell="D27" sqref="D27"/>
    </sheetView>
  </sheetViews>
  <sheetFormatPr defaultColWidth="9" defaultRowHeight="14" outlineLevelCol="6"/>
  <cols>
    <col min="2" max="2" width="20.375" customWidth="1"/>
    <col min="4" max="4" width="25.4375" customWidth="1"/>
    <col min="7" max="7" width="12.6875"/>
  </cols>
  <sheetData>
    <row r="1" spans="1:1">
      <c r="A1" t="s">
        <v>144</v>
      </c>
    </row>
    <row r="2" spans="1:5">
      <c r="A2" t="s">
        <v>72</v>
      </c>
      <c r="B2" t="s">
        <v>145</v>
      </c>
      <c r="C2" t="s">
        <v>146</v>
      </c>
      <c r="D2" t="s">
        <v>147</v>
      </c>
      <c r="E2" t="s">
        <v>148</v>
      </c>
    </row>
    <row r="3" spans="1:7">
      <c r="A3" s="14" t="s">
        <v>79</v>
      </c>
      <c r="B3" s="15" t="s">
        <v>149</v>
      </c>
      <c r="C3" s="16" t="s">
        <v>150</v>
      </c>
      <c r="D3" s="16" t="s">
        <v>151</v>
      </c>
      <c r="E3" s="16">
        <v>258</v>
      </c>
      <c r="F3" s="18" t="s">
        <v>152</v>
      </c>
      <c r="G3" s="18">
        <f>AVERAGE(E3:E30)</f>
        <v>464.518518518519</v>
      </c>
    </row>
    <row r="4" spans="1:7">
      <c r="A4" s="14"/>
      <c r="B4" s="15"/>
      <c r="C4" s="16" t="s">
        <v>153</v>
      </c>
      <c r="D4" s="16" t="s">
        <v>154</v>
      </c>
      <c r="E4" s="16">
        <v>199</v>
      </c>
      <c r="F4" t="s">
        <v>155</v>
      </c>
      <c r="G4">
        <f>MEDIAN(E3:E30)</f>
        <v>499</v>
      </c>
    </row>
    <row r="5" spans="1:7">
      <c r="A5" s="14"/>
      <c r="B5" s="15"/>
      <c r="C5" s="16" t="s">
        <v>156</v>
      </c>
      <c r="D5" s="16" t="s">
        <v>157</v>
      </c>
      <c r="E5" s="16">
        <v>499</v>
      </c>
      <c r="F5" t="s">
        <v>158</v>
      </c>
      <c r="G5">
        <v>13.23</v>
      </c>
    </row>
    <row r="6" spans="1:5">
      <c r="A6" s="14"/>
      <c r="B6" s="15"/>
      <c r="C6" s="16" t="s">
        <v>156</v>
      </c>
      <c r="D6" s="16" t="s">
        <v>159</v>
      </c>
      <c r="E6" s="16">
        <v>659</v>
      </c>
    </row>
    <row r="7" spans="1:5">
      <c r="A7" s="14"/>
      <c r="B7" s="15"/>
      <c r="C7" s="16" t="s">
        <v>160</v>
      </c>
      <c r="D7" s="16" t="s">
        <v>161</v>
      </c>
      <c r="E7" s="16" t="s">
        <v>103</v>
      </c>
    </row>
    <row r="8" spans="1:5">
      <c r="A8" s="14"/>
      <c r="B8" s="15"/>
      <c r="C8" s="16" t="s">
        <v>162</v>
      </c>
      <c r="D8" s="16" t="s">
        <v>163</v>
      </c>
      <c r="E8" s="16">
        <v>169</v>
      </c>
    </row>
    <row r="9" spans="1:5">
      <c r="A9" s="14"/>
      <c r="B9" s="15"/>
      <c r="C9" s="16" t="s">
        <v>162</v>
      </c>
      <c r="D9" s="16" t="s">
        <v>164</v>
      </c>
      <c r="E9" s="16">
        <v>299</v>
      </c>
    </row>
    <row r="10" spans="1:5">
      <c r="A10" s="14"/>
      <c r="B10" s="15"/>
      <c r="C10" s="16" t="s">
        <v>162</v>
      </c>
      <c r="D10" s="16" t="s">
        <v>165</v>
      </c>
      <c r="E10" s="16">
        <v>749</v>
      </c>
    </row>
    <row r="11" spans="1:5">
      <c r="A11" s="14"/>
      <c r="B11" s="15"/>
      <c r="C11" s="16" t="s">
        <v>166</v>
      </c>
      <c r="D11" s="16" t="s">
        <v>167</v>
      </c>
      <c r="E11" s="16">
        <v>499</v>
      </c>
    </row>
    <row r="12" spans="1:5">
      <c r="A12" s="14"/>
      <c r="B12" s="15"/>
      <c r="C12" s="16" t="s">
        <v>166</v>
      </c>
      <c r="D12" s="16" t="s">
        <v>168</v>
      </c>
      <c r="E12" s="16">
        <v>599</v>
      </c>
    </row>
    <row r="13" spans="1:5">
      <c r="A13" s="14"/>
      <c r="B13" s="15"/>
      <c r="C13" s="16" t="s">
        <v>166</v>
      </c>
      <c r="D13" s="16" t="s">
        <v>169</v>
      </c>
      <c r="E13" s="16">
        <v>499</v>
      </c>
    </row>
    <row r="14" spans="1:5">
      <c r="A14" s="14"/>
      <c r="B14" s="15"/>
      <c r="C14" s="16" t="s">
        <v>166</v>
      </c>
      <c r="D14" s="16" t="s">
        <v>170</v>
      </c>
      <c r="E14" s="16">
        <v>829</v>
      </c>
    </row>
    <row r="15" spans="1:5">
      <c r="A15" s="14"/>
      <c r="B15" s="15"/>
      <c r="C15" s="16" t="s">
        <v>166</v>
      </c>
      <c r="D15" s="16" t="s">
        <v>171</v>
      </c>
      <c r="E15" s="16">
        <v>499</v>
      </c>
    </row>
    <row r="16" spans="1:5">
      <c r="A16" s="14"/>
      <c r="B16" s="15"/>
      <c r="C16" s="16" t="s">
        <v>172</v>
      </c>
      <c r="D16" s="16" t="s">
        <v>173</v>
      </c>
      <c r="E16" s="16">
        <v>229</v>
      </c>
    </row>
    <row r="17" spans="1:5">
      <c r="A17" s="14"/>
      <c r="B17" s="15"/>
      <c r="C17" s="16" t="s">
        <v>174</v>
      </c>
      <c r="D17" s="16" t="s">
        <v>175</v>
      </c>
      <c r="E17" s="16">
        <v>449</v>
      </c>
    </row>
    <row r="18" spans="1:5">
      <c r="A18" s="14"/>
      <c r="B18" s="15"/>
      <c r="C18" s="16" t="s">
        <v>176</v>
      </c>
      <c r="D18" s="16" t="s">
        <v>177</v>
      </c>
      <c r="E18" s="16">
        <v>299</v>
      </c>
    </row>
    <row r="19" spans="1:5">
      <c r="A19" s="14"/>
      <c r="B19" s="15"/>
      <c r="C19" s="16" t="s">
        <v>176</v>
      </c>
      <c r="D19" s="16" t="s">
        <v>178</v>
      </c>
      <c r="E19" s="16">
        <v>599</v>
      </c>
    </row>
    <row r="20" spans="1:5">
      <c r="A20" s="14"/>
      <c r="B20" s="15"/>
      <c r="C20" s="16" t="s">
        <v>176</v>
      </c>
      <c r="D20" s="16" t="s">
        <v>179</v>
      </c>
      <c r="E20" s="16">
        <v>499</v>
      </c>
    </row>
    <row r="21" spans="1:5">
      <c r="A21" s="14"/>
      <c r="B21" s="15"/>
      <c r="C21" s="16" t="s">
        <v>176</v>
      </c>
      <c r="D21" s="16" t="s">
        <v>180</v>
      </c>
      <c r="E21" s="16">
        <v>299</v>
      </c>
    </row>
    <row r="22" spans="1:5">
      <c r="A22" s="14"/>
      <c r="B22" s="15"/>
      <c r="C22" s="16" t="s">
        <v>176</v>
      </c>
      <c r="D22" s="16" t="s">
        <v>181</v>
      </c>
      <c r="E22" s="16">
        <v>569</v>
      </c>
    </row>
    <row r="23" spans="1:5">
      <c r="A23" s="14"/>
      <c r="B23" s="15"/>
      <c r="C23" s="16" t="s">
        <v>182</v>
      </c>
      <c r="D23" s="16" t="s">
        <v>183</v>
      </c>
      <c r="E23" s="16">
        <v>299</v>
      </c>
    </row>
    <row r="24" spans="1:5">
      <c r="A24" s="14"/>
      <c r="B24" s="15"/>
      <c r="C24" s="16" t="s">
        <v>182</v>
      </c>
      <c r="D24" s="16" t="s">
        <v>184</v>
      </c>
      <c r="E24" s="16">
        <v>499</v>
      </c>
    </row>
    <row r="25" spans="1:5">
      <c r="A25" s="14"/>
      <c r="B25" s="15"/>
      <c r="C25" s="16" t="s">
        <v>185</v>
      </c>
      <c r="D25" s="16" t="s">
        <v>186</v>
      </c>
      <c r="E25" s="16">
        <v>999</v>
      </c>
    </row>
    <row r="26" spans="1:5">
      <c r="A26" s="14"/>
      <c r="B26" s="15"/>
      <c r="C26" s="16" t="s">
        <v>185</v>
      </c>
      <c r="D26" s="16" t="s">
        <v>187</v>
      </c>
      <c r="E26" s="16">
        <v>899</v>
      </c>
    </row>
    <row r="27" spans="1:5">
      <c r="A27" s="14"/>
      <c r="B27" s="15" t="s">
        <v>188</v>
      </c>
      <c r="C27" s="16" t="s">
        <v>174</v>
      </c>
      <c r="D27" s="16" t="s">
        <v>189</v>
      </c>
      <c r="E27" s="16">
        <v>149</v>
      </c>
    </row>
    <row r="28" spans="1:5">
      <c r="A28" s="14"/>
      <c r="B28" s="15"/>
      <c r="C28" s="16" t="s">
        <v>162</v>
      </c>
      <c r="D28" s="16" t="s">
        <v>190</v>
      </c>
      <c r="E28" s="16">
        <v>399</v>
      </c>
    </row>
    <row r="29" spans="1:5">
      <c r="A29" s="14"/>
      <c r="B29" s="15"/>
      <c r="C29" s="16" t="s">
        <v>162</v>
      </c>
      <c r="D29" s="16" t="s">
        <v>191</v>
      </c>
      <c r="E29" s="16">
        <v>399</v>
      </c>
    </row>
    <row r="30" spans="1:5">
      <c r="A30" s="14"/>
      <c r="B30" s="15"/>
      <c r="C30" s="16" t="s">
        <v>192</v>
      </c>
      <c r="D30" s="16" t="s">
        <v>193</v>
      </c>
      <c r="E30" s="16">
        <v>199</v>
      </c>
    </row>
    <row r="31" spans="1:7">
      <c r="A31" s="14"/>
      <c r="B31" s="15" t="s">
        <v>194</v>
      </c>
      <c r="C31" s="16" t="s">
        <v>195</v>
      </c>
      <c r="D31" s="16" t="s">
        <v>196</v>
      </c>
      <c r="E31" s="16">
        <v>899</v>
      </c>
      <c r="F31" s="18" t="s">
        <v>152</v>
      </c>
      <c r="G31" s="18">
        <f>AVERAGE(E31:E44)</f>
        <v>376.75</v>
      </c>
    </row>
    <row r="32" spans="1:7">
      <c r="A32" s="14"/>
      <c r="B32" s="15"/>
      <c r="C32" s="16" t="s">
        <v>195</v>
      </c>
      <c r="D32" s="16" t="s">
        <v>197</v>
      </c>
      <c r="E32" s="16">
        <v>699</v>
      </c>
      <c r="F32" t="s">
        <v>155</v>
      </c>
      <c r="G32">
        <f>MEDIAN(E31:E44)</f>
        <v>314</v>
      </c>
    </row>
    <row r="33" ht="14.8" spans="1:7">
      <c r="A33" s="14"/>
      <c r="B33" s="15"/>
      <c r="C33" s="16" t="s">
        <v>195</v>
      </c>
      <c r="D33" s="26" t="s">
        <v>198</v>
      </c>
      <c r="E33" s="16">
        <v>299</v>
      </c>
      <c r="F33" t="s">
        <v>158</v>
      </c>
      <c r="G33">
        <v>5.24</v>
      </c>
    </row>
    <row r="34" spans="1:5">
      <c r="A34" s="14"/>
      <c r="B34" s="15"/>
      <c r="C34" s="16" t="s">
        <v>185</v>
      </c>
      <c r="D34" s="16" t="s">
        <v>199</v>
      </c>
      <c r="E34" s="16">
        <v>539</v>
      </c>
    </row>
    <row r="35" spans="1:5">
      <c r="A35" s="14"/>
      <c r="B35" s="15"/>
      <c r="C35" s="16" t="s">
        <v>185</v>
      </c>
      <c r="D35" s="16" t="s">
        <v>200</v>
      </c>
      <c r="E35" s="16">
        <v>399</v>
      </c>
    </row>
    <row r="36" spans="1:5">
      <c r="A36" s="14"/>
      <c r="B36" s="15"/>
      <c r="C36" s="16" t="s">
        <v>201</v>
      </c>
      <c r="D36" s="16" t="s">
        <v>202</v>
      </c>
      <c r="E36" s="16" t="s">
        <v>103</v>
      </c>
    </row>
    <row r="37" ht="14.8" spans="1:5">
      <c r="A37" s="14"/>
      <c r="B37" s="15"/>
      <c r="C37" s="16" t="s">
        <v>166</v>
      </c>
      <c r="D37" s="26" t="s">
        <v>203</v>
      </c>
      <c r="E37" s="16">
        <v>329</v>
      </c>
    </row>
    <row r="38" spans="1:5">
      <c r="A38" s="14"/>
      <c r="B38" s="15"/>
      <c r="C38" s="16" t="s">
        <v>166</v>
      </c>
      <c r="D38" s="16" t="s">
        <v>204</v>
      </c>
      <c r="E38" s="16">
        <v>369</v>
      </c>
    </row>
    <row r="39" spans="1:5">
      <c r="A39" s="14"/>
      <c r="B39" s="15"/>
      <c r="C39" s="16" t="s">
        <v>205</v>
      </c>
      <c r="D39" s="16" t="s">
        <v>206</v>
      </c>
      <c r="E39" s="16">
        <v>232</v>
      </c>
    </row>
    <row r="40" spans="1:5">
      <c r="A40" s="14"/>
      <c r="B40" s="15"/>
      <c r="C40" s="16" t="s">
        <v>207</v>
      </c>
      <c r="D40" s="16" t="s">
        <v>208</v>
      </c>
      <c r="E40" s="16">
        <v>129</v>
      </c>
    </row>
    <row r="41" spans="1:5">
      <c r="A41" s="14"/>
      <c r="B41" s="15"/>
      <c r="C41" s="16" t="s">
        <v>150</v>
      </c>
      <c r="D41" s="16" t="s">
        <v>209</v>
      </c>
      <c r="E41" s="16">
        <v>169</v>
      </c>
    </row>
    <row r="42" spans="1:5">
      <c r="A42" s="14"/>
      <c r="B42" s="15"/>
      <c r="C42" s="16" t="s">
        <v>150</v>
      </c>
      <c r="D42" s="16" t="s">
        <v>210</v>
      </c>
      <c r="E42" s="16">
        <v>269</v>
      </c>
    </row>
    <row r="43" spans="1:5">
      <c r="A43" s="14"/>
      <c r="B43" s="15" t="s">
        <v>211</v>
      </c>
      <c r="C43" s="16" t="s">
        <v>162</v>
      </c>
      <c r="D43" s="16" t="s">
        <v>212</v>
      </c>
      <c r="E43" s="16" t="s">
        <v>103</v>
      </c>
    </row>
    <row r="44" spans="1:5">
      <c r="A44" s="14"/>
      <c r="B44" s="15"/>
      <c r="C44" s="16" t="s">
        <v>207</v>
      </c>
      <c r="D44" s="16" t="s">
        <v>213</v>
      </c>
      <c r="E44" s="16">
        <v>189</v>
      </c>
    </row>
    <row r="45" spans="1:5">
      <c r="A45" s="21"/>
      <c r="B45" s="21"/>
      <c r="C45" s="21"/>
      <c r="D45" s="21"/>
      <c r="E45" s="21"/>
    </row>
    <row r="46" spans="1:7">
      <c r="A46" s="14" t="s">
        <v>76</v>
      </c>
      <c r="B46" s="14" t="s">
        <v>214</v>
      </c>
      <c r="C46" s="16" t="s">
        <v>172</v>
      </c>
      <c r="D46" s="16" t="s">
        <v>215</v>
      </c>
      <c r="E46" s="16">
        <v>138</v>
      </c>
      <c r="F46" s="18" t="s">
        <v>152</v>
      </c>
      <c r="G46" s="18">
        <f>AVERAGE(E46:E50)</f>
        <v>98.6</v>
      </c>
    </row>
    <row r="47" spans="1:7">
      <c r="A47" s="14"/>
      <c r="B47" s="14"/>
      <c r="C47" s="16" t="s">
        <v>172</v>
      </c>
      <c r="D47" s="16" t="s">
        <v>216</v>
      </c>
      <c r="E47" s="16">
        <v>99</v>
      </c>
      <c r="F47" t="s">
        <v>155</v>
      </c>
      <c r="G47">
        <f>MEDIAN(E46:E50)</f>
        <v>98</v>
      </c>
    </row>
    <row r="48" spans="1:7">
      <c r="A48" s="14"/>
      <c r="B48" s="14"/>
      <c r="C48" s="16" t="s">
        <v>172</v>
      </c>
      <c r="D48" s="16" t="s">
        <v>217</v>
      </c>
      <c r="E48" s="16">
        <v>69</v>
      </c>
      <c r="F48" t="s">
        <v>158</v>
      </c>
      <c r="G48">
        <v>2.36</v>
      </c>
    </row>
    <row r="49" spans="1:5">
      <c r="A49" s="14"/>
      <c r="B49" s="14"/>
      <c r="C49" s="16" t="s">
        <v>207</v>
      </c>
      <c r="D49" s="16" t="s">
        <v>218</v>
      </c>
      <c r="E49" s="16">
        <v>89</v>
      </c>
    </row>
    <row r="50" spans="1:5">
      <c r="A50" s="14"/>
      <c r="B50" s="14"/>
      <c r="C50" s="16" t="s">
        <v>205</v>
      </c>
      <c r="D50" s="16" t="s">
        <v>206</v>
      </c>
      <c r="E50" s="16">
        <v>98</v>
      </c>
    </row>
    <row r="51" spans="1:5">
      <c r="A51" s="21"/>
      <c r="B51" s="21"/>
      <c r="C51" s="21"/>
      <c r="D51" s="21"/>
      <c r="E51" s="21"/>
    </row>
    <row r="52" spans="1:7">
      <c r="A52" s="14" t="s">
        <v>219</v>
      </c>
      <c r="B52" s="15" t="s">
        <v>220</v>
      </c>
      <c r="C52" s="16" t="s">
        <v>221</v>
      </c>
      <c r="D52" s="16" t="s">
        <v>222</v>
      </c>
      <c r="E52" s="16">
        <v>130</v>
      </c>
      <c r="F52" s="18" t="s">
        <v>152</v>
      </c>
      <c r="G52" s="18">
        <f>AVERAGE(E52:E55)</f>
        <v>111.75</v>
      </c>
    </row>
    <row r="53" spans="1:7">
      <c r="A53" s="14"/>
      <c r="B53" s="15"/>
      <c r="C53" s="16" t="s">
        <v>223</v>
      </c>
      <c r="D53" s="16" t="s">
        <v>224</v>
      </c>
      <c r="E53" s="16">
        <v>59</v>
      </c>
      <c r="F53" t="s">
        <v>155</v>
      </c>
      <c r="G53">
        <f>MEDIAN(E52:E55)</f>
        <v>94.5</v>
      </c>
    </row>
    <row r="54" spans="1:5">
      <c r="A54" s="14"/>
      <c r="B54" s="15" t="s">
        <v>225</v>
      </c>
      <c r="C54" s="16" t="s">
        <v>226</v>
      </c>
      <c r="D54" s="16" t="s">
        <v>227</v>
      </c>
      <c r="E54" s="16">
        <v>59</v>
      </c>
    </row>
    <row r="55" spans="1:5">
      <c r="A55" s="14"/>
      <c r="B55" s="15"/>
      <c r="C55" s="16" t="s">
        <v>228</v>
      </c>
      <c r="D55" s="16" t="s">
        <v>229</v>
      </c>
      <c r="E55" s="16">
        <v>199</v>
      </c>
    </row>
    <row r="56" spans="1:5">
      <c r="A56" s="21"/>
      <c r="B56" s="21"/>
      <c r="C56" s="21"/>
      <c r="D56" s="21"/>
      <c r="E56" s="21"/>
    </row>
    <row r="57" spans="1:5">
      <c r="A57" t="s">
        <v>230</v>
      </c>
      <c r="B57" t="s">
        <v>231</v>
      </c>
      <c r="C57" t="s">
        <v>156</v>
      </c>
      <c r="D57" t="s">
        <v>232</v>
      </c>
      <c r="E57">
        <v>199</v>
      </c>
    </row>
    <row r="58" spans="3:5">
      <c r="C58" t="s">
        <v>233</v>
      </c>
      <c r="D58" t="s">
        <v>234</v>
      </c>
      <c r="E58">
        <v>99</v>
      </c>
    </row>
    <row r="59" spans="3:5">
      <c r="C59" t="s">
        <v>235</v>
      </c>
      <c r="D59" t="s">
        <v>236</v>
      </c>
      <c r="E59">
        <v>169</v>
      </c>
    </row>
    <row r="60" spans="2:5">
      <c r="B60" t="s">
        <v>237</v>
      </c>
      <c r="C60" t="s">
        <v>238</v>
      </c>
      <c r="D60" t="s">
        <v>239</v>
      </c>
      <c r="E60">
        <v>699</v>
      </c>
    </row>
    <row r="61" spans="3:5">
      <c r="C61" t="s">
        <v>238</v>
      </c>
      <c r="D61" t="s">
        <v>240</v>
      </c>
      <c r="E61">
        <v>1099</v>
      </c>
    </row>
    <row r="62" spans="1:5">
      <c r="A62" s="21"/>
      <c r="B62" s="21"/>
      <c r="C62" s="21"/>
      <c r="D62" s="21"/>
      <c r="E62" s="21"/>
    </row>
    <row r="63" spans="1:5">
      <c r="A63" t="s">
        <v>88</v>
      </c>
      <c r="B63" t="s">
        <v>241</v>
      </c>
      <c r="C63" t="s">
        <v>242</v>
      </c>
      <c r="D63" t="s">
        <v>243</v>
      </c>
      <c r="E63">
        <v>249</v>
      </c>
    </row>
    <row r="64" spans="1:5">
      <c r="A64" s="21"/>
      <c r="B64" s="21"/>
      <c r="C64" s="21"/>
      <c r="D64" s="21"/>
      <c r="E64" s="21"/>
    </row>
    <row r="65" spans="1:5">
      <c r="A65" t="s">
        <v>85</v>
      </c>
      <c r="B65" t="s">
        <v>244</v>
      </c>
      <c r="C65" t="s">
        <v>156</v>
      </c>
      <c r="D65" t="s">
        <v>245</v>
      </c>
      <c r="E65">
        <v>218</v>
      </c>
    </row>
    <row r="66" spans="3:5">
      <c r="C66" t="s">
        <v>156</v>
      </c>
      <c r="D66" t="s">
        <v>246</v>
      </c>
      <c r="E66">
        <v>238</v>
      </c>
    </row>
    <row r="67" spans="2:5">
      <c r="B67" t="s">
        <v>247</v>
      </c>
      <c r="C67" t="s">
        <v>248</v>
      </c>
      <c r="D67" t="s">
        <v>249</v>
      </c>
      <c r="E67">
        <v>489</v>
      </c>
    </row>
    <row r="68" spans="2:5">
      <c r="B68" t="s">
        <v>250</v>
      </c>
      <c r="C68" t="s">
        <v>251</v>
      </c>
      <c r="D68" t="s">
        <v>252</v>
      </c>
      <c r="E68">
        <v>999</v>
      </c>
    </row>
    <row r="69" spans="3:5">
      <c r="C69" t="s">
        <v>156</v>
      </c>
      <c r="D69" t="s">
        <v>253</v>
      </c>
      <c r="E69">
        <v>1466</v>
      </c>
    </row>
  </sheetData>
  <autoFilter ref="C2:D44"/>
  <sortState ref="C28:D31">
    <sortCondition ref="C28"/>
  </sortState>
  <mergeCells count="10">
    <mergeCell ref="A3:A44"/>
    <mergeCell ref="A46:A50"/>
    <mergeCell ref="A52:A55"/>
    <mergeCell ref="B3:B26"/>
    <mergeCell ref="B27:B30"/>
    <mergeCell ref="B31:B42"/>
    <mergeCell ref="B43:B44"/>
    <mergeCell ref="B46:B50"/>
    <mergeCell ref="B52:B53"/>
    <mergeCell ref="B54:B55"/>
  </mergeCells>
  <hyperlinks>
    <hyperlink ref="D33" r:id="rId1" display="Stylish双动圈颈挂蓝牙耳机" tooltip="https://mp.weixin.qq.com/s/9J983iCygXO6c6IIvmXlog"/>
    <hyperlink ref="D37" r:id="rId2" display="FlyPods青春版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7"/>
  <sheetViews>
    <sheetView zoomScale="98" zoomScaleNormal="98" workbookViewId="0">
      <selection activeCell="B10" sqref="B10:H16"/>
    </sheetView>
  </sheetViews>
  <sheetFormatPr defaultColWidth="9" defaultRowHeight="14"/>
  <cols>
    <col min="1" max="1" width="17.3125" customWidth="1"/>
    <col min="2" max="2" width="9.5"/>
    <col min="3" max="4" width="12.6875"/>
    <col min="5" max="5" width="9.5"/>
    <col min="8" max="8" width="12.6875"/>
  </cols>
  <sheetData>
    <row r="1" spans="1:2">
      <c r="A1" t="s">
        <v>0</v>
      </c>
      <c r="B1" s="21" t="s">
        <v>1</v>
      </c>
    </row>
    <row r="2" spans="2:9">
      <c r="B2" s="22" t="s">
        <v>2</v>
      </c>
      <c r="C2" s="22">
        <v>2016</v>
      </c>
      <c r="D2" s="22">
        <v>2017</v>
      </c>
      <c r="E2" s="22">
        <v>2018</v>
      </c>
      <c r="F2" s="22">
        <v>2019</v>
      </c>
      <c r="G2" s="22" t="s">
        <v>3</v>
      </c>
      <c r="H2" s="22" t="s">
        <v>4</v>
      </c>
      <c r="I2" s="22"/>
    </row>
    <row r="3" spans="2:8">
      <c r="B3" t="s">
        <v>254</v>
      </c>
      <c r="C3">
        <v>918</v>
      </c>
      <c r="D3">
        <v>2000</v>
      </c>
      <c r="E3">
        <v>4600</v>
      </c>
      <c r="F3">
        <v>12900</v>
      </c>
      <c r="G3">
        <v>18500</v>
      </c>
      <c r="H3">
        <v>30000</v>
      </c>
    </row>
    <row r="4" spans="2:8">
      <c r="B4" t="s">
        <v>255</v>
      </c>
      <c r="C4">
        <v>0</v>
      </c>
      <c r="D4">
        <v>0</v>
      </c>
      <c r="E4">
        <f>E5-E3</f>
        <v>10400</v>
      </c>
      <c r="F4">
        <f>F5-F3</f>
        <v>18600</v>
      </c>
      <c r="G4">
        <f>G5-G3</f>
        <v>22000</v>
      </c>
      <c r="H4">
        <f>H5-H3</f>
        <v>32500</v>
      </c>
    </row>
    <row r="5" spans="2:8">
      <c r="B5" t="s">
        <v>256</v>
      </c>
      <c r="C5">
        <v>918</v>
      </c>
      <c r="D5">
        <v>2000</v>
      </c>
      <c r="E5">
        <v>15000</v>
      </c>
      <c r="F5">
        <v>31500</v>
      </c>
      <c r="G5">
        <v>40500</v>
      </c>
      <c r="H5">
        <v>62500</v>
      </c>
    </row>
    <row r="6" spans="2:8">
      <c r="B6" t="s">
        <v>257</v>
      </c>
      <c r="D6" s="1">
        <f>D3/C3-1</f>
        <v>1.17864923747277</v>
      </c>
      <c r="E6" s="1">
        <f>E3/D3-1</f>
        <v>1.3</v>
      </c>
      <c r="F6" s="1">
        <f>F3/E3-1</f>
        <v>1.80434782608696</v>
      </c>
      <c r="G6" s="1">
        <f>G3/F3-1</f>
        <v>0.434108527131783</v>
      </c>
      <c r="H6" s="1">
        <f>H3/G3-1</f>
        <v>0.621621621621622</v>
      </c>
    </row>
    <row r="7" spans="2:8">
      <c r="B7" t="s">
        <v>258</v>
      </c>
      <c r="D7" s="1"/>
      <c r="E7" s="1"/>
      <c r="F7" s="1">
        <f>F4/E4-1</f>
        <v>0.788461538461539</v>
      </c>
      <c r="G7" s="1">
        <f>G4/F4-1</f>
        <v>0.182795698924731</v>
      </c>
      <c r="H7" s="1">
        <f>H4/G4-1</f>
        <v>0.477272727272727</v>
      </c>
    </row>
    <row r="9" spans="1:2">
      <c r="A9" t="s">
        <v>0</v>
      </c>
      <c r="B9" t="s">
        <v>1</v>
      </c>
    </row>
    <row r="10" spans="2:8">
      <c r="B10" t="s">
        <v>2</v>
      </c>
      <c r="C10">
        <v>2016</v>
      </c>
      <c r="D10">
        <v>2017</v>
      </c>
      <c r="E10">
        <v>2018</v>
      </c>
      <c r="F10">
        <v>2019</v>
      </c>
      <c r="G10" t="s">
        <v>3</v>
      </c>
      <c r="H10" t="s">
        <v>4</v>
      </c>
    </row>
    <row r="11" spans="2:10">
      <c r="B11" t="s">
        <v>254</v>
      </c>
      <c r="C11">
        <v>918</v>
      </c>
      <c r="D11">
        <v>2000</v>
      </c>
      <c r="E11">
        <v>4600</v>
      </c>
      <c r="F11">
        <v>12900</v>
      </c>
      <c r="G11">
        <v>18500</v>
      </c>
      <c r="H11">
        <v>30000</v>
      </c>
      <c r="J11" s="25">
        <v>0.65</v>
      </c>
    </row>
    <row r="12" spans="2:8">
      <c r="B12" t="s">
        <v>255</v>
      </c>
      <c r="C12">
        <v>0</v>
      </c>
      <c r="D12">
        <v>0</v>
      </c>
      <c r="E12">
        <v>10400</v>
      </c>
      <c r="F12">
        <v>18600</v>
      </c>
      <c r="G12">
        <v>22000</v>
      </c>
      <c r="H12">
        <v>32500</v>
      </c>
    </row>
    <row r="13" spans="2:8">
      <c r="B13" t="s">
        <v>257</v>
      </c>
      <c r="D13" s="1">
        <v>1.17864923747277</v>
      </c>
      <c r="E13" s="1">
        <v>1.3</v>
      </c>
      <c r="F13" s="1">
        <v>1.80434782608696</v>
      </c>
      <c r="G13" s="1">
        <v>0.434108527131783</v>
      </c>
      <c r="H13" s="1">
        <v>0.621621621621622</v>
      </c>
    </row>
    <row r="14" spans="2:8">
      <c r="B14" t="s">
        <v>258</v>
      </c>
      <c r="D14" s="1"/>
      <c r="E14" s="1"/>
      <c r="F14" s="1">
        <v>0.788461538461539</v>
      </c>
      <c r="G14" s="1">
        <v>0.182795698924731</v>
      </c>
      <c r="H14" s="1">
        <v>0.477272727272727</v>
      </c>
    </row>
    <row r="15" spans="2:8">
      <c r="B15" t="s">
        <v>15</v>
      </c>
      <c r="E15">
        <v>2600</v>
      </c>
      <c r="F15">
        <v>5500</v>
      </c>
      <c r="G15">
        <v>9300</v>
      </c>
      <c r="H15">
        <v>12400</v>
      </c>
    </row>
    <row r="16" spans="2:8">
      <c r="B16" t="s">
        <v>259</v>
      </c>
      <c r="G16">
        <f>G12+G11-G15</f>
        <v>31200</v>
      </c>
      <c r="H16">
        <f>H12+H11-H15</f>
        <v>50100</v>
      </c>
    </row>
    <row r="17" spans="8:8">
      <c r="H17">
        <f>H16/G16</f>
        <v>1.60576923076923</v>
      </c>
    </row>
    <row r="19" spans="1:1">
      <c r="A19" t="s">
        <v>260</v>
      </c>
    </row>
    <row r="20" spans="1:5">
      <c r="A20" t="s">
        <v>2</v>
      </c>
      <c r="B20" t="s">
        <v>120</v>
      </c>
      <c r="C20" t="s">
        <v>92</v>
      </c>
      <c r="D20" t="s">
        <v>2</v>
      </c>
      <c r="E20" t="s">
        <v>261</v>
      </c>
    </row>
    <row r="21" spans="1:5">
      <c r="A21">
        <v>2017</v>
      </c>
      <c r="B21">
        <v>4493.67</v>
      </c>
      <c r="D21">
        <v>2017</v>
      </c>
      <c r="E21" s="24">
        <v>0.5314</v>
      </c>
    </row>
    <row r="22" spans="1:5">
      <c r="A22">
        <v>2018</v>
      </c>
      <c r="B22">
        <v>8724.02</v>
      </c>
      <c r="C22" s="23">
        <f>B22/B21-1</f>
        <v>0.941402016614482</v>
      </c>
      <c r="D22">
        <v>2018</v>
      </c>
      <c r="E22" s="24">
        <v>0.2648</v>
      </c>
    </row>
    <row r="23" spans="1:5">
      <c r="A23">
        <v>2019</v>
      </c>
      <c r="B23">
        <v>13236.29</v>
      </c>
      <c r="C23" s="23">
        <f>B23/B22-1</f>
        <v>0.51722371108732</v>
      </c>
      <c r="D23">
        <v>2019</v>
      </c>
      <c r="E23" s="24">
        <v>0.204</v>
      </c>
    </row>
    <row r="24" spans="1:5">
      <c r="A24" t="s">
        <v>262</v>
      </c>
      <c r="B24">
        <v>12647.02</v>
      </c>
      <c r="C24" s="23">
        <f>B24/B25-1</f>
        <v>0.320832080074861</v>
      </c>
      <c r="D24" t="s">
        <v>262</v>
      </c>
      <c r="E24" s="24">
        <v>0.1889</v>
      </c>
    </row>
    <row r="25" spans="2:2">
      <c r="B25">
        <v>9575.04</v>
      </c>
    </row>
    <row r="28" spans="1:1">
      <c r="A28" t="s">
        <v>263</v>
      </c>
    </row>
    <row r="29" spans="1:4">
      <c r="A29" t="s">
        <v>2</v>
      </c>
      <c r="B29" t="s">
        <v>264</v>
      </c>
      <c r="C29" t="s">
        <v>133</v>
      </c>
      <c r="D29" t="s">
        <v>265</v>
      </c>
    </row>
    <row r="30" spans="1:3">
      <c r="A30">
        <v>2017</v>
      </c>
      <c r="B30">
        <v>8456.57</v>
      </c>
      <c r="C30">
        <v>-14359.6</v>
      </c>
    </row>
    <row r="31" spans="1:4">
      <c r="A31">
        <v>2018</v>
      </c>
      <c r="B31">
        <v>32995.56</v>
      </c>
      <c r="C31">
        <v>177.04</v>
      </c>
      <c r="D31" s="23">
        <f>B31/B30-1</f>
        <v>2.90176631896857</v>
      </c>
    </row>
    <row r="32" spans="1:4">
      <c r="A32">
        <v>2019</v>
      </c>
      <c r="B32">
        <v>64884.16</v>
      </c>
      <c r="C32">
        <v>6737.88</v>
      </c>
      <c r="D32" s="23">
        <f>B32/B31-1</f>
        <v>0.966451243743098</v>
      </c>
    </row>
    <row r="33" spans="1:4">
      <c r="A33" t="s">
        <v>262</v>
      </c>
      <c r="B33">
        <v>66925.07</v>
      </c>
      <c r="C33">
        <v>11700.13</v>
      </c>
      <c r="D33" s="24">
        <v>0.4041</v>
      </c>
    </row>
    <row r="35" spans="1:4">
      <c r="A35" t="s">
        <v>266</v>
      </c>
      <c r="B35" t="s">
        <v>267</v>
      </c>
      <c r="C35" t="s">
        <v>268</v>
      </c>
      <c r="D35" t="s">
        <v>269</v>
      </c>
    </row>
    <row r="36" spans="1:5">
      <c r="A36">
        <v>2017</v>
      </c>
      <c r="B36">
        <v>7060.43</v>
      </c>
      <c r="C36">
        <v>0</v>
      </c>
      <c r="D36">
        <v>1396.14</v>
      </c>
      <c r="E36">
        <f>SUM(B36:D36)</f>
        <v>8456.57</v>
      </c>
    </row>
    <row r="37" spans="1:5">
      <c r="A37">
        <v>2018</v>
      </c>
      <c r="B37">
        <v>21715.72</v>
      </c>
      <c r="C37">
        <v>1907.35</v>
      </c>
      <c r="D37">
        <v>9372.48</v>
      </c>
      <c r="E37">
        <f>SUM(B37:D37)</f>
        <v>32995.55</v>
      </c>
    </row>
    <row r="38" spans="1:5">
      <c r="A38">
        <v>2019</v>
      </c>
      <c r="B38">
        <v>30082.06</v>
      </c>
      <c r="C38">
        <v>23204.83</v>
      </c>
      <c r="D38">
        <v>11597.28</v>
      </c>
      <c r="E38">
        <f>SUM(B38:D38)</f>
        <v>64884.17</v>
      </c>
    </row>
    <row r="39" spans="1:5">
      <c r="A39" t="s">
        <v>270</v>
      </c>
      <c r="B39">
        <v>9753.7</v>
      </c>
      <c r="C39">
        <v>18917.65</v>
      </c>
      <c r="D39">
        <v>4950.5</v>
      </c>
      <c r="E39">
        <f>SUM(B39:D39)</f>
        <v>33621.85</v>
      </c>
    </row>
    <row r="70" spans="2:2">
      <c r="B70" t="s">
        <v>28</v>
      </c>
    </row>
    <row r="71" spans="1:2">
      <c r="A71">
        <v>2017</v>
      </c>
      <c r="B71" s="24">
        <v>0.3922</v>
      </c>
    </row>
    <row r="72" spans="1:2">
      <c r="A72">
        <v>2018</v>
      </c>
      <c r="B72" s="24">
        <v>0.3619</v>
      </c>
    </row>
    <row r="73" spans="1:2">
      <c r="A73">
        <v>2019</v>
      </c>
      <c r="B73" s="24">
        <v>0.3769</v>
      </c>
    </row>
    <row r="74" spans="1:2">
      <c r="A74" t="s">
        <v>262</v>
      </c>
      <c r="B74" s="24">
        <v>0.4152</v>
      </c>
    </row>
    <row r="83" spans="1:4">
      <c r="A83" t="s">
        <v>271</v>
      </c>
      <c r="B83" t="s">
        <v>267</v>
      </c>
      <c r="C83" t="s">
        <v>268</v>
      </c>
      <c r="D83" t="s">
        <v>269</v>
      </c>
    </row>
    <row r="84" spans="1:4">
      <c r="A84">
        <v>2017</v>
      </c>
      <c r="B84" s="24">
        <v>0.4144</v>
      </c>
      <c r="C84">
        <v>0</v>
      </c>
      <c r="D84" s="24">
        <v>0.2799</v>
      </c>
    </row>
    <row r="85" spans="1:4">
      <c r="A85">
        <v>2018</v>
      </c>
      <c r="B85" s="24">
        <v>0.3853</v>
      </c>
      <c r="C85" s="24">
        <v>0.0578</v>
      </c>
      <c r="D85" s="24">
        <v>0.286</v>
      </c>
    </row>
    <row r="86" spans="1:4">
      <c r="A86">
        <v>2019</v>
      </c>
      <c r="B86" s="24">
        <v>0.3534</v>
      </c>
      <c r="C86" s="24">
        <v>0.3576</v>
      </c>
      <c r="D86" s="24">
        <v>0.3049</v>
      </c>
    </row>
    <row r="87" spans="1:4">
      <c r="A87" t="s">
        <v>270</v>
      </c>
      <c r="B87" s="24">
        <v>0.3689</v>
      </c>
      <c r="C87" s="24">
        <v>0.4756</v>
      </c>
      <c r="D87" s="24">
        <v>0.2806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zoomScale="90" zoomScaleNormal="90" workbookViewId="0">
      <selection activeCell="E2" sqref="E2:F33"/>
    </sheetView>
  </sheetViews>
  <sheetFormatPr defaultColWidth="9" defaultRowHeight="14"/>
  <cols>
    <col min="2" max="2" width="20.375" customWidth="1"/>
    <col min="4" max="4" width="25.4375" customWidth="1"/>
    <col min="9" max="9" width="12.6875"/>
  </cols>
  <sheetData>
    <row r="1" spans="1:1">
      <c r="A1" t="s">
        <v>144</v>
      </c>
    </row>
    <row r="2" spans="1:7">
      <c r="A2" t="s">
        <v>72</v>
      </c>
      <c r="B2" t="s">
        <v>145</v>
      </c>
      <c r="C2" t="s">
        <v>146</v>
      </c>
      <c r="D2" t="s">
        <v>147</v>
      </c>
      <c r="E2" t="s">
        <v>272</v>
      </c>
      <c r="F2" t="s">
        <v>148</v>
      </c>
      <c r="G2" t="s">
        <v>272</v>
      </c>
    </row>
    <row r="3" spans="1:7">
      <c r="A3" s="14" t="s">
        <v>273</v>
      </c>
      <c r="B3" s="15" t="s">
        <v>149</v>
      </c>
      <c r="C3" s="16" t="s">
        <v>162</v>
      </c>
      <c r="D3" s="16" t="s">
        <v>165</v>
      </c>
      <c r="E3">
        <v>1</v>
      </c>
      <c r="F3" s="16">
        <v>749</v>
      </c>
      <c r="G3">
        <v>1</v>
      </c>
    </row>
    <row r="4" spans="1:7">
      <c r="A4" s="14"/>
      <c r="B4" s="15"/>
      <c r="C4" s="16" t="s">
        <v>166</v>
      </c>
      <c r="D4" s="16" t="s">
        <v>167</v>
      </c>
      <c r="E4">
        <v>1</v>
      </c>
      <c r="F4" s="16">
        <v>499</v>
      </c>
      <c r="G4">
        <v>1</v>
      </c>
    </row>
    <row r="5" spans="1:7">
      <c r="A5" s="14"/>
      <c r="B5" s="15"/>
      <c r="C5" s="16" t="s">
        <v>185</v>
      </c>
      <c r="D5" s="16" t="s">
        <v>187</v>
      </c>
      <c r="E5">
        <v>1</v>
      </c>
      <c r="F5" s="16">
        <v>899</v>
      </c>
      <c r="G5">
        <v>1</v>
      </c>
    </row>
    <row r="6" spans="1:7">
      <c r="A6" s="14"/>
      <c r="B6" s="15" t="s">
        <v>188</v>
      </c>
      <c r="C6" s="16" t="s">
        <v>174</v>
      </c>
      <c r="D6" s="16" t="s">
        <v>189</v>
      </c>
      <c r="E6">
        <v>1</v>
      </c>
      <c r="F6" s="16">
        <v>149</v>
      </c>
      <c r="G6">
        <v>1</v>
      </c>
    </row>
    <row r="7" spans="1:7">
      <c r="A7" s="14"/>
      <c r="B7" s="15"/>
      <c r="C7" s="16" t="s">
        <v>162</v>
      </c>
      <c r="D7" s="16" t="s">
        <v>190</v>
      </c>
      <c r="E7">
        <v>1</v>
      </c>
      <c r="F7" s="16">
        <v>399</v>
      </c>
      <c r="G7">
        <v>1</v>
      </c>
    </row>
    <row r="8" spans="1:7">
      <c r="A8" s="14"/>
      <c r="B8" s="15"/>
      <c r="C8" s="16" t="s">
        <v>192</v>
      </c>
      <c r="D8" s="16" t="s">
        <v>193</v>
      </c>
      <c r="E8">
        <v>1</v>
      </c>
      <c r="F8" s="16">
        <v>199</v>
      </c>
      <c r="G8">
        <v>1</v>
      </c>
    </row>
    <row r="9" spans="1:9">
      <c r="A9" s="14"/>
      <c r="B9" s="15" t="s">
        <v>194</v>
      </c>
      <c r="C9" s="16" t="s">
        <v>195</v>
      </c>
      <c r="D9" s="16" t="s">
        <v>196</v>
      </c>
      <c r="E9">
        <v>1</v>
      </c>
      <c r="F9" s="16">
        <v>899</v>
      </c>
      <c r="G9">
        <v>1</v>
      </c>
      <c r="H9" s="18" t="s">
        <v>152</v>
      </c>
      <c r="I9" s="18">
        <f>AVERAGE(F9:F13)</f>
        <v>379.6</v>
      </c>
    </row>
    <row r="10" spans="1:7">
      <c r="A10" s="14"/>
      <c r="B10" s="15"/>
      <c r="C10" s="16" t="s">
        <v>166</v>
      </c>
      <c r="D10" s="16" t="s">
        <v>204</v>
      </c>
      <c r="E10">
        <v>1</v>
      </c>
      <c r="F10" s="16">
        <v>369</v>
      </c>
      <c r="G10">
        <v>1</v>
      </c>
    </row>
    <row r="11" spans="1:7">
      <c r="A11" s="14"/>
      <c r="B11" s="15"/>
      <c r="C11" s="16" t="s">
        <v>205</v>
      </c>
      <c r="D11" s="16" t="s">
        <v>206</v>
      </c>
      <c r="E11">
        <v>1</v>
      </c>
      <c r="F11" s="16">
        <v>232</v>
      </c>
      <c r="G11">
        <v>1</v>
      </c>
    </row>
    <row r="12" spans="1:7">
      <c r="A12" s="14"/>
      <c r="B12" s="15"/>
      <c r="C12" s="16" t="s">
        <v>207</v>
      </c>
      <c r="D12" s="16" t="s">
        <v>208</v>
      </c>
      <c r="E12">
        <v>1</v>
      </c>
      <c r="F12" s="16">
        <v>129</v>
      </c>
      <c r="G12">
        <v>1</v>
      </c>
    </row>
    <row r="13" spans="1:7">
      <c r="A13" s="14"/>
      <c r="B13" s="15"/>
      <c r="C13" s="16" t="s">
        <v>150</v>
      </c>
      <c r="D13" s="16" t="s">
        <v>210</v>
      </c>
      <c r="E13">
        <v>1</v>
      </c>
      <c r="F13" s="16">
        <v>269</v>
      </c>
      <c r="G13">
        <v>1</v>
      </c>
    </row>
    <row r="14" spans="1:9">
      <c r="A14" s="14" t="s">
        <v>76</v>
      </c>
      <c r="B14" s="14" t="s">
        <v>214</v>
      </c>
      <c r="C14" s="16" t="s">
        <v>172</v>
      </c>
      <c r="D14" s="16" t="s">
        <v>215</v>
      </c>
      <c r="E14">
        <v>2</v>
      </c>
      <c r="F14" s="16">
        <v>138</v>
      </c>
      <c r="G14">
        <v>2</v>
      </c>
      <c r="H14" s="18" t="s">
        <v>152</v>
      </c>
      <c r="I14" s="18">
        <f>AVERAGE(F14:F18)</f>
        <v>98.6</v>
      </c>
    </row>
    <row r="15" spans="1:9">
      <c r="A15" s="14"/>
      <c r="B15" s="14"/>
      <c r="C15" s="16" t="s">
        <v>172</v>
      </c>
      <c r="D15" s="16" t="s">
        <v>216</v>
      </c>
      <c r="E15">
        <v>2</v>
      </c>
      <c r="F15" s="16">
        <v>99</v>
      </c>
      <c r="G15">
        <v>2</v>
      </c>
      <c r="H15" t="s">
        <v>155</v>
      </c>
      <c r="I15">
        <f>MEDIAN(F14:F18)</f>
        <v>98</v>
      </c>
    </row>
    <row r="16" spans="1:9">
      <c r="A16" s="14"/>
      <c r="B16" s="14"/>
      <c r="C16" s="16" t="s">
        <v>172</v>
      </c>
      <c r="D16" s="16" t="s">
        <v>217</v>
      </c>
      <c r="E16">
        <v>2</v>
      </c>
      <c r="F16" s="16">
        <v>69</v>
      </c>
      <c r="G16">
        <v>2</v>
      </c>
      <c r="H16" t="s">
        <v>158</v>
      </c>
      <c r="I16">
        <v>2.36</v>
      </c>
    </row>
    <row r="17" spans="1:7">
      <c r="A17" s="14"/>
      <c r="B17" s="14"/>
      <c r="C17" s="16" t="s">
        <v>207</v>
      </c>
      <c r="D17" s="16" t="s">
        <v>218</v>
      </c>
      <c r="E17">
        <v>2</v>
      </c>
      <c r="F17" s="16">
        <v>89</v>
      </c>
      <c r="G17">
        <v>2</v>
      </c>
    </row>
    <row r="18" spans="1:7">
      <c r="A18" s="14"/>
      <c r="B18" s="14"/>
      <c r="C18" s="16" t="s">
        <v>205</v>
      </c>
      <c r="D18" s="16" t="s">
        <v>206</v>
      </c>
      <c r="E18">
        <v>2</v>
      </c>
      <c r="F18" s="16">
        <v>98</v>
      </c>
      <c r="G18">
        <v>2</v>
      </c>
    </row>
    <row r="19" spans="1:9">
      <c r="A19" s="14" t="s">
        <v>219</v>
      </c>
      <c r="B19" s="15" t="s">
        <v>220</v>
      </c>
      <c r="C19" s="16" t="s">
        <v>221</v>
      </c>
      <c r="D19" s="16" t="s">
        <v>222</v>
      </c>
      <c r="E19">
        <v>3</v>
      </c>
      <c r="F19" s="16">
        <v>130</v>
      </c>
      <c r="G19">
        <v>3</v>
      </c>
      <c r="H19" s="18" t="s">
        <v>152</v>
      </c>
      <c r="I19" s="18">
        <f>AVERAGE(F19:F22)</f>
        <v>111.75</v>
      </c>
    </row>
    <row r="20" spans="1:9">
      <c r="A20" s="14"/>
      <c r="B20" s="15"/>
      <c r="C20" s="16" t="s">
        <v>223</v>
      </c>
      <c r="D20" s="16" t="s">
        <v>224</v>
      </c>
      <c r="E20">
        <v>3</v>
      </c>
      <c r="F20" s="16">
        <v>59</v>
      </c>
      <c r="G20">
        <v>3</v>
      </c>
      <c r="H20" t="s">
        <v>155</v>
      </c>
      <c r="I20">
        <f>MEDIAN(F19:F22)</f>
        <v>94.5</v>
      </c>
    </row>
    <row r="21" spans="1:7">
      <c r="A21" s="14"/>
      <c r="B21" s="15" t="s">
        <v>225</v>
      </c>
      <c r="C21" s="16" t="s">
        <v>226</v>
      </c>
      <c r="D21" s="16" t="s">
        <v>227</v>
      </c>
      <c r="E21">
        <v>3</v>
      </c>
      <c r="F21" s="16">
        <v>59</v>
      </c>
      <c r="G21">
        <v>3</v>
      </c>
    </row>
    <row r="22" spans="1:7">
      <c r="A22" s="14"/>
      <c r="B22" s="15"/>
      <c r="C22" s="16" t="s">
        <v>228</v>
      </c>
      <c r="D22" s="16" t="s">
        <v>229</v>
      </c>
      <c r="E22">
        <v>3</v>
      </c>
      <c r="F22" s="16">
        <v>199</v>
      </c>
      <c r="G22">
        <v>3</v>
      </c>
    </row>
    <row r="23" spans="1:7">
      <c r="A23" s="14" t="s">
        <v>230</v>
      </c>
      <c r="B23" s="14" t="s">
        <v>231</v>
      </c>
      <c r="C23" s="16" t="s">
        <v>156</v>
      </c>
      <c r="D23" s="16" t="s">
        <v>232</v>
      </c>
      <c r="E23">
        <v>4</v>
      </c>
      <c r="F23" s="16">
        <v>199</v>
      </c>
      <c r="G23">
        <v>4</v>
      </c>
    </row>
    <row r="24" spans="1:7">
      <c r="A24" s="14"/>
      <c r="B24" s="14"/>
      <c r="C24" s="16" t="s">
        <v>233</v>
      </c>
      <c r="D24" s="16" t="s">
        <v>234</v>
      </c>
      <c r="E24">
        <v>4</v>
      </c>
      <c r="F24" s="16">
        <v>99</v>
      </c>
      <c r="G24">
        <v>4</v>
      </c>
    </row>
    <row r="25" spans="1:7">
      <c r="A25" s="14"/>
      <c r="B25" s="14"/>
      <c r="C25" s="16" t="s">
        <v>235</v>
      </c>
      <c r="D25" s="16" t="s">
        <v>236</v>
      </c>
      <c r="E25">
        <v>4</v>
      </c>
      <c r="F25" s="16">
        <v>169</v>
      </c>
      <c r="G25">
        <v>4</v>
      </c>
    </row>
    <row r="26" spans="1:7">
      <c r="A26" s="14"/>
      <c r="B26" s="14" t="s">
        <v>237</v>
      </c>
      <c r="C26" s="16" t="s">
        <v>238</v>
      </c>
      <c r="D26" s="16" t="s">
        <v>239</v>
      </c>
      <c r="E26">
        <v>4</v>
      </c>
      <c r="F26" s="16">
        <v>699</v>
      </c>
      <c r="G26">
        <v>4</v>
      </c>
    </row>
    <row r="27" spans="1:7">
      <c r="A27" s="14"/>
      <c r="B27" s="14"/>
      <c r="C27" s="16" t="s">
        <v>238</v>
      </c>
      <c r="D27" s="16" t="s">
        <v>240</v>
      </c>
      <c r="E27">
        <v>4</v>
      </c>
      <c r="F27" s="16">
        <v>1099</v>
      </c>
      <c r="G27">
        <v>4</v>
      </c>
    </row>
    <row r="28" spans="1:7">
      <c r="A28" s="14" t="s">
        <v>88</v>
      </c>
      <c r="B28" s="14" t="s">
        <v>241</v>
      </c>
      <c r="C28" s="14" t="s">
        <v>242</v>
      </c>
      <c r="D28" s="17" t="s">
        <v>243</v>
      </c>
      <c r="E28" s="19">
        <v>5</v>
      </c>
      <c r="F28" s="20">
        <v>249</v>
      </c>
      <c r="G28" s="19">
        <v>5</v>
      </c>
    </row>
    <row r="29" spans="1:7">
      <c r="A29" s="14" t="s">
        <v>85</v>
      </c>
      <c r="B29" s="14" t="s">
        <v>244</v>
      </c>
      <c r="C29" s="16" t="s">
        <v>156</v>
      </c>
      <c r="D29" s="16" t="s">
        <v>245</v>
      </c>
      <c r="E29">
        <v>6</v>
      </c>
      <c r="F29" s="16">
        <v>218</v>
      </c>
      <c r="G29">
        <v>6</v>
      </c>
    </row>
    <row r="30" spans="1:7">
      <c r="A30" s="14"/>
      <c r="B30" s="14"/>
      <c r="C30" s="16" t="s">
        <v>156</v>
      </c>
      <c r="D30" s="16" t="s">
        <v>246</v>
      </c>
      <c r="E30">
        <v>6</v>
      </c>
      <c r="F30" s="16">
        <v>238</v>
      </c>
      <c r="G30">
        <v>6</v>
      </c>
    </row>
    <row r="31" spans="1:7">
      <c r="A31" s="14"/>
      <c r="B31" s="14" t="s">
        <v>247</v>
      </c>
      <c r="C31" s="16" t="s">
        <v>248</v>
      </c>
      <c r="D31" s="16" t="s">
        <v>249</v>
      </c>
      <c r="E31">
        <v>6</v>
      </c>
      <c r="F31" s="16">
        <v>489</v>
      </c>
      <c r="G31">
        <v>6</v>
      </c>
    </row>
    <row r="32" spans="1:7">
      <c r="A32" s="14"/>
      <c r="B32" s="14" t="s">
        <v>250</v>
      </c>
      <c r="C32" s="16" t="s">
        <v>251</v>
      </c>
      <c r="D32" s="16" t="s">
        <v>252</v>
      </c>
      <c r="E32">
        <v>6</v>
      </c>
      <c r="F32" s="16">
        <v>999</v>
      </c>
      <c r="G32">
        <v>6</v>
      </c>
    </row>
    <row r="33" spans="1:7">
      <c r="A33" s="14"/>
      <c r="B33" s="14"/>
      <c r="C33" s="16" t="s">
        <v>156</v>
      </c>
      <c r="D33" s="16" t="s">
        <v>253</v>
      </c>
      <c r="E33">
        <v>6</v>
      </c>
      <c r="F33" s="16">
        <v>1466</v>
      </c>
      <c r="G33">
        <v>6</v>
      </c>
    </row>
  </sheetData>
  <autoFilter ref="C2:D33"/>
  <mergeCells count="15">
    <mergeCell ref="A3:A13"/>
    <mergeCell ref="A14:A18"/>
    <mergeCell ref="A19:A22"/>
    <mergeCell ref="A23:A27"/>
    <mergeCell ref="A29:A33"/>
    <mergeCell ref="B3:B5"/>
    <mergeCell ref="B6:B8"/>
    <mergeCell ref="B9:B13"/>
    <mergeCell ref="B14:B18"/>
    <mergeCell ref="B19:B20"/>
    <mergeCell ref="B21:B22"/>
    <mergeCell ref="B23:B25"/>
    <mergeCell ref="B26:B27"/>
    <mergeCell ref="B29:B30"/>
    <mergeCell ref="B32:B33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A1" sqref="A1:E13"/>
    </sheetView>
  </sheetViews>
  <sheetFormatPr defaultColWidth="9" defaultRowHeight="14" outlineLevelCol="4"/>
  <cols>
    <col min="1" max="1" width="17.6875" customWidth="1"/>
    <col min="2" max="5" width="12.6875"/>
  </cols>
  <sheetData>
    <row r="1" ht="15.2" spans="1:5">
      <c r="A1" s="2" t="s">
        <v>2</v>
      </c>
      <c r="B1" s="2">
        <v>2018</v>
      </c>
      <c r="C1" s="2">
        <v>2019</v>
      </c>
      <c r="D1" s="2" t="s">
        <v>3</v>
      </c>
      <c r="E1" s="2" t="s">
        <v>4</v>
      </c>
    </row>
    <row r="2" ht="15.2" spans="1:5">
      <c r="A2" s="3" t="s">
        <v>274</v>
      </c>
      <c r="B2" s="3">
        <v>15000</v>
      </c>
      <c r="C2" s="3">
        <v>31500</v>
      </c>
      <c r="D2" s="3">
        <v>40500</v>
      </c>
      <c r="E2" s="3">
        <v>62500</v>
      </c>
    </row>
    <row r="3" ht="15.2" spans="1:5">
      <c r="A3" s="4" t="s">
        <v>275</v>
      </c>
      <c r="B3" s="5">
        <v>0.7</v>
      </c>
      <c r="C3" s="6">
        <v>0.65</v>
      </c>
      <c r="D3" s="5">
        <v>0.65</v>
      </c>
      <c r="E3" s="5">
        <v>0.6</v>
      </c>
    </row>
    <row r="4" ht="15.2" spans="1:5">
      <c r="A4" s="3" t="s">
        <v>276</v>
      </c>
      <c r="B4" s="7">
        <v>0.3</v>
      </c>
      <c r="C4" s="7">
        <v>0.35</v>
      </c>
      <c r="D4" s="7">
        <v>0.35</v>
      </c>
      <c r="E4" s="7">
        <v>0.4</v>
      </c>
    </row>
    <row r="5" ht="15.2" spans="1:5">
      <c r="A5" s="4" t="s">
        <v>277</v>
      </c>
      <c r="B5" s="5">
        <v>0.23</v>
      </c>
      <c r="C5" s="5">
        <v>0.28</v>
      </c>
      <c r="D5" s="5">
        <v>0.28</v>
      </c>
      <c r="E5" s="5">
        <v>0.3</v>
      </c>
    </row>
    <row r="6" ht="15.2" spans="1:5">
      <c r="A6" s="4" t="s">
        <v>278</v>
      </c>
      <c r="B6" s="5">
        <v>0.07</v>
      </c>
      <c r="C6" s="5">
        <v>0.07</v>
      </c>
      <c r="D6" s="5">
        <v>0.07</v>
      </c>
      <c r="E6" s="5">
        <v>0.1</v>
      </c>
    </row>
    <row r="7" ht="15.2" spans="1:5">
      <c r="A7" s="3" t="s">
        <v>279</v>
      </c>
      <c r="B7" s="8">
        <v>75</v>
      </c>
      <c r="C7" s="8"/>
      <c r="D7" s="8"/>
      <c r="E7" s="8"/>
    </row>
    <row r="8" ht="15.2" spans="1:5">
      <c r="A8" s="3" t="s">
        <v>280</v>
      </c>
      <c r="B8" s="8">
        <v>300</v>
      </c>
      <c r="C8" s="8"/>
      <c r="D8" s="8"/>
      <c r="E8" s="8"/>
    </row>
    <row r="9" s="1" customFormat="1" ht="15.2" spans="1:5">
      <c r="A9" s="9" t="s">
        <v>281</v>
      </c>
      <c r="B9" s="10">
        <v>800</v>
      </c>
      <c r="C9" s="10"/>
      <c r="D9" s="10"/>
      <c r="E9" s="10"/>
    </row>
    <row r="10" s="1" customFormat="1" ht="15.2" spans="1:5">
      <c r="A10" s="11" t="s">
        <v>282</v>
      </c>
      <c r="B10" s="12">
        <f>B2*B3*$B$7/10000</f>
        <v>78.75</v>
      </c>
      <c r="C10" s="12">
        <f>C2*C3*$B$7/10000</f>
        <v>153.5625</v>
      </c>
      <c r="D10" s="12">
        <f>D2*D3*$B$7/10000</f>
        <v>197.4375</v>
      </c>
      <c r="E10" s="12">
        <f>E2*E3*$B$7/10000</f>
        <v>281.25</v>
      </c>
    </row>
    <row r="11" ht="15.2" spans="1:5">
      <c r="A11" s="9" t="s">
        <v>283</v>
      </c>
      <c r="B11" s="13">
        <f>B2*B5*$B$8/10000</f>
        <v>103.5</v>
      </c>
      <c r="C11" s="13">
        <f>C2*C5*$B$8/10000</f>
        <v>264.6</v>
      </c>
      <c r="D11" s="13">
        <f>D2*D5*$B$8/10000</f>
        <v>340.2</v>
      </c>
      <c r="E11" s="13">
        <f>E2*E5*$B$8/10000</f>
        <v>562.5</v>
      </c>
    </row>
    <row r="12" ht="15.2" spans="1:5">
      <c r="A12" s="11" t="s">
        <v>284</v>
      </c>
      <c r="B12" s="12">
        <f>B2*B6*$B$9/10000</f>
        <v>84</v>
      </c>
      <c r="C12" s="12">
        <f>C2*C6*$B$9/10000</f>
        <v>176.4</v>
      </c>
      <c r="D12" s="12">
        <f>D2*D6*$B$9/10000</f>
        <v>226.8</v>
      </c>
      <c r="E12" s="12">
        <f>E2*E6*$B$9/10000</f>
        <v>500</v>
      </c>
    </row>
    <row r="13" ht="15.2" spans="1:5">
      <c r="A13" s="4" t="s">
        <v>285</v>
      </c>
      <c r="B13" s="4">
        <f>SUM(B10:B12)</f>
        <v>266.25</v>
      </c>
      <c r="C13" s="4">
        <f>SUM(C10:C12)</f>
        <v>594.5625</v>
      </c>
      <c r="D13" s="4">
        <f>SUM(D10:D12)</f>
        <v>764.4375</v>
      </c>
      <c r="E13" s="4">
        <f>SUM(E10:E12)</f>
        <v>1343.75</v>
      </c>
    </row>
    <row r="14" spans="2:5">
      <c r="B14" s="1"/>
      <c r="C14" s="1"/>
      <c r="D14" s="1"/>
      <c r="E14" s="1"/>
    </row>
  </sheetData>
  <mergeCells count="3">
    <mergeCell ref="B7:E7"/>
    <mergeCell ref="B8:E8"/>
    <mergeCell ref="B9:E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表格1、计算底稿</vt:lpstr>
      <vt:lpstr>表格2、蓝牙SoC芯片出货量（2020.7月）</vt:lpstr>
      <vt:lpstr>表格3、市面主要TWS产品搭载的芯片</vt:lpstr>
      <vt:lpstr>表格四、tws耳机出货量</vt:lpstr>
      <vt:lpstr>表格3、市面主要TWS产品搭载的芯片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2020-11-05T12:29:00Z</dcterms:created>
  <dcterms:modified xsi:type="dcterms:W3CDTF">2021-01-14T17:27:10Z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