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60" windowHeight="11740" firstSheet="17" activeTab="18"/>
  </bookViews>
  <sheets>
    <sheet name="碳化硅晶圆格局" sheetId="1" r:id="rId1"/>
    <sheet name="碳化硅国内产能" sheetId="2" r:id="rId2"/>
    <sheet name="碳化硅出货相关公告" sheetId="3" r:id="rId3"/>
    <sheet name="公司2020H1营收" sheetId="4" r:id="rId4"/>
    <sheet name="碳化硅技术团队人员" sheetId="5" r:id="rId5"/>
    <sheet name="已攻克碳化硅技术" sheetId="6" r:id="rId6"/>
    <sheet name="营收分析" sheetId="7" r:id="rId7"/>
    <sheet name="净利润分析" sheetId="8" r:id="rId8"/>
    <sheet name="毛利率、净利率" sheetId="9" r:id="rId9"/>
    <sheet name="公司合作方" sheetId="10" r:id="rId10"/>
    <sheet name="公司在手合同" sheetId="11" r:id="rId11"/>
    <sheet name="募投项目计划" sheetId="12" r:id="rId12"/>
    <sheet name="碳化硅衬底产能计划" sheetId="13" r:id="rId13"/>
    <sheet name="潜在客户" sheetId="14" r:id="rId14"/>
    <sheet name="营收预测" sheetId="15" r:id="rId15"/>
    <sheet name="营收预测2" sheetId="16" r:id="rId16"/>
    <sheet name="公司盈利预测底稿" sheetId="17" r:id="rId17"/>
    <sheet name="盈利预测2" sheetId="18" r:id="rId18"/>
    <sheet name="Sheet21" sheetId="19" r:id="rId19"/>
    <sheet name="Sheet22" sheetId="20" r:id="rId20"/>
  </sheets>
  <calcPr calcId="144525"/>
</workbook>
</file>

<file path=xl/sharedStrings.xml><?xml version="1.0" encoding="utf-8"?>
<sst xmlns="http://schemas.openxmlformats.org/spreadsheetml/2006/main" count="278">
  <si>
    <t>碳化硅晶圆生产竞争格局</t>
  </si>
  <si>
    <t>厂商</t>
  </si>
  <si>
    <t>市占率</t>
  </si>
  <si>
    <t>科睿</t>
  </si>
  <si>
    <t>CR5</t>
  </si>
  <si>
    <t>II-VI</t>
  </si>
  <si>
    <t>SiCrystal-罗姆</t>
  </si>
  <si>
    <t>Dow</t>
  </si>
  <si>
    <t>Showa Denko</t>
  </si>
  <si>
    <t>Norstel</t>
  </si>
  <si>
    <t>天科合达</t>
  </si>
  <si>
    <t>山东天岳</t>
  </si>
  <si>
    <t>其他</t>
  </si>
  <si>
    <t>碳化硅国内产能</t>
  </si>
  <si>
    <t>类型</t>
  </si>
  <si>
    <t>是否绝缘</t>
  </si>
  <si>
    <t>产能（万片/年）</t>
  </si>
  <si>
    <t>SiC衬底</t>
  </si>
  <si>
    <t>导电型</t>
  </si>
  <si>
    <t>半绝缘</t>
  </si>
  <si>
    <t>SiC衬底GaN外延片</t>
  </si>
  <si>
    <t>晶片</t>
  </si>
  <si>
    <t>器件</t>
  </si>
  <si>
    <t>公司</t>
  </si>
  <si>
    <t>公告时间</t>
  </si>
  <si>
    <t>公告内容</t>
  </si>
  <si>
    <t>晶盛机电</t>
  </si>
  <si>
    <t>2020.9.16</t>
  </si>
  <si>
    <t>公开披露已实现碳化硅单晶炉的销售。
而6英寸碳化硅外延设备，兼容4寸和6寸碳化硅外延生长。
在客户处4寸工艺验证通过，正在进行6寸工艺验证。</t>
  </si>
  <si>
    <t>2020.7.14</t>
  </si>
  <si>
    <t>根据公开招股书，现碳化硅单晶生长炉年产能为300台，
大部分用于自用与少部分外销，2019年单晶生长炉产能利用率达93%。</t>
  </si>
  <si>
    <t>露笑科技</t>
  </si>
  <si>
    <t>2019.8
2019.11
2020.10
2020.12</t>
  </si>
  <si>
    <t>2019年8月，全资子公司露笑蓝宝石有限公司与国宏中宇签订《碳化硅长晶成套设备定制合同》，合同总金额1.26亿元人民币。
2019年11月，露笑科技将为国宏中宇主导的碳化硅产业化项目定制约200台碳化硅长晶炉，设备总采购金额约3亿元。
公司首批22台套升华法碳化硅长晶炉已经完成设备性能验收交付使用，截至目前，露笑蓝宝石向国宏中宇交付的长晶设备使用情况良好，已长出合格晶体。
2020年10月22日，公司签约为国宏中能提供60套碳化硅长晶炉成套设备。合同总金额9,600万元人民币，
2020年12月8日，公司与关联方合肥露笑签订了《6英寸碳化硅长晶成套设备定制合同》，合同总金额51,000万元人民币。</t>
  </si>
  <si>
    <t>京运通</t>
  </si>
  <si>
    <t>2020.9.29</t>
  </si>
  <si>
    <t>在互动平台回答投资者提问称，
公司高端装备事业部研发的碳化硅炉可用于生产碳化硅晶体，但目前所占营收比例很小。</t>
  </si>
  <si>
    <t>北方华创</t>
  </si>
  <si>
    <t>2020.9.15</t>
  </si>
  <si>
    <t>公司可以提供第三代半导体相关设备，其中碳化硅方面，
可以提供长晶炉、外延炉、刻蚀、高温退火、氧化、PVD、清洗机等设备，
氮化镓方面可以提供刻蚀、PECVD、清洗机等设备，与2020年中开始批量出货。</t>
  </si>
  <si>
    <t>本报告期</t>
  </si>
  <si>
    <t>金额</t>
  </si>
  <si>
    <t>占营业收入比重</t>
  </si>
  <si>
    <t>营业收入合计</t>
  </si>
  <si>
    <t>分行业</t>
  </si>
  <si>
    <t>工业制造</t>
  </si>
  <si>
    <t>光伏行业</t>
  </si>
  <si>
    <t>新能源汽车</t>
  </si>
  <si>
    <t>其他业务</t>
  </si>
  <si>
    <t>分产品</t>
  </si>
  <si>
    <t>漆包线</t>
  </si>
  <si>
    <t>光伏发电</t>
  </si>
  <si>
    <t>长晶设备</t>
  </si>
  <si>
    <t>分地区</t>
  </si>
  <si>
    <t>国内</t>
  </si>
  <si>
    <t>国外</t>
  </si>
  <si>
    <t>序号</t>
  </si>
  <si>
    <t>姓名</t>
  </si>
  <si>
    <t>性别</t>
  </si>
  <si>
    <t>年龄</t>
  </si>
  <si>
    <t>职称/职务</t>
  </si>
  <si>
    <t>学历</t>
  </si>
  <si>
    <t>岗位</t>
  </si>
  <si>
    <t>杨为佑</t>
  </si>
  <si>
    <t>男</t>
  </si>
  <si>
    <t>宁波工程学院教授，博导，乌克兰工程院外籍院士，“第三代半导体低维材料与器件”浙江省高校高水平创新团队负责人。</t>
  </si>
  <si>
    <t>博士</t>
  </si>
  <si>
    <t>高级顾问</t>
  </si>
  <si>
    <t>王晓亮</t>
  </si>
  <si>
    <t>中国科学院半导体研究所研究员，博导，中科院研究生院教授，长期从事化合物半导体材料及器件的研发工作。中国电子学会理事；中国电子学会半导体与集成技术分会秘书长。</t>
  </si>
  <si>
    <t>陈之战</t>
  </si>
  <si>
    <t>长期在中科院上海硅酸盐研究所工作，上海师范大学研究员、教授。争取碳化硅国家专项研发经费上亿元，是国内率先开展碳化硅晶体生长、加工研究第一人。建设了国内第一条完整的碳化硅晶体生长和加工中试线，曾任北京世纪金光技术总监。</t>
  </si>
  <si>
    <t>首席科学家</t>
  </si>
  <si>
    <t>陈义</t>
  </si>
  <si>
    <t>女</t>
  </si>
  <si>
    <t>日本京都工艺纤维大学博士，京都大学博士后特别研究员，承担京都大学与日本DENSO基础研究所的共同研究项目4H-SiC超精细同质外延选择性生长，首次成功地实现了在4H-SiC衬底上4H-SiC的台式结构和镶崁式结构超精细选择性生长，被评价为4H-SiC选择性生长方向的先驱技术。</t>
  </si>
  <si>
    <t>碳化硅外延技术总监</t>
  </si>
  <si>
    <t>李祥彪</t>
  </si>
  <si>
    <t>中科院上海硅酸盐研究所博士，南通大学副教授。长期从事SiC衬底材料的加工技术和测试方法研究。曾供职于北京世纪金光，任加工技术负责人。</t>
  </si>
  <si>
    <t>碳化硅晶体加工总监</t>
  </si>
  <si>
    <t>储耀卿</t>
  </si>
  <si>
    <t>东华大学博士，上海应用技术大学高级工程师。先后任职于中国科学院上海硅酸研究所，从事碳化硅晶体生长研究开发工作，先后合成了满足要求的高纯碳化硅粉料，全面掌握了碳化硅晶体生长工艺技术，先后研发出2、3、4、6英寸碳化硅晶体。</t>
  </si>
  <si>
    <t>碳化硅晶体生长总监</t>
  </si>
  <si>
    <t>廖黎明</t>
  </si>
  <si>
    <t>2016年6月获上海师范大学凝聚态物理硕士学位，研究重点是碳化硅晶体生长的有限元模拟和仿真，在晶体生长工艺参数的优化控制、晶体生长新工艺的开发方面具有非常丰富的经验。</t>
  </si>
  <si>
    <t>硕士</t>
  </si>
  <si>
    <t>晶体生长工艺仿真负责人</t>
  </si>
  <si>
    <t>高萌萌</t>
  </si>
  <si>
    <t>2019年6月获上海师范大学凝聚态物理硕士学位，研究重点是碳化硅材料和器件的测试表征，发表学术论文3篇，有丰富的碳化硅检测表征经验。</t>
  </si>
  <si>
    <t>质量控制总监</t>
  </si>
  <si>
    <t>核心技术突破</t>
  </si>
  <si>
    <t>具体内容</t>
  </si>
  <si>
    <t>6寸石英管式SiC晶体生长炉开发</t>
  </si>
  <si>
    <t>以独特密封结构解决设备高真空度获取与长时间保持的难题，极限真空&lt;2×10-5Pa，具备工程化使用条件。 </t>
  </si>
  <si>
    <t>大尺寸SiC单晶制备理论研究</t>
  </si>
  <si>
    <t>通过计算机模型辅助计算，形成了单晶制备过程物质与热量传输、缺陷演变的基本规律，解决了热场均匀性差、大尺寸单晶应力聚集、单晶扩径难等问题，为 6 寸及以上半绝缘碳化硅晶体的制备打下了坚实基础。 </t>
  </si>
  <si>
    <t>生长控制工艺与产品质量/良率</t>
  </si>
  <si>
    <t>解决晶型生长控制难、微管密度大、晶体背向腐蚀严重等难题，提升了单晶质量，通过长晶过程中的除杂工艺实现了高电阻率晶体生长。 </t>
  </si>
  <si>
    <t>高纯度SiC原料合成</t>
  </si>
  <si>
    <t>原料合成过程中有效降低原料中对电阻率提升有害的特定杂质含量浓度，达到小于1ppm量级。</t>
  </si>
  <si>
    <t>年份</t>
  </si>
  <si>
    <t>2020三季度</t>
  </si>
  <si>
    <t>营业收入</t>
  </si>
  <si>
    <t>增速</t>
  </si>
  <si>
    <t>净利润</t>
  </si>
  <si>
    <t>2020Q3</t>
  </si>
  <si>
    <t>毛利率</t>
  </si>
  <si>
    <t>净利率</t>
  </si>
  <si>
    <t>时间</t>
  </si>
  <si>
    <t>合作主体</t>
  </si>
  <si>
    <t>文件名称</t>
  </si>
  <si>
    <t>核心内容</t>
  </si>
  <si>
    <t>2020年8月8日</t>
  </si>
  <si>
    <t>合肥市长丰县人民政府</t>
  </si>
  <si>
    <t>《合肥市长丰县与露笑科技股份有限公司共同投资建设第三代功率半导体（碳化硅）产业园的战略合作框架协议》</t>
  </si>
  <si>
    <t>公司将与合肥市长丰县人民政府在合肥市长丰县共同投资建设第三代功率半导体（碳化硅）产业园，包括但不限于碳化硅等第三代半导体的研发及产业化项目（以下简称“项目”或“本项目”），包括碳化硅晶体生长、衬底制作、外延生长等的研发生产，项目投资总规模预计100亿元。
合肥市长丰县人民政府为本项目提供优惠政策、资金（包括但不限于股权、债权投资）支持；为本项目提供土地、基础设施配备、用工等保障，对本项目的投资建设及运营提供必要的支持与协助；依法保障公司的合法权益，为项目投资提供便利条件。</t>
  </si>
  <si>
    <t>2019年11月27日</t>
  </si>
  <si>
    <t>中科钢研节能科技有限公司
国宏中宇科技发展有限公司</t>
  </si>
  <si>
    <t>《中科钢研节能科技有限公司与国宏中宇科技发展有限公司与露笑科技股份有限公司碳化硅项目战略合作协议》</t>
  </si>
  <si>
    <t xml:space="preserve">1、依托中科钢研及国宏中宇在碳化硅晶体材料生长工艺技术方面已经取得的与持续产出的研发成果，结合露笑科技的真空晶体生长设备设计技术及丰富的装备制造技术与经验，共同研发适用于中科钢研工艺技术要求的4英寸、6英寸、8英寸乃至更大尺寸级别的碳化硅长晶设备。
2、露笑科技及（或）其控股企业将于2020年前为国宏中宇主导的碳化硅产业化项目定制约200台碳化硅长晶炉，设备总采购金额约3亿元。
3、三方同意共同合作，基于中科钢研及国宏中宇在碳化硅衬底片加工、清洗及检测方面已经取得的与持续产出的研发成果，结合露笑科技在蓝宝石衬底片加工方面的技术积累、产业化生产装备运维经验、产品品质管理与生产组织经验，共同建设碳化硅衬底片加工中心。该加工中心定位于应用最新一代碳化硅衬底片加工技术，主要面对及满足国内外快速增长的6英寸及以上尺寸级别的碳化硅衬底片加工需求，不断提升的衬底片质量与成品率水平。
4、三方将密切合作在高纯半绝缘型碳化硅长晶炉、高纯半绝缘型碳化硅衬底片加工制造、基于高纯半绝缘型碳化硅衬底片的氮化镓外延片制造等方面开展深入合作，以尽快成为5G通讯行业核心关键材料的主要供货企业。
5、露笑科技将为国宏中宇产业化项目生产的SiC衬底片提供业务与技术支持。
6、露笑科技在项目投融资与国宏中宇密切合作，支持国宏中宇SiC产业化项目发展。
</t>
  </si>
  <si>
    <t>公司在手订单</t>
  </si>
  <si>
    <t>文件类型</t>
  </si>
  <si>
    <t>订单金额</t>
  </si>
  <si>
    <t>订购数量</t>
  </si>
  <si>
    <t>产品名称</t>
  </si>
  <si>
    <t>订购方名称</t>
  </si>
  <si>
    <t>交付截止日</t>
  </si>
  <si>
    <t>平均单价（万元）</t>
  </si>
  <si>
    <t>2019.08.05</t>
  </si>
  <si>
    <t>订购合同</t>
  </si>
  <si>
    <t>1.26亿</t>
  </si>
  <si>
    <t>80套</t>
  </si>
  <si>
    <t>碳化硅长晶炉成套设备</t>
  </si>
  <si>
    <t>国宏中宇科技发展有限公司</t>
  </si>
  <si>
    <t>/</t>
  </si>
  <si>
    <t>2019.11.26</t>
  </si>
  <si>
    <t>战略合作协议</t>
  </si>
  <si>
    <t>约3亿</t>
  </si>
  <si>
    <t>200台</t>
  </si>
  <si>
    <t>定制碳化硅长晶炉</t>
  </si>
  <si>
    <t>2020.10.23</t>
  </si>
  <si>
    <t>9600万</t>
  </si>
  <si>
    <t>60套</t>
  </si>
  <si>
    <t>国宏中能科技发展有限公司</t>
  </si>
  <si>
    <t>2020.12.09</t>
  </si>
  <si>
    <t>5.1亿</t>
  </si>
  <si>
    <t>未透露（估计约350台）</t>
  </si>
  <si>
    <t>6 英寸碳化硅长晶成套设备</t>
  </si>
  <si>
    <t>合肥露笑半导体材料有限公司</t>
  </si>
  <si>
    <t>2021.12.31</t>
  </si>
  <si>
    <t>项目名称</t>
  </si>
  <si>
    <t>项目投资金额</t>
  </si>
  <si>
    <t>募集资金使用金额</t>
  </si>
  <si>
    <t>预计投资进度</t>
  </si>
  <si>
    <t>第一年</t>
  </si>
  <si>
    <t>第二年</t>
  </si>
  <si>
    <t>新建碳化硅衬底片产业化项目</t>
  </si>
  <si>
    <t>碳化硅研发中心项目</t>
  </si>
  <si>
    <t>偿还银行贷款</t>
  </si>
  <si>
    <t>合 计</t>
  </si>
  <si>
    <t>年产量 (片)</t>
  </si>
  <si>
    <t>一</t>
  </si>
  <si>
    <t>6英寸4-H N型碳化硅衬底片</t>
  </si>
  <si>
    <t>U级数量(占10%)</t>
  </si>
  <si>
    <t>P级数量(占30%)</t>
  </si>
  <si>
    <t>R级数量(占40%)</t>
  </si>
  <si>
    <t>D级数量(占20%)</t>
  </si>
  <si>
    <t>二</t>
  </si>
  <si>
    <t>4英寸4-H 半绝缘型碳化硅衬底片</t>
  </si>
  <si>
    <t>合计</t>
  </si>
  <si>
    <t>客户名称</t>
  </si>
  <si>
    <t>产品或服务项目</t>
  </si>
  <si>
    <t>现状</t>
  </si>
  <si>
    <t>美国Pallidus公司</t>
  </si>
  <si>
    <t>6英寸衬底片加工服务</t>
  </si>
  <si>
    <t>已联系并送样</t>
  </si>
  <si>
    <t>美国安森美(美国GTAT公司)</t>
  </si>
  <si>
    <t>6英寸导电型衬底片销售</t>
  </si>
  <si>
    <t>东莞市天域半导体科技有限公司</t>
  </si>
  <si>
    <t>4/6英寸导电型衬底片销售</t>
  </si>
  <si>
    <t>已经和该公司高层建立联系</t>
  </si>
  <si>
    <t>瀚天天成电子科技(厦门)有限公司</t>
  </si>
  <si>
    <t>中国电子科技集团公司第十三研究所</t>
  </si>
  <si>
    <t>4/6英寸导电型衬底片销售 4英寸半绝缘衬底片销售</t>
  </si>
  <si>
    <t>已经和该所高层建立联系</t>
  </si>
  <si>
    <t>中国电子科技集团公司第五十五研究所</t>
  </si>
  <si>
    <t>已经建立联系</t>
  </si>
  <si>
    <t>泰科天润半导体科技(北京)有限公司</t>
  </si>
  <si>
    <t>4英寸导电型衬底片销售</t>
  </si>
  <si>
    <t>株洲中车时代电气股份有限公司</t>
  </si>
  <si>
    <t>深圳第三代半导体研究院</t>
  </si>
  <si>
    <t>衬底片及籽晶加工服务</t>
  </si>
  <si>
    <t>日本昭和电工(东西贸易)</t>
  </si>
  <si>
    <t>日本三菱电气</t>
  </si>
  <si>
    <t>盈利预测</t>
  </si>
  <si>
    <t>项目</t>
  </si>
  <si>
    <t>2020H1</t>
  </si>
  <si>
    <t>2020E</t>
  </si>
  <si>
    <t>2021E</t>
  </si>
  <si>
    <t>2022E</t>
  </si>
  <si>
    <t>营收</t>
  </si>
  <si>
    <t>增长率</t>
  </si>
  <si>
    <t>营收所占比例</t>
  </si>
  <si>
    <t>毛利</t>
  </si>
  <si>
    <t>机电设备</t>
  </si>
  <si>
    <t>汽车配件</t>
  </si>
  <si>
    <t>光伏电站EPC</t>
  </si>
  <si>
    <t>取暖器+晶片+其他业务+汽车配件+机电设备+光伏电站</t>
  </si>
  <si>
    <t>总和</t>
  </si>
  <si>
    <t>2017A</t>
  </si>
  <si>
    <t>2018A</t>
  </si>
  <si>
    <t>2019A</t>
  </si>
  <si>
    <t>营业总收入</t>
  </si>
  <si>
    <t>同比增速</t>
  </si>
  <si>
    <t>营业成本</t>
  </si>
  <si>
    <t>％营业收入</t>
  </si>
  <si>
    <t>营业税金及附加</t>
  </si>
  <si>
    <t>销售费用</t>
  </si>
  <si>
    <t>管理费用</t>
  </si>
  <si>
    <t>研发费用</t>
  </si>
  <si>
    <t>财务费用</t>
  </si>
  <si>
    <t>加：其他收益</t>
  </si>
  <si>
    <t>财政支持、补贴等</t>
  </si>
  <si>
    <t>资产减值损失</t>
  </si>
  <si>
    <t>存货、商誉（主要是商誉）</t>
  </si>
  <si>
    <t>信用减值损失</t>
  </si>
  <si>
    <t>应收坏账</t>
  </si>
  <si>
    <r>
      <rPr>
        <sz val="10"/>
        <color theme="1"/>
        <rFont val="Courier New"/>
        <charset val="134"/>
      </rPr>
      <t xml:space="preserve"> </t>
    </r>
    <r>
      <rPr>
        <sz val="10"/>
        <color theme="1"/>
        <rFont val="宋体"/>
        <charset val="134"/>
      </rPr>
      <t>公允价值变动收益</t>
    </r>
  </si>
  <si>
    <t>交易型金融资产、业绩承诺转出</t>
  </si>
  <si>
    <t>投资收益</t>
  </si>
  <si>
    <t>业绩承诺转入、处置金融资产、股利等</t>
  </si>
  <si>
    <t>营业利润</t>
  </si>
  <si>
    <t>营业外收支</t>
  </si>
  <si>
    <t>利润总额</t>
  </si>
  <si>
    <t>所得税费用</t>
  </si>
  <si>
    <t>2018年大亏损，税务减免时间长</t>
  </si>
  <si>
    <t>算下税率</t>
  </si>
  <si>
    <t>归属于母公司所有者的净利润</t>
  </si>
  <si>
    <t>少数股东损益</t>
  </si>
  <si>
    <t>股本多少</t>
  </si>
  <si>
    <r>
      <rPr>
        <sz val="10"/>
        <color theme="1"/>
        <rFont val="Arial"/>
        <charset val="134"/>
      </rPr>
      <t>EPS</t>
    </r>
    <r>
      <rPr>
        <sz val="10"/>
        <color theme="1"/>
        <rFont val="宋体"/>
        <charset val="134"/>
      </rPr>
      <t>（元）</t>
    </r>
  </si>
  <si>
    <t>营收增速</t>
  </si>
  <si>
    <t>归母净利润</t>
  </si>
  <si>
    <t>净利润增速</t>
  </si>
  <si>
    <t>股本</t>
  </si>
  <si>
    <t>EPS（元）</t>
  </si>
  <si>
    <t>P/E</t>
  </si>
  <si>
    <t>P/B</t>
  </si>
  <si>
    <t>目前股价</t>
  </si>
  <si>
    <t>每股净资产</t>
  </si>
  <si>
    <t>利润表</t>
  </si>
  <si>
    <t xml:space="preserve"> 公允价值变动收益</t>
  </si>
  <si>
    <t>证券代码</t>
  </si>
  <si>
    <t>公司简称</t>
  </si>
  <si>
    <t>总市值（亿元）</t>
  </si>
  <si>
    <t>2019年总营收（百万元）</t>
  </si>
  <si>
    <t>2020年总营收（百万元）</t>
  </si>
  <si>
    <t>2021年总营收（百万元）</t>
  </si>
  <si>
    <t>2022年总营收（百万元）</t>
  </si>
  <si>
    <t>2019P/S</t>
  </si>
  <si>
    <t>2020P/S</t>
  </si>
  <si>
    <t>2021P/S</t>
  </si>
  <si>
    <t>2022P/S</t>
  </si>
  <si>
    <t>300316.SZ</t>
  </si>
  <si>
    <t>002371.SZ</t>
  </si>
  <si>
    <t>平均</t>
  </si>
  <si>
    <t>2019年净利润（百万元）</t>
  </si>
  <si>
    <t>2020年净利润（百万元）</t>
  </si>
  <si>
    <t>2021年净利润（百万元）</t>
  </si>
  <si>
    <t>2022年净利润（百万元）</t>
  </si>
  <si>
    <t>2019P/E</t>
  </si>
  <si>
    <t>2020P/E</t>
  </si>
  <si>
    <t>2021P/E</t>
  </si>
  <si>
    <t>2022P/E</t>
  </si>
  <si>
    <t>000591.SZ</t>
  </si>
  <si>
    <t>太阳能</t>
  </si>
  <si>
    <t>601877.SH</t>
  </si>
  <si>
    <t>正泰电器</t>
  </si>
</sst>
</file>

<file path=xl/styles.xml><?xml version="1.0" encoding="utf-8"?>
<styleSheet xmlns="http://schemas.openxmlformats.org/spreadsheetml/2006/main">
  <numFmts count="9">
    <numFmt numFmtId="176" formatCode="0.0%"/>
    <numFmt numFmtId="177" formatCode="0_ "/>
    <numFmt numFmtId="178" formatCode="0.0_ "/>
    <numFmt numFmtId="179" formatCode="0.00_ "/>
    <numFmt numFmtId="44" formatCode="_(&quot;$&quot;* #,##0.00_);_(&quot;$&quot;* \(#,##0.00\);_(&quot;$&quot;* &quot;-&quot;??_);_(@_)"/>
    <numFmt numFmtId="180" formatCode="_ * #,##0_ ;_ * \-#,##0_ ;_ * &quot;-&quot;_ ;_ @_ "/>
    <numFmt numFmtId="42" formatCode="_(&quot;$&quot;* #,##0_);_(&quot;$&quot;* \(#,##0\);_(&quot;$&quot;* &quot;-&quot;_);_(@_)"/>
    <numFmt numFmtId="181" formatCode="_ * #,##0.00_ ;_ * \-#,##0.00_ ;_ * &quot;-&quot;??_ ;_ @_ "/>
    <numFmt numFmtId="182" formatCode="0.00_);[Red]\(0.00\)"/>
  </numFmts>
  <fonts count="44">
    <font>
      <sz val="11"/>
      <color theme="1"/>
      <name val="Calibri"/>
      <charset val="134"/>
      <scheme val="minor"/>
    </font>
    <font>
      <b/>
      <sz val="10"/>
      <color theme="0"/>
      <name val="方正楷体_GBK"/>
      <charset val="134"/>
    </font>
    <font>
      <sz val="10"/>
      <color theme="1"/>
      <name val="Calibri"/>
      <charset val="134"/>
      <scheme val="minor"/>
    </font>
    <font>
      <b/>
      <sz val="11"/>
      <color theme="1"/>
      <name val="Calibri"/>
      <charset val="134"/>
      <scheme val="minor"/>
    </font>
    <font>
      <b/>
      <sz val="11"/>
      <color theme="0"/>
      <name val="方正楷体_GBK"/>
      <charset val="134"/>
    </font>
    <font>
      <b/>
      <sz val="11"/>
      <color theme="1"/>
      <name val="方正楷体_GBK"/>
      <charset val="134"/>
    </font>
    <font>
      <sz val="11"/>
      <color theme="1"/>
      <name val="方正楷体_GBK"/>
      <charset val="134"/>
    </font>
    <font>
      <sz val="10"/>
      <color theme="1"/>
      <name val="宋体"/>
      <charset val="134"/>
    </font>
    <font>
      <sz val="10"/>
      <color theme="1"/>
      <name val="Arial"/>
      <charset val="134"/>
    </font>
    <font>
      <i/>
      <sz val="10"/>
      <color theme="1"/>
      <name val="宋体"/>
      <charset val="134"/>
    </font>
    <font>
      <sz val="10"/>
      <color theme="1"/>
      <name val="Courier New"/>
      <charset val="134"/>
    </font>
    <font>
      <b/>
      <sz val="11"/>
      <color theme="0"/>
      <name val="Calibri"/>
      <charset val="134"/>
      <scheme val="minor"/>
    </font>
    <font>
      <b/>
      <sz val="12"/>
      <color theme="0"/>
      <name val="微软雅黑"/>
      <charset val="134"/>
    </font>
    <font>
      <sz val="12"/>
      <name val="微软雅黑"/>
      <charset val="134"/>
    </font>
    <font>
      <sz val="12"/>
      <color theme="0"/>
      <name val="微软雅黑"/>
      <charset val="134"/>
    </font>
    <font>
      <sz val="11"/>
      <name val="Calibri"/>
      <charset val="134"/>
      <scheme val="minor"/>
    </font>
    <font>
      <sz val="11"/>
      <color theme="0"/>
      <name val="Calibri"/>
      <charset val="134"/>
      <scheme val="minor"/>
    </font>
    <font>
      <b/>
      <sz val="12"/>
      <color theme="0"/>
      <name val="Calibri"/>
      <charset val="134"/>
      <scheme val="minor"/>
    </font>
    <font>
      <sz val="12"/>
      <color theme="1"/>
      <name val="Calibri"/>
      <charset val="134"/>
      <scheme val="minor"/>
    </font>
    <font>
      <sz val="12"/>
      <color rgb="FF333333"/>
      <name val="Calibri"/>
      <charset val="134"/>
      <scheme val="minor"/>
    </font>
    <font>
      <sz val="12"/>
      <color rgb="FF333333"/>
      <name val="Microsoft YaHei"/>
      <charset val="134"/>
    </font>
    <font>
      <b/>
      <sz val="12"/>
      <color rgb="FF333333"/>
      <name val="Microsoft YaHei"/>
      <charset val="134"/>
    </font>
    <font>
      <b/>
      <sz val="12"/>
      <color theme="0"/>
      <name val="Microsoft YaHei"/>
      <charset val="134"/>
    </font>
    <font>
      <sz val="12"/>
      <color rgb="FF000000"/>
      <name val="Microsoft YaHei"/>
      <charset val="134"/>
    </font>
    <font>
      <sz val="10.5"/>
      <color theme="1"/>
      <name val="Calibri"/>
      <charset val="134"/>
      <scheme val="minor"/>
    </font>
    <font>
      <u/>
      <sz val="11"/>
      <color rgb="FF0000FF"/>
      <name val="Calibri"/>
      <charset val="0"/>
      <scheme val="minor"/>
    </font>
    <font>
      <b/>
      <sz val="13"/>
      <color theme="3"/>
      <name val="Calibri"/>
      <charset val="134"/>
      <scheme val="minor"/>
    </font>
    <font>
      <sz val="11"/>
      <color theme="0"/>
      <name val="Calibri"/>
      <charset val="0"/>
      <scheme val="minor"/>
    </font>
    <font>
      <sz val="11"/>
      <color rgb="FFFF0000"/>
      <name val="Calibri"/>
      <charset val="0"/>
      <scheme val="minor"/>
    </font>
    <font>
      <sz val="11"/>
      <color theme="1"/>
      <name val="Calibri"/>
      <charset val="0"/>
      <scheme val="minor"/>
    </font>
    <font>
      <u/>
      <sz val="11"/>
      <color rgb="FF800080"/>
      <name val="Calibri"/>
      <charset val="0"/>
      <scheme val="minor"/>
    </font>
    <font>
      <i/>
      <sz val="11"/>
      <color rgb="FF7F7F7F"/>
      <name val="Calibri"/>
      <charset val="0"/>
      <scheme val="minor"/>
    </font>
    <font>
      <b/>
      <sz val="18"/>
      <color theme="3"/>
      <name val="Calibri"/>
      <charset val="134"/>
      <scheme val="minor"/>
    </font>
    <font>
      <b/>
      <sz val="11"/>
      <color rgb="FFFA7D00"/>
      <name val="Calibri"/>
      <charset val="0"/>
      <scheme val="minor"/>
    </font>
    <font>
      <b/>
      <sz val="11"/>
      <color theme="3"/>
      <name val="Calibri"/>
      <charset val="134"/>
      <scheme val="minor"/>
    </font>
    <font>
      <sz val="11"/>
      <color rgb="FF006100"/>
      <name val="Calibri"/>
      <charset val="0"/>
      <scheme val="minor"/>
    </font>
    <font>
      <sz val="11"/>
      <color rgb="FF3F3F76"/>
      <name val="Calibri"/>
      <charset val="0"/>
      <scheme val="minor"/>
    </font>
    <font>
      <b/>
      <sz val="11"/>
      <color rgb="FFFFFFFF"/>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sz val="11"/>
      <color rgb="FFFA7D00"/>
      <name val="Calibri"/>
      <charset val="0"/>
      <scheme val="minor"/>
    </font>
    <font>
      <b/>
      <sz val="15"/>
      <color theme="3"/>
      <name val="Calibri"/>
      <charset val="134"/>
      <scheme val="minor"/>
    </font>
  </fonts>
  <fills count="36">
    <fill>
      <patternFill patternType="none"/>
    </fill>
    <fill>
      <patternFill patternType="gray125"/>
    </fill>
    <fill>
      <patternFill patternType="solid">
        <fgColor rgb="FFC00000"/>
        <bgColor indexed="64"/>
      </patternFill>
    </fill>
    <fill>
      <patternFill patternType="solid">
        <fgColor theme="5" tint="0.4"/>
        <bgColor indexed="64"/>
      </patternFill>
    </fill>
    <fill>
      <patternFill patternType="solid">
        <fgColor theme="5" tint="0.6"/>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theme="4"/>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theme="9"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9" tint="0.599993896298105"/>
        <bgColor indexed="64"/>
      </patternFill>
    </fill>
  </fills>
  <borders count="19">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right style="medium">
        <color auto="1"/>
      </right>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0" fontId="27" fillId="12" borderId="0" applyNumberFormat="0" applyBorder="0" applyAlignment="0" applyProtection="0">
      <alignment vertical="center"/>
    </xf>
    <xf numFmtId="0" fontId="29" fillId="35" borderId="0" applyNumberFormat="0" applyBorder="0" applyAlignment="0" applyProtection="0">
      <alignment vertical="center"/>
    </xf>
    <xf numFmtId="0" fontId="27" fillId="30" borderId="0" applyNumberFormat="0" applyBorder="0" applyAlignment="0" applyProtection="0">
      <alignment vertical="center"/>
    </xf>
    <xf numFmtId="0" fontId="27" fillId="20" borderId="0" applyNumberFormat="0" applyBorder="0" applyAlignment="0" applyProtection="0">
      <alignment vertical="center"/>
    </xf>
    <xf numFmtId="0" fontId="29" fillId="28" borderId="0" applyNumberFormat="0" applyBorder="0" applyAlignment="0" applyProtection="0">
      <alignment vertical="center"/>
    </xf>
    <xf numFmtId="0" fontId="29" fillId="33" borderId="0" applyNumberFormat="0" applyBorder="0" applyAlignment="0" applyProtection="0">
      <alignment vertical="center"/>
    </xf>
    <xf numFmtId="0" fontId="27" fillId="29" borderId="0" applyNumberFormat="0" applyBorder="0" applyAlignment="0" applyProtection="0">
      <alignment vertical="center"/>
    </xf>
    <xf numFmtId="0" fontId="27" fillId="21" borderId="0" applyNumberFormat="0" applyBorder="0" applyAlignment="0" applyProtection="0">
      <alignment vertical="center"/>
    </xf>
    <xf numFmtId="0" fontId="29" fillId="31" borderId="0" applyNumberFormat="0" applyBorder="0" applyAlignment="0" applyProtection="0">
      <alignment vertical="center"/>
    </xf>
    <xf numFmtId="0" fontId="27" fillId="32" borderId="0" applyNumberFormat="0" applyBorder="0" applyAlignment="0" applyProtection="0">
      <alignment vertical="center"/>
    </xf>
    <xf numFmtId="0" fontId="42" fillId="0" borderId="18" applyNumberFormat="0" applyFill="0" applyAlignment="0" applyProtection="0">
      <alignment vertical="center"/>
    </xf>
    <xf numFmtId="0" fontId="29" fillId="25" borderId="0" applyNumberFormat="0" applyBorder="0" applyAlignment="0" applyProtection="0">
      <alignment vertical="center"/>
    </xf>
    <xf numFmtId="0" fontId="27" fillId="23" borderId="0" applyNumberFormat="0" applyBorder="0" applyAlignment="0" applyProtection="0">
      <alignment vertical="center"/>
    </xf>
    <xf numFmtId="0" fontId="27" fillId="15"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7"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7" fillId="8" borderId="0" applyNumberFormat="0" applyBorder="0" applyAlignment="0" applyProtection="0">
      <alignment vertical="center"/>
    </xf>
    <xf numFmtId="0" fontId="41" fillId="26" borderId="0" applyNumberFormat="0" applyBorder="0" applyAlignment="0" applyProtection="0">
      <alignment vertical="center"/>
    </xf>
    <xf numFmtId="0" fontId="27" fillId="5" borderId="0" applyNumberFormat="0" applyBorder="0" applyAlignment="0" applyProtection="0">
      <alignment vertical="center"/>
    </xf>
    <xf numFmtId="0" fontId="40" fillId="17" borderId="0" applyNumberFormat="0" applyBorder="0" applyAlignment="0" applyProtection="0">
      <alignment vertical="center"/>
    </xf>
    <xf numFmtId="0" fontId="29" fillId="16" borderId="0" applyNumberFormat="0" applyBorder="0" applyAlignment="0" applyProtection="0">
      <alignment vertical="center"/>
    </xf>
    <xf numFmtId="0" fontId="39" fillId="0" borderId="16" applyNumberFormat="0" applyFill="0" applyAlignment="0" applyProtection="0">
      <alignment vertical="center"/>
    </xf>
    <xf numFmtId="0" fontId="38" fillId="7" borderId="15" applyNumberFormat="0" applyAlignment="0" applyProtection="0">
      <alignment vertical="center"/>
    </xf>
    <xf numFmtId="44" fontId="0" fillId="0" borderId="0" applyFont="0" applyFill="0" applyBorder="0" applyAlignment="0" applyProtection="0">
      <alignment vertical="center"/>
    </xf>
    <xf numFmtId="0" fontId="29" fillId="6" borderId="0" applyNumberFormat="0" applyBorder="0" applyAlignment="0" applyProtection="0">
      <alignment vertical="center"/>
    </xf>
    <xf numFmtId="0" fontId="0" fillId="11" borderId="13" applyNumberFormat="0" applyFont="0" applyAlignment="0" applyProtection="0">
      <alignment vertical="center"/>
    </xf>
    <xf numFmtId="0" fontId="36" fillId="10" borderId="12" applyNumberFormat="0" applyAlignment="0" applyProtection="0">
      <alignment vertical="center"/>
    </xf>
    <xf numFmtId="0" fontId="34" fillId="0" borderId="0" applyNumberFormat="0" applyFill="0" applyBorder="0" applyAlignment="0" applyProtection="0">
      <alignment vertical="center"/>
    </xf>
    <xf numFmtId="0" fontId="33" fillId="7" borderId="12" applyNumberFormat="0" applyAlignment="0" applyProtection="0">
      <alignment vertical="center"/>
    </xf>
    <xf numFmtId="0" fontId="35" fillId="9" borderId="0" applyNumberFormat="0" applyBorder="0" applyAlignment="0" applyProtection="0">
      <alignment vertical="center"/>
    </xf>
    <xf numFmtId="0" fontId="34" fillId="0" borderId="17" applyNumberFormat="0" applyFill="0" applyAlignment="0" applyProtection="0">
      <alignment vertical="center"/>
    </xf>
    <xf numFmtId="0" fontId="31" fillId="0" borderId="0" applyNumberFormat="0" applyFill="0" applyBorder="0" applyAlignment="0" applyProtection="0">
      <alignment vertical="center"/>
    </xf>
    <xf numFmtId="0" fontId="43" fillId="0" borderId="11" applyNumberFormat="0" applyFill="0" applyAlignment="0" applyProtection="0">
      <alignment vertical="center"/>
    </xf>
    <xf numFmtId="180" fontId="0" fillId="0" borderId="0" applyFont="0" applyFill="0" applyBorder="0" applyAlignment="0" applyProtection="0">
      <alignment vertical="center"/>
    </xf>
    <xf numFmtId="0" fontId="29" fillId="14" borderId="0" applyNumberFormat="0" applyBorder="0" applyAlignment="0" applyProtection="0">
      <alignment vertical="center"/>
    </xf>
    <xf numFmtId="0" fontId="32" fillId="0" borderId="0" applyNumberFormat="0" applyFill="0" applyBorder="0" applyAlignment="0" applyProtection="0">
      <alignment vertical="center"/>
    </xf>
    <xf numFmtId="42"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6" fillId="0" borderId="11" applyNumberFormat="0" applyFill="0" applyAlignment="0" applyProtection="0">
      <alignment vertical="center"/>
    </xf>
    <xf numFmtId="181" fontId="0" fillId="0" borderId="0" applyFont="0" applyFill="0" applyBorder="0" applyAlignment="0" applyProtection="0">
      <alignment vertical="center"/>
    </xf>
    <xf numFmtId="0" fontId="37" fillId="13" borderId="14" applyNumberFormat="0" applyAlignment="0" applyProtection="0">
      <alignment vertical="center"/>
    </xf>
    <xf numFmtId="0" fontId="27" fillId="34" borderId="0" applyNumberFormat="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cellStyleXfs>
  <cellXfs count="109">
    <xf numFmtId="0" fontId="0" fillId="0" borderId="0" xfId="0">
      <alignment vertical="center"/>
    </xf>
    <xf numFmtId="0" fontId="1" fillId="2" borderId="0" xfId="0" applyFont="1" applyFill="1">
      <alignment vertical="center"/>
    </xf>
    <xf numFmtId="0" fontId="1" fillId="2" borderId="0" xfId="0" applyFont="1" applyFill="1" applyAlignment="1">
      <alignment vertical="center" wrapText="1"/>
    </xf>
    <xf numFmtId="0" fontId="2" fillId="0" borderId="0" xfId="0" applyFont="1">
      <alignment vertical="center"/>
    </xf>
    <xf numFmtId="178" fontId="2" fillId="0" borderId="0" xfId="0" applyNumberFormat="1" applyFont="1">
      <alignment vertical="center"/>
    </xf>
    <xf numFmtId="0" fontId="2" fillId="0" borderId="0" xfId="0" applyFont="1">
      <alignment vertical="center"/>
    </xf>
    <xf numFmtId="0" fontId="3" fillId="0" borderId="0" xfId="0" applyFont="1">
      <alignment vertical="center"/>
    </xf>
    <xf numFmtId="0" fontId="4" fillId="2" borderId="1" xfId="0" applyFont="1" applyFill="1" applyBorder="1">
      <alignment vertical="center"/>
    </xf>
    <xf numFmtId="0" fontId="5" fillId="0" borderId="1" xfId="0" applyFont="1" applyBorder="1">
      <alignment vertical="center"/>
    </xf>
    <xf numFmtId="177" fontId="5" fillId="0" borderId="1" xfId="0" applyNumberFormat="1" applyFont="1" applyBorder="1">
      <alignment vertical="center"/>
    </xf>
    <xf numFmtId="0" fontId="6" fillId="0" borderId="1" xfId="0" applyFont="1" applyBorder="1">
      <alignment vertical="center"/>
    </xf>
    <xf numFmtId="9" fontId="6" fillId="0" borderId="1" xfId="47" applyFont="1" applyBorder="1">
      <alignment vertical="center"/>
    </xf>
    <xf numFmtId="177" fontId="6" fillId="0" borderId="1" xfId="0" applyNumberFormat="1" applyFont="1" applyBorder="1">
      <alignment vertical="center"/>
    </xf>
    <xf numFmtId="179" fontId="5" fillId="0" borderId="1" xfId="0" applyNumberFormat="1" applyFont="1" applyBorder="1">
      <alignment vertical="center"/>
    </xf>
    <xf numFmtId="0" fontId="6" fillId="0" borderId="0" xfId="0" applyFont="1">
      <alignment vertical="center"/>
    </xf>
    <xf numFmtId="0" fontId="0" fillId="0" borderId="0" xfId="0" applyFill="1" applyAlignment="1"/>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8" fillId="0" borderId="3" xfId="0" applyFont="1" applyFill="1" applyBorder="1" applyAlignment="1">
      <alignment horizontal="center" vertical="center"/>
    </xf>
    <xf numFmtId="0" fontId="7" fillId="0" borderId="4" xfId="0" applyFont="1" applyFill="1" applyBorder="1" applyAlignment="1">
      <alignment horizontal="center" vertical="center" wrapText="1"/>
    </xf>
    <xf numFmtId="178" fontId="0" fillId="3" borderId="1" xfId="0" applyNumberFormat="1" applyFill="1" applyBorder="1">
      <alignment vertical="center"/>
    </xf>
    <xf numFmtId="9" fontId="0" fillId="0" borderId="1" xfId="47" applyBorder="1">
      <alignment vertical="center"/>
    </xf>
    <xf numFmtId="0" fontId="7" fillId="0" borderId="5" xfId="0" applyFont="1" applyFill="1" applyBorder="1" applyAlignment="1">
      <alignment horizontal="center" vertical="center" wrapText="1"/>
    </xf>
    <xf numFmtId="177" fontId="7" fillId="0" borderId="6" xfId="0" applyNumberFormat="1" applyFont="1" applyFill="1" applyBorder="1" applyAlignment="1">
      <alignment horizontal="center" vertical="center" wrapText="1"/>
    </xf>
    <xf numFmtId="0" fontId="7" fillId="0" borderId="5" xfId="0" applyFont="1" applyFill="1" applyBorder="1" applyAlignment="1">
      <alignment horizontal="center" vertical="center" wrapText="1"/>
    </xf>
    <xf numFmtId="9" fontId="7" fillId="0" borderId="6" xfId="47" applyFont="1" applyFill="1" applyBorder="1" applyAlignment="1">
      <alignment horizontal="center" vertical="center" wrapText="1"/>
    </xf>
    <xf numFmtId="177" fontId="7" fillId="0" borderId="6" xfId="0" applyNumberFormat="1" applyFont="1" applyFill="1" applyBorder="1" applyAlignment="1">
      <alignment horizontal="center" vertical="center" wrapText="1"/>
    </xf>
    <xf numFmtId="0" fontId="7" fillId="0" borderId="7" xfId="0" applyFont="1" applyFill="1" applyBorder="1" applyAlignment="1">
      <alignment horizontal="center" vertical="center" wrapText="1"/>
    </xf>
    <xf numFmtId="0" fontId="8" fillId="0" borderId="7" xfId="0" applyFont="1" applyFill="1" applyBorder="1" applyAlignment="1">
      <alignment horizontal="center" vertical="center"/>
    </xf>
    <xf numFmtId="0" fontId="8" fillId="0" borderId="4" xfId="0" applyFont="1" applyFill="1" applyBorder="1" applyAlignment="1">
      <alignment horizontal="center" vertical="center" wrapText="1"/>
    </xf>
    <xf numFmtId="179" fontId="8" fillId="0" borderId="7" xfId="0" applyNumberFormat="1" applyFont="1" applyFill="1" applyBorder="1" applyAlignment="1">
      <alignment horizontal="center" vertical="center" wrapText="1"/>
    </xf>
    <xf numFmtId="176" fontId="0" fillId="0" borderId="1" xfId="47" applyNumberFormat="1" applyBorder="1">
      <alignment vertical="center"/>
    </xf>
    <xf numFmtId="177" fontId="8" fillId="0" borderId="6" xfId="0" applyNumberFormat="1" applyFont="1" applyFill="1" applyBorder="1" applyAlignment="1">
      <alignment horizontal="center" vertical="center"/>
    </xf>
    <xf numFmtId="9" fontId="8" fillId="0" borderId="6" xfId="47" applyFont="1" applyFill="1" applyBorder="1" applyAlignment="1">
      <alignment horizontal="center" vertical="center"/>
    </xf>
    <xf numFmtId="177" fontId="7" fillId="0" borderId="7" xfId="0" applyNumberFormat="1" applyFont="1" applyFill="1" applyBorder="1" applyAlignment="1">
      <alignment horizontal="center" vertical="center" wrapText="1"/>
    </xf>
    <xf numFmtId="9" fontId="7" fillId="0" borderId="7" xfId="47" applyFont="1" applyFill="1" applyBorder="1" applyAlignment="1">
      <alignment horizontal="center" vertical="center" wrapText="1"/>
    </xf>
    <xf numFmtId="178" fontId="0" fillId="0" borderId="1" xfId="0" applyNumberFormat="1" applyBorder="1">
      <alignment vertical="center"/>
    </xf>
    <xf numFmtId="0" fontId="9" fillId="0" borderId="4" xfId="0" applyFont="1" applyFill="1" applyBorder="1" applyAlignment="1">
      <alignment horizontal="center" vertical="center" wrapText="1"/>
    </xf>
    <xf numFmtId="9" fontId="9" fillId="0" borderId="7" xfId="47" applyNumberFormat="1" applyFont="1" applyFill="1" applyBorder="1" applyAlignment="1">
      <alignment horizontal="center" vertical="center" wrapText="1"/>
    </xf>
    <xf numFmtId="176" fontId="9" fillId="0" borderId="7" xfId="47" applyNumberFormat="1"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7" xfId="0" applyFont="1" applyFill="1" applyBorder="1" applyAlignment="1">
      <alignment horizontal="center" vertical="center" wrapText="1"/>
    </xf>
    <xf numFmtId="9" fontId="7" fillId="0" borderId="7" xfId="47" applyNumberFormat="1" applyFont="1" applyFill="1" applyBorder="1" applyAlignment="1">
      <alignment horizontal="center" vertical="center" wrapText="1"/>
    </xf>
    <xf numFmtId="0" fontId="8" fillId="0" borderId="7" xfId="0" applyFont="1" applyFill="1" applyBorder="1" applyAlignment="1">
      <alignment horizontal="center" vertical="center" wrapText="1"/>
    </xf>
    <xf numFmtId="177" fontId="8" fillId="0" borderId="7" xfId="0" applyNumberFormat="1" applyFont="1" applyFill="1" applyBorder="1" applyAlignment="1">
      <alignment horizontal="center" vertical="center"/>
    </xf>
    <xf numFmtId="176" fontId="8" fillId="0" borderId="7" xfId="0" applyNumberFormat="1" applyFont="1" applyFill="1" applyBorder="1" applyAlignment="1">
      <alignment horizontal="center" vertical="center"/>
    </xf>
    <xf numFmtId="9" fontId="8" fillId="0" borderId="7" xfId="0" applyNumberFormat="1" applyFont="1" applyFill="1" applyBorder="1" applyAlignment="1">
      <alignment horizontal="center" vertical="center"/>
    </xf>
    <xf numFmtId="177" fontId="8" fillId="0" borderId="3" xfId="0" applyNumberFormat="1" applyFont="1" applyFill="1" applyBorder="1" applyAlignment="1">
      <alignment horizontal="center" vertical="center"/>
    </xf>
    <xf numFmtId="179" fontId="8" fillId="0" borderId="7" xfId="0" applyNumberFormat="1" applyFont="1" applyFill="1" applyBorder="1" applyAlignment="1">
      <alignment horizontal="center" vertical="center"/>
    </xf>
    <xf numFmtId="0" fontId="11" fillId="2" borderId="1" xfId="0" applyFont="1" applyFill="1" applyBorder="1">
      <alignment vertical="center"/>
    </xf>
    <xf numFmtId="0" fontId="11" fillId="2" borderId="1" xfId="0" applyFont="1" applyFill="1" applyBorder="1">
      <alignment vertical="center"/>
    </xf>
    <xf numFmtId="0" fontId="0" fillId="3" borderId="1" xfId="0" applyFill="1" applyBorder="1">
      <alignment vertical="center"/>
    </xf>
    <xf numFmtId="0" fontId="0" fillId="0" borderId="1" xfId="0" applyBorder="1">
      <alignment vertical="center"/>
    </xf>
    <xf numFmtId="178" fontId="0" fillId="0" borderId="0" xfId="0" applyNumberFormat="1">
      <alignment vertical="center"/>
    </xf>
    <xf numFmtId="10" fontId="0" fillId="0" borderId="0" xfId="0" applyNumberFormat="1">
      <alignment vertical="center"/>
    </xf>
    <xf numFmtId="182" fontId="0" fillId="0" borderId="0" xfId="47" applyNumberFormat="1">
      <alignment vertical="center"/>
    </xf>
    <xf numFmtId="9" fontId="0" fillId="0" borderId="0" xfId="47">
      <alignment vertical="center"/>
    </xf>
    <xf numFmtId="10" fontId="0" fillId="0" borderId="0" xfId="47" applyNumberFormat="1">
      <alignment vertical="center"/>
    </xf>
    <xf numFmtId="9" fontId="0" fillId="0" borderId="0" xfId="47" applyNumberFormat="1">
      <alignment vertical="center"/>
    </xf>
    <xf numFmtId="9" fontId="0" fillId="0" borderId="0" xfId="0" applyNumberFormat="1">
      <alignment vertical="center"/>
    </xf>
    <xf numFmtId="0" fontId="12" fillId="2" borderId="1" xfId="0" applyFont="1" applyFill="1" applyBorder="1" applyAlignment="1">
      <alignment horizontal="center" vertical="center" wrapText="1"/>
    </xf>
    <xf numFmtId="0" fontId="13" fillId="0" borderId="1" xfId="0" applyFont="1" applyBorder="1" applyAlignment="1">
      <alignment vertical="center" wrapText="1"/>
    </xf>
    <xf numFmtId="0" fontId="13" fillId="0" borderId="1" xfId="0" applyFont="1" applyBorder="1" applyAlignment="1">
      <alignment vertical="center" wrapText="1"/>
    </xf>
    <xf numFmtId="0" fontId="13" fillId="3" borderId="1" xfId="0" applyFont="1" applyFill="1" applyBorder="1" applyAlignment="1">
      <alignment vertical="center" wrapText="1"/>
    </xf>
    <xf numFmtId="0" fontId="13" fillId="3" borderId="1" xfId="0" applyFont="1" applyFill="1" applyBorder="1" applyAlignment="1">
      <alignment vertical="center" wrapText="1"/>
    </xf>
    <xf numFmtId="3" fontId="13" fillId="0" borderId="1" xfId="0" applyNumberFormat="1" applyFont="1" applyBorder="1" applyAlignment="1">
      <alignment vertical="center" wrapText="1"/>
    </xf>
    <xf numFmtId="0" fontId="13" fillId="3" borderId="1" xfId="0" applyFont="1" applyFill="1" applyBorder="1" applyAlignment="1">
      <alignment vertical="center" wrapText="1"/>
    </xf>
    <xf numFmtId="3" fontId="13" fillId="3" borderId="1" xfId="0" applyNumberFormat="1" applyFont="1" applyFill="1" applyBorder="1" applyAlignment="1">
      <alignment vertical="center" wrapText="1"/>
    </xf>
    <xf numFmtId="0" fontId="13" fillId="0" borderId="1" xfId="0" applyFont="1" applyBorder="1" applyAlignment="1">
      <alignment vertical="center" wrapText="1"/>
    </xf>
    <xf numFmtId="0" fontId="12" fillId="2" borderId="1" xfId="0" applyFont="1" applyFill="1" applyBorder="1" applyAlignment="1">
      <alignment horizontal="center" vertical="center" wrapText="1"/>
    </xf>
    <xf numFmtId="4" fontId="13" fillId="0" borderId="1" xfId="0" applyNumberFormat="1" applyFont="1" applyBorder="1" applyAlignment="1">
      <alignment vertical="center" wrapText="1"/>
    </xf>
    <xf numFmtId="4" fontId="13" fillId="3" borderId="1" xfId="0" applyNumberFormat="1" applyFont="1" applyFill="1" applyBorder="1" applyAlignment="1">
      <alignment vertical="center" wrapText="1"/>
    </xf>
    <xf numFmtId="0" fontId="14" fillId="2" borderId="8" xfId="0" applyFont="1" applyFill="1" applyBorder="1" applyAlignment="1">
      <alignment horizontal="center" vertical="center"/>
    </xf>
    <xf numFmtId="0" fontId="14" fillId="2" borderId="9" xfId="0" applyFont="1" applyFill="1" applyBorder="1" applyAlignment="1">
      <alignment horizontal="center" vertical="center"/>
    </xf>
    <xf numFmtId="0" fontId="14" fillId="2" borderId="1" xfId="0" applyFont="1" applyFill="1" applyBorder="1">
      <alignment vertical="center"/>
    </xf>
    <xf numFmtId="0" fontId="15" fillId="0" borderId="1" xfId="0" applyFont="1" applyBorder="1" applyAlignment="1">
      <alignment horizontal="center" vertical="center"/>
    </xf>
    <xf numFmtId="0" fontId="15" fillId="0" borderId="1" xfId="0" applyFont="1" applyBorder="1" applyAlignment="1">
      <alignment horizontal="center" vertical="center"/>
    </xf>
    <xf numFmtId="0" fontId="16" fillId="2" borderId="1" xfId="0" applyFont="1" applyFill="1" applyBorder="1">
      <alignment vertical="center"/>
    </xf>
    <xf numFmtId="0" fontId="11" fillId="2" borderId="1" xfId="0" applyFont="1"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3" borderId="1" xfId="0" applyFill="1" applyBorder="1" applyAlignment="1">
      <alignment vertical="center" wrapText="1"/>
    </xf>
    <xf numFmtId="0" fontId="0" fillId="3" borderId="1" xfId="0" applyFill="1" applyBorder="1" applyAlignment="1">
      <alignment horizontal="center" vertical="center" wrapText="1"/>
    </xf>
    <xf numFmtId="0" fontId="11" fillId="2" borderId="1" xfId="0" applyFont="1" applyFill="1" applyBorder="1" applyAlignment="1">
      <alignment horizontal="center" vertical="center"/>
    </xf>
    <xf numFmtId="0" fontId="0" fillId="0" borderId="0" xfId="0" applyAlignment="1">
      <alignment horizontal="center" vertical="center"/>
    </xf>
    <xf numFmtId="0" fontId="17" fillId="2" borderId="1" xfId="0" applyFont="1" applyFill="1" applyBorder="1">
      <alignment vertical="center"/>
    </xf>
    <xf numFmtId="0" fontId="18" fillId="0" borderId="1" xfId="0" applyFont="1" applyBorder="1" applyAlignment="1">
      <alignment horizontal="left" vertical="center"/>
    </xf>
    <xf numFmtId="0" fontId="19" fillId="0" borderId="1" xfId="0" applyFont="1" applyBorder="1" applyAlignment="1">
      <alignment horizontal="left" vertical="center" wrapText="1"/>
    </xf>
    <xf numFmtId="0" fontId="18" fillId="3" borderId="1" xfId="0" applyFont="1" applyFill="1" applyBorder="1" applyAlignment="1">
      <alignment horizontal="left" vertical="center"/>
    </xf>
    <xf numFmtId="0" fontId="19" fillId="3" borderId="1" xfId="0" applyFont="1" applyFill="1" applyBorder="1" applyAlignment="1">
      <alignment horizontal="left" vertical="center" wrapText="1"/>
    </xf>
    <xf numFmtId="0" fontId="20" fillId="0" borderId="0" xfId="0" applyFont="1" applyAlignment="1">
      <alignment horizontal="left" vertical="center" wrapText="1"/>
    </xf>
    <xf numFmtId="0" fontId="21" fillId="0" borderId="0" xfId="0" applyFont="1" applyAlignment="1">
      <alignment horizontal="left" vertical="center" wrapText="1"/>
    </xf>
    <xf numFmtId="0" fontId="0" fillId="0" borderId="0" xfId="0" applyAlignment="1">
      <alignment vertical="center"/>
    </xf>
    <xf numFmtId="0" fontId="22" fillId="2" borderId="1" xfId="0" applyFont="1" applyFill="1" applyBorder="1" applyAlignment="1">
      <alignment horizontal="center" vertical="center" wrapText="1"/>
    </xf>
    <xf numFmtId="0" fontId="20" fillId="0" borderId="1" xfId="0" applyFont="1" applyBorder="1" applyAlignment="1">
      <alignment horizontal="center" vertical="center" wrapText="1"/>
    </xf>
    <xf numFmtId="0" fontId="20" fillId="3" borderId="1" xfId="0" applyFont="1" applyFill="1" applyBorder="1" applyAlignment="1">
      <alignment horizontal="center" vertical="center" wrapText="1"/>
    </xf>
    <xf numFmtId="0" fontId="23" fillId="0" borderId="1" xfId="0" applyFont="1" applyBorder="1" applyAlignment="1">
      <alignment horizontal="center" vertical="center" wrapText="1"/>
    </xf>
    <xf numFmtId="0" fontId="21" fillId="0" borderId="10" xfId="0" applyFont="1" applyBorder="1" applyAlignment="1">
      <alignment horizontal="center" vertical="center" wrapText="1"/>
    </xf>
    <xf numFmtId="0" fontId="20" fillId="0" borderId="10" xfId="0" applyFont="1" applyBorder="1" applyAlignment="1">
      <alignment vertical="center" wrapText="1"/>
    </xf>
    <xf numFmtId="4" fontId="20" fillId="0" borderId="10" xfId="0" applyNumberFormat="1" applyFont="1" applyBorder="1" applyAlignment="1">
      <alignment vertical="center" wrapText="1"/>
    </xf>
    <xf numFmtId="9" fontId="20" fillId="0" borderId="10" xfId="0" applyNumberFormat="1" applyFont="1" applyBorder="1" applyAlignment="1">
      <alignment vertical="center" wrapText="1"/>
    </xf>
    <xf numFmtId="10" fontId="20" fillId="0" borderId="10" xfId="0" applyNumberFormat="1" applyFont="1" applyBorder="1" applyAlignment="1">
      <alignment vertical="center" wrapText="1"/>
    </xf>
    <xf numFmtId="0" fontId="0" fillId="0" borderId="1" xfId="0" applyBorder="1" applyAlignment="1">
      <alignment horizontal="center" vertical="center"/>
    </xf>
    <xf numFmtId="0" fontId="24" fillId="0" borderId="1" xfId="0" applyFont="1" applyBorder="1" applyAlignment="1">
      <alignment horizontal="center" vertical="center" wrapText="1"/>
    </xf>
    <xf numFmtId="0" fontId="0" fillId="4" borderId="1" xfId="0" applyFill="1" applyBorder="1">
      <alignment vertical="center"/>
    </xf>
    <xf numFmtId="0" fontId="0" fillId="4" borderId="1" xfId="0" applyFill="1" applyBorder="1" applyAlignment="1">
      <alignment horizontal="center" vertical="center"/>
    </xf>
    <xf numFmtId="0" fontId="24" fillId="4" borderId="1" xfId="0" applyFont="1" applyFill="1" applyBorder="1" applyAlignment="1">
      <alignment horizontal="center" vertical="center" wrapText="1"/>
    </xf>
    <xf numFmtId="0" fontId="24" fillId="4" borderId="1" xfId="0" applyFont="1" applyFill="1" applyBorder="1" applyAlignment="1">
      <alignment horizontal="center" vertical="center"/>
    </xf>
    <xf numFmtId="0" fontId="24" fillId="0" borderId="1" xfId="0" applyFont="1" applyBorder="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zh-CN" altLang="en-US"/>
              <a:t>全球碳化硅晶圆生产</a:t>
            </a:r>
            <a:r>
              <a:t>市占率</a:t>
            </a:r>
          </a:p>
        </c:rich>
      </c:tx>
      <c:layout/>
      <c:overlay val="0"/>
      <c:spPr>
        <a:noFill/>
        <a:ln>
          <a:noFill/>
        </a:ln>
        <a:effectLst/>
      </c:spPr>
    </c:title>
    <c:autoTitleDeleted val="0"/>
    <c:plotArea>
      <c:layout/>
      <c:barChart>
        <c:barDir val="col"/>
        <c:grouping val="clustered"/>
        <c:varyColors val="0"/>
        <c:ser>
          <c:idx val="0"/>
          <c:order val="0"/>
          <c:tx>
            <c:strRef>
              <c:f>碳化硅晶圆格局!$B$2</c:f>
              <c:strCache>
                <c:ptCount val="1"/>
                <c:pt idx="0">
                  <c:v>市占率</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碳化硅晶圆格局!$A$3:$A$11</c:f>
              <c:strCache>
                <c:ptCount val="9"/>
                <c:pt idx="0">
                  <c:v>科睿</c:v>
                </c:pt>
                <c:pt idx="1">
                  <c:v>II-VI</c:v>
                </c:pt>
                <c:pt idx="2">
                  <c:v>SiCrystal-罗姆</c:v>
                </c:pt>
                <c:pt idx="3">
                  <c:v>Dow</c:v>
                </c:pt>
                <c:pt idx="4">
                  <c:v>Showa Denko</c:v>
                </c:pt>
                <c:pt idx="5">
                  <c:v>Norstel</c:v>
                </c:pt>
                <c:pt idx="6">
                  <c:v>天科合达</c:v>
                </c:pt>
                <c:pt idx="7">
                  <c:v>山东天岳</c:v>
                </c:pt>
                <c:pt idx="8">
                  <c:v>其他</c:v>
                </c:pt>
              </c:strCache>
            </c:strRef>
          </c:cat>
          <c:val>
            <c:numRef>
              <c:f>碳化硅晶圆格局!$B$3:$B$11</c:f>
              <c:numCache>
                <c:formatCode>0%</c:formatCode>
                <c:ptCount val="9"/>
                <c:pt idx="0">
                  <c:v>0.62</c:v>
                </c:pt>
                <c:pt idx="1">
                  <c:v>0.16</c:v>
                </c:pt>
                <c:pt idx="2">
                  <c:v>0.12</c:v>
                </c:pt>
                <c:pt idx="3">
                  <c:v>0.04</c:v>
                </c:pt>
                <c:pt idx="4">
                  <c:v>0.02</c:v>
                </c:pt>
                <c:pt idx="5" c:formatCode="0.00%">
                  <c:v>0.005</c:v>
                </c:pt>
                <c:pt idx="6" c:formatCode="0.00%">
                  <c:v>0.017</c:v>
                </c:pt>
                <c:pt idx="7" c:formatCode="0.00%">
                  <c:v>0.005</c:v>
                </c:pt>
                <c:pt idx="8" c:formatCode="0.00%">
                  <c:v>0.013</c:v>
                </c:pt>
              </c:numCache>
            </c:numRef>
          </c:val>
        </c:ser>
        <c:dLbls>
          <c:showLegendKey val="0"/>
          <c:showVal val="1"/>
          <c:showCatName val="0"/>
          <c:showSerName val="0"/>
          <c:showPercent val="0"/>
          <c:showBubbleSize val="0"/>
        </c:dLbls>
        <c:gapWidth val="219"/>
        <c:overlap val="-27"/>
        <c:axId val="218346827"/>
        <c:axId val="159413366"/>
      </c:barChart>
      <c:catAx>
        <c:axId val="2183468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9413366"/>
        <c:crosses val="autoZero"/>
        <c:auto val="1"/>
        <c:lblAlgn val="ctr"/>
        <c:lblOffset val="100"/>
        <c:noMultiLvlLbl val="0"/>
      </c:catAx>
      <c:valAx>
        <c:axId val="15941336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183468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zh-CN" altLang="en-US"/>
              <a:t>国内碳化硅衬底各产品</a:t>
            </a:r>
            <a:r>
              <a:t>产能（万片/年）</a:t>
            </a:r>
          </a:p>
        </c:rich>
      </c:tx>
      <c:layout>
        <c:manualLayout>
          <c:xMode val="edge"/>
          <c:yMode val="edge"/>
          <c:x val="0.17327490261547"/>
          <c:y val="0.0330097087378641"/>
        </c:manualLayout>
      </c:layout>
      <c:overlay val="0"/>
      <c:spPr>
        <a:noFill/>
        <a:ln>
          <a:noFill/>
        </a:ln>
        <a:effectLst/>
      </c:spPr>
    </c:title>
    <c:autoTitleDeleted val="0"/>
    <c:plotArea>
      <c:layout/>
      <c:barChart>
        <c:barDir val="col"/>
        <c:grouping val="clustered"/>
        <c:varyColors val="0"/>
        <c:ser>
          <c:idx val="0"/>
          <c:order val="0"/>
          <c:tx>
            <c:strRef>
              <c:f>碳化硅国内产能!$C$2</c:f>
              <c:strCache>
                <c:ptCount val="1"/>
                <c:pt idx="0">
                  <c:v>产能（万片/年）</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碳化硅国内产能!$A$3:$B$6</c:f>
              <c:multiLvlStrCache>
                <c:ptCount val="4"/>
                <c:lvl>
                  <c:pt idx="0">
                    <c:v>导电型</c:v>
                  </c:pt>
                  <c:pt idx="1">
                    <c:v>半绝缘</c:v>
                  </c:pt>
                  <c:pt idx="2">
                    <c:v>晶片</c:v>
                  </c:pt>
                  <c:pt idx="3">
                    <c:v>器件</c:v>
                  </c:pt>
                </c:lvl>
                <c:lvl>
                  <c:pt idx="0">
                    <c:v>SiC衬底</c:v>
                  </c:pt>
                  <c:pt idx="2">
                    <c:v>SiC衬底GaN外延片</c:v>
                  </c:pt>
                </c:lvl>
              </c:multiLvlStrCache>
            </c:multiLvlStrRef>
          </c:cat>
          <c:val>
            <c:numRef>
              <c:f>碳化硅国内产能!$C$3:$C$6</c:f>
              <c:numCache>
                <c:formatCode>General</c:formatCode>
                <c:ptCount val="4"/>
                <c:pt idx="0">
                  <c:v>50</c:v>
                </c:pt>
                <c:pt idx="1">
                  <c:v>20</c:v>
                </c:pt>
                <c:pt idx="2">
                  <c:v>10</c:v>
                </c:pt>
                <c:pt idx="3">
                  <c:v>8</c:v>
                </c:pt>
              </c:numCache>
            </c:numRef>
          </c:val>
        </c:ser>
        <c:dLbls>
          <c:showLegendKey val="0"/>
          <c:showVal val="1"/>
          <c:showCatName val="0"/>
          <c:showSerName val="0"/>
          <c:showPercent val="0"/>
          <c:showBubbleSize val="0"/>
        </c:dLbls>
        <c:gapWidth val="219"/>
        <c:overlap val="-27"/>
        <c:axId val="493597558"/>
        <c:axId val="408462868"/>
      </c:barChart>
      <c:catAx>
        <c:axId val="49359755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08462868"/>
        <c:crosses val="autoZero"/>
        <c:auto val="1"/>
        <c:lblAlgn val="ctr"/>
        <c:lblOffset val="100"/>
        <c:noMultiLvlLbl val="0"/>
      </c:catAx>
      <c:valAx>
        <c:axId val="4084628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9359755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2020</a:t>
            </a:r>
            <a:r>
              <a:rPr lang="zh-CN" altLang="en-US"/>
              <a:t>年半年报露笑科技营收占比</a:t>
            </a:r>
          </a:p>
        </c:rich>
      </c:tx>
      <c:layout>
        <c:manualLayout>
          <c:xMode val="edge"/>
          <c:yMode val="edge"/>
          <c:x val="0.231578233138825"/>
          <c:y val="0.0447530864197531"/>
        </c:manualLayout>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0.16275738123766"/>
                  <c:y val="-0.0397412748708003"/>
                </c:manualLayout>
              </c:layout>
              <c:tx>
                <c:rich>
                  <a:bodyPr rot="0" spcFirstLastPara="0" vertOverflow="ellipsis" vert="horz" wrap="square" lIns="38100" tIns="19050" rIns="38100" bIns="19050" anchor="ctr" anchorCtr="1"/>
                  <a:lstStyle/>
                  <a:p>
                    <a:pPr defTabSz="914400">
                      <a:defRPr lang="en-US" sz="1400" b="1" i="0" u="none" strike="noStrike" kern="1200" baseline="0">
                        <a:solidFill>
                          <a:schemeClr val="tx1">
                            <a:lumMod val="75000"/>
                            <a:lumOff val="25000"/>
                          </a:schemeClr>
                        </a:solidFill>
                        <a:effectLst/>
                        <a:latin typeface="+mn-lt"/>
                        <a:ea typeface="+mn-ea"/>
                        <a:cs typeface="+mn-cs"/>
                      </a:defRPr>
                    </a:pPr>
                    <a:r>
                      <a:rPr sz="1400" b="1">
                        <a:solidFill>
                          <a:schemeClr val="tx1">
                            <a:lumMod val="75000"/>
                            <a:lumOff val="25000"/>
                          </a:schemeClr>
                        </a:solidFill>
                        <a:effectLst/>
                      </a:rPr>
                      <a:t>55.9%</a:t>
                    </a:r>
                    <a:endParaRPr lang="zh-CN" altLang="en-US" sz="1400" b="1">
                      <a:solidFill>
                        <a:schemeClr val="tx1">
                          <a:lumMod val="75000"/>
                          <a:lumOff val="25000"/>
                        </a:schemeClr>
                      </a:solidFill>
                      <a:effectLst/>
                    </a:endParaRPr>
                  </a:p>
                </c:rich>
              </c:tx>
              <c:dLblPos val="bestFit"/>
              <c:showLegendKey val="0"/>
              <c:showVal val="1"/>
              <c:showCatName val="0"/>
              <c:showSerName val="0"/>
              <c:showPercent val="0"/>
              <c:showBubbleSize val="0"/>
              <c:extLst>
                <c:ext xmlns:c15="http://schemas.microsoft.com/office/drawing/2012/chart" uri="{CE6537A1-D6FC-4f65-9D91-7224C49458BB}">
                  <c15:layout/>
                </c:ext>
              </c:extLst>
            </c:dLbl>
            <c:dLbl>
              <c:idx val="1"/>
              <c:layout/>
              <c:tx>
                <c:rich>
                  <a:bodyPr rot="0" spcFirstLastPara="0" vertOverflow="ellipsis" vert="horz" wrap="square" lIns="38100" tIns="19050" rIns="38100" bIns="19050" anchor="ctr" anchorCtr="1"/>
                  <a:lstStyle/>
                  <a:p>
                    <a:pPr defTabSz="914400">
                      <a:defRPr lang="en-US" sz="1400" b="1" i="0" u="none" strike="noStrike" kern="1200" baseline="0">
                        <a:solidFill>
                          <a:schemeClr val="tx1">
                            <a:lumMod val="75000"/>
                            <a:lumOff val="25000"/>
                          </a:schemeClr>
                        </a:solidFill>
                        <a:effectLst/>
                        <a:latin typeface="+mn-lt"/>
                        <a:ea typeface="+mn-ea"/>
                        <a:cs typeface="+mn-cs"/>
                      </a:defRPr>
                    </a:pPr>
                    <a:r>
                      <a:rPr sz="1400" b="1">
                        <a:solidFill>
                          <a:schemeClr val="tx1">
                            <a:lumMod val="75000"/>
                            <a:lumOff val="25000"/>
                          </a:schemeClr>
                        </a:solidFill>
                        <a:effectLst/>
                      </a:rPr>
                      <a:t>27.8%</a:t>
                    </a:r>
                    <a:endParaRPr sz="1400" b="1">
                      <a:solidFill>
                        <a:schemeClr val="tx1">
                          <a:lumMod val="75000"/>
                          <a:lumOff val="25000"/>
                        </a:schemeClr>
                      </a:solidFill>
                      <a:effectLst/>
                    </a:endParaRPr>
                  </a:p>
                </c:rich>
              </c:tx>
              <c:dLblPos val="bestFit"/>
              <c:showLegendKey val="0"/>
              <c:showVal val="1"/>
              <c:showCatName val="0"/>
              <c:showSerName val="0"/>
              <c:showPercent val="0"/>
              <c:showBubbleSize val="0"/>
              <c:extLst>
                <c:ext xmlns:c15="http://schemas.microsoft.com/office/drawing/2012/chart" uri="{CE6537A1-D6FC-4f65-9D91-7224C49458BB}"/>
              </c:extLst>
            </c:dLbl>
            <c:dLbl>
              <c:idx val="2"/>
              <c:layout/>
              <c:tx>
                <c:rich>
                  <a:bodyPr rot="0" spcFirstLastPara="0" vertOverflow="ellipsis" vert="horz" wrap="square" lIns="38100" tIns="19050" rIns="38100" bIns="19050" anchor="ctr" anchorCtr="1"/>
                  <a:lstStyle/>
                  <a:p>
                    <a:pPr defTabSz="914400">
                      <a:defRPr lang="en-US" sz="1400" b="1" i="0" u="none" strike="noStrike" kern="1200" baseline="0">
                        <a:solidFill>
                          <a:schemeClr val="tx1">
                            <a:lumMod val="75000"/>
                            <a:lumOff val="25000"/>
                          </a:schemeClr>
                        </a:solidFill>
                        <a:effectLst/>
                        <a:latin typeface="+mn-lt"/>
                        <a:ea typeface="+mn-ea"/>
                        <a:cs typeface="+mn-cs"/>
                      </a:defRPr>
                    </a:pPr>
                    <a:r>
                      <a:rPr sz="1400" b="1">
                        <a:solidFill>
                          <a:schemeClr val="tx1">
                            <a:lumMod val="75000"/>
                            <a:lumOff val="25000"/>
                          </a:schemeClr>
                        </a:solidFill>
                        <a:effectLst/>
                      </a:rPr>
                      <a:t>1.4%</a:t>
                    </a:r>
                    <a:endParaRPr sz="1400" b="1">
                      <a:solidFill>
                        <a:schemeClr val="tx1">
                          <a:lumMod val="75000"/>
                          <a:lumOff val="25000"/>
                        </a:schemeClr>
                      </a:solidFill>
                      <a:effectLst/>
                    </a:endParaRPr>
                  </a:p>
                </c:rich>
              </c:tx>
              <c:dLblPos val="bestFit"/>
              <c:showLegendKey val="0"/>
              <c:showVal val="1"/>
              <c:showCatName val="0"/>
              <c:showSerName val="0"/>
              <c:showPercent val="0"/>
              <c:showBubbleSize val="0"/>
              <c:extLst>
                <c:ext xmlns:c15="http://schemas.microsoft.com/office/drawing/2012/chart" uri="{CE6537A1-D6FC-4f65-9D91-7224C49458BB}"/>
              </c:extLst>
            </c:dLbl>
            <c:dLbl>
              <c:idx val="3"/>
              <c:layout>
                <c:manualLayout>
                  <c:x val="0.0382433979363311"/>
                  <c:y val="0.0825265420602308"/>
                </c:manualLayout>
              </c:layout>
              <c:tx>
                <c:rich>
                  <a:bodyPr rot="0" spcFirstLastPara="0" vertOverflow="ellipsis" vert="horz" wrap="square" lIns="38100" tIns="19050" rIns="38100" bIns="19050" anchor="ctr" anchorCtr="1"/>
                  <a:lstStyle/>
                  <a:p>
                    <a:pPr defTabSz="914400">
                      <a:defRPr lang="en-US" sz="1400" b="1" i="0" u="none" strike="noStrike" kern="1200" baseline="0">
                        <a:solidFill>
                          <a:schemeClr val="tx1">
                            <a:lumMod val="75000"/>
                            <a:lumOff val="25000"/>
                          </a:schemeClr>
                        </a:solidFill>
                        <a:effectLst/>
                        <a:latin typeface="+mn-lt"/>
                        <a:ea typeface="+mn-ea"/>
                        <a:cs typeface="+mn-cs"/>
                      </a:defRPr>
                    </a:pPr>
                    <a:r>
                      <a:rPr sz="1400" b="1">
                        <a:solidFill>
                          <a:schemeClr val="tx1">
                            <a:lumMod val="75000"/>
                            <a:lumOff val="25000"/>
                          </a:schemeClr>
                        </a:solidFill>
                        <a:effectLst/>
                      </a:rPr>
                      <a:t>13.6%</a:t>
                    </a:r>
                    <a:endParaRPr sz="1400" b="1">
                      <a:solidFill>
                        <a:schemeClr val="tx1">
                          <a:lumMod val="75000"/>
                          <a:lumOff val="25000"/>
                        </a:schemeClr>
                      </a:solidFill>
                      <a:effectLst/>
                    </a:endParaRPr>
                  </a:p>
                </c:rich>
              </c:tx>
              <c:dLblPos val="bestFi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en-US" sz="1400" b="1" i="0" u="none" strike="noStrike" kern="1200" baseline="0">
                    <a:solidFill>
                      <a:schemeClr val="tx1">
                        <a:lumMod val="75000"/>
                        <a:lumOff val="25000"/>
                      </a:schemeClr>
                    </a:solidFill>
                    <a:effectLst/>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公司2020H1营收!$A$10:$A$13</c:f>
              <c:strCache>
                <c:ptCount val="4"/>
                <c:pt idx="0">
                  <c:v>漆包线</c:v>
                </c:pt>
                <c:pt idx="1">
                  <c:v>光伏发电</c:v>
                </c:pt>
                <c:pt idx="2">
                  <c:v>长晶设备</c:v>
                </c:pt>
                <c:pt idx="3">
                  <c:v>其他业务</c:v>
                </c:pt>
              </c:strCache>
            </c:strRef>
          </c:cat>
          <c:val>
            <c:numRef>
              <c:f>公司2020H1营收!$B$10:$B$13</c:f>
              <c:numCache>
                <c:formatCode>#,##0.00</c:formatCode>
                <c:ptCount val="4"/>
                <c:pt idx="0">
                  <c:v>639811320.02</c:v>
                </c:pt>
                <c:pt idx="1">
                  <c:v>317925100.64</c:v>
                </c:pt>
                <c:pt idx="2">
                  <c:v>30796460</c:v>
                </c:pt>
                <c:pt idx="3">
                  <c:v>156018252.35</c:v>
                </c:pt>
              </c:numCache>
            </c:numRef>
          </c:val>
        </c:ser>
        <c:ser>
          <c:idx val="1"/>
          <c:order val="1"/>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公司2020H1营收!$A$10:$A$13</c:f>
              <c:strCache>
                <c:ptCount val="4"/>
                <c:pt idx="0">
                  <c:v>漆包线</c:v>
                </c:pt>
                <c:pt idx="1">
                  <c:v>光伏发电</c:v>
                </c:pt>
                <c:pt idx="2">
                  <c:v>长晶设备</c:v>
                </c:pt>
                <c:pt idx="3">
                  <c:v>其他业务</c:v>
                </c:pt>
              </c:strCache>
            </c:strRef>
          </c:cat>
          <c:val>
            <c:numRef>
              <c:f>公司2020H1营收!$C$10:$C$13</c:f>
              <c:numCache>
                <c:formatCode>0.00%</c:formatCode>
                <c:ptCount val="4"/>
                <c:pt idx="0">
                  <c:v>0.559</c:v>
                </c:pt>
                <c:pt idx="1">
                  <c:v>0.2778</c:v>
                </c:pt>
                <c:pt idx="2">
                  <c:v>0.0269</c:v>
                </c:pt>
                <c:pt idx="3">
                  <c:v>0.031</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b"/>
      <c:legendEntry>
        <c:idx val="0"/>
        <c:txPr>
          <a:bodyPr rot="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legendEntry>
      <c:legendEntry>
        <c:idx val="1"/>
        <c:txPr>
          <a:bodyPr rot="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legendEntry>
      <c:legendEntry>
        <c:idx val="2"/>
        <c:txPr>
          <a:bodyPr rot="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legendEntry>
      <c:legendEntry>
        <c:idx val="3"/>
        <c:txPr>
          <a:bodyPr rot="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legendEntry>
      <c:layout>
        <c:manualLayout>
          <c:xMode val="edge"/>
          <c:yMode val="edge"/>
          <c:x val="0.0269611163798943"/>
          <c:y val="0.876146788990826"/>
          <c:w val="0.950684189134264"/>
          <c:h val="0.103465851172273"/>
        </c:manualLayout>
      </c:layout>
      <c:overlay val="0"/>
      <c:spPr>
        <a:noFill/>
        <a:ln>
          <a:noFill/>
        </a:ln>
        <a:effectLst/>
      </c:spPr>
      <c:txPr>
        <a:bodyPr rot="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spc="0" baseline="0">
                <a:solidFill>
                  <a:schemeClr val="tx1">
                    <a:lumMod val="65000"/>
                    <a:lumOff val="35000"/>
                  </a:schemeClr>
                </a:solidFill>
                <a:latin typeface="+mn-lt"/>
                <a:ea typeface="+mn-ea"/>
                <a:cs typeface="+mn-cs"/>
              </a:defRPr>
            </a:pPr>
            <a:r>
              <a:rPr lang="zh-CN" altLang="en-US" b="1"/>
              <a:t>露笑科技营业收入</a:t>
            </a:r>
            <a:r>
              <a:rPr altLang="zh-CN" b="1"/>
              <a:t>(</a:t>
            </a:r>
            <a:r>
              <a:rPr lang="zh-CN" altLang="en-US" b="1"/>
              <a:t>亿元</a:t>
            </a:r>
            <a:r>
              <a:rPr altLang="zh-CN" b="1"/>
              <a:t>)</a:t>
            </a:r>
            <a:endParaRPr altLang="zh-CN" b="1"/>
          </a:p>
        </c:rich>
      </c:tx>
      <c:layout/>
      <c:overlay val="0"/>
      <c:spPr>
        <a:noFill/>
        <a:ln>
          <a:noFill/>
        </a:ln>
        <a:effectLst/>
      </c:spPr>
    </c:title>
    <c:autoTitleDeleted val="0"/>
    <c:plotArea>
      <c:layout/>
      <c:barChart>
        <c:barDir val="col"/>
        <c:grouping val="clustered"/>
        <c:varyColors val="0"/>
        <c:ser>
          <c:idx val="0"/>
          <c:order val="0"/>
          <c:tx>
            <c:strRef>
              <c:f>营收分析!$A$2</c:f>
              <c:strCache>
                <c:ptCount val="1"/>
                <c:pt idx="0">
                  <c:v>营业收入</c:v>
                </c:pt>
              </c:strCache>
            </c:strRef>
          </c:tx>
          <c:spPr>
            <a:solidFill>
              <a:schemeClr val="accent1"/>
            </a:solidFill>
            <a:ln>
              <a:noFill/>
            </a:ln>
            <a:effectLst/>
          </c:spPr>
          <c:invertIfNegative val="0"/>
          <c:dLbls>
            <c:numFmt formatCode="#,##0.0_);[Red]\(#,##0.0\)" sourceLinked="0"/>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营收分析!$B$1:$E$1</c:f>
              <c:strCache>
                <c:ptCount val="4"/>
                <c:pt idx="0">
                  <c:v>2017</c:v>
                </c:pt>
                <c:pt idx="1">
                  <c:v>2018</c:v>
                </c:pt>
                <c:pt idx="2">
                  <c:v>2019</c:v>
                </c:pt>
                <c:pt idx="3">
                  <c:v>2020三季度</c:v>
                </c:pt>
              </c:strCache>
            </c:strRef>
          </c:cat>
          <c:val>
            <c:numRef>
              <c:f>营收分析!$B$2:$E$2</c:f>
              <c:numCache>
                <c:formatCode>General</c:formatCode>
                <c:ptCount val="4"/>
                <c:pt idx="0">
                  <c:v>32.448345</c:v>
                </c:pt>
                <c:pt idx="1">
                  <c:v>30.200288</c:v>
                </c:pt>
                <c:pt idx="2">
                  <c:v>24.521333</c:v>
                </c:pt>
                <c:pt idx="3">
                  <c:v>19.125326</c:v>
                </c:pt>
              </c:numCache>
            </c:numRef>
          </c:val>
        </c:ser>
        <c:dLbls>
          <c:showLegendKey val="0"/>
          <c:showVal val="1"/>
          <c:showCatName val="0"/>
          <c:showSerName val="0"/>
          <c:showPercent val="0"/>
          <c:showBubbleSize val="0"/>
        </c:dLbls>
        <c:gapWidth val="219"/>
        <c:overlap val="-27"/>
        <c:axId val="989311968"/>
        <c:axId val="167856873"/>
      </c:barChart>
      <c:lineChart>
        <c:grouping val="standard"/>
        <c:varyColors val="0"/>
        <c:ser>
          <c:idx val="1"/>
          <c:order val="1"/>
          <c:tx>
            <c:strRef>
              <c:f>营收分析!$A$3</c:f>
              <c:strCache>
                <c:ptCount val="1"/>
                <c:pt idx="0">
                  <c:v>增速</c:v>
                </c:pt>
              </c:strCache>
            </c:strRef>
          </c:tx>
          <c:spPr>
            <a:ln w="28575" cap="rnd">
              <a:solidFill>
                <a:schemeClr val="accent2"/>
              </a:solidFill>
              <a:round/>
            </a:ln>
            <a:effectLst/>
          </c:spPr>
          <c:marker>
            <c:symbol val="none"/>
          </c:marker>
          <c:dLbls>
            <c:dLbl>
              <c:idx val="0"/>
              <c:layout>
                <c:manualLayout>
                  <c:x val="0.0230459530751076"/>
                  <c:y val="0.0932554175797419"/>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122174709835064"/>
                  <c:y val="0.0502714659159461"/>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163714111178986"/>
                  <c:y val="0.0166901266840941"/>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营收分析!$B$1:$E$1</c:f>
              <c:strCache>
                <c:ptCount val="4"/>
                <c:pt idx="0">
                  <c:v>2017</c:v>
                </c:pt>
                <c:pt idx="1">
                  <c:v>2018</c:v>
                </c:pt>
                <c:pt idx="2">
                  <c:v>2019</c:v>
                </c:pt>
                <c:pt idx="3">
                  <c:v>2020三季度</c:v>
                </c:pt>
              </c:strCache>
            </c:strRef>
          </c:cat>
          <c:val>
            <c:numRef>
              <c:f>营收分析!$B$3:$E$3</c:f>
              <c:numCache>
                <c:formatCode>0%</c:formatCode>
                <c:ptCount val="4"/>
                <c:pt idx="0">
                  <c:v>1.32</c:v>
                </c:pt>
                <c:pt idx="1">
                  <c:v>-0.069281098928158</c:v>
                </c:pt>
                <c:pt idx="2">
                  <c:v>-0.188043074291212</c:v>
                </c:pt>
                <c:pt idx="3" c:formatCode="0.00%">
                  <c:v>0.0357</c:v>
                </c:pt>
              </c:numCache>
            </c:numRef>
          </c:val>
          <c:smooth val="0"/>
        </c:ser>
        <c:dLbls>
          <c:showLegendKey val="0"/>
          <c:showVal val="1"/>
          <c:showCatName val="0"/>
          <c:showSerName val="0"/>
          <c:showPercent val="0"/>
          <c:showBubbleSize val="0"/>
        </c:dLbls>
        <c:marker val="0"/>
        <c:smooth val="0"/>
        <c:axId val="539259501"/>
        <c:axId val="278145665"/>
      </c:lineChart>
      <c:catAx>
        <c:axId val="9893119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67856873"/>
        <c:crosses val="autoZero"/>
        <c:auto val="1"/>
        <c:lblAlgn val="ctr"/>
        <c:lblOffset val="100"/>
        <c:noMultiLvlLbl val="0"/>
      </c:catAx>
      <c:valAx>
        <c:axId val="16785687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89311968"/>
        <c:crosses val="autoZero"/>
        <c:crossBetween val="between"/>
      </c:valAx>
      <c:catAx>
        <c:axId val="539259501"/>
        <c:scaling>
          <c:orientation val="minMax"/>
        </c:scaling>
        <c:delete val="1"/>
        <c:axPos val="b"/>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78145665"/>
        <c:crosses val="autoZero"/>
        <c:auto val="1"/>
        <c:lblAlgn val="ctr"/>
        <c:lblOffset val="100"/>
        <c:noMultiLvlLbl val="0"/>
      </c:catAx>
      <c:valAx>
        <c:axId val="278145665"/>
        <c:scaling>
          <c:orientation val="minMax"/>
        </c:scaling>
        <c:delete val="0"/>
        <c:axPos val="r"/>
        <c:numFmt formatCode="0%" sourceLinked="1"/>
        <c:majorTickMark val="out"/>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39259501"/>
        <c:crosses val="max"/>
        <c:crossBetween val="between"/>
      </c:valAx>
      <c:spPr>
        <a:noFill/>
        <a:ln>
          <a:noFill/>
        </a:ln>
        <a:effectLst/>
      </c:spPr>
    </c:plotArea>
    <c:legend>
      <c:legendPos val="b"/>
      <c:legendEntry>
        <c:idx val="0"/>
        <c:txPr>
          <a:bodyPr rot="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legendEntry>
      <c:legendEntry>
        <c:idx val="1"/>
        <c:txPr>
          <a:bodyPr rot="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spc="0" baseline="0">
                <a:solidFill>
                  <a:schemeClr val="tx1">
                    <a:lumMod val="65000"/>
                    <a:lumOff val="35000"/>
                  </a:schemeClr>
                </a:solidFill>
                <a:latin typeface="+mn-lt"/>
                <a:ea typeface="+mn-ea"/>
                <a:cs typeface="+mn-cs"/>
              </a:defRPr>
            </a:pPr>
            <a:r>
              <a:rPr lang="zh-CN" altLang="en-US" b="1"/>
              <a:t>露笑科技</a:t>
            </a:r>
            <a:r>
              <a:rPr b="1"/>
              <a:t>净利润</a:t>
            </a:r>
            <a:r>
              <a:rPr lang="zh-CN" altLang="en-US" b="1"/>
              <a:t>情况</a:t>
            </a:r>
            <a:r>
              <a:rPr altLang="zh-CN" b="1"/>
              <a:t>(</a:t>
            </a:r>
            <a:r>
              <a:rPr lang="zh-CN" altLang="en-US" b="1"/>
              <a:t>亿元</a:t>
            </a:r>
            <a:r>
              <a:rPr altLang="zh-CN" b="1"/>
              <a:t>)</a:t>
            </a:r>
            <a:endParaRPr altLang="zh-CN" b="1"/>
          </a:p>
        </c:rich>
      </c:tx>
      <c:layout/>
      <c:overlay val="0"/>
      <c:spPr>
        <a:noFill/>
        <a:ln>
          <a:noFill/>
        </a:ln>
        <a:effectLst/>
      </c:spPr>
    </c:title>
    <c:autoTitleDeleted val="0"/>
    <c:plotArea>
      <c:layout/>
      <c:barChart>
        <c:barDir val="col"/>
        <c:grouping val="clustered"/>
        <c:varyColors val="0"/>
        <c:ser>
          <c:idx val="0"/>
          <c:order val="0"/>
          <c:tx>
            <c:strRef>
              <c:f>净利润分析!$A$2</c:f>
              <c:strCache>
                <c:ptCount val="1"/>
                <c:pt idx="0">
                  <c:v>净利润</c:v>
                </c:pt>
              </c:strCache>
            </c:strRef>
          </c:tx>
          <c:spPr>
            <a:solidFill>
              <a:schemeClr val="accent1"/>
            </a:solidFill>
            <a:ln>
              <a:noFill/>
            </a:ln>
            <a:effectLst/>
          </c:spPr>
          <c:invertIfNegative val="0"/>
          <c:dLbls>
            <c:numFmt formatCode="#,##0.0_);[Red]\(#,##0.0\)" sourceLinked="0"/>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净利润分析!$B$1:$E$1</c:f>
              <c:strCache>
                <c:ptCount val="4"/>
                <c:pt idx="0">
                  <c:v>2017</c:v>
                </c:pt>
                <c:pt idx="1">
                  <c:v>2018</c:v>
                </c:pt>
                <c:pt idx="2">
                  <c:v>2019</c:v>
                </c:pt>
                <c:pt idx="3">
                  <c:v>2020三季度</c:v>
                </c:pt>
              </c:strCache>
            </c:strRef>
          </c:cat>
          <c:val>
            <c:numRef>
              <c:f>净利润分析!$B$2:$E$2</c:f>
              <c:numCache>
                <c:formatCode>General</c:formatCode>
                <c:ptCount val="4"/>
                <c:pt idx="0">
                  <c:v>3.083894</c:v>
                </c:pt>
                <c:pt idx="1">
                  <c:v>-9.732196</c:v>
                </c:pt>
                <c:pt idx="2">
                  <c:v>0.361699</c:v>
                </c:pt>
                <c:pt idx="3">
                  <c:v>1.909779</c:v>
                </c:pt>
              </c:numCache>
            </c:numRef>
          </c:val>
        </c:ser>
        <c:dLbls>
          <c:showLegendKey val="0"/>
          <c:showVal val="1"/>
          <c:showCatName val="0"/>
          <c:showSerName val="0"/>
          <c:showPercent val="0"/>
          <c:showBubbleSize val="0"/>
        </c:dLbls>
        <c:gapWidth val="219"/>
        <c:overlap val="-27"/>
        <c:axId val="173774566"/>
        <c:axId val="560335627"/>
      </c:barChart>
      <c:catAx>
        <c:axId val="17377456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60335627"/>
        <c:crosses val="autoZero"/>
        <c:auto val="1"/>
        <c:lblAlgn val="ctr"/>
        <c:lblOffset val="100"/>
        <c:noMultiLvlLbl val="0"/>
      </c:catAx>
      <c:valAx>
        <c:axId val="5603356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7377456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spc="0" baseline="0">
                <a:solidFill>
                  <a:schemeClr val="tx1">
                    <a:lumMod val="65000"/>
                    <a:lumOff val="35000"/>
                  </a:schemeClr>
                </a:solidFill>
                <a:latin typeface="+mn-lt"/>
                <a:ea typeface="+mn-ea"/>
                <a:cs typeface="+mn-cs"/>
              </a:defRPr>
            </a:pPr>
            <a:r>
              <a:rPr lang="zh-CN" altLang="en-US" b="1"/>
              <a:t>露笑科技近年毛利率、净利率</a:t>
            </a:r>
            <a:endParaRPr b="1"/>
          </a:p>
        </c:rich>
      </c:tx>
      <c:layout/>
      <c:overlay val="0"/>
      <c:spPr>
        <a:noFill/>
        <a:ln>
          <a:noFill/>
        </a:ln>
        <a:effectLst/>
      </c:spPr>
    </c:title>
    <c:autoTitleDeleted val="0"/>
    <c:plotArea>
      <c:layout/>
      <c:lineChart>
        <c:grouping val="standard"/>
        <c:varyColors val="0"/>
        <c:ser>
          <c:idx val="0"/>
          <c:order val="0"/>
          <c:tx>
            <c:strRef>
              <c:f>毛利率、净利率!$A$2</c:f>
              <c:strCache>
                <c:ptCount val="1"/>
                <c:pt idx="0">
                  <c:v>毛利率</c:v>
                </c:pt>
              </c:strCache>
            </c:strRef>
          </c:tx>
          <c:spPr>
            <a:ln w="28575" cap="rnd">
              <a:solidFill>
                <a:schemeClr val="accent1"/>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毛利率、净利率!$B$1:$E$1</c:f>
              <c:strCache>
                <c:ptCount val="4"/>
                <c:pt idx="0">
                  <c:v>2017</c:v>
                </c:pt>
                <c:pt idx="1">
                  <c:v>2018</c:v>
                </c:pt>
                <c:pt idx="2">
                  <c:v>2019</c:v>
                </c:pt>
                <c:pt idx="3">
                  <c:v>2020Q3</c:v>
                </c:pt>
              </c:strCache>
            </c:strRef>
          </c:cat>
          <c:val>
            <c:numRef>
              <c:f>毛利率、净利率!$B$2:$E$2</c:f>
              <c:numCache>
                <c:formatCode>0.00%</c:formatCode>
                <c:ptCount val="4"/>
                <c:pt idx="0">
                  <c:v>0.1874</c:v>
                </c:pt>
                <c:pt idx="1">
                  <c:v>0.1395</c:v>
                </c:pt>
                <c:pt idx="2">
                  <c:v>0.2242</c:v>
                </c:pt>
                <c:pt idx="3">
                  <c:v>0.2233</c:v>
                </c:pt>
              </c:numCache>
            </c:numRef>
          </c:val>
          <c:smooth val="0"/>
        </c:ser>
        <c:ser>
          <c:idx val="1"/>
          <c:order val="1"/>
          <c:tx>
            <c:strRef>
              <c:f>毛利率、净利率!$A$3</c:f>
              <c:strCache>
                <c:ptCount val="1"/>
                <c:pt idx="0">
                  <c:v>净利率</c:v>
                </c:pt>
              </c:strCache>
            </c:strRef>
          </c:tx>
          <c:spPr>
            <a:ln w="28575" cap="rnd">
              <a:solidFill>
                <a:schemeClr val="accent2"/>
              </a:soli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毛利率、净利率!$B$1:$E$1</c:f>
              <c:strCache>
                <c:ptCount val="4"/>
                <c:pt idx="0">
                  <c:v>2017</c:v>
                </c:pt>
                <c:pt idx="1">
                  <c:v>2018</c:v>
                </c:pt>
                <c:pt idx="2">
                  <c:v>2019</c:v>
                </c:pt>
                <c:pt idx="3">
                  <c:v>2020Q3</c:v>
                </c:pt>
              </c:strCache>
            </c:strRef>
          </c:cat>
          <c:val>
            <c:numRef>
              <c:f>毛利率、净利率!$B$3:$E$3</c:f>
              <c:numCache>
                <c:formatCode>0.00%</c:formatCode>
                <c:ptCount val="4"/>
                <c:pt idx="0">
                  <c:v>0.0974</c:v>
                </c:pt>
                <c:pt idx="1">
                  <c:v>-0.3223</c:v>
                </c:pt>
                <c:pt idx="2">
                  <c:v>0.0141</c:v>
                </c:pt>
                <c:pt idx="3">
                  <c:v>0.0996</c:v>
                </c:pt>
              </c:numCache>
            </c:numRef>
          </c:val>
          <c:smooth val="0"/>
        </c:ser>
        <c:dLbls>
          <c:showLegendKey val="0"/>
          <c:showVal val="1"/>
          <c:showCatName val="0"/>
          <c:showSerName val="0"/>
          <c:showPercent val="0"/>
          <c:showBubbleSize val="0"/>
        </c:dLbls>
        <c:marker val="0"/>
        <c:smooth val="0"/>
        <c:axId val="455331387"/>
        <c:axId val="62396195"/>
      </c:lineChart>
      <c:catAx>
        <c:axId val="4553313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2396195"/>
        <c:crosses val="autoZero"/>
        <c:auto val="1"/>
        <c:lblAlgn val="ctr"/>
        <c:lblOffset val="100"/>
        <c:noMultiLvlLbl val="0"/>
      </c:catAx>
      <c:valAx>
        <c:axId val="623961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55331387"/>
        <c:crosses val="autoZero"/>
        <c:crossBetween val="between"/>
      </c:valAx>
      <c:spPr>
        <a:noFill/>
        <a:ln>
          <a:noFill/>
        </a:ln>
        <a:effectLst/>
      </c:spPr>
    </c:plotArea>
    <c:legend>
      <c:legendPos val="b"/>
      <c:legendEntry>
        <c:idx val="0"/>
        <c:txPr>
          <a:bodyPr rot="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legendEntry>
      <c:legendEntry>
        <c:idx val="1"/>
        <c:txPr>
          <a:bodyPr rot="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671195</xdr:colOff>
      <xdr:row>3</xdr:row>
      <xdr:rowOff>100965</xdr:rowOff>
    </xdr:from>
    <xdr:to>
      <xdr:col>13</xdr:col>
      <xdr:colOff>431165</xdr:colOff>
      <xdr:row>22</xdr:row>
      <xdr:rowOff>8890</xdr:rowOff>
    </xdr:to>
    <xdr:graphicFrame>
      <xdr:nvGraphicFramePr>
        <xdr:cNvPr id="4" name="Chart 3"/>
        <xdr:cNvGraphicFramePr/>
      </xdr:nvGraphicFramePr>
      <xdr:xfrm>
        <a:off x="4751070" y="634365"/>
        <a:ext cx="5612130" cy="32861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4</xdr:col>
      <xdr:colOff>350520</xdr:colOff>
      <xdr:row>8</xdr:row>
      <xdr:rowOff>38100</xdr:rowOff>
    </xdr:from>
    <xdr:to>
      <xdr:col>10</xdr:col>
      <xdr:colOff>533400</xdr:colOff>
      <xdr:row>23</xdr:row>
      <xdr:rowOff>114300</xdr:rowOff>
    </xdr:to>
    <xdr:graphicFrame>
      <xdr:nvGraphicFramePr>
        <xdr:cNvPr id="3" name="Chart 2"/>
        <xdr:cNvGraphicFramePr/>
      </xdr:nvGraphicFramePr>
      <xdr:xfrm>
        <a:off x="3784600" y="14605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663575</xdr:colOff>
      <xdr:row>3</xdr:row>
      <xdr:rowOff>100965</xdr:rowOff>
    </xdr:from>
    <xdr:to>
      <xdr:col>10</xdr:col>
      <xdr:colOff>73025</xdr:colOff>
      <xdr:row>20</xdr:row>
      <xdr:rowOff>133350</xdr:rowOff>
    </xdr:to>
    <xdr:graphicFrame>
      <xdr:nvGraphicFramePr>
        <xdr:cNvPr id="2" name="Chart 1"/>
        <xdr:cNvGraphicFramePr/>
      </xdr:nvGraphicFramePr>
      <xdr:xfrm>
        <a:off x="3635375" y="1206500"/>
        <a:ext cx="5673090" cy="395859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635</xdr:colOff>
      <xdr:row>14</xdr:row>
      <xdr:rowOff>162560</xdr:rowOff>
    </xdr:from>
    <xdr:to>
      <xdr:col>6</xdr:col>
      <xdr:colOff>211455</xdr:colOff>
      <xdr:row>33</xdr:row>
      <xdr:rowOff>102870</xdr:rowOff>
    </xdr:to>
    <xdr:graphicFrame>
      <xdr:nvGraphicFramePr>
        <xdr:cNvPr id="2" name="Chart 1"/>
        <xdr:cNvGraphicFramePr/>
      </xdr:nvGraphicFramePr>
      <xdr:xfrm>
        <a:off x="635" y="2651760"/>
        <a:ext cx="5195570" cy="33185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2</xdr:col>
      <xdr:colOff>581660</xdr:colOff>
      <xdr:row>8</xdr:row>
      <xdr:rowOff>24130</xdr:rowOff>
    </xdr:from>
    <xdr:to>
      <xdr:col>9</xdr:col>
      <xdr:colOff>452755</xdr:colOff>
      <xdr:row>26</xdr:row>
      <xdr:rowOff>163830</xdr:rowOff>
    </xdr:to>
    <xdr:graphicFrame>
      <xdr:nvGraphicFramePr>
        <xdr:cNvPr id="2" name="Chart 1"/>
        <xdr:cNvGraphicFramePr/>
      </xdr:nvGraphicFramePr>
      <xdr:xfrm>
        <a:off x="2085340" y="1446530"/>
        <a:ext cx="5194935" cy="3340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2</xdr:col>
      <xdr:colOff>10795</xdr:colOff>
      <xdr:row>3</xdr:row>
      <xdr:rowOff>167005</xdr:rowOff>
    </xdr:from>
    <xdr:to>
      <xdr:col>9</xdr:col>
      <xdr:colOff>203200</xdr:colOff>
      <xdr:row>22</xdr:row>
      <xdr:rowOff>43815</xdr:rowOff>
    </xdr:to>
    <xdr:graphicFrame>
      <xdr:nvGraphicFramePr>
        <xdr:cNvPr id="2" name="Chart 1"/>
        <xdr:cNvGraphicFramePr/>
      </xdr:nvGraphicFramePr>
      <xdr:xfrm>
        <a:off x="1473835" y="700405"/>
        <a:ext cx="5313045" cy="32550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
  <sheetViews>
    <sheetView workbookViewId="0">
      <selection activeCell="A17" sqref="A17"/>
    </sheetView>
  </sheetViews>
  <sheetFormatPr defaultColWidth="9" defaultRowHeight="14" outlineLevelCol="4"/>
  <cols>
    <col min="1" max="1" width="14.1953125" customWidth="1"/>
  </cols>
  <sheetData>
    <row r="1" spans="1:1">
      <c r="A1" t="s">
        <v>0</v>
      </c>
    </row>
    <row r="2" spans="1:2">
      <c r="A2" t="s">
        <v>1</v>
      </c>
      <c r="B2" t="s">
        <v>2</v>
      </c>
    </row>
    <row r="3" spans="1:5">
      <c r="A3" t="s">
        <v>3</v>
      </c>
      <c r="B3" s="59">
        <v>0.62</v>
      </c>
      <c r="D3" t="s">
        <v>4</v>
      </c>
      <c r="E3" s="56">
        <f>SUM(B3:B7)</f>
        <v>0.96</v>
      </c>
    </row>
    <row r="4" spans="1:2">
      <c r="A4" t="s">
        <v>5</v>
      </c>
      <c r="B4" s="59">
        <v>0.16</v>
      </c>
    </row>
    <row r="5" spans="1:2">
      <c r="A5" t="s">
        <v>6</v>
      </c>
      <c r="B5" s="59">
        <v>0.12</v>
      </c>
    </row>
    <row r="6" spans="1:2">
      <c r="A6" t="s">
        <v>7</v>
      </c>
      <c r="B6" s="59">
        <v>0.04</v>
      </c>
    </row>
    <row r="7" spans="1:2">
      <c r="A7" t="s">
        <v>8</v>
      </c>
      <c r="B7" s="59">
        <v>0.02</v>
      </c>
    </row>
    <row r="8" spans="1:2">
      <c r="A8" t="s">
        <v>9</v>
      </c>
      <c r="B8" s="54">
        <v>0.005</v>
      </c>
    </row>
    <row r="9" spans="1:2">
      <c r="A9" t="s">
        <v>10</v>
      </c>
      <c r="B9" s="54">
        <v>0.017</v>
      </c>
    </row>
    <row r="10" spans="1:2">
      <c r="A10" t="s">
        <v>11</v>
      </c>
      <c r="B10" s="54">
        <v>0.005</v>
      </c>
    </row>
    <row r="11" spans="1:2">
      <c r="A11" t="s">
        <v>12</v>
      </c>
      <c r="B11" s="54">
        <v>0.013</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
  <sheetViews>
    <sheetView workbookViewId="0">
      <selection activeCell="D2" sqref="D2:J2"/>
    </sheetView>
  </sheetViews>
  <sheetFormatPr defaultColWidth="9" defaultRowHeight="14" outlineLevelRow="2"/>
  <cols>
    <col min="1" max="1" width="13.0625" customWidth="1"/>
    <col min="2" max="2" width="22" customWidth="1"/>
    <col min="3" max="3" width="21.875" customWidth="1"/>
  </cols>
  <sheetData>
    <row r="1" spans="1:10">
      <c r="A1" s="49" t="s">
        <v>108</v>
      </c>
      <c r="B1" s="49" t="s">
        <v>109</v>
      </c>
      <c r="C1" s="49" t="s">
        <v>110</v>
      </c>
      <c r="D1" s="78" t="s">
        <v>111</v>
      </c>
      <c r="E1" s="83"/>
      <c r="F1" s="83"/>
      <c r="G1" s="83"/>
      <c r="H1" s="83"/>
      <c r="I1" s="83"/>
      <c r="J1" s="83"/>
    </row>
    <row r="2" ht="135" customHeight="1" spans="1:10">
      <c r="A2" s="52" t="s">
        <v>112</v>
      </c>
      <c r="B2" s="52" t="s">
        <v>113</v>
      </c>
      <c r="C2" s="79" t="s">
        <v>114</v>
      </c>
      <c r="D2" s="80" t="s">
        <v>115</v>
      </c>
      <c r="E2" s="80"/>
      <c r="F2" s="80"/>
      <c r="G2" s="80"/>
      <c r="H2" s="80"/>
      <c r="I2" s="80"/>
      <c r="J2" s="80"/>
    </row>
    <row r="3" ht="291" customHeight="1" spans="1:10">
      <c r="A3" s="51" t="s">
        <v>116</v>
      </c>
      <c r="B3" s="81" t="s">
        <v>117</v>
      </c>
      <c r="C3" s="81" t="s">
        <v>118</v>
      </c>
      <c r="D3" s="82" t="s">
        <v>119</v>
      </c>
      <c r="E3" s="82"/>
      <c r="F3" s="82"/>
      <c r="G3" s="82"/>
      <c r="H3" s="82"/>
      <c r="I3" s="82"/>
      <c r="J3" s="82"/>
    </row>
  </sheetData>
  <mergeCells count="3">
    <mergeCell ref="D1:J1"/>
    <mergeCell ref="D2:J2"/>
    <mergeCell ref="D3:J3"/>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
  <sheetViews>
    <sheetView workbookViewId="0">
      <selection activeCell="A2" sqref="A2:H6"/>
    </sheetView>
  </sheetViews>
  <sheetFormatPr defaultColWidth="9" defaultRowHeight="14" outlineLevelRow="5" outlineLevelCol="7"/>
  <cols>
    <col min="4" max="4" width="18.09375" customWidth="1"/>
    <col min="5" max="5" width="21.2265625" customWidth="1"/>
    <col min="6" max="6" width="23.8125" customWidth="1"/>
    <col min="8" max="8" width="13.28125" customWidth="1"/>
  </cols>
  <sheetData>
    <row r="1" spans="1:1">
      <c r="A1" t="s">
        <v>120</v>
      </c>
    </row>
    <row r="2" spans="1:8">
      <c r="A2" s="77" t="s">
        <v>24</v>
      </c>
      <c r="B2" s="77" t="s">
        <v>121</v>
      </c>
      <c r="C2" s="77" t="s">
        <v>122</v>
      </c>
      <c r="D2" s="77" t="s">
        <v>123</v>
      </c>
      <c r="E2" s="77" t="s">
        <v>124</v>
      </c>
      <c r="F2" s="77" t="s">
        <v>125</v>
      </c>
      <c r="G2" s="77" t="s">
        <v>126</v>
      </c>
      <c r="H2" s="77" t="s">
        <v>127</v>
      </c>
    </row>
    <row r="3" spans="1:8">
      <c r="A3" s="52" t="s">
        <v>128</v>
      </c>
      <c r="B3" s="52" t="s">
        <v>129</v>
      </c>
      <c r="C3" s="52" t="s">
        <v>130</v>
      </c>
      <c r="D3" s="52" t="s">
        <v>131</v>
      </c>
      <c r="E3" s="52" t="s">
        <v>132</v>
      </c>
      <c r="F3" s="52" t="s">
        <v>133</v>
      </c>
      <c r="G3" s="52" t="s">
        <v>134</v>
      </c>
      <c r="H3" s="52">
        <f>12600/80</f>
        <v>157.5</v>
      </c>
    </row>
    <row r="4" spans="1:8">
      <c r="A4" s="51" t="s">
        <v>135</v>
      </c>
      <c r="B4" s="51" t="s">
        <v>136</v>
      </c>
      <c r="C4" s="51" t="s">
        <v>137</v>
      </c>
      <c r="D4" s="51" t="s">
        <v>138</v>
      </c>
      <c r="E4" s="51" t="s">
        <v>139</v>
      </c>
      <c r="F4" s="51" t="s">
        <v>133</v>
      </c>
      <c r="G4" s="51" t="s">
        <v>134</v>
      </c>
      <c r="H4" s="51">
        <f>30000/200</f>
        <v>150</v>
      </c>
    </row>
    <row r="5" spans="1:8">
      <c r="A5" s="52" t="s">
        <v>140</v>
      </c>
      <c r="B5" s="52" t="s">
        <v>129</v>
      </c>
      <c r="C5" s="52" t="s">
        <v>141</v>
      </c>
      <c r="D5" s="52" t="s">
        <v>142</v>
      </c>
      <c r="E5" s="52" t="s">
        <v>132</v>
      </c>
      <c r="F5" s="52" t="s">
        <v>143</v>
      </c>
      <c r="G5" s="52" t="s">
        <v>134</v>
      </c>
      <c r="H5" s="52">
        <f>9600/60</f>
        <v>160</v>
      </c>
    </row>
    <row r="6" spans="1:8">
      <c r="A6" s="51" t="s">
        <v>144</v>
      </c>
      <c r="B6" s="51" t="s">
        <v>129</v>
      </c>
      <c r="C6" s="51" t="s">
        <v>145</v>
      </c>
      <c r="D6" s="51" t="s">
        <v>146</v>
      </c>
      <c r="E6" s="51" t="s">
        <v>147</v>
      </c>
      <c r="F6" s="51" t="s">
        <v>148</v>
      </c>
      <c r="G6" s="51" t="s">
        <v>149</v>
      </c>
      <c r="H6" s="51" t="s">
        <v>134</v>
      </c>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6"/>
  <sheetViews>
    <sheetView workbookViewId="0">
      <selection activeCell="B14" sqref="B14"/>
    </sheetView>
  </sheetViews>
  <sheetFormatPr defaultColWidth="9" defaultRowHeight="14" outlineLevelRow="5" outlineLevelCol="5"/>
  <cols>
    <col min="2" max="2" width="14.96875" customWidth="1"/>
    <col min="3" max="4" width="12.25" customWidth="1"/>
    <col min="5" max="6" width="10.9375" customWidth="1"/>
  </cols>
  <sheetData>
    <row r="1" ht="16.8" spans="1:6">
      <c r="A1" s="69" t="s">
        <v>56</v>
      </c>
      <c r="B1" s="69" t="s">
        <v>150</v>
      </c>
      <c r="C1" s="69" t="s">
        <v>151</v>
      </c>
      <c r="D1" s="69" t="s">
        <v>152</v>
      </c>
      <c r="E1" s="72" t="s">
        <v>153</v>
      </c>
      <c r="F1" s="73"/>
    </row>
    <row r="2" ht="16.8" spans="1:6">
      <c r="A2" s="60"/>
      <c r="B2" s="60"/>
      <c r="C2" s="60"/>
      <c r="D2" s="60"/>
      <c r="E2" s="74" t="s">
        <v>154</v>
      </c>
      <c r="F2" s="74" t="s">
        <v>155</v>
      </c>
    </row>
    <row r="3" ht="34" spans="1:6">
      <c r="A3" s="61">
        <v>1</v>
      </c>
      <c r="B3" s="62" t="s">
        <v>156</v>
      </c>
      <c r="C3" s="70">
        <v>69456</v>
      </c>
      <c r="D3" s="70">
        <v>65000</v>
      </c>
      <c r="E3" s="70">
        <v>30310</v>
      </c>
      <c r="F3" s="70">
        <v>39146</v>
      </c>
    </row>
    <row r="4" ht="34" spans="1:6">
      <c r="A4" s="63">
        <v>2</v>
      </c>
      <c r="B4" s="64" t="s">
        <v>157</v>
      </c>
      <c r="C4" s="71">
        <v>5010</v>
      </c>
      <c r="D4" s="71">
        <v>5000</v>
      </c>
      <c r="E4" s="71">
        <v>2505</v>
      </c>
      <c r="F4" s="71">
        <v>2505</v>
      </c>
    </row>
    <row r="5" ht="17" spans="1:6">
      <c r="A5" s="61">
        <v>3</v>
      </c>
      <c r="B5" s="62" t="s">
        <v>158</v>
      </c>
      <c r="C5" s="70">
        <v>30000</v>
      </c>
      <c r="D5" s="70">
        <v>30000</v>
      </c>
      <c r="E5" s="75" t="s">
        <v>134</v>
      </c>
      <c r="F5" s="76"/>
    </row>
    <row r="6" ht="18.3" customHeight="1" spans="1:6">
      <c r="A6" s="64" t="s">
        <v>159</v>
      </c>
      <c r="B6" s="63"/>
      <c r="C6" s="71">
        <v>104466</v>
      </c>
      <c r="D6" s="71">
        <v>100000</v>
      </c>
      <c r="E6" s="71">
        <f>SUM(E3:E4)</f>
        <v>32815</v>
      </c>
      <c r="F6" s="71">
        <f>SUM(F3:F4)</f>
        <v>41651</v>
      </c>
    </row>
  </sheetData>
  <mergeCells count="7">
    <mergeCell ref="E1:F1"/>
    <mergeCell ref="E5:F5"/>
    <mergeCell ref="A6:B6"/>
    <mergeCell ref="A1:A2"/>
    <mergeCell ref="B1:B2"/>
    <mergeCell ref="C1:C2"/>
    <mergeCell ref="D1:D2"/>
  </mergeCell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2"/>
  <sheetViews>
    <sheetView workbookViewId="0">
      <selection activeCell="D25" sqref="D25"/>
    </sheetView>
  </sheetViews>
  <sheetFormatPr defaultColWidth="9" defaultRowHeight="14" outlineLevelCol="2"/>
  <cols>
    <col min="2" max="2" width="25.390625" customWidth="1"/>
    <col min="3" max="3" width="17.3203125" customWidth="1"/>
  </cols>
  <sheetData>
    <row r="1" ht="17" spans="1:3">
      <c r="A1" s="60" t="s">
        <v>56</v>
      </c>
      <c r="B1" s="60" t="s">
        <v>150</v>
      </c>
      <c r="C1" s="60" t="s">
        <v>160</v>
      </c>
    </row>
    <row r="2" ht="17" spans="1:3">
      <c r="A2" s="62" t="s">
        <v>161</v>
      </c>
      <c r="B2" s="62" t="s">
        <v>162</v>
      </c>
      <c r="C2" s="65">
        <v>60588</v>
      </c>
    </row>
    <row r="3" ht="17" spans="1:3">
      <c r="A3" s="66">
        <v>1</v>
      </c>
      <c r="B3" s="64" t="s">
        <v>163</v>
      </c>
      <c r="C3" s="67">
        <v>6058</v>
      </c>
    </row>
    <row r="4" ht="17" spans="1:3">
      <c r="A4" s="68">
        <v>2</v>
      </c>
      <c r="B4" s="62" t="s">
        <v>164</v>
      </c>
      <c r="C4" s="65">
        <v>18176</v>
      </c>
    </row>
    <row r="5" ht="17" spans="1:3">
      <c r="A5" s="66">
        <v>3</v>
      </c>
      <c r="B5" s="64" t="s">
        <v>165</v>
      </c>
      <c r="C5" s="67">
        <v>24236</v>
      </c>
    </row>
    <row r="6" ht="17" spans="1:3">
      <c r="A6" s="68">
        <v>4</v>
      </c>
      <c r="B6" s="62" t="s">
        <v>166</v>
      </c>
      <c r="C6" s="65">
        <v>12118</v>
      </c>
    </row>
    <row r="7" ht="34" spans="1:3">
      <c r="A7" s="64" t="s">
        <v>167</v>
      </c>
      <c r="B7" s="64" t="s">
        <v>168</v>
      </c>
      <c r="C7" s="67">
        <v>27540</v>
      </c>
    </row>
    <row r="8" ht="17" spans="1:3">
      <c r="A8" s="68">
        <v>1</v>
      </c>
      <c r="B8" s="62" t="s">
        <v>163</v>
      </c>
      <c r="C8" s="65">
        <v>2754</v>
      </c>
    </row>
    <row r="9" ht="17" spans="1:3">
      <c r="A9" s="66">
        <v>2</v>
      </c>
      <c r="B9" s="64" t="s">
        <v>164</v>
      </c>
      <c r="C9" s="67">
        <v>8262</v>
      </c>
    </row>
    <row r="10" ht="17" spans="1:3">
      <c r="A10" s="68">
        <v>3</v>
      </c>
      <c r="B10" s="62" t="s">
        <v>165</v>
      </c>
      <c r="C10" s="65">
        <v>11016</v>
      </c>
    </row>
    <row r="11" ht="17" spans="1:3">
      <c r="A11" s="66">
        <v>4</v>
      </c>
      <c r="B11" s="64" t="s">
        <v>166</v>
      </c>
      <c r="C11" s="67">
        <v>5508</v>
      </c>
    </row>
    <row r="12" ht="18.3" customHeight="1" spans="1:3">
      <c r="A12" s="62" t="s">
        <v>169</v>
      </c>
      <c r="B12" s="68"/>
      <c r="C12" s="65">
        <v>88128</v>
      </c>
    </row>
  </sheetData>
  <mergeCells count="1">
    <mergeCell ref="A12:B12"/>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2"/>
  <sheetViews>
    <sheetView workbookViewId="0">
      <selection activeCell="C12" sqref="C12"/>
    </sheetView>
  </sheetViews>
  <sheetFormatPr defaultColWidth="9" defaultRowHeight="14" outlineLevelCol="3"/>
  <cols>
    <col min="2" max="2" width="22.5234375" customWidth="1"/>
    <col min="3" max="3" width="23.171875" customWidth="1"/>
    <col min="4" max="4" width="15.3515625" customWidth="1"/>
  </cols>
  <sheetData>
    <row r="1" ht="17" spans="1:4">
      <c r="A1" s="60" t="s">
        <v>56</v>
      </c>
      <c r="B1" s="60" t="s">
        <v>170</v>
      </c>
      <c r="C1" s="60" t="s">
        <v>171</v>
      </c>
      <c r="D1" s="60" t="s">
        <v>172</v>
      </c>
    </row>
    <row r="2" ht="17" spans="1:4">
      <c r="A2" s="61">
        <v>1</v>
      </c>
      <c r="B2" s="62" t="s">
        <v>173</v>
      </c>
      <c r="C2" s="62" t="s">
        <v>174</v>
      </c>
      <c r="D2" s="62" t="s">
        <v>175</v>
      </c>
    </row>
    <row r="3" ht="34" spans="1:4">
      <c r="A3" s="63">
        <v>2</v>
      </c>
      <c r="B3" s="64" t="s">
        <v>176</v>
      </c>
      <c r="C3" s="64" t="s">
        <v>177</v>
      </c>
      <c r="D3" s="64" t="s">
        <v>175</v>
      </c>
    </row>
    <row r="4" ht="34" spans="1:4">
      <c r="A4" s="61">
        <v>3</v>
      </c>
      <c r="B4" s="62" t="s">
        <v>178</v>
      </c>
      <c r="C4" s="62" t="s">
        <v>179</v>
      </c>
      <c r="D4" s="62" t="s">
        <v>180</v>
      </c>
    </row>
    <row r="5" ht="34" spans="1:4">
      <c r="A5" s="63">
        <v>4</v>
      </c>
      <c r="B5" s="64" t="s">
        <v>181</v>
      </c>
      <c r="C5" s="64" t="s">
        <v>179</v>
      </c>
      <c r="D5" s="64" t="s">
        <v>180</v>
      </c>
    </row>
    <row r="6" ht="34" spans="1:4">
      <c r="A6" s="61">
        <v>5</v>
      </c>
      <c r="B6" s="62" t="s">
        <v>182</v>
      </c>
      <c r="C6" s="62" t="s">
        <v>183</v>
      </c>
      <c r="D6" s="62" t="s">
        <v>184</v>
      </c>
    </row>
    <row r="7" ht="34" spans="1:4">
      <c r="A7" s="63">
        <v>6</v>
      </c>
      <c r="B7" s="64" t="s">
        <v>185</v>
      </c>
      <c r="C7" s="64" t="s">
        <v>183</v>
      </c>
      <c r="D7" s="64" t="s">
        <v>186</v>
      </c>
    </row>
    <row r="8" ht="34" spans="1:4">
      <c r="A8" s="61">
        <v>7</v>
      </c>
      <c r="B8" s="62" t="s">
        <v>187</v>
      </c>
      <c r="C8" s="62" t="s">
        <v>188</v>
      </c>
      <c r="D8" s="62" t="s">
        <v>180</v>
      </c>
    </row>
    <row r="9" ht="34" spans="1:4">
      <c r="A9" s="63">
        <v>8</v>
      </c>
      <c r="B9" s="64" t="s">
        <v>189</v>
      </c>
      <c r="C9" s="64" t="s">
        <v>179</v>
      </c>
      <c r="D9" s="64" t="s">
        <v>180</v>
      </c>
    </row>
    <row r="10" ht="34" spans="1:4">
      <c r="A10" s="61">
        <v>9</v>
      </c>
      <c r="B10" s="62" t="s">
        <v>190</v>
      </c>
      <c r="C10" s="62" t="s">
        <v>191</v>
      </c>
      <c r="D10" s="62" t="s">
        <v>184</v>
      </c>
    </row>
    <row r="11" ht="17" spans="1:4">
      <c r="A11" s="63">
        <v>10</v>
      </c>
      <c r="B11" s="64" t="s">
        <v>192</v>
      </c>
      <c r="C11" s="64" t="s">
        <v>179</v>
      </c>
      <c r="D11" s="64" t="s">
        <v>186</v>
      </c>
    </row>
    <row r="12" ht="17" spans="1:4">
      <c r="A12" s="61">
        <v>11</v>
      </c>
      <c r="B12" s="62" t="s">
        <v>193</v>
      </c>
      <c r="C12" s="62" t="s">
        <v>179</v>
      </c>
      <c r="D12" s="62" t="s">
        <v>186</v>
      </c>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50"/>
  <sheetViews>
    <sheetView zoomScale="88" zoomScaleNormal="88" workbookViewId="0">
      <selection activeCell="A56" sqref="A56"/>
    </sheetView>
  </sheetViews>
  <sheetFormatPr defaultColWidth="9" defaultRowHeight="14" outlineLevelCol="7"/>
  <cols>
    <col min="2" max="2" width="12.25" customWidth="1"/>
    <col min="3" max="3" width="12.6875"/>
    <col min="4" max="4" width="13.8125"/>
    <col min="5" max="5" width="12.6875"/>
    <col min="6" max="6" width="13.8125"/>
    <col min="7" max="8" width="12.6875"/>
  </cols>
  <sheetData>
    <row r="1" spans="1:1">
      <c r="A1" t="s">
        <v>194</v>
      </c>
    </row>
    <row r="2" spans="1:8">
      <c r="A2" t="s">
        <v>195</v>
      </c>
      <c r="C2">
        <v>2018</v>
      </c>
      <c r="D2">
        <v>2019</v>
      </c>
      <c r="E2" t="s">
        <v>196</v>
      </c>
      <c r="F2" t="s">
        <v>197</v>
      </c>
      <c r="G2" t="s">
        <v>198</v>
      </c>
      <c r="H2" t="s">
        <v>199</v>
      </c>
    </row>
    <row r="3" spans="1:8">
      <c r="A3" t="s">
        <v>50</v>
      </c>
      <c r="B3" t="s">
        <v>200</v>
      </c>
      <c r="C3">
        <v>166460.63</v>
      </c>
      <c r="D3">
        <v>152936.87</v>
      </c>
      <c r="E3">
        <v>63981.13</v>
      </c>
      <c r="F3">
        <f>E3*2.3</f>
        <v>147156.599</v>
      </c>
      <c r="G3">
        <f>F3*(1+G4)</f>
        <v>154514.42895</v>
      </c>
      <c r="H3">
        <f>G3*(1+H4)</f>
        <v>162240.1503975</v>
      </c>
    </row>
    <row r="4" spans="2:8">
      <c r="B4" t="s">
        <v>201</v>
      </c>
      <c r="C4" s="54">
        <v>0.0325</v>
      </c>
      <c r="D4" s="54">
        <v>-0.0812</v>
      </c>
      <c r="E4" s="54">
        <v>-0.15</v>
      </c>
      <c r="F4" s="58">
        <f>F3/D3-1</f>
        <v>-0.0377951438394156</v>
      </c>
      <c r="G4" s="59">
        <v>0.05</v>
      </c>
      <c r="H4" s="59">
        <v>0.05</v>
      </c>
    </row>
    <row r="5" spans="2:8">
      <c r="B5" t="s">
        <v>106</v>
      </c>
      <c r="C5" s="54">
        <v>0.0582</v>
      </c>
      <c r="D5" s="54">
        <v>0.0651</v>
      </c>
      <c r="E5" s="54">
        <v>0.0491</v>
      </c>
      <c r="F5" s="54">
        <v>0.06</v>
      </c>
      <c r="G5" s="59">
        <v>0.06</v>
      </c>
      <c r="H5" s="59">
        <v>0.06</v>
      </c>
    </row>
    <row r="6" spans="2:8">
      <c r="B6" t="s">
        <v>202</v>
      </c>
      <c r="C6" s="54">
        <v>0.5512</v>
      </c>
      <c r="D6" s="54">
        <v>0.6237</v>
      </c>
      <c r="E6" s="54">
        <v>0.559</v>
      </c>
      <c r="F6" s="56">
        <f>F3/F$44</f>
        <v>0.544991464720151</v>
      </c>
      <c r="G6" s="56">
        <f>G3/G$44</f>
        <v>0.518193372776514</v>
      </c>
      <c r="H6" s="56">
        <f>H3/H$44</f>
        <v>0.501322338427696</v>
      </c>
    </row>
    <row r="7" spans="2:8">
      <c r="B7" t="s">
        <v>203</v>
      </c>
      <c r="C7">
        <f>C3*C5</f>
        <v>9688.008666</v>
      </c>
      <c r="D7">
        <f>D3*D5</f>
        <v>9956.190237</v>
      </c>
      <c r="E7">
        <f>E3*E5</f>
        <v>3141.473483</v>
      </c>
      <c r="F7">
        <f>F3*F5</f>
        <v>8829.39594</v>
      </c>
      <c r="G7">
        <f>G3*G5</f>
        <v>9270.865737</v>
      </c>
      <c r="H7">
        <f>H3*H5</f>
        <v>9734.40902385</v>
      </c>
    </row>
    <row r="9" spans="1:8">
      <c r="A9" t="s">
        <v>51</v>
      </c>
      <c r="B9" t="s">
        <v>200</v>
      </c>
      <c r="C9">
        <v>3015.94</v>
      </c>
      <c r="D9">
        <v>61394.28</v>
      </c>
      <c r="E9">
        <v>31792.51</v>
      </c>
      <c r="F9">
        <f>E9*2.3</f>
        <v>73122.773</v>
      </c>
      <c r="G9">
        <f>F9*(1+G10)</f>
        <v>73854.00073</v>
      </c>
      <c r="H9">
        <f>G9*(1+H10)</f>
        <v>74592.5407373</v>
      </c>
    </row>
    <row r="10" spans="2:8">
      <c r="B10" t="s">
        <v>201</v>
      </c>
      <c r="C10" s="54">
        <v>0.7651</v>
      </c>
      <c r="D10" s="54">
        <v>1.0273</v>
      </c>
      <c r="E10" s="54">
        <v>-0.0417</v>
      </c>
      <c r="F10" s="56">
        <f>F9/D9-1</f>
        <v>0.191035598104579</v>
      </c>
      <c r="G10" s="59">
        <v>0.01</v>
      </c>
      <c r="H10" s="59">
        <v>0.01</v>
      </c>
    </row>
    <row r="11" spans="2:8">
      <c r="B11" t="s">
        <v>106</v>
      </c>
      <c r="C11" s="54">
        <v>0.6488</v>
      </c>
      <c r="D11" s="54">
        <v>0.6242</v>
      </c>
      <c r="E11" s="54">
        <v>0.6439</v>
      </c>
      <c r="F11" s="59">
        <v>0.64</v>
      </c>
      <c r="G11" s="59">
        <v>0.64</v>
      </c>
      <c r="H11" s="59">
        <v>0.64</v>
      </c>
    </row>
    <row r="12" spans="2:8">
      <c r="B12" t="s">
        <v>202</v>
      </c>
      <c r="C12" s="54">
        <v>0.01</v>
      </c>
      <c r="D12" s="54">
        <v>0.2504</v>
      </c>
      <c r="E12" s="54">
        <v>0.2778</v>
      </c>
      <c r="F12" s="56">
        <f t="shared" ref="F12:H12" si="0">F9/F$44</f>
        <v>0.27080869925289</v>
      </c>
      <c r="G12" s="56">
        <f t="shared" si="0"/>
        <v>0.24768336518075</v>
      </c>
      <c r="H12" s="56">
        <f t="shared" si="0"/>
        <v>0.230491076716005</v>
      </c>
    </row>
    <row r="13" spans="2:8">
      <c r="B13" t="s">
        <v>203</v>
      </c>
      <c r="C13">
        <f>C9*C11</f>
        <v>1956.741872</v>
      </c>
      <c r="D13">
        <f>D9*D11</f>
        <v>38322.309576</v>
      </c>
      <c r="E13">
        <f>E9*E11</f>
        <v>20471.197189</v>
      </c>
      <c r="F13">
        <f>F9*F11</f>
        <v>46798.57472</v>
      </c>
      <c r="G13">
        <f>G9*G11</f>
        <v>47266.5604672</v>
      </c>
      <c r="H13">
        <f>H9*H11</f>
        <v>47739.226071872</v>
      </c>
    </row>
    <row r="14" hidden="1" spans="1:5">
      <c r="A14" t="s">
        <v>204</v>
      </c>
      <c r="B14" t="s">
        <v>200</v>
      </c>
      <c r="C14">
        <v>22791.75</v>
      </c>
      <c r="D14">
        <v>21286.34</v>
      </c>
      <c r="E14">
        <v>10398.52</v>
      </c>
    </row>
    <row r="15" hidden="1" spans="2:4">
      <c r="B15" t="s">
        <v>201</v>
      </c>
      <c r="C15" s="54">
        <v>0.092</v>
      </c>
      <c r="D15" s="54">
        <v>-0.109</v>
      </c>
    </row>
    <row r="16" hidden="1" spans="2:4">
      <c r="B16" t="s">
        <v>106</v>
      </c>
      <c r="C16" s="54">
        <v>0.1539</v>
      </c>
      <c r="D16" s="54">
        <v>0.1928</v>
      </c>
    </row>
    <row r="17" hidden="1" spans="2:5">
      <c r="B17" t="s">
        <v>202</v>
      </c>
      <c r="C17" s="54">
        <v>0.0755</v>
      </c>
      <c r="D17" s="54">
        <v>0.0868</v>
      </c>
      <c r="E17" s="54">
        <v>0.0909</v>
      </c>
    </row>
    <row r="18" hidden="1"/>
    <row r="20" spans="1:8">
      <c r="A20" t="s">
        <v>52</v>
      </c>
      <c r="B20" t="s">
        <v>200</v>
      </c>
      <c r="E20">
        <v>3079.65</v>
      </c>
      <c r="F20">
        <f>150*60</f>
        <v>9000</v>
      </c>
      <c r="G20">
        <v>25000</v>
      </c>
      <c r="H20">
        <v>37500</v>
      </c>
    </row>
    <row r="21" spans="2:8">
      <c r="B21" t="s">
        <v>201</v>
      </c>
      <c r="G21" s="56">
        <f>G20/F20-1</f>
        <v>1.77777777777778</v>
      </c>
      <c r="H21" s="56">
        <f>H20/G20-1</f>
        <v>0.5</v>
      </c>
    </row>
    <row r="22" spans="2:8">
      <c r="B22" t="s">
        <v>106</v>
      </c>
      <c r="E22" s="59">
        <v>0.35</v>
      </c>
      <c r="F22" s="59">
        <v>0.35</v>
      </c>
      <c r="G22" s="59">
        <v>0.38</v>
      </c>
      <c r="H22" s="59">
        <v>0.38</v>
      </c>
    </row>
    <row r="23" spans="2:8">
      <c r="B23" t="s">
        <v>202</v>
      </c>
      <c r="E23" s="54">
        <v>0.0269</v>
      </c>
      <c r="F23" s="56">
        <f t="shared" ref="F23:H23" si="1">F20/F$44</f>
        <v>0.0333313165417839</v>
      </c>
      <c r="G23" s="56">
        <f t="shared" si="1"/>
        <v>0.0838422301881268</v>
      </c>
      <c r="H23" s="56">
        <f t="shared" si="1"/>
        <v>0.115875063262566</v>
      </c>
    </row>
    <row r="24" spans="2:8">
      <c r="B24" t="s">
        <v>203</v>
      </c>
      <c r="E24">
        <f>E20*E22</f>
        <v>1077.8775</v>
      </c>
      <c r="F24">
        <f>F20*F22</f>
        <v>3150</v>
      </c>
      <c r="G24">
        <f>G20*G22</f>
        <v>9500</v>
      </c>
      <c r="H24">
        <f>H20*H22</f>
        <v>14250</v>
      </c>
    </row>
    <row r="25" hidden="1" spans="1:5">
      <c r="A25" t="s">
        <v>205</v>
      </c>
      <c r="B25" t="s">
        <v>200</v>
      </c>
      <c r="C25">
        <v>7851.7</v>
      </c>
      <c r="D25">
        <v>3996.74</v>
      </c>
      <c r="E25">
        <v>1647.53</v>
      </c>
    </row>
    <row r="26" hidden="1" spans="2:5">
      <c r="B26" t="s">
        <v>201</v>
      </c>
      <c r="C26" s="54">
        <v>-0.8648</v>
      </c>
      <c r="D26" s="54">
        <v>-0.491</v>
      </c>
      <c r="E26" s="54">
        <v>0.1111</v>
      </c>
    </row>
    <row r="27" hidden="1" spans="2:4">
      <c r="B27" t="s">
        <v>106</v>
      </c>
      <c r="C27" s="54">
        <v>0.0768</v>
      </c>
      <c r="D27" s="54">
        <v>0.37</v>
      </c>
    </row>
    <row r="28" hidden="1" spans="2:5">
      <c r="B28" t="s">
        <v>202</v>
      </c>
      <c r="C28" s="54">
        <v>0.026</v>
      </c>
      <c r="D28" s="54">
        <v>0.0163</v>
      </c>
      <c r="E28" s="54">
        <v>0.0144</v>
      </c>
    </row>
    <row r="29" hidden="1" spans="2:5">
      <c r="B29" t="s">
        <v>203</v>
      </c>
      <c r="C29" s="55">
        <f>C25*C27</f>
        <v>603.01056</v>
      </c>
      <c r="D29" s="55">
        <f>D25*D27</f>
        <v>1478.7938</v>
      </c>
      <c r="E29" s="54"/>
    </row>
    <row r="30" hidden="1"/>
    <row r="31" hidden="1" spans="1:4">
      <c r="A31" t="s">
        <v>206</v>
      </c>
      <c r="B31" t="s">
        <v>200</v>
      </c>
      <c r="C31">
        <v>95926.8</v>
      </c>
      <c r="D31">
        <v>3195.98</v>
      </c>
    </row>
    <row r="32" hidden="1" spans="2:4">
      <c r="B32" t="s">
        <v>201</v>
      </c>
      <c r="C32" s="54">
        <v>0.4681</v>
      </c>
      <c r="D32" s="54">
        <v>-0.9667</v>
      </c>
    </row>
    <row r="33" hidden="1" spans="2:4">
      <c r="B33" t="s">
        <v>106</v>
      </c>
      <c r="C33" s="54">
        <v>0.2559</v>
      </c>
      <c r="D33" s="54">
        <v>0.1308</v>
      </c>
    </row>
    <row r="34" hidden="1" spans="2:4">
      <c r="B34" t="s">
        <v>202</v>
      </c>
      <c r="C34" s="54">
        <v>0.3176</v>
      </c>
      <c r="D34" s="54">
        <v>0.013</v>
      </c>
    </row>
    <row r="35" hidden="1"/>
    <row r="37" spans="1:8">
      <c r="A37" t="s">
        <v>48</v>
      </c>
      <c r="B37" t="s">
        <v>200</v>
      </c>
      <c r="C37">
        <f>3745.38+247.2+1963.48+C25+C14+C31</f>
        <v>132526.31</v>
      </c>
      <c r="D37">
        <f>619.57+29.4+1754.17+D25+D14+D31</f>
        <v>30882.2</v>
      </c>
      <c r="E37">
        <f>3555.78+E25+E14</f>
        <v>15601.83</v>
      </c>
      <c r="F37">
        <f>F49-F9-F3</f>
        <v>40736.965</v>
      </c>
      <c r="G37">
        <f>F37*(1+G38)</f>
        <v>44810.6615</v>
      </c>
      <c r="H37">
        <f>G37*(1+H38)</f>
        <v>49291.72765</v>
      </c>
    </row>
    <row r="38" spans="2:8">
      <c r="B38" t="s">
        <v>201</v>
      </c>
      <c r="D38" s="56">
        <f>D37/C37-1</f>
        <v>-0.766973063688259</v>
      </c>
      <c r="F38" s="56">
        <f>F37/D37-1</f>
        <v>0.319108256536129</v>
      </c>
      <c r="G38" s="59">
        <v>0.1</v>
      </c>
      <c r="H38" s="59">
        <v>0.1</v>
      </c>
    </row>
    <row r="39" spans="2:8">
      <c r="B39" t="s">
        <v>106</v>
      </c>
      <c r="C39" s="57">
        <f>C41/C37</f>
        <v>0.230027163828828</v>
      </c>
      <c r="D39" s="57">
        <f>D41/D37</f>
        <v>0.216899339198632</v>
      </c>
      <c r="E39" s="57">
        <f>E41/E37</f>
        <v>0.256722921029136</v>
      </c>
      <c r="F39" s="59">
        <v>0.26</v>
      </c>
      <c r="G39" s="59">
        <v>0.25</v>
      </c>
      <c r="H39" s="59">
        <v>0.25</v>
      </c>
    </row>
    <row r="40" spans="2:8">
      <c r="B40" t="s">
        <v>202</v>
      </c>
      <c r="C40" s="57">
        <f>C37/C44</f>
        <v>0.438824656241689</v>
      </c>
      <c r="D40" s="57">
        <f>D37/D44</f>
        <v>0.125940135473059</v>
      </c>
      <c r="E40" s="54">
        <f>E37/E44</f>
        <v>0.136313966235321</v>
      </c>
      <c r="F40" s="56">
        <f t="shared" ref="F40:H40" si="2">F37/F$44</f>
        <v>0.150868519485175</v>
      </c>
      <c r="G40" s="56">
        <f t="shared" si="2"/>
        <v>0.150281031854609</v>
      </c>
      <c r="H40" s="56">
        <f t="shared" si="2"/>
        <v>0.152311521593732</v>
      </c>
    </row>
    <row r="41" spans="2:8">
      <c r="B41" t="s">
        <v>203</v>
      </c>
      <c r="C41">
        <f>C46-C7-C13</f>
        <v>30484.651222</v>
      </c>
      <c r="D41">
        <f>D46-D7-D13</f>
        <v>6698.328773</v>
      </c>
      <c r="E41">
        <f>E46-E7-E13</f>
        <v>4005.347371</v>
      </c>
      <c r="F41">
        <f>F37*F39</f>
        <v>10591.6109</v>
      </c>
      <c r="G41">
        <f>G37*G39</f>
        <v>11202.665375</v>
      </c>
      <c r="H41">
        <f>H37*H39</f>
        <v>12322.9319125</v>
      </c>
    </row>
    <row r="42" hidden="1" spans="3:3">
      <c r="C42" t="s">
        <v>207</v>
      </c>
    </row>
    <row r="44" spans="1:8">
      <c r="A44" t="s">
        <v>208</v>
      </c>
      <c r="B44" t="s">
        <v>200</v>
      </c>
      <c r="C44">
        <v>302002.88</v>
      </c>
      <c r="D44">
        <v>245213.33</v>
      </c>
      <c r="E44">
        <v>114455.11</v>
      </c>
      <c r="F44">
        <f>E44+B50+C50</f>
        <v>270016.337</v>
      </c>
      <c r="G44">
        <f>G37+G20+G9+G3</f>
        <v>298179.09118</v>
      </c>
      <c r="H44">
        <f>H37+H20+H9+H3</f>
        <v>323624.4187848</v>
      </c>
    </row>
    <row r="45" spans="2:8">
      <c r="B45" t="s">
        <v>201</v>
      </c>
      <c r="C45" s="54">
        <v>-0.0693</v>
      </c>
      <c r="D45" s="54">
        <v>-0.188</v>
      </c>
      <c r="E45" s="54">
        <v>-0.0907</v>
      </c>
      <c r="F45" s="56">
        <f>F44/D44-1</f>
        <v>0.101148689592038</v>
      </c>
      <c r="G45" s="56">
        <f>G44/F44-1</f>
        <v>0.104300186029114</v>
      </c>
      <c r="H45" s="56">
        <f>H44/G44-1</f>
        <v>0.0853357205701575</v>
      </c>
    </row>
    <row r="46" spans="2:8">
      <c r="B46" t="s">
        <v>203</v>
      </c>
      <c r="C46">
        <f>C44*C47</f>
        <v>42129.40176</v>
      </c>
      <c r="D46">
        <f>D44*D47</f>
        <v>54976.828586</v>
      </c>
      <c r="E46">
        <f>E44*E47</f>
        <v>27618.018043</v>
      </c>
      <c r="F46">
        <f>F41+F24+F13+F7</f>
        <v>69369.58156</v>
      </c>
      <c r="G46">
        <f>G41+G24+G13+G7</f>
        <v>77240.0915792</v>
      </c>
      <c r="H46">
        <f>H41+H24+H13+H7</f>
        <v>84046.567008222</v>
      </c>
    </row>
    <row r="47" spans="2:8">
      <c r="B47" t="s">
        <v>106</v>
      </c>
      <c r="C47" s="54">
        <v>0.1395</v>
      </c>
      <c r="D47" s="54">
        <v>0.2242</v>
      </c>
      <c r="E47" s="54">
        <v>0.2413</v>
      </c>
      <c r="F47" s="56">
        <f>F46/F44</f>
        <v>0.256908831260828</v>
      </c>
      <c r="G47" s="56">
        <f>G46/G44</f>
        <v>0.259039261517411</v>
      </c>
      <c r="H47" s="56">
        <f>H46/H44</f>
        <v>0.259704033842113</v>
      </c>
    </row>
    <row r="49" spans="6:6">
      <c r="F49">
        <f>F44-F20</f>
        <v>261016.337</v>
      </c>
    </row>
    <row r="50" spans="2:6">
      <c r="B50">
        <v>76798.14</v>
      </c>
      <c r="C50">
        <f>60586.99*1.3</f>
        <v>78763.087</v>
      </c>
      <c r="F50" s="57">
        <f>F49/D44-1</f>
        <v>0.0644459540596753</v>
      </c>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5"/>
  <sheetViews>
    <sheetView workbookViewId="0">
      <selection activeCell="C24" sqref="C24:G24"/>
    </sheetView>
  </sheetViews>
  <sheetFormatPr defaultColWidth="9" defaultRowHeight="14" outlineLevelCol="7"/>
  <cols>
    <col min="2" max="2" width="12.359375" customWidth="1"/>
    <col min="3" max="3" width="12.6875"/>
    <col min="4" max="4" width="13.8125"/>
    <col min="5" max="7" width="12.75"/>
  </cols>
  <sheetData>
    <row r="1" spans="1:7">
      <c r="A1" s="49" t="s">
        <v>195</v>
      </c>
      <c r="B1" s="50"/>
      <c r="C1" s="50">
        <v>2018</v>
      </c>
      <c r="D1" s="50">
        <v>2019</v>
      </c>
      <c r="E1" s="49" t="s">
        <v>197</v>
      </c>
      <c r="F1" s="49" t="s">
        <v>198</v>
      </c>
      <c r="G1" s="49" t="s">
        <v>199</v>
      </c>
    </row>
    <row r="2" spans="1:7">
      <c r="A2" s="51" t="s">
        <v>50</v>
      </c>
      <c r="B2" s="51" t="s">
        <v>200</v>
      </c>
      <c r="C2" s="20">
        <v>166460.63</v>
      </c>
      <c r="D2" s="20">
        <v>152936.87</v>
      </c>
      <c r="E2" s="20">
        <v>147156.599</v>
      </c>
      <c r="F2" s="20">
        <v>154514.42895</v>
      </c>
      <c r="G2" s="20">
        <v>162240.1503975</v>
      </c>
    </row>
    <row r="3" spans="1:7">
      <c r="A3" s="52"/>
      <c r="B3" s="52" t="s">
        <v>201</v>
      </c>
      <c r="C3" s="21">
        <v>0.0325</v>
      </c>
      <c r="D3" s="21">
        <v>-0.0812</v>
      </c>
      <c r="E3" s="21">
        <v>-0.0377951438394156</v>
      </c>
      <c r="F3" s="21">
        <v>0.05</v>
      </c>
      <c r="G3" s="21">
        <v>0.05</v>
      </c>
    </row>
    <row r="4" spans="1:7">
      <c r="A4" s="52"/>
      <c r="B4" s="52" t="s">
        <v>106</v>
      </c>
      <c r="C4" s="21">
        <v>0.0582</v>
      </c>
      <c r="D4" s="21">
        <v>0.0651</v>
      </c>
      <c r="E4" s="21">
        <v>0.06</v>
      </c>
      <c r="F4" s="21">
        <v>0.06</v>
      </c>
      <c r="G4" s="21">
        <v>0.06</v>
      </c>
    </row>
    <row r="5" spans="1:7">
      <c r="A5" s="52"/>
      <c r="B5" s="52" t="s">
        <v>202</v>
      </c>
      <c r="C5" s="21">
        <v>0.5512</v>
      </c>
      <c r="D5" s="21">
        <v>0.6237</v>
      </c>
      <c r="E5" s="21">
        <v>0.544991464720151</v>
      </c>
      <c r="F5" s="21">
        <v>0.518193372776514</v>
      </c>
      <c r="G5" s="21">
        <v>0.501322338427696</v>
      </c>
    </row>
    <row r="6" spans="1:7">
      <c r="A6" s="52"/>
      <c r="B6" s="52" t="s">
        <v>203</v>
      </c>
      <c r="C6" s="36">
        <v>9688.008666</v>
      </c>
      <c r="D6" s="36">
        <v>9956.190237</v>
      </c>
      <c r="E6" s="36">
        <v>8829.39594</v>
      </c>
      <c r="F6" s="36">
        <v>9270.865737</v>
      </c>
      <c r="G6" s="36">
        <v>9734.40902385</v>
      </c>
    </row>
    <row r="7" spans="1:7">
      <c r="A7" s="51" t="s">
        <v>51</v>
      </c>
      <c r="B7" s="51" t="s">
        <v>200</v>
      </c>
      <c r="C7" s="20">
        <v>3015.94</v>
      </c>
      <c r="D7" s="20">
        <v>61394.28</v>
      </c>
      <c r="E7" s="20">
        <v>73122.773</v>
      </c>
      <c r="F7" s="20">
        <v>73854.00073</v>
      </c>
      <c r="G7" s="20">
        <v>74592.5407373</v>
      </c>
    </row>
    <row r="8" spans="1:7">
      <c r="A8" s="52"/>
      <c r="B8" s="52" t="s">
        <v>201</v>
      </c>
      <c r="C8" s="21">
        <v>0.7651</v>
      </c>
      <c r="D8" s="21">
        <v>1.0273</v>
      </c>
      <c r="E8" s="21">
        <v>0.191035598104579</v>
      </c>
      <c r="F8" s="21">
        <v>0.01</v>
      </c>
      <c r="G8" s="21">
        <v>0.01</v>
      </c>
    </row>
    <row r="9" spans="1:7">
      <c r="A9" s="52"/>
      <c r="B9" s="52" t="s">
        <v>106</v>
      </c>
      <c r="C9" s="21">
        <v>0.6488</v>
      </c>
      <c r="D9" s="21">
        <v>0.6242</v>
      </c>
      <c r="E9" s="21">
        <v>0.64</v>
      </c>
      <c r="F9" s="21">
        <v>0.64</v>
      </c>
      <c r="G9" s="21">
        <v>0.64</v>
      </c>
    </row>
    <row r="10" spans="1:7">
      <c r="A10" s="52"/>
      <c r="B10" s="52" t="s">
        <v>202</v>
      </c>
      <c r="C10" s="21">
        <v>0.01</v>
      </c>
      <c r="D10" s="21">
        <v>0.2504</v>
      </c>
      <c r="E10" s="21">
        <v>0.27080869925289</v>
      </c>
      <c r="F10" s="21">
        <v>0.24768336518075</v>
      </c>
      <c r="G10" s="21">
        <v>0.230491076716005</v>
      </c>
    </row>
    <row r="11" spans="1:7">
      <c r="A11" s="52"/>
      <c r="B11" s="52" t="s">
        <v>203</v>
      </c>
      <c r="C11" s="36">
        <v>1956.741872</v>
      </c>
      <c r="D11" s="36">
        <v>38322.309576</v>
      </c>
      <c r="E11" s="36">
        <v>46798.57472</v>
      </c>
      <c r="F11" s="36">
        <v>47266.5604672</v>
      </c>
      <c r="G11" s="36">
        <v>47739.226071872</v>
      </c>
    </row>
    <row r="12" spans="1:7">
      <c r="A12" s="51" t="s">
        <v>52</v>
      </c>
      <c r="B12" s="51" t="s">
        <v>200</v>
      </c>
      <c r="C12" s="51"/>
      <c r="D12" s="51"/>
      <c r="E12" s="51">
        <v>9000</v>
      </c>
      <c r="F12" s="51">
        <v>25000</v>
      </c>
      <c r="G12" s="51">
        <v>37500</v>
      </c>
    </row>
    <row r="13" spans="1:7">
      <c r="A13" s="52"/>
      <c r="B13" s="52" t="s">
        <v>201</v>
      </c>
      <c r="C13" s="52"/>
      <c r="D13" s="52"/>
      <c r="E13" s="21"/>
      <c r="F13" s="21">
        <v>1.77777777777778</v>
      </c>
      <c r="G13" s="21">
        <v>0.5</v>
      </c>
    </row>
    <row r="14" spans="1:7">
      <c r="A14" s="52"/>
      <c r="B14" s="52" t="s">
        <v>106</v>
      </c>
      <c r="C14" s="52"/>
      <c r="D14" s="52"/>
      <c r="E14" s="21">
        <v>0.35</v>
      </c>
      <c r="F14" s="21">
        <v>0.38</v>
      </c>
      <c r="G14" s="21">
        <v>0.38</v>
      </c>
    </row>
    <row r="15" spans="1:7">
      <c r="A15" s="52"/>
      <c r="B15" s="52" t="s">
        <v>202</v>
      </c>
      <c r="C15" s="52"/>
      <c r="D15" s="52"/>
      <c r="E15" s="21">
        <v>0.0333313165417839</v>
      </c>
      <c r="F15" s="21">
        <v>0.0838422301881268</v>
      </c>
      <c r="G15" s="21">
        <v>0.115875063262566</v>
      </c>
    </row>
    <row r="16" spans="1:7">
      <c r="A16" s="52"/>
      <c r="B16" s="52" t="s">
        <v>203</v>
      </c>
      <c r="C16" s="52"/>
      <c r="D16" s="52"/>
      <c r="E16" s="52">
        <v>3150</v>
      </c>
      <c r="F16" s="52">
        <v>9500</v>
      </c>
      <c r="G16" s="52">
        <v>14250</v>
      </c>
    </row>
    <row r="17" spans="1:7">
      <c r="A17" s="51" t="s">
        <v>48</v>
      </c>
      <c r="B17" s="51" t="s">
        <v>200</v>
      </c>
      <c r="C17" s="20">
        <v>132526.31</v>
      </c>
      <c r="D17" s="20">
        <v>30882.2</v>
      </c>
      <c r="E17" s="20">
        <v>40736.965</v>
      </c>
      <c r="F17" s="20">
        <v>44810.6615</v>
      </c>
      <c r="G17" s="20">
        <v>49291.72765</v>
      </c>
    </row>
    <row r="18" spans="1:7">
      <c r="A18" s="52"/>
      <c r="B18" s="52" t="s">
        <v>201</v>
      </c>
      <c r="C18" s="21"/>
      <c r="D18" s="21">
        <v>-0.766973063688259</v>
      </c>
      <c r="E18" s="21">
        <v>0.319108256536129</v>
      </c>
      <c r="F18" s="21">
        <v>0.1</v>
      </c>
      <c r="G18" s="21">
        <v>0.1</v>
      </c>
    </row>
    <row r="19" spans="1:7">
      <c r="A19" s="52"/>
      <c r="B19" s="52" t="s">
        <v>106</v>
      </c>
      <c r="C19" s="21">
        <v>0.230027163828828</v>
      </c>
      <c r="D19" s="21">
        <v>0.216899339198632</v>
      </c>
      <c r="E19" s="21">
        <v>0.26</v>
      </c>
      <c r="F19" s="21">
        <v>0.25</v>
      </c>
      <c r="G19" s="21">
        <v>0.25</v>
      </c>
    </row>
    <row r="20" spans="1:7">
      <c r="A20" s="52"/>
      <c r="B20" s="52" t="s">
        <v>202</v>
      </c>
      <c r="C20" s="21">
        <v>0.438824656241689</v>
      </c>
      <c r="D20" s="21">
        <v>0.125940135473059</v>
      </c>
      <c r="E20" s="21">
        <v>0.150868519485175</v>
      </c>
      <c r="F20" s="21">
        <v>0.150281031854609</v>
      </c>
      <c r="G20" s="21">
        <v>0.152311521593732</v>
      </c>
    </row>
    <row r="21" spans="1:7">
      <c r="A21" s="52"/>
      <c r="B21" s="52" t="s">
        <v>203</v>
      </c>
      <c r="C21" s="36">
        <v>30484.651222</v>
      </c>
      <c r="D21" s="36">
        <v>6698.328773</v>
      </c>
      <c r="E21" s="36">
        <v>10591.6109</v>
      </c>
      <c r="F21" s="36">
        <v>11202.665375</v>
      </c>
      <c r="G21" s="36">
        <v>12322.9319125</v>
      </c>
    </row>
    <row r="22" spans="1:7">
      <c r="A22" s="51" t="s">
        <v>208</v>
      </c>
      <c r="B22" s="51" t="s">
        <v>200</v>
      </c>
      <c r="C22" s="20">
        <v>302002.88</v>
      </c>
      <c r="D22" s="20">
        <v>245213.33</v>
      </c>
      <c r="E22" s="20">
        <v>270016.337</v>
      </c>
      <c r="F22" s="20">
        <v>298179.09118</v>
      </c>
      <c r="G22" s="20">
        <v>323624.4187848</v>
      </c>
    </row>
    <row r="23" spans="1:7">
      <c r="A23" s="52"/>
      <c r="B23" s="52" t="s">
        <v>201</v>
      </c>
      <c r="C23" s="21">
        <v>-0.0693</v>
      </c>
      <c r="D23" s="21">
        <v>-0.188</v>
      </c>
      <c r="E23" s="31">
        <v>0.101148689592038</v>
      </c>
      <c r="F23" s="31">
        <v>0.104300186029114</v>
      </c>
      <c r="G23" s="31">
        <v>0.0853357205701575</v>
      </c>
    </row>
    <row r="24" spans="1:8">
      <c r="A24" s="52"/>
      <c r="B24" s="52" t="s">
        <v>203</v>
      </c>
      <c r="C24" s="36">
        <v>42129.40176</v>
      </c>
      <c r="D24" s="36">
        <v>54976.828586</v>
      </c>
      <c r="E24" s="36">
        <v>69369.58156</v>
      </c>
      <c r="F24" s="36">
        <v>77240.0915792</v>
      </c>
      <c r="G24" s="36">
        <v>84046.567008222</v>
      </c>
      <c r="H24" s="53"/>
    </row>
    <row r="25" spans="1:7">
      <c r="A25" s="52"/>
      <c r="B25" s="52" t="s">
        <v>106</v>
      </c>
      <c r="C25" s="21">
        <v>0.1395</v>
      </c>
      <c r="D25" s="21">
        <v>0.2242</v>
      </c>
      <c r="E25" s="31">
        <v>0.256908831260828</v>
      </c>
      <c r="F25" s="31">
        <v>0.259039261517411</v>
      </c>
      <c r="G25" s="31">
        <v>0.259704033842113</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34"/>
  <sheetViews>
    <sheetView zoomScale="76" zoomScaleNormal="76" workbookViewId="0">
      <selection activeCell="H29" sqref="H29"/>
    </sheetView>
  </sheetViews>
  <sheetFormatPr defaultColWidth="9" defaultRowHeight="14"/>
  <cols>
    <col min="3" max="3" width="9" hidden="1" customWidth="1"/>
    <col min="4" max="5" width="10.125" customWidth="1"/>
  </cols>
  <sheetData>
    <row r="1" ht="15.75" spans="1:8">
      <c r="A1" s="15"/>
      <c r="B1" s="16"/>
      <c r="C1" s="17" t="s">
        <v>209</v>
      </c>
      <c r="D1" s="17" t="s">
        <v>210</v>
      </c>
      <c r="E1" s="18" t="s">
        <v>211</v>
      </c>
      <c r="F1" s="18" t="s">
        <v>197</v>
      </c>
      <c r="G1" s="18" t="s">
        <v>198</v>
      </c>
      <c r="H1" s="18" t="s">
        <v>199</v>
      </c>
    </row>
    <row r="2" ht="15.75" spans="1:8">
      <c r="A2" s="15">
        <v>1</v>
      </c>
      <c r="B2" s="19" t="s">
        <v>212</v>
      </c>
      <c r="C2" s="34">
        <v>20485.85</v>
      </c>
      <c r="D2" s="20">
        <v>302002.88</v>
      </c>
      <c r="E2" s="20">
        <v>245213.33</v>
      </c>
      <c r="F2" s="20">
        <v>270016.337</v>
      </c>
      <c r="G2" s="20">
        <v>298179.09118</v>
      </c>
      <c r="H2" s="20">
        <v>323624.4187848</v>
      </c>
    </row>
    <row r="3" ht="15.75" spans="1:8">
      <c r="A3" s="15">
        <v>2</v>
      </c>
      <c r="B3" s="19" t="s">
        <v>213</v>
      </c>
      <c r="C3" s="35"/>
      <c r="D3" s="21">
        <v>-0.0693</v>
      </c>
      <c r="E3" s="21">
        <v>-0.188</v>
      </c>
      <c r="F3" s="31">
        <v>0.101148689592038</v>
      </c>
      <c r="G3" s="31">
        <v>0.104300186029114</v>
      </c>
      <c r="H3" s="31">
        <v>0.0853357205701575</v>
      </c>
    </row>
    <row r="4" ht="15.75" spans="1:8">
      <c r="A4" s="15">
        <v>3</v>
      </c>
      <c r="B4" s="19" t="s">
        <v>106</v>
      </c>
      <c r="C4" s="35">
        <f>C6/C2</f>
        <v>0.490735312422965</v>
      </c>
      <c r="D4" s="21">
        <v>0.1395</v>
      </c>
      <c r="E4" s="21">
        <v>0.2242</v>
      </c>
      <c r="F4" s="31">
        <v>0.256908831260828</v>
      </c>
      <c r="G4" s="31">
        <v>0.259039261517411</v>
      </c>
      <c r="H4" s="31">
        <v>0.259704033842113</v>
      </c>
    </row>
    <row r="5" ht="15.75" spans="1:8">
      <c r="A5" s="15">
        <v>4</v>
      </c>
      <c r="B5" s="19" t="s">
        <v>214</v>
      </c>
      <c r="C5" s="34">
        <v>10432.72</v>
      </c>
      <c r="D5" s="34">
        <v>259883.3</v>
      </c>
      <c r="E5" s="34">
        <v>190225.4</v>
      </c>
      <c r="F5" s="34">
        <f>F2-F6</f>
        <v>200646.75544</v>
      </c>
      <c r="G5" s="34">
        <f>G2-G6</f>
        <v>220938.9996008</v>
      </c>
      <c r="H5" s="34">
        <f>H2-H6</f>
        <v>239577.851776578</v>
      </c>
    </row>
    <row r="6" ht="15.75" spans="1:8">
      <c r="A6" s="15">
        <v>5</v>
      </c>
      <c r="B6" s="19" t="s">
        <v>203</v>
      </c>
      <c r="C6" s="34">
        <f>C2-C5</f>
        <v>10053.13</v>
      </c>
      <c r="D6" s="36">
        <f>D2-D5</f>
        <v>42119.58</v>
      </c>
      <c r="E6" s="36">
        <f>E2-E5</f>
        <v>54987.93</v>
      </c>
      <c r="F6" s="36">
        <v>69369.58156</v>
      </c>
      <c r="G6" s="36">
        <v>77240.0915792</v>
      </c>
      <c r="H6" s="36">
        <v>84046.567008222</v>
      </c>
    </row>
    <row r="7" ht="15.75" spans="1:8">
      <c r="A7" s="15">
        <v>6</v>
      </c>
      <c r="B7" s="37" t="s">
        <v>215</v>
      </c>
      <c r="C7" s="38" t="e">
        <f>C5/C$3</f>
        <v>#DIV/0!</v>
      </c>
      <c r="D7" s="38">
        <f>D6/D2</f>
        <v>0.139467477926038</v>
      </c>
      <c r="E7" s="38">
        <f>E6/E$2</f>
        <v>0.224245272473564</v>
      </c>
      <c r="F7" s="38">
        <f>F6/F$2</f>
        <v>0.256908831260828</v>
      </c>
      <c r="G7" s="38">
        <f>G6/G$2</f>
        <v>0.259039261517411</v>
      </c>
      <c r="H7" s="38">
        <f>H6/H$2</f>
        <v>0.259704033842113</v>
      </c>
    </row>
    <row r="8" ht="29.75" spans="1:8">
      <c r="A8" s="15">
        <v>7</v>
      </c>
      <c r="B8" s="19" t="s">
        <v>216</v>
      </c>
      <c r="C8" s="34">
        <v>216.77</v>
      </c>
      <c r="D8" s="34">
        <v>862.2</v>
      </c>
      <c r="E8" s="44">
        <v>910.6</v>
      </c>
      <c r="F8" s="44">
        <f>F9*F2</f>
        <v>1080.065348</v>
      </c>
      <c r="G8" s="44">
        <f>G9*G2</f>
        <v>1192.71636472</v>
      </c>
      <c r="H8" s="44">
        <f>H9*H2</f>
        <v>1294.4976751392</v>
      </c>
    </row>
    <row r="9" ht="15.75" spans="1:8">
      <c r="A9" s="15">
        <v>8</v>
      </c>
      <c r="B9" s="37" t="s">
        <v>215</v>
      </c>
      <c r="C9" s="38" t="e">
        <f>C8/C$3</f>
        <v>#DIV/0!</v>
      </c>
      <c r="D9" s="39">
        <f>D8/D$2</f>
        <v>0.00285493966150257</v>
      </c>
      <c r="E9" s="39">
        <f>E8/E$2</f>
        <v>0.00371350121952995</v>
      </c>
      <c r="F9" s="45">
        <v>0.004</v>
      </c>
      <c r="G9" s="45">
        <v>0.004</v>
      </c>
      <c r="H9" s="45">
        <v>0.004</v>
      </c>
    </row>
    <row r="10" ht="15.75" spans="1:8">
      <c r="A10" s="15">
        <v>9</v>
      </c>
      <c r="B10" s="19" t="s">
        <v>217</v>
      </c>
      <c r="C10" s="34">
        <v>639.62</v>
      </c>
      <c r="D10" s="34">
        <v>4425.2</v>
      </c>
      <c r="E10" s="44">
        <v>4593.2</v>
      </c>
      <c r="F10" s="44">
        <f>F$2*F11</f>
        <v>4050.245055</v>
      </c>
      <c r="G10" s="44">
        <f>G2*G11</f>
        <v>4472.6863677</v>
      </c>
      <c r="H10" s="44">
        <f>H2*H11</f>
        <v>4854.366281772</v>
      </c>
    </row>
    <row r="11" ht="15.75" spans="1:8">
      <c r="A11" s="15">
        <v>10</v>
      </c>
      <c r="B11" s="37" t="s">
        <v>215</v>
      </c>
      <c r="C11" s="38" t="e">
        <f>C10/C$3</f>
        <v>#DIV/0!</v>
      </c>
      <c r="D11" s="38">
        <f>D10/D$2</f>
        <v>0.0146528403967538</v>
      </c>
      <c r="E11" s="38">
        <f>E10/E$2</f>
        <v>0.0187314449830276</v>
      </c>
      <c r="F11" s="46">
        <v>0.015</v>
      </c>
      <c r="G11" s="46">
        <v>0.015</v>
      </c>
      <c r="H11" s="46">
        <v>0.015</v>
      </c>
    </row>
    <row r="12" ht="15.75" spans="1:8">
      <c r="A12" s="15">
        <v>11</v>
      </c>
      <c r="B12" s="19" t="s">
        <v>218</v>
      </c>
      <c r="C12" s="34">
        <v>1368.39</v>
      </c>
      <c r="D12" s="34">
        <v>10783.9</v>
      </c>
      <c r="E12" s="44">
        <v>17240.38</v>
      </c>
      <c r="F12" s="44">
        <f>F$2*F13</f>
        <v>17551.061905</v>
      </c>
      <c r="G12" s="44">
        <f>G$2*G13</f>
        <v>17890.7454708</v>
      </c>
      <c r="H12" s="44">
        <f>H$2*H13</f>
        <v>19417.465127088</v>
      </c>
    </row>
    <row r="13" ht="15.75" spans="1:8">
      <c r="A13" s="15">
        <v>12</v>
      </c>
      <c r="B13" s="37" t="s">
        <v>215</v>
      </c>
      <c r="C13" s="38" t="e">
        <f>C12/C$3</f>
        <v>#DIV/0!</v>
      </c>
      <c r="D13" s="38">
        <f>D12/D$2</f>
        <v>0.0357079376196677</v>
      </c>
      <c r="E13" s="38">
        <f>E12/E$2</f>
        <v>0.0703076786241596</v>
      </c>
      <c r="F13" s="46">
        <v>0.065</v>
      </c>
      <c r="G13" s="46">
        <v>0.06</v>
      </c>
      <c r="H13" s="46">
        <v>0.06</v>
      </c>
    </row>
    <row r="14" ht="15.75" spans="1:8">
      <c r="A14" s="15">
        <v>13</v>
      </c>
      <c r="B14" s="19" t="s">
        <v>219</v>
      </c>
      <c r="C14" s="34">
        <v>1639.43</v>
      </c>
      <c r="D14" s="34">
        <v>3594.3</v>
      </c>
      <c r="E14" s="44">
        <v>2887.6</v>
      </c>
      <c r="F14" s="44">
        <f>F$2*F15</f>
        <v>3240.196044</v>
      </c>
      <c r="G14" s="44">
        <f>G$2*G15</f>
        <v>3578.14909416</v>
      </c>
      <c r="H14" s="44">
        <f>H$2*H15</f>
        <v>3883.4930254176</v>
      </c>
    </row>
    <row r="15" ht="15.75" spans="1:8">
      <c r="A15" s="15">
        <v>14</v>
      </c>
      <c r="B15" s="37" t="s">
        <v>215</v>
      </c>
      <c r="C15" s="38" t="e">
        <f>C14/C$3</f>
        <v>#DIV/0!</v>
      </c>
      <c r="D15" s="38">
        <f>D14/D$2</f>
        <v>0.0119015421309889</v>
      </c>
      <c r="E15" s="38">
        <f>E14/E$2</f>
        <v>0.0117758687914723</v>
      </c>
      <c r="F15" s="46">
        <v>0.012</v>
      </c>
      <c r="G15" s="46">
        <v>0.012</v>
      </c>
      <c r="H15" s="46">
        <v>0.012</v>
      </c>
    </row>
    <row r="16" ht="15.75" spans="1:8">
      <c r="A16" s="15">
        <v>15</v>
      </c>
      <c r="B16" s="19" t="s">
        <v>220</v>
      </c>
      <c r="C16" s="34">
        <v>478.67</v>
      </c>
      <c r="D16" s="34">
        <v>8949.1</v>
      </c>
      <c r="E16" s="44">
        <v>23131.89</v>
      </c>
      <c r="F16" s="44">
        <v>23000</v>
      </c>
      <c r="G16" s="44">
        <v>14000</v>
      </c>
      <c r="H16" s="44">
        <v>11000</v>
      </c>
    </row>
    <row r="17" ht="15.75" spans="1:8">
      <c r="A17" s="15">
        <v>16</v>
      </c>
      <c r="B17" s="37" t="s">
        <v>215</v>
      </c>
      <c r="C17" s="38" t="e">
        <f>C16/C$3</f>
        <v>#DIV/0!</v>
      </c>
      <c r="D17" s="38">
        <f>D16/D$2</f>
        <v>0.029632498868885</v>
      </c>
      <c r="E17" s="38">
        <f>E16/E$2</f>
        <v>0.0943337378926341</v>
      </c>
      <c r="F17" s="46">
        <f>F16/F2</f>
        <v>0.0851800311623367</v>
      </c>
      <c r="G17" s="46">
        <f>G16/G2</f>
        <v>0.046951648905351</v>
      </c>
      <c r="H17" s="46">
        <f>H16/H2</f>
        <v>0.0339900185570195</v>
      </c>
    </row>
    <row r="18" ht="29.75" spans="1:9">
      <c r="A18" s="15">
        <v>17</v>
      </c>
      <c r="B18" s="19" t="s">
        <v>221</v>
      </c>
      <c r="C18" s="34">
        <v>1622.68</v>
      </c>
      <c r="D18" s="34">
        <v>1326.1</v>
      </c>
      <c r="E18" s="44">
        <v>1927.8</v>
      </c>
      <c r="F18" s="44">
        <v>1100</v>
      </c>
      <c r="G18" s="44">
        <f>F18*1.1</f>
        <v>1210</v>
      </c>
      <c r="H18" s="44">
        <f>G18*1.1</f>
        <v>1331</v>
      </c>
      <c r="I18" t="s">
        <v>222</v>
      </c>
    </row>
    <row r="19" ht="29.75" spans="1:9">
      <c r="A19" s="15">
        <v>18</v>
      </c>
      <c r="B19" s="19" t="s">
        <v>223</v>
      </c>
      <c r="C19" s="27">
        <v>391.54</v>
      </c>
      <c r="D19" s="27">
        <v>-119220.7</v>
      </c>
      <c r="E19" s="28">
        <v>-12881.9</v>
      </c>
      <c r="F19" s="28">
        <v>0</v>
      </c>
      <c r="G19" s="28">
        <v>0</v>
      </c>
      <c r="H19" s="28">
        <v>0</v>
      </c>
      <c r="I19" t="s">
        <v>224</v>
      </c>
    </row>
    <row r="20" ht="29.75" spans="1:9">
      <c r="A20" s="15">
        <v>19</v>
      </c>
      <c r="B20" s="19" t="s">
        <v>225</v>
      </c>
      <c r="C20" s="27">
        <v>0</v>
      </c>
      <c r="D20" s="27">
        <v>0</v>
      </c>
      <c r="E20" s="28">
        <v>-5486.3</v>
      </c>
      <c r="F20" s="28">
        <v>-140</v>
      </c>
      <c r="G20" s="28">
        <v>-140</v>
      </c>
      <c r="H20" s="28">
        <v>-140</v>
      </c>
      <c r="I20" t="s">
        <v>226</v>
      </c>
    </row>
    <row r="21" ht="29.75" spans="1:9">
      <c r="A21" s="15">
        <v>20</v>
      </c>
      <c r="B21" s="40" t="s">
        <v>227</v>
      </c>
      <c r="C21" s="41">
        <v>0</v>
      </c>
      <c r="D21" s="41">
        <v>18887</v>
      </c>
      <c r="E21" s="28">
        <v>5304.8</v>
      </c>
      <c r="F21" s="28">
        <v>-11500</v>
      </c>
      <c r="G21" s="28">
        <v>0</v>
      </c>
      <c r="H21" s="28">
        <v>0</v>
      </c>
      <c r="I21" t="s">
        <v>228</v>
      </c>
    </row>
    <row r="22" ht="15.75" spans="1:9">
      <c r="A22" s="15">
        <v>21</v>
      </c>
      <c r="B22" s="19" t="s">
        <v>229</v>
      </c>
      <c r="C22" s="27">
        <v>8.58</v>
      </c>
      <c r="D22" s="27">
        <v>-4319.5</v>
      </c>
      <c r="E22" s="28">
        <v>7713.1</v>
      </c>
      <c r="F22" s="28">
        <v>18000</v>
      </c>
      <c r="G22" s="28">
        <v>0</v>
      </c>
      <c r="H22" s="28">
        <v>0</v>
      </c>
      <c r="I22" t="s">
        <v>230</v>
      </c>
    </row>
    <row r="23" ht="15.75" spans="1:8">
      <c r="A23" s="15">
        <v>22</v>
      </c>
      <c r="B23" s="19" t="s">
        <v>231</v>
      </c>
      <c r="C23" s="34">
        <v>6949.97</v>
      </c>
      <c r="D23" s="34">
        <v>-89707.3</v>
      </c>
      <c r="E23" s="44">
        <v>2761.9</v>
      </c>
      <c r="F23" s="44">
        <f>F6-F8-F10-F12-F14-F16+F18+F19+F20+F21+F22</f>
        <v>27908.013208</v>
      </c>
      <c r="G23" s="44">
        <f>G6-G8-G10-G12-G14-G16+G18+G19+G20+G21+G22</f>
        <v>37175.79428182</v>
      </c>
      <c r="H23" s="44">
        <f>H6-H8-H10-H12-H14-H16+H18+H19+H20+H21+H22</f>
        <v>44787.7448988052</v>
      </c>
    </row>
    <row r="24" ht="15.75" spans="1:8">
      <c r="A24" s="15">
        <v>23</v>
      </c>
      <c r="B24" s="37" t="s">
        <v>215</v>
      </c>
      <c r="C24" s="38" t="e">
        <f>C23/C$3</f>
        <v>#DIV/0!</v>
      </c>
      <c r="D24" s="38">
        <f>D23/D$2</f>
        <v>-0.297041207024251</v>
      </c>
      <c r="E24" s="38">
        <f>E23/E$2</f>
        <v>0.011263253918537</v>
      </c>
      <c r="F24" s="46">
        <v>0.38</v>
      </c>
      <c r="G24" s="46">
        <v>0.35</v>
      </c>
      <c r="H24" s="46">
        <v>0.32</v>
      </c>
    </row>
    <row r="25" ht="15.75" spans="1:8">
      <c r="A25" s="15">
        <v>24</v>
      </c>
      <c r="B25" s="19" t="s">
        <v>232</v>
      </c>
      <c r="C25" s="27">
        <f>10.91-25.72</f>
        <v>-14.81</v>
      </c>
      <c r="D25" s="27">
        <f>72.419-1873.377</f>
        <v>-1800.958</v>
      </c>
      <c r="E25" s="28">
        <f>99.782-3235.67</f>
        <v>-3135.888</v>
      </c>
      <c r="F25" s="28">
        <v>2000</v>
      </c>
      <c r="G25" s="28">
        <v>100</v>
      </c>
      <c r="H25" s="28">
        <v>100</v>
      </c>
    </row>
    <row r="26" ht="15.75" spans="1:8">
      <c r="A26" s="15">
        <v>25</v>
      </c>
      <c r="B26" s="19" t="s">
        <v>233</v>
      </c>
      <c r="C26" s="34">
        <v>6935.16</v>
      </c>
      <c r="D26" s="34">
        <f>D23+D25</f>
        <v>-91508.258</v>
      </c>
      <c r="E26" s="34">
        <f>E23+E25</f>
        <v>-373.988</v>
      </c>
      <c r="F26" s="44">
        <f t="shared" ref="F26:H26" si="0">F23+F25</f>
        <v>29908.013208</v>
      </c>
      <c r="G26" s="44">
        <f t="shared" si="0"/>
        <v>37275.79428182</v>
      </c>
      <c r="H26" s="44">
        <f>H23+H25</f>
        <v>44887.7448988052</v>
      </c>
    </row>
    <row r="27" ht="15.75" spans="1:8">
      <c r="A27" s="15">
        <v>26</v>
      </c>
      <c r="B27" s="37" t="s">
        <v>215</v>
      </c>
      <c r="C27" s="38" t="e">
        <f>C26/C$3</f>
        <v>#DIV/0!</v>
      </c>
      <c r="D27" s="38">
        <f>D26/D$2</f>
        <v>-0.303004587241022</v>
      </c>
      <c r="E27" s="38">
        <f>E26/E$2</f>
        <v>-0.00152515362847525</v>
      </c>
      <c r="F27" s="46">
        <v>0.38</v>
      </c>
      <c r="G27" s="46">
        <v>0.35</v>
      </c>
      <c r="H27" s="46">
        <v>0.32</v>
      </c>
    </row>
    <row r="28" ht="15.75" spans="1:9">
      <c r="A28" s="15">
        <v>27</v>
      </c>
      <c r="B28" s="19" t="s">
        <v>234</v>
      </c>
      <c r="C28" s="34">
        <v>953.1</v>
      </c>
      <c r="D28" s="34">
        <v>5841.21</v>
      </c>
      <c r="E28" s="44">
        <v>-3835.19</v>
      </c>
      <c r="F28" s="44">
        <v>-2000</v>
      </c>
      <c r="G28" s="44">
        <v>0</v>
      </c>
      <c r="H28" s="44">
        <v>0</v>
      </c>
      <c r="I28" t="s">
        <v>235</v>
      </c>
    </row>
    <row r="29" ht="15.75" spans="1:8">
      <c r="A29" s="15">
        <v>28</v>
      </c>
      <c r="B29" s="19" t="s">
        <v>236</v>
      </c>
      <c r="C29" s="42">
        <f>C28/C26</f>
        <v>0.1374301385981</v>
      </c>
      <c r="D29" s="42">
        <f>D28/D26</f>
        <v>-0.0638325996764139</v>
      </c>
      <c r="E29" s="42">
        <f>E28/E26</f>
        <v>10.2548477491256</v>
      </c>
      <c r="F29" s="46">
        <v>0.23</v>
      </c>
      <c r="G29" s="46">
        <v>0.23</v>
      </c>
      <c r="H29" s="46">
        <v>0.23</v>
      </c>
    </row>
    <row r="30" ht="15.75" spans="1:8">
      <c r="A30" s="15">
        <v>29</v>
      </c>
      <c r="B30" s="19" t="s">
        <v>104</v>
      </c>
      <c r="C30" s="34">
        <f>C26-C28</f>
        <v>5982.06</v>
      </c>
      <c r="D30" s="34">
        <f>D26-D28</f>
        <v>-97349.468</v>
      </c>
      <c r="E30" s="34">
        <f>E26-E28</f>
        <v>3461.202</v>
      </c>
      <c r="F30" s="34">
        <f>F26-F28</f>
        <v>31908.013208</v>
      </c>
      <c r="G30" s="34">
        <f>G26-G28</f>
        <v>37275.79428182</v>
      </c>
      <c r="H30" s="34">
        <f>H26-H28</f>
        <v>44887.7448988052</v>
      </c>
    </row>
    <row r="31" ht="44.75" spans="1:8">
      <c r="A31" s="15">
        <v>30</v>
      </c>
      <c r="B31" s="22" t="s">
        <v>237</v>
      </c>
      <c r="C31" s="23">
        <v>5982.06</v>
      </c>
      <c r="D31" s="23">
        <f>D30-D32</f>
        <v>-97321.932</v>
      </c>
      <c r="E31" s="23">
        <f>E30-E32</f>
        <v>3616.888</v>
      </c>
      <c r="F31" s="32">
        <f t="shared" ref="F31:H31" si="1">F30-F32</f>
        <v>31933.013208</v>
      </c>
      <c r="G31" s="32">
        <f t="shared" si="1"/>
        <v>37300.79428182</v>
      </c>
      <c r="H31" s="32">
        <f t="shared" si="1"/>
        <v>44912.7448988052</v>
      </c>
    </row>
    <row r="32" ht="29.75" spans="1:8">
      <c r="A32" s="15">
        <v>31</v>
      </c>
      <c r="B32" s="16" t="s">
        <v>238</v>
      </c>
      <c r="C32" s="17">
        <v>0</v>
      </c>
      <c r="D32" s="17">
        <v>-27.536</v>
      </c>
      <c r="E32" s="47">
        <v>-155.686</v>
      </c>
      <c r="F32" s="18">
        <v>-25</v>
      </c>
      <c r="G32" s="18">
        <v>-25</v>
      </c>
      <c r="H32" s="18">
        <v>-25</v>
      </c>
    </row>
    <row r="33" ht="15.75" spans="1:8">
      <c r="A33" s="15">
        <v>32</v>
      </c>
      <c r="B33" s="19" t="s">
        <v>239</v>
      </c>
      <c r="C33" s="27"/>
      <c r="D33" s="27">
        <v>151100</v>
      </c>
      <c r="E33" s="28">
        <v>151100</v>
      </c>
      <c r="F33" s="28">
        <v>151100</v>
      </c>
      <c r="G33" s="28">
        <v>151100</v>
      </c>
      <c r="H33" s="28">
        <v>151100</v>
      </c>
    </row>
    <row r="34" ht="15.75" spans="1:8">
      <c r="A34" s="15">
        <v>33</v>
      </c>
      <c r="B34" s="29" t="s">
        <v>240</v>
      </c>
      <c r="C34" s="43" t="s">
        <v>134</v>
      </c>
      <c r="D34" s="43">
        <v>-0.88</v>
      </c>
      <c r="E34" s="28">
        <v>0.02</v>
      </c>
      <c r="F34" s="48">
        <f t="shared" ref="F34:H34" si="2">F31/F33</f>
        <v>0.211336950416942</v>
      </c>
      <c r="G34" s="48">
        <f t="shared" si="2"/>
        <v>0.246861643162277</v>
      </c>
      <c r="H34" s="48">
        <f t="shared" si="2"/>
        <v>0.297238549959002</v>
      </c>
    </row>
  </sheetData>
  <pageMargins left="0.75" right="0.75" top="1" bottom="1" header="0.511805555555556" footer="0.511805555555556"/>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2"/>
  <sheetViews>
    <sheetView workbookViewId="0">
      <selection activeCell="J9" sqref="J9"/>
    </sheetView>
  </sheetViews>
  <sheetFormatPr defaultColWidth="9" defaultRowHeight="14" outlineLevelCol="6"/>
  <cols>
    <col min="3" max="3" width="13.8125"/>
    <col min="4" max="7" width="13.0625"/>
  </cols>
  <sheetData>
    <row r="1" ht="15.75" spans="1:7">
      <c r="A1" s="15"/>
      <c r="B1" s="16"/>
      <c r="C1" s="17" t="s">
        <v>210</v>
      </c>
      <c r="D1" s="18" t="s">
        <v>211</v>
      </c>
      <c r="E1" s="18" t="s">
        <v>197</v>
      </c>
      <c r="F1" s="18" t="s">
        <v>198</v>
      </c>
      <c r="G1" s="18" t="s">
        <v>199</v>
      </c>
    </row>
    <row r="2" ht="15.75" spans="1:7">
      <c r="A2" s="15">
        <v>1</v>
      </c>
      <c r="B2" s="19" t="s">
        <v>212</v>
      </c>
      <c r="C2" s="20">
        <v>302002.88</v>
      </c>
      <c r="D2" s="20">
        <v>245213.33</v>
      </c>
      <c r="E2" s="20">
        <v>270016.337</v>
      </c>
      <c r="F2" s="20">
        <v>298179.09118</v>
      </c>
      <c r="G2" s="20">
        <v>323624.4187848</v>
      </c>
    </row>
    <row r="3" ht="15.75" spans="1:7">
      <c r="A3" s="15">
        <v>2</v>
      </c>
      <c r="B3" s="19" t="s">
        <v>241</v>
      </c>
      <c r="C3" s="21">
        <v>-0.0693</v>
      </c>
      <c r="D3" s="21">
        <v>-0.188</v>
      </c>
      <c r="E3" s="31">
        <v>0.101148689592038</v>
      </c>
      <c r="F3" s="31">
        <v>0.104300186029114</v>
      </c>
      <c r="G3" s="31">
        <v>0.0853357205701575</v>
      </c>
    </row>
    <row r="4" ht="15" spans="1:7">
      <c r="A4" s="15">
        <v>30</v>
      </c>
      <c r="B4" s="22" t="s">
        <v>242</v>
      </c>
      <c r="C4" s="23">
        <v>-97321.932</v>
      </c>
      <c r="D4" s="23">
        <v>3616.888</v>
      </c>
      <c r="E4" s="32">
        <v>31933.013208</v>
      </c>
      <c r="F4" s="32">
        <v>37300.7702927772</v>
      </c>
      <c r="G4" s="32">
        <v>44912.7252715895</v>
      </c>
    </row>
    <row r="5" ht="15" spans="1:7">
      <c r="A5" s="15"/>
      <c r="B5" s="24" t="s">
        <v>243</v>
      </c>
      <c r="C5" s="25">
        <v>-4.1568</v>
      </c>
      <c r="D5" s="26" t="s">
        <v>134</v>
      </c>
      <c r="E5" s="33">
        <f>E4/D4-1</f>
        <v>7.82886426342203</v>
      </c>
      <c r="F5" s="33">
        <f>F4/E4-1</f>
        <v>0.168094286931635</v>
      </c>
      <c r="G5" s="33">
        <f>G4/F4-1</f>
        <v>0.204069645722201</v>
      </c>
    </row>
    <row r="6" ht="15.75" spans="1:7">
      <c r="A6" s="15">
        <v>32</v>
      </c>
      <c r="B6" s="19" t="s">
        <v>244</v>
      </c>
      <c r="C6" s="27">
        <v>110223</v>
      </c>
      <c r="D6" s="28">
        <v>151100</v>
      </c>
      <c r="E6" s="27">
        <v>151100</v>
      </c>
      <c r="F6" s="27">
        <v>151100</v>
      </c>
      <c r="G6" s="27">
        <v>151100</v>
      </c>
    </row>
    <row r="7" ht="15.75" spans="1:7">
      <c r="A7" s="15">
        <v>33</v>
      </c>
      <c r="B7" s="29" t="s">
        <v>245</v>
      </c>
      <c r="C7" s="30">
        <f>C4/C6</f>
        <v>-0.882954846084756</v>
      </c>
      <c r="D7" s="30">
        <f>D4/D6</f>
        <v>0.0239370483123759</v>
      </c>
      <c r="E7" s="30">
        <f>E4/E6</f>
        <v>0.211336950416942</v>
      </c>
      <c r="F7" s="30">
        <f>F4/F6</f>
        <v>0.246861484399584</v>
      </c>
      <c r="G7" s="30">
        <f>G4/G6</f>
        <v>0.297238420063464</v>
      </c>
    </row>
    <row r="8" spans="2:7">
      <c r="B8" t="s">
        <v>246</v>
      </c>
      <c r="C8" t="s">
        <v>134</v>
      </c>
      <c r="D8">
        <f>$C$11/D7</f>
        <v>347.57836018146</v>
      </c>
      <c r="E8">
        <f>$C$11/E7</f>
        <v>39.3684113619774</v>
      </c>
      <c r="F8">
        <f>$C$11/F7</f>
        <v>33.7031109580981</v>
      </c>
      <c r="G8">
        <f>$C$11/G7</f>
        <v>27.9909979276016</v>
      </c>
    </row>
    <row r="9" spans="2:7">
      <c r="B9" t="s">
        <v>247</v>
      </c>
      <c r="C9"/>
      <c r="E9">
        <f>C11/C12</f>
        <v>4.03883495145631</v>
      </c>
      <c r="F9">
        <f>C11/(C12+E7)</f>
        <v>3.66304083525464</v>
      </c>
      <c r="G9">
        <f>C11/(C12+F7+E7)</f>
        <v>3.30394931748347</v>
      </c>
    </row>
    <row r="11" spans="2:3">
      <c r="B11" t="s">
        <v>248</v>
      </c>
      <c r="C11">
        <v>8.32</v>
      </c>
    </row>
    <row r="12" spans="2:3">
      <c r="B12" t="s">
        <v>249</v>
      </c>
      <c r="C12">
        <v>2.06</v>
      </c>
    </row>
  </sheetData>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3"/>
  <sheetViews>
    <sheetView tabSelected="1" workbookViewId="0">
      <selection activeCell="C9" sqref="C9"/>
    </sheetView>
  </sheetViews>
  <sheetFormatPr defaultColWidth="9" defaultRowHeight="14" outlineLevelCol="5"/>
  <cols>
    <col min="1" max="1" width="23.5625" customWidth="1"/>
    <col min="2" max="6" width="12.6875"/>
  </cols>
  <sheetData>
    <row r="1" ht="15.2" spans="1:6">
      <c r="A1" s="7" t="s">
        <v>250</v>
      </c>
      <c r="B1" s="7" t="s">
        <v>210</v>
      </c>
      <c r="C1" s="7" t="s">
        <v>211</v>
      </c>
      <c r="D1" s="7" t="s">
        <v>197</v>
      </c>
      <c r="E1" s="7" t="s">
        <v>198</v>
      </c>
      <c r="F1" s="7" t="s">
        <v>199</v>
      </c>
    </row>
    <row r="2" s="6" customFormat="1" ht="15.2" spans="1:6">
      <c r="A2" s="8" t="s">
        <v>212</v>
      </c>
      <c r="B2" s="9">
        <v>302002.88</v>
      </c>
      <c r="C2" s="9">
        <v>245213.33</v>
      </c>
      <c r="D2" s="9">
        <v>270016.337</v>
      </c>
      <c r="E2" s="9">
        <v>298179.09118</v>
      </c>
      <c r="F2" s="9">
        <v>323624.4187848</v>
      </c>
    </row>
    <row r="3" ht="15.2" spans="1:6">
      <c r="A3" s="10" t="s">
        <v>106</v>
      </c>
      <c r="B3" s="11">
        <v>0.1395</v>
      </c>
      <c r="C3" s="11">
        <v>0.2242</v>
      </c>
      <c r="D3" s="11">
        <v>0.256908831260828</v>
      </c>
      <c r="E3" s="11">
        <v>0.259039261517411</v>
      </c>
      <c r="F3" s="11">
        <v>0.259704033842113</v>
      </c>
    </row>
    <row r="4" ht="15.2" spans="1:6">
      <c r="A4" s="10" t="s">
        <v>214</v>
      </c>
      <c r="B4" s="12">
        <v>259883.3</v>
      </c>
      <c r="C4" s="12">
        <v>190225.4</v>
      </c>
      <c r="D4" s="12">
        <v>200646.75544</v>
      </c>
      <c r="E4" s="12">
        <v>220938.9996008</v>
      </c>
      <c r="F4" s="12">
        <v>239577.851776578</v>
      </c>
    </row>
    <row r="5" ht="15.2" spans="1:6">
      <c r="A5" s="10" t="s">
        <v>216</v>
      </c>
      <c r="B5" s="12">
        <v>862.2</v>
      </c>
      <c r="C5" s="12">
        <v>910.6</v>
      </c>
      <c r="D5" s="12">
        <v>1080.065348</v>
      </c>
      <c r="E5" s="12">
        <v>1192.71636472</v>
      </c>
      <c r="F5" s="12">
        <v>1294.4976751392</v>
      </c>
    </row>
    <row r="6" ht="15.2" spans="1:6">
      <c r="A6" s="10" t="s">
        <v>217</v>
      </c>
      <c r="B6" s="12">
        <v>4425.2</v>
      </c>
      <c r="C6" s="12">
        <v>4593.2</v>
      </c>
      <c r="D6" s="12">
        <v>4050.245055</v>
      </c>
      <c r="E6" s="12">
        <v>4472.6863677</v>
      </c>
      <c r="F6" s="12">
        <v>4854.366281772</v>
      </c>
    </row>
    <row r="7" ht="15.2" spans="1:6">
      <c r="A7" s="10" t="s">
        <v>218</v>
      </c>
      <c r="B7" s="12">
        <v>10783.9</v>
      </c>
      <c r="C7" s="12">
        <v>17240.38</v>
      </c>
      <c r="D7" s="12">
        <v>17551.061905</v>
      </c>
      <c r="E7" s="12">
        <v>17890.7454708</v>
      </c>
      <c r="F7" s="12">
        <v>19417.465127088</v>
      </c>
    </row>
    <row r="8" ht="15.2" spans="1:6">
      <c r="A8" s="10" t="s">
        <v>219</v>
      </c>
      <c r="B8" s="12">
        <v>3594.3</v>
      </c>
      <c r="C8" s="12">
        <v>2887.6</v>
      </c>
      <c r="D8" s="12">
        <v>3240.196044</v>
      </c>
      <c r="E8" s="12">
        <v>3578.14909416</v>
      </c>
      <c r="F8" s="12">
        <v>3883.4930254176</v>
      </c>
    </row>
    <row r="9" ht="15.2" spans="1:6">
      <c r="A9" s="10" t="s">
        <v>220</v>
      </c>
      <c r="B9" s="12">
        <v>8949.1</v>
      </c>
      <c r="C9" s="12">
        <v>23131.89</v>
      </c>
      <c r="D9" s="12">
        <v>23000</v>
      </c>
      <c r="E9" s="12">
        <v>14000</v>
      </c>
      <c r="F9" s="12">
        <v>11000</v>
      </c>
    </row>
    <row r="10" ht="15.2" spans="1:6">
      <c r="A10" s="10" t="s">
        <v>221</v>
      </c>
      <c r="B10" s="12">
        <v>1326.1</v>
      </c>
      <c r="C10" s="12">
        <v>1927.8</v>
      </c>
      <c r="D10" s="12">
        <v>1100</v>
      </c>
      <c r="E10" s="12">
        <v>1210</v>
      </c>
      <c r="F10" s="12">
        <v>1331</v>
      </c>
    </row>
    <row r="11" ht="15.2" spans="1:6">
      <c r="A11" s="10" t="s">
        <v>223</v>
      </c>
      <c r="B11" s="12">
        <v>-119220.7</v>
      </c>
      <c r="C11" s="12">
        <v>-12881.9</v>
      </c>
      <c r="D11" s="12">
        <v>0</v>
      </c>
      <c r="E11" s="12">
        <v>0</v>
      </c>
      <c r="F11" s="12">
        <v>0</v>
      </c>
    </row>
    <row r="12" ht="15.2" spans="1:6">
      <c r="A12" s="10" t="s">
        <v>225</v>
      </c>
      <c r="B12" s="12">
        <v>0</v>
      </c>
      <c r="C12" s="12">
        <v>-5486.3</v>
      </c>
      <c r="D12" s="12">
        <v>-140</v>
      </c>
      <c r="E12" s="12">
        <v>-140</v>
      </c>
      <c r="F12" s="12">
        <v>-140</v>
      </c>
    </row>
    <row r="13" ht="15.2" spans="1:6">
      <c r="A13" s="10" t="s">
        <v>251</v>
      </c>
      <c r="B13" s="12">
        <v>18887</v>
      </c>
      <c r="C13" s="12">
        <v>5304.8</v>
      </c>
      <c r="D13" s="12">
        <v>-11500</v>
      </c>
      <c r="E13" s="12">
        <v>0</v>
      </c>
      <c r="F13" s="12">
        <v>0</v>
      </c>
    </row>
    <row r="14" ht="15.2" spans="1:6">
      <c r="A14" s="10" t="s">
        <v>229</v>
      </c>
      <c r="B14" s="12">
        <v>-4319.5</v>
      </c>
      <c r="C14" s="12">
        <v>7713.1</v>
      </c>
      <c r="D14" s="12">
        <v>18000</v>
      </c>
      <c r="E14" s="12">
        <v>0</v>
      </c>
      <c r="F14" s="12">
        <v>0</v>
      </c>
    </row>
    <row r="15" s="6" customFormat="1" ht="15.2" spans="1:6">
      <c r="A15" s="8" t="s">
        <v>231</v>
      </c>
      <c r="B15" s="9">
        <v>-89707.3</v>
      </c>
      <c r="C15" s="9">
        <v>2761.9</v>
      </c>
      <c r="D15" s="9">
        <v>27908.013208</v>
      </c>
      <c r="E15" s="9">
        <v>37175.79428182</v>
      </c>
      <c r="F15" s="9">
        <v>44787.7448988052</v>
      </c>
    </row>
    <row r="16" ht="15.2" spans="1:6">
      <c r="A16" s="10" t="s">
        <v>232</v>
      </c>
      <c r="B16" s="12">
        <v>-1800.958</v>
      </c>
      <c r="C16" s="12">
        <v>-3135.888</v>
      </c>
      <c r="D16" s="12">
        <v>2000</v>
      </c>
      <c r="E16" s="12">
        <v>100</v>
      </c>
      <c r="F16" s="12">
        <v>100</v>
      </c>
    </row>
    <row r="17" s="6" customFormat="1" ht="15.2" spans="1:6">
      <c r="A17" s="8" t="s">
        <v>233</v>
      </c>
      <c r="B17" s="9">
        <v>-91508.258</v>
      </c>
      <c r="C17" s="9">
        <v>-373.988</v>
      </c>
      <c r="D17" s="9">
        <v>29908.013208</v>
      </c>
      <c r="E17" s="9">
        <v>37275.79428182</v>
      </c>
      <c r="F17" s="9">
        <v>44887.7448988052</v>
      </c>
    </row>
    <row r="18" ht="15.2" spans="1:6">
      <c r="A18" s="10" t="s">
        <v>234</v>
      </c>
      <c r="B18" s="12">
        <v>5841.21</v>
      </c>
      <c r="C18" s="12">
        <v>-3835.19</v>
      </c>
      <c r="D18" s="12">
        <v>-2000</v>
      </c>
      <c r="E18" s="12">
        <v>0</v>
      </c>
      <c r="F18" s="12">
        <v>0</v>
      </c>
    </row>
    <row r="19" s="6" customFormat="1" ht="15.2" spans="1:6">
      <c r="A19" s="8" t="s">
        <v>104</v>
      </c>
      <c r="B19" s="9">
        <v>-97349.468</v>
      </c>
      <c r="C19" s="9">
        <v>3461.202</v>
      </c>
      <c r="D19" s="9">
        <v>31908.013208</v>
      </c>
      <c r="E19" s="9">
        <v>37275.7702927772</v>
      </c>
      <c r="F19" s="9">
        <v>44887.7252715895</v>
      </c>
    </row>
    <row r="20" s="6" customFormat="1" ht="15.2" spans="1:6">
      <c r="A20" s="8" t="s">
        <v>237</v>
      </c>
      <c r="B20" s="9">
        <v>-97321.932</v>
      </c>
      <c r="C20" s="9">
        <v>3616.888</v>
      </c>
      <c r="D20" s="9">
        <v>31933.013208</v>
      </c>
      <c r="E20" s="9">
        <v>37300.7702927772</v>
      </c>
      <c r="F20" s="9">
        <v>44912.7252715895</v>
      </c>
    </row>
    <row r="21" ht="15.2" spans="1:6">
      <c r="A21" s="10" t="s">
        <v>238</v>
      </c>
      <c r="B21" s="12">
        <v>-27.536</v>
      </c>
      <c r="C21" s="12">
        <v>-155.686</v>
      </c>
      <c r="D21" s="12">
        <v>-25</v>
      </c>
      <c r="E21" s="12">
        <v>-25</v>
      </c>
      <c r="F21" s="12">
        <v>-25</v>
      </c>
    </row>
    <row r="22" s="6" customFormat="1" ht="15.2" spans="1:6">
      <c r="A22" s="8" t="s">
        <v>245</v>
      </c>
      <c r="B22" s="13">
        <v>-0.88</v>
      </c>
      <c r="C22" s="13">
        <v>0.02</v>
      </c>
      <c r="D22" s="13">
        <v>0.211336950416942</v>
      </c>
      <c r="E22" s="13">
        <v>0.246861484399584</v>
      </c>
      <c r="F22" s="13">
        <v>0.297238420063464</v>
      </c>
    </row>
    <row r="23" ht="15.2" spans="1:6">
      <c r="A23" s="14"/>
      <c r="B23" s="14"/>
      <c r="C23" s="14"/>
      <c r="D23" s="14"/>
      <c r="E23" s="14"/>
      <c r="F23" s="14"/>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6"/>
  <sheetViews>
    <sheetView workbookViewId="0">
      <selection activeCell="J7" sqref="J7"/>
    </sheetView>
  </sheetViews>
  <sheetFormatPr defaultColWidth="9" defaultRowHeight="14" outlineLevelRow="5" outlineLevelCol="2"/>
  <cols>
    <col min="1" max="1" width="15.25" customWidth="1"/>
  </cols>
  <sheetData>
    <row r="1" spans="1:1">
      <c r="A1" t="s">
        <v>13</v>
      </c>
    </row>
    <row r="2" spans="1:3">
      <c r="A2" t="s">
        <v>14</v>
      </c>
      <c r="B2" t="s">
        <v>15</v>
      </c>
      <c r="C2" t="s">
        <v>16</v>
      </c>
    </row>
    <row r="3" spans="1:3">
      <c r="A3" s="84" t="s">
        <v>17</v>
      </c>
      <c r="B3" t="s">
        <v>18</v>
      </c>
      <c r="C3">
        <v>50</v>
      </c>
    </row>
    <row r="4" spans="1:3">
      <c r="A4" s="84"/>
      <c r="B4" t="s">
        <v>19</v>
      </c>
      <c r="C4">
        <v>20</v>
      </c>
    </row>
    <row r="5" spans="1:3">
      <c r="A5" s="84" t="s">
        <v>20</v>
      </c>
      <c r="B5" t="s">
        <v>21</v>
      </c>
      <c r="C5">
        <v>10</v>
      </c>
    </row>
    <row r="6" spans="1:3">
      <c r="A6" s="84"/>
      <c r="B6" t="s">
        <v>22</v>
      </c>
      <c r="C6">
        <v>8</v>
      </c>
    </row>
  </sheetData>
  <mergeCells count="2">
    <mergeCell ref="A3:A4"/>
    <mergeCell ref="A5:A6"/>
  </mergeCells>
  <pageMargins left="0.75" right="0.75" top="1" bottom="1" header="0.511805555555556" footer="0.511805555555556"/>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K17"/>
  <sheetViews>
    <sheetView workbookViewId="0">
      <selection activeCell="B2" sqref="B2"/>
    </sheetView>
  </sheetViews>
  <sheetFormatPr defaultColWidth="9" defaultRowHeight="14"/>
  <cols>
    <col min="3" max="3" width="11.0625" customWidth="1"/>
    <col min="4" max="4" width="11.328125" customWidth="1"/>
    <col min="5" max="5" width="10.8046875" customWidth="1"/>
    <col min="6" max="6" width="11.3203125" customWidth="1"/>
    <col min="7" max="7" width="10.9375" customWidth="1"/>
    <col min="8" max="8" width="6.2421875" customWidth="1"/>
    <col min="9" max="9" width="6.1171875" customWidth="1"/>
    <col min="10" max="10" width="6.3828125" customWidth="1"/>
    <col min="11" max="11" width="6.5078125" customWidth="1"/>
  </cols>
  <sheetData>
    <row r="2" ht="36" customHeight="1" spans="1:11">
      <c r="A2" s="1" t="s">
        <v>252</v>
      </c>
      <c r="B2" s="1" t="s">
        <v>253</v>
      </c>
      <c r="C2" s="1" t="s">
        <v>254</v>
      </c>
      <c r="D2" s="2" t="s">
        <v>255</v>
      </c>
      <c r="E2" s="2" t="s">
        <v>256</v>
      </c>
      <c r="F2" s="2" t="s">
        <v>257</v>
      </c>
      <c r="G2" s="2" t="s">
        <v>258</v>
      </c>
      <c r="H2" s="2" t="s">
        <v>259</v>
      </c>
      <c r="I2" s="2" t="s">
        <v>260</v>
      </c>
      <c r="J2" s="2" t="s">
        <v>261</v>
      </c>
      <c r="K2" s="2" t="s">
        <v>262</v>
      </c>
    </row>
    <row r="3" spans="1:11">
      <c r="A3" s="3" t="s">
        <v>263</v>
      </c>
      <c r="B3" s="3" t="s">
        <v>26</v>
      </c>
      <c r="C3" s="4">
        <v>383.01</v>
      </c>
      <c r="D3" s="4">
        <v>3109.74</v>
      </c>
      <c r="E3" s="4">
        <v>3988.71</v>
      </c>
      <c r="F3" s="4">
        <v>5175.71</v>
      </c>
      <c r="G3" s="4">
        <v>6360.5</v>
      </c>
      <c r="H3" s="4">
        <f>$C$3/D3*100</f>
        <v>12.3164637558124</v>
      </c>
      <c r="I3" s="4">
        <f>$C$3/E3*100</f>
        <v>9.60235264032732</v>
      </c>
      <c r="J3" s="4">
        <f>$C$3/F3*100</f>
        <v>7.40014413481435</v>
      </c>
      <c r="K3" s="4">
        <f>$C$3/G3*100</f>
        <v>6.02169640751513</v>
      </c>
    </row>
    <row r="4" spans="1:11">
      <c r="A4" s="5" t="s">
        <v>264</v>
      </c>
      <c r="B4" s="5" t="s">
        <v>37</v>
      </c>
      <c r="C4" s="4">
        <v>893.26</v>
      </c>
      <c r="D4" s="4">
        <v>4058.31</v>
      </c>
      <c r="E4" s="4">
        <v>5683.32</v>
      </c>
      <c r="F4" s="4">
        <v>7721.59</v>
      </c>
      <c r="G4" s="4">
        <v>10118.51</v>
      </c>
      <c r="H4" s="4">
        <f>$C$4/D4*100</f>
        <v>22.0106398969029</v>
      </c>
      <c r="I4" s="4">
        <f>$C$4/E4*100</f>
        <v>15.7172216239804</v>
      </c>
      <c r="J4" s="4">
        <f>$C$4/F4*100</f>
        <v>11.5683427895032</v>
      </c>
      <c r="K4" s="4">
        <f>$C$4/G4*100</f>
        <v>8.82797961359923</v>
      </c>
    </row>
    <row r="5" spans="1:11">
      <c r="A5" s="5" t="s">
        <v>265</v>
      </c>
      <c r="B5" s="5"/>
      <c r="C5" s="4">
        <f>AVERAGE(C3:C4)</f>
        <v>638.135</v>
      </c>
      <c r="D5" s="4">
        <f t="shared" ref="D5:K5" si="0">AVERAGE(D3:D4)</f>
        <v>3584.025</v>
      </c>
      <c r="E5" s="4">
        <f t="shared" si="0"/>
        <v>4836.015</v>
      </c>
      <c r="F5" s="4">
        <f t="shared" si="0"/>
        <v>6448.65</v>
      </c>
      <c r="G5" s="4">
        <f t="shared" si="0"/>
        <v>8239.505</v>
      </c>
      <c r="H5" s="4">
        <f t="shared" si="0"/>
        <v>17.1635518263576</v>
      </c>
      <c r="I5" s="4">
        <f t="shared" si="0"/>
        <v>12.6597871321538</v>
      </c>
      <c r="J5" s="4">
        <f t="shared" si="0"/>
        <v>9.48424346215878</v>
      </c>
      <c r="K5" s="4">
        <f t="shared" si="0"/>
        <v>7.42483801055718</v>
      </c>
    </row>
    <row r="6" spans="1:11">
      <c r="A6" s="5"/>
      <c r="B6" s="5"/>
      <c r="C6" s="4"/>
      <c r="D6" s="5"/>
      <c r="E6" s="5"/>
      <c r="F6" s="5"/>
      <c r="G6" s="5"/>
      <c r="H6" s="5"/>
      <c r="I6" s="5"/>
      <c r="J6" s="5"/>
      <c r="K6" s="5"/>
    </row>
    <row r="7" spans="1:11">
      <c r="A7" s="5"/>
      <c r="B7" s="5"/>
      <c r="C7" s="5"/>
      <c r="D7" s="5"/>
      <c r="E7" s="5"/>
      <c r="F7" s="5"/>
      <c r="G7" s="5"/>
      <c r="H7" s="5"/>
      <c r="I7" s="5"/>
      <c r="J7" s="5"/>
      <c r="K7" s="5"/>
    </row>
    <row r="8" spans="1:11">
      <c r="A8" s="5"/>
      <c r="B8" s="5"/>
      <c r="C8" s="5"/>
      <c r="D8" s="5"/>
      <c r="E8" s="5"/>
      <c r="F8" s="5"/>
      <c r="G8" s="5"/>
      <c r="H8" s="5"/>
      <c r="I8" s="5"/>
      <c r="J8" s="5"/>
      <c r="K8" s="5"/>
    </row>
    <row r="9" ht="28" spans="1:11">
      <c r="A9" s="1" t="s">
        <v>252</v>
      </c>
      <c r="B9" s="1" t="s">
        <v>253</v>
      </c>
      <c r="C9" s="1" t="s">
        <v>254</v>
      </c>
      <c r="D9" s="2" t="s">
        <v>266</v>
      </c>
      <c r="E9" s="2" t="s">
        <v>267</v>
      </c>
      <c r="F9" s="2" t="s">
        <v>268</v>
      </c>
      <c r="G9" s="2" t="s">
        <v>269</v>
      </c>
      <c r="H9" s="2" t="s">
        <v>270</v>
      </c>
      <c r="I9" s="2" t="s">
        <v>271</v>
      </c>
      <c r="J9" s="2" t="s">
        <v>272</v>
      </c>
      <c r="K9" s="2" t="s">
        <v>273</v>
      </c>
    </row>
    <row r="10" spans="1:11">
      <c r="A10" s="3" t="s">
        <v>274</v>
      </c>
      <c r="B10" s="3" t="s">
        <v>275</v>
      </c>
      <c r="C10" s="4">
        <v>218.62</v>
      </c>
      <c r="D10" s="4">
        <v>910.8</v>
      </c>
      <c r="E10" s="4">
        <v>1072</v>
      </c>
      <c r="F10" s="4">
        <v>1447</v>
      </c>
      <c r="G10" s="4">
        <v>2171</v>
      </c>
      <c r="H10" s="4">
        <f>$C$10/D10*100</f>
        <v>24.0030742204655</v>
      </c>
      <c r="I10" s="4">
        <f>$C$10/E10*100</f>
        <v>20.3936567164179</v>
      </c>
      <c r="J10" s="4">
        <f>$C$10/F10*100</f>
        <v>15.1085003455425</v>
      </c>
      <c r="K10" s="4">
        <f>$C$10/G10*100</f>
        <v>10.0700138185168</v>
      </c>
    </row>
    <row r="11" spans="1:11">
      <c r="A11" s="5" t="s">
        <v>276</v>
      </c>
      <c r="B11" s="5" t="s">
        <v>277</v>
      </c>
      <c r="C11" s="4">
        <v>831.61</v>
      </c>
      <c r="D11" s="4">
        <v>3761.8</v>
      </c>
      <c r="E11" s="4">
        <v>4283.17</v>
      </c>
      <c r="F11" s="4">
        <v>5040.44</v>
      </c>
      <c r="G11" s="4">
        <v>5851</v>
      </c>
      <c r="H11" s="4">
        <f>$C$11/D11*100</f>
        <v>22.1067042373332</v>
      </c>
      <c r="I11" s="4">
        <f>$C$11/E11*100</f>
        <v>19.4157598227481</v>
      </c>
      <c r="J11" s="4">
        <f>$C$11/F11*100</f>
        <v>16.4987580449326</v>
      </c>
      <c r="K11" s="4">
        <f>$C$11/G11*100</f>
        <v>14.2131259613741</v>
      </c>
    </row>
    <row r="12" spans="1:11">
      <c r="A12" s="5" t="s">
        <v>265</v>
      </c>
      <c r="B12" s="5"/>
      <c r="C12" s="4">
        <f t="shared" ref="C12:K12" si="1">AVERAGE(C10:C11)</f>
        <v>525.115</v>
      </c>
      <c r="D12" s="4">
        <f t="shared" si="1"/>
        <v>2336.3</v>
      </c>
      <c r="E12" s="4">
        <f t="shared" si="1"/>
        <v>2677.585</v>
      </c>
      <c r="F12" s="4">
        <f t="shared" si="1"/>
        <v>3243.72</v>
      </c>
      <c r="G12" s="4">
        <f t="shared" si="1"/>
        <v>4011</v>
      </c>
      <c r="H12" s="4">
        <f t="shared" si="1"/>
        <v>23.0548892288994</v>
      </c>
      <c r="I12" s="4">
        <f t="shared" si="1"/>
        <v>19.904708269583</v>
      </c>
      <c r="J12" s="4">
        <f t="shared" si="1"/>
        <v>15.8036291952375</v>
      </c>
      <c r="K12" s="4">
        <f t="shared" si="1"/>
        <v>12.1415698899455</v>
      </c>
    </row>
    <row r="13" spans="1:11">
      <c r="A13" s="5"/>
      <c r="B13" s="5"/>
      <c r="C13" s="5"/>
      <c r="D13" s="5"/>
      <c r="E13" s="5"/>
      <c r="F13" s="5"/>
      <c r="G13" s="5"/>
      <c r="H13" s="5"/>
      <c r="I13" s="5"/>
      <c r="J13" s="5"/>
      <c r="K13" s="5"/>
    </row>
    <row r="17" spans="9:9">
      <c r="I17">
        <v>2</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
  <sheetViews>
    <sheetView workbookViewId="0">
      <selection activeCell="J6" sqref="J6"/>
    </sheetView>
  </sheetViews>
  <sheetFormatPr defaultColWidth="9" defaultRowHeight="14" outlineLevelRow="5" outlineLevelCol="7"/>
  <cols>
    <col min="2" max="2" width="10.1484375" customWidth="1"/>
    <col min="8" max="8" width="14.0625" customWidth="1"/>
  </cols>
  <sheetData>
    <row r="1" ht="24" customHeight="1" spans="1:8">
      <c r="A1" s="49" t="s">
        <v>23</v>
      </c>
      <c r="B1" s="49" t="s">
        <v>24</v>
      </c>
      <c r="C1" s="78" t="s">
        <v>25</v>
      </c>
      <c r="D1" s="83"/>
      <c r="E1" s="83"/>
      <c r="F1" s="83"/>
      <c r="G1" s="83"/>
      <c r="H1" s="83"/>
    </row>
    <row r="2" ht="51" customHeight="1" spans="1:8">
      <c r="A2" s="52" t="s">
        <v>26</v>
      </c>
      <c r="B2" s="102" t="s">
        <v>27</v>
      </c>
      <c r="C2" s="103" t="s">
        <v>28</v>
      </c>
      <c r="D2" s="103"/>
      <c r="E2" s="103"/>
      <c r="F2" s="103"/>
      <c r="G2" s="103"/>
      <c r="H2" s="103"/>
    </row>
    <row r="3" ht="39" customHeight="1" spans="1:8">
      <c r="A3" s="104" t="s">
        <v>10</v>
      </c>
      <c r="B3" s="105" t="s">
        <v>29</v>
      </c>
      <c r="C3" s="106" t="s">
        <v>30</v>
      </c>
      <c r="D3" s="107"/>
      <c r="E3" s="107"/>
      <c r="F3" s="107"/>
      <c r="G3" s="107"/>
      <c r="H3" s="107"/>
    </row>
    <row r="4" ht="158" customHeight="1" spans="1:8">
      <c r="A4" s="52" t="s">
        <v>31</v>
      </c>
      <c r="B4" s="80" t="s">
        <v>32</v>
      </c>
      <c r="C4" s="103" t="s">
        <v>33</v>
      </c>
      <c r="D4" s="108"/>
      <c r="E4" s="108"/>
      <c r="F4" s="108"/>
      <c r="G4" s="108"/>
      <c r="H4" s="108"/>
    </row>
    <row r="5" ht="49" customHeight="1" spans="1:8">
      <c r="A5" s="104" t="s">
        <v>34</v>
      </c>
      <c r="B5" s="105" t="s">
        <v>35</v>
      </c>
      <c r="C5" s="106" t="s">
        <v>36</v>
      </c>
      <c r="D5" s="107"/>
      <c r="E5" s="107"/>
      <c r="F5" s="107"/>
      <c r="G5" s="107"/>
      <c r="H5" s="107"/>
    </row>
    <row r="6" ht="52" customHeight="1" spans="1:8">
      <c r="A6" s="52" t="s">
        <v>37</v>
      </c>
      <c r="B6" s="102" t="s">
        <v>38</v>
      </c>
      <c r="C6" s="103" t="s">
        <v>39</v>
      </c>
      <c r="D6" s="108"/>
      <c r="E6" s="108"/>
      <c r="F6" s="108"/>
      <c r="G6" s="108"/>
      <c r="H6" s="108"/>
    </row>
  </sheetData>
  <mergeCells count="6">
    <mergeCell ref="C1:H1"/>
    <mergeCell ref="C2:H2"/>
    <mergeCell ref="C3:H3"/>
    <mergeCell ref="C4:H4"/>
    <mergeCell ref="C5:H5"/>
    <mergeCell ref="C6:H6"/>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9"/>
  <sheetViews>
    <sheetView workbookViewId="0">
      <selection activeCell="E3" sqref="E3"/>
    </sheetView>
  </sheetViews>
  <sheetFormatPr defaultColWidth="9" defaultRowHeight="14" outlineLevelCol="5"/>
  <cols>
    <col min="2" max="2" width="18.5625" customWidth="1"/>
    <col min="5" max="5" width="15.375"/>
    <col min="6" max="6" width="16.6875"/>
  </cols>
  <sheetData>
    <row r="1" ht="18.3" customHeight="1" spans="1:3">
      <c r="A1" s="97"/>
      <c r="B1" s="97" t="s">
        <v>40</v>
      </c>
      <c r="C1" s="97"/>
    </row>
    <row r="2" ht="34" spans="1:6">
      <c r="A2" s="97"/>
      <c r="B2" s="97" t="s">
        <v>41</v>
      </c>
      <c r="C2" s="97" t="s">
        <v>42</v>
      </c>
      <c r="E2" s="99">
        <v>16475271.3</v>
      </c>
      <c r="F2" s="99">
        <v>103985187.67</v>
      </c>
    </row>
    <row r="3" ht="34.75" spans="1:3">
      <c r="A3" s="98" t="s">
        <v>43</v>
      </c>
      <c r="B3" s="99">
        <v>1144551133.01</v>
      </c>
      <c r="C3" s="100">
        <v>1</v>
      </c>
    </row>
    <row r="4" ht="18.3" customHeight="1" spans="1:3">
      <c r="A4" s="98" t="s">
        <v>44</v>
      </c>
      <c r="B4" s="98"/>
      <c r="C4" s="98"/>
    </row>
    <row r="5" ht="17.75" spans="1:3">
      <c r="A5" s="98" t="s">
        <v>45</v>
      </c>
      <c r="B5" s="99">
        <v>774592967.69</v>
      </c>
      <c r="C5" s="101">
        <v>0.6768</v>
      </c>
    </row>
    <row r="6" ht="17.75" spans="1:3">
      <c r="A6" s="98" t="s">
        <v>46</v>
      </c>
      <c r="B6" s="99">
        <v>317925100.64</v>
      </c>
      <c r="C6" s="101">
        <v>0.2778</v>
      </c>
    </row>
    <row r="7" ht="34.75" spans="1:3">
      <c r="A7" s="98" t="s">
        <v>47</v>
      </c>
      <c r="B7" s="99">
        <v>16475271.3</v>
      </c>
      <c r="C7" s="101">
        <v>0.0144</v>
      </c>
    </row>
    <row r="8" ht="17.75" spans="1:3">
      <c r="A8" s="98" t="s">
        <v>48</v>
      </c>
      <c r="B8" s="99">
        <v>35557793.38</v>
      </c>
      <c r="C8" s="101">
        <v>0.031</v>
      </c>
    </row>
    <row r="9" ht="18.3" customHeight="1" spans="1:3">
      <c r="A9" s="98" t="s">
        <v>49</v>
      </c>
      <c r="B9" s="98"/>
      <c r="C9" s="98"/>
    </row>
    <row r="10" ht="17.75" spans="1:3">
      <c r="A10" s="98" t="s">
        <v>50</v>
      </c>
      <c r="B10" s="99">
        <v>639811320.02</v>
      </c>
      <c r="C10" s="101">
        <v>0.559</v>
      </c>
    </row>
    <row r="11" ht="17.75" spans="1:3">
      <c r="A11" s="98" t="s">
        <v>51</v>
      </c>
      <c r="B11" s="99">
        <v>317925100.64</v>
      </c>
      <c r="C11" s="101">
        <v>0.2778</v>
      </c>
    </row>
    <row r="12" ht="17.75" spans="1:3">
      <c r="A12" s="98" t="s">
        <v>52</v>
      </c>
      <c r="B12" s="99">
        <v>30796460</v>
      </c>
      <c r="C12" s="101">
        <v>0.0269</v>
      </c>
    </row>
    <row r="13" ht="17.75" spans="1:3">
      <c r="A13" s="98" t="s">
        <v>48</v>
      </c>
      <c r="B13" s="99">
        <f>35557793.38+E2+F2</f>
        <v>156018252.35</v>
      </c>
      <c r="C13" s="101">
        <v>0.031</v>
      </c>
    </row>
    <row r="14" ht="18.3" customHeight="1" spans="1:3">
      <c r="A14" s="98" t="s">
        <v>53</v>
      </c>
      <c r="B14" s="98"/>
      <c r="C14" s="98"/>
    </row>
    <row r="15" ht="17.75" spans="1:3">
      <c r="A15" s="98" t="s">
        <v>54</v>
      </c>
      <c r="B15" s="99">
        <v>985292453.13</v>
      </c>
      <c r="C15" s="101">
        <v>0.8609</v>
      </c>
    </row>
    <row r="16" ht="17.75" spans="1:3">
      <c r="A16" s="98" t="s">
        <v>55</v>
      </c>
      <c r="B16" s="99">
        <v>123700886.5</v>
      </c>
      <c r="C16" s="101">
        <v>0.1081</v>
      </c>
    </row>
    <row r="17" ht="17.75" spans="1:3">
      <c r="A17" s="98" t="s">
        <v>48</v>
      </c>
      <c r="B17" s="99">
        <v>35557793.38</v>
      </c>
      <c r="C17" s="101">
        <v>0.031</v>
      </c>
    </row>
    <row r="19" spans="2:2">
      <c r="B19">
        <f>B13/B3</f>
        <v>0.136313920671849</v>
      </c>
    </row>
  </sheetData>
  <mergeCells count="5">
    <mergeCell ref="B1:C1"/>
    <mergeCell ref="A4:C4"/>
    <mergeCell ref="A9:C9"/>
    <mergeCell ref="A14:C14"/>
    <mergeCell ref="A1:A2"/>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1"/>
  <sheetViews>
    <sheetView workbookViewId="0">
      <selection activeCell="D7" sqref="D7"/>
    </sheetView>
  </sheetViews>
  <sheetFormatPr defaultColWidth="9" defaultRowHeight="14" outlineLevelCol="6"/>
  <cols>
    <col min="5" max="5" width="57.8125" customWidth="1"/>
  </cols>
  <sheetData>
    <row r="1" ht="17" spans="1:7">
      <c r="A1" s="93" t="s">
        <v>56</v>
      </c>
      <c r="B1" s="93" t="s">
        <v>57</v>
      </c>
      <c r="C1" s="93" t="s">
        <v>58</v>
      </c>
      <c r="D1" s="93" t="s">
        <v>59</v>
      </c>
      <c r="E1" s="93" t="s">
        <v>60</v>
      </c>
      <c r="F1" s="93" t="s">
        <v>61</v>
      </c>
      <c r="G1" s="93" t="s">
        <v>62</v>
      </c>
    </row>
    <row r="2" ht="34" spans="1:7">
      <c r="A2" s="94">
        <v>1</v>
      </c>
      <c r="B2" s="94" t="s">
        <v>63</v>
      </c>
      <c r="C2" s="94" t="s">
        <v>64</v>
      </c>
      <c r="D2" s="94">
        <v>44</v>
      </c>
      <c r="E2" s="94" t="s">
        <v>65</v>
      </c>
      <c r="F2" s="94" t="s">
        <v>66</v>
      </c>
      <c r="G2" s="94" t="s">
        <v>67</v>
      </c>
    </row>
    <row r="3" ht="51" spans="1:7">
      <c r="A3" s="95">
        <v>2</v>
      </c>
      <c r="B3" s="95" t="s">
        <v>68</v>
      </c>
      <c r="C3" s="95" t="s">
        <v>64</v>
      </c>
      <c r="D3" s="95">
        <v>57</v>
      </c>
      <c r="E3" s="95" t="s">
        <v>69</v>
      </c>
      <c r="F3" s="95" t="s">
        <v>66</v>
      </c>
      <c r="G3" s="95" t="s">
        <v>67</v>
      </c>
    </row>
    <row r="4" s="92" customFormat="1" spans="1:7">
      <c r="A4" s="94">
        <v>3</v>
      </c>
      <c r="B4" s="96" t="s">
        <v>70</v>
      </c>
      <c r="C4" s="94" t="s">
        <v>64</v>
      </c>
      <c r="D4" s="94">
        <v>52</v>
      </c>
      <c r="E4" s="94" t="s">
        <v>71</v>
      </c>
      <c r="F4" s="94" t="s">
        <v>66</v>
      </c>
      <c r="G4" s="94" t="s">
        <v>72</v>
      </c>
    </row>
    <row r="5" s="92" customFormat="1" ht="60" customHeight="1" spans="1:7">
      <c r="A5" s="94"/>
      <c r="B5" s="96"/>
      <c r="C5" s="94"/>
      <c r="D5" s="94"/>
      <c r="E5" s="94"/>
      <c r="F5" s="94"/>
      <c r="G5" s="94"/>
    </row>
    <row r="6" ht="84" spans="1:7">
      <c r="A6" s="95">
        <v>4</v>
      </c>
      <c r="B6" s="95" t="s">
        <v>73</v>
      </c>
      <c r="C6" s="95" t="s">
        <v>74</v>
      </c>
      <c r="D6" s="95">
        <v>54</v>
      </c>
      <c r="E6" s="95" t="s">
        <v>75</v>
      </c>
      <c r="F6" s="95" t="s">
        <v>66</v>
      </c>
      <c r="G6" s="95" t="s">
        <v>76</v>
      </c>
    </row>
    <row r="7" ht="51" spans="1:7">
      <c r="A7" s="94">
        <v>5</v>
      </c>
      <c r="B7" s="94" t="s">
        <v>77</v>
      </c>
      <c r="C7" s="94" t="s">
        <v>64</v>
      </c>
      <c r="D7" s="94">
        <v>38</v>
      </c>
      <c r="E7" s="94" t="s">
        <v>78</v>
      </c>
      <c r="F7" s="94" t="s">
        <v>66</v>
      </c>
      <c r="G7" s="94" t="s">
        <v>79</v>
      </c>
    </row>
    <row r="8" ht="18.3" customHeight="1" spans="1:7">
      <c r="A8" s="95">
        <v>6</v>
      </c>
      <c r="B8" s="95" t="s">
        <v>80</v>
      </c>
      <c r="C8" s="95" t="s">
        <v>64</v>
      </c>
      <c r="D8" s="95">
        <v>42</v>
      </c>
      <c r="E8" s="95" t="s">
        <v>81</v>
      </c>
      <c r="F8" s="95" t="s">
        <v>66</v>
      </c>
      <c r="G8" s="95" t="s">
        <v>82</v>
      </c>
    </row>
    <row r="9" ht="55" customHeight="1" spans="1:7">
      <c r="A9" s="95"/>
      <c r="B9" s="95"/>
      <c r="C9" s="95"/>
      <c r="D9" s="95"/>
      <c r="E9" s="95"/>
      <c r="F9" s="95"/>
      <c r="G9" s="95"/>
    </row>
    <row r="10" ht="51" spans="1:7">
      <c r="A10" s="94">
        <v>7</v>
      </c>
      <c r="B10" s="94" t="s">
        <v>83</v>
      </c>
      <c r="C10" s="94" t="s">
        <v>64</v>
      </c>
      <c r="D10" s="94">
        <v>30</v>
      </c>
      <c r="E10" s="94" t="s">
        <v>84</v>
      </c>
      <c r="F10" s="94" t="s">
        <v>85</v>
      </c>
      <c r="G10" s="94" t="s">
        <v>86</v>
      </c>
    </row>
    <row r="11" ht="51" spans="1:7">
      <c r="A11" s="95">
        <v>8</v>
      </c>
      <c r="B11" s="95" t="s">
        <v>87</v>
      </c>
      <c r="C11" s="95" t="s">
        <v>74</v>
      </c>
      <c r="D11" s="95">
        <v>24</v>
      </c>
      <c r="E11" s="95" t="s">
        <v>88</v>
      </c>
      <c r="F11" s="95" t="s">
        <v>85</v>
      </c>
      <c r="G11" s="95" t="s">
        <v>89</v>
      </c>
    </row>
  </sheetData>
  <mergeCells count="14">
    <mergeCell ref="A4:A5"/>
    <mergeCell ref="A8:A9"/>
    <mergeCell ref="B4:B5"/>
    <mergeCell ref="B8:B9"/>
    <mergeCell ref="C4:C5"/>
    <mergeCell ref="C8:C9"/>
    <mergeCell ref="D4:D5"/>
    <mergeCell ref="D8:D9"/>
    <mergeCell ref="E4:E5"/>
    <mergeCell ref="E8:E9"/>
    <mergeCell ref="F4:F5"/>
    <mergeCell ref="F8:F9"/>
    <mergeCell ref="G4:G5"/>
    <mergeCell ref="G8:G9"/>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1"/>
  <sheetViews>
    <sheetView workbookViewId="0">
      <selection activeCell="A5" sqref="A5"/>
    </sheetView>
  </sheetViews>
  <sheetFormatPr defaultColWidth="9" defaultRowHeight="14" outlineLevelCol="1"/>
  <cols>
    <col min="1" max="1" width="27.078125" customWidth="1"/>
    <col min="2" max="2" width="41.65625" customWidth="1"/>
  </cols>
  <sheetData>
    <row r="1" ht="15.2" spans="1:2">
      <c r="A1" s="85" t="s">
        <v>90</v>
      </c>
      <c r="B1" s="85" t="s">
        <v>91</v>
      </c>
    </row>
    <row r="2" ht="53" spans="1:2">
      <c r="A2" s="86" t="s">
        <v>92</v>
      </c>
      <c r="B2" s="87" t="s">
        <v>93</v>
      </c>
    </row>
    <row r="3" ht="106" spans="1:2">
      <c r="A3" s="88" t="s">
        <v>94</v>
      </c>
      <c r="B3" s="89" t="s">
        <v>95</v>
      </c>
    </row>
    <row r="4" ht="71" spans="1:2">
      <c r="A4" s="86" t="s">
        <v>96</v>
      </c>
      <c r="B4" s="87" t="s">
        <v>97</v>
      </c>
    </row>
    <row r="5" ht="53" spans="1:2">
      <c r="A5" s="88" t="s">
        <v>98</v>
      </c>
      <c r="B5" s="89" t="s">
        <v>99</v>
      </c>
    </row>
    <row r="6" ht="16.8" spans="2:2">
      <c r="B6" s="90"/>
    </row>
    <row r="7" ht="16.8" spans="2:2">
      <c r="B7" s="90"/>
    </row>
    <row r="8" ht="16.8" spans="2:2">
      <c r="B8" s="90"/>
    </row>
    <row r="9" ht="16.8" spans="2:2">
      <c r="B9" s="90"/>
    </row>
    <row r="10" ht="16.8" spans="2:2">
      <c r="B10" s="91"/>
    </row>
    <row r="11" ht="16.8" spans="2:2">
      <c r="B11" s="90"/>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
  <sheetViews>
    <sheetView workbookViewId="0">
      <selection activeCell="B16" sqref="B16"/>
    </sheetView>
  </sheetViews>
  <sheetFormatPr defaultColWidth="9" defaultRowHeight="14" outlineLevelRow="2" outlineLevelCol="4"/>
  <cols>
    <col min="2" max="2" width="12.6875"/>
    <col min="3" max="4" width="10.5"/>
    <col min="5" max="5" width="9.640625" customWidth="1"/>
  </cols>
  <sheetData>
    <row r="1" spans="1:5">
      <c r="A1" t="s">
        <v>100</v>
      </c>
      <c r="B1">
        <v>2017</v>
      </c>
      <c r="C1">
        <v>2018</v>
      </c>
      <c r="D1">
        <v>2019</v>
      </c>
      <c r="E1" s="84" t="s">
        <v>101</v>
      </c>
    </row>
    <row r="2" spans="1:5">
      <c r="A2" t="s">
        <v>102</v>
      </c>
      <c r="B2">
        <v>32.448345</v>
      </c>
      <c r="C2">
        <v>30.200288</v>
      </c>
      <c r="D2">
        <v>24.521333</v>
      </c>
      <c r="E2">
        <v>19.125326</v>
      </c>
    </row>
    <row r="3" spans="1:5">
      <c r="A3" t="s">
        <v>103</v>
      </c>
      <c r="B3" s="58">
        <v>1.32</v>
      </c>
      <c r="C3" s="56">
        <f>C2/B2-1</f>
        <v>-0.069281098928158</v>
      </c>
      <c r="D3" s="56">
        <f>D2/C2-1</f>
        <v>-0.188043074291212</v>
      </c>
      <c r="E3" s="54">
        <v>0.0357</v>
      </c>
    </row>
  </sheetData>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
  <sheetViews>
    <sheetView workbookViewId="0">
      <selection activeCell="E3" sqref="E3"/>
    </sheetView>
  </sheetViews>
  <sheetFormatPr defaultColWidth="9" defaultRowHeight="14" outlineLevelRow="1" outlineLevelCol="4"/>
  <cols>
    <col min="2" max="2" width="9.5"/>
    <col min="3" max="3" width="10.5"/>
    <col min="4" max="5" width="9.5"/>
  </cols>
  <sheetData>
    <row r="1" spans="2:5">
      <c r="B1">
        <v>2017</v>
      </c>
      <c r="C1">
        <v>2018</v>
      </c>
      <c r="D1">
        <v>2019</v>
      </c>
      <c r="E1" t="s">
        <v>101</v>
      </c>
    </row>
    <row r="2" spans="1:5">
      <c r="A2" t="s">
        <v>104</v>
      </c>
      <c r="B2">
        <v>3.083894</v>
      </c>
      <c r="C2">
        <v>-9.732196</v>
      </c>
      <c r="D2">
        <v>0.361699</v>
      </c>
      <c r="E2">
        <v>1.909779</v>
      </c>
    </row>
  </sheetData>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
  <sheetViews>
    <sheetView workbookViewId="0">
      <selection activeCell="B15" sqref="B15"/>
    </sheetView>
  </sheetViews>
  <sheetFormatPr defaultColWidth="9" defaultRowHeight="14" outlineLevelRow="2" outlineLevelCol="4"/>
  <sheetData>
    <row r="1" spans="2:5">
      <c r="B1">
        <v>2017</v>
      </c>
      <c r="C1">
        <v>2018</v>
      </c>
      <c r="D1">
        <v>2019</v>
      </c>
      <c r="E1" t="s">
        <v>105</v>
      </c>
    </row>
    <row r="2" spans="1:5">
      <c r="A2" t="s">
        <v>106</v>
      </c>
      <c r="B2" s="54">
        <v>0.1874</v>
      </c>
      <c r="C2" s="54">
        <v>0.1395</v>
      </c>
      <c r="D2" s="54">
        <v>0.2242</v>
      </c>
      <c r="E2" s="54">
        <v>0.2233</v>
      </c>
    </row>
    <row r="3" spans="1:5">
      <c r="A3" t="s">
        <v>107</v>
      </c>
      <c r="B3" s="54">
        <v>0.0974</v>
      </c>
      <c r="C3" s="54">
        <v>-0.3223</v>
      </c>
      <c r="D3" s="54">
        <v>0.0141</v>
      </c>
      <c r="E3" s="54">
        <v>0.0996</v>
      </c>
    </row>
  </sheetData>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Writer</Application>
  <HeadingPairs>
    <vt:vector size="2" baseType="variant">
      <vt:variant>
        <vt:lpstr>工作表</vt:lpstr>
      </vt:variant>
      <vt:variant>
        <vt:i4>20</vt:i4>
      </vt:variant>
    </vt:vector>
  </HeadingPairs>
  <TitlesOfParts>
    <vt:vector size="20" baseType="lpstr">
      <vt:lpstr>碳化硅晶圆格局</vt:lpstr>
      <vt:lpstr>碳化硅国内产能</vt:lpstr>
      <vt:lpstr>碳化硅出货相关公告</vt:lpstr>
      <vt:lpstr>公司2020H1营收</vt:lpstr>
      <vt:lpstr>碳化硅技术团队人员</vt:lpstr>
      <vt:lpstr>已攻克碳化硅技术</vt:lpstr>
      <vt:lpstr>营收分析</vt:lpstr>
      <vt:lpstr>净利润分析</vt:lpstr>
      <vt:lpstr>毛利率、净利率</vt:lpstr>
      <vt:lpstr>公司合作方</vt:lpstr>
      <vt:lpstr>公司在手合同</vt:lpstr>
      <vt:lpstr>募投项目计划</vt:lpstr>
      <vt:lpstr>碳化硅衬底产能计划</vt:lpstr>
      <vt:lpstr>潜在客户</vt:lpstr>
      <vt:lpstr>营收预测</vt:lpstr>
      <vt:lpstr>营收预测2</vt:lpstr>
      <vt:lpstr>公司盈利预测底稿</vt:lpstr>
      <vt:lpstr>盈利预测2</vt:lpstr>
      <vt:lpstr>Sheet21</vt:lpstr>
      <vt:lpstr>Sheet22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dc:creator>
  <dcterms:created xsi:type="dcterms:W3CDTF">2020-12-21T17:17:22Z</dcterms:created>
  <dcterms:modified xsi:type="dcterms:W3CDTF">2020-12-31T16:12:47Z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1033-2.1.2.3417</vt:lpwstr>
  </property>
</Properties>
</file>