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<sst xmlns="http://schemas.openxmlformats.org/spreadsheetml/2006/main" count="282" uniqueCount="231">
  <si>
    <t>Symbol</t>
  </si>
  <si>
    <t>Name</t>
  </si>
  <si>
    <t>Last</t>
  </si>
  <si>
    <t>Change</t>
  </si>
  <si>
    <t>%Chg</t>
  </si>
  <si>
    <t>High</t>
  </si>
  <si>
    <t>Low</t>
  </si>
  <si>
    <t>Volume</t>
  </si>
  <si>
    <t>Time</t>
  </si>
  <si>
    <t>Opinion</t>
  </si>
  <si>
    <t>20D Rel Str</t>
  </si>
  <si>
    <t>20D His Vol</t>
  </si>
  <si>
    <t>20D Avg Vol</t>
  </si>
  <si>
    <t>52W Low</t>
  </si>
  <si>
    <t>52W High</t>
  </si>
  <si>
    <t>Wtd Alpha</t>
  </si>
  <si>
    <t>YTD %Chg</t>
  </si>
  <si>
    <t>1M %Chg</t>
  </si>
  <si>
    <t>3M %Chg</t>
  </si>
  <si>
    <t>52W %Chg</t>
  </si>
  <si>
    <t>Market Cap, $K</t>
  </si>
  <si>
    <t>P/E ttm</t>
  </si>
  <si>
    <t>EPS ttm</t>
  </si>
  <si>
    <t>Net Income(a)</t>
  </si>
  <si>
    <t>Beta</t>
  </si>
  <si>
    <t>Dividend(a)</t>
  </si>
  <si>
    <t>Div Yield</t>
  </si>
  <si>
    <t>AAP</t>
  </si>
  <si>
    <t>Advance Auto Parts Inc</t>
  </si>
  <si>
    <t>48% Buy</t>
  </si>
  <si>
    <t>486.90 M</t>
  </si>
  <si>
    <t>AMZN</t>
  </si>
  <si>
    <t>Amazon.com Inc</t>
  </si>
  <si>
    <t>16:28 ET</t>
  </si>
  <si>
    <t>56% Buy</t>
  </si>
  <si>
    <t>11,588.00 M</t>
  </si>
  <si>
    <t>APTV</t>
  </si>
  <si>
    <t>Aptiv Plc</t>
  </si>
  <si>
    <t>100% Buy</t>
  </si>
  <si>
    <t>990.00 M</t>
  </si>
  <si>
    <t>AZO</t>
  </si>
  <si>
    <t>Autozone</t>
  </si>
  <si>
    <t>16:05 ET</t>
  </si>
  <si>
    <t>40% Buy</t>
  </si>
  <si>
    <t>1,732.97 M</t>
  </si>
  <si>
    <t>BBY</t>
  </si>
  <si>
    <t>Best Buy Company</t>
  </si>
  <si>
    <t>1,541.00 M</t>
  </si>
  <si>
    <t>BKNG</t>
  </si>
  <si>
    <t>Booking Holdings Inc</t>
  </si>
  <si>
    <t>8% Buy</t>
  </si>
  <si>
    <t>4,865.00 M</t>
  </si>
  <si>
    <t>BWA</t>
  </si>
  <si>
    <t>Borgwarner Inc</t>
  </si>
  <si>
    <t>64% Buy</t>
  </si>
  <si>
    <t>746.00 M</t>
  </si>
  <si>
    <t>CCL</t>
  </si>
  <si>
    <t>Carnival Corp</t>
  </si>
  <si>
    <t>88% Sell</t>
  </si>
  <si>
    <t>2,989.00 M</t>
  </si>
  <si>
    <t>CMG</t>
  </si>
  <si>
    <t>Chipotle Mexican Grill</t>
  </si>
  <si>
    <t>350.16 M</t>
  </si>
  <si>
    <t>DG</t>
  </si>
  <si>
    <t>Dollar General Corp</t>
  </si>
  <si>
    <t>1,712.56 M</t>
  </si>
  <si>
    <t>DHI</t>
  </si>
  <si>
    <t>D.R. Horton</t>
  </si>
  <si>
    <t>16:19 ET</t>
  </si>
  <si>
    <t>1,618.50 M</t>
  </si>
  <si>
    <t>DLTR</t>
  </si>
  <si>
    <t>Dollar Tree Inc</t>
  </si>
  <si>
    <t>72% Buy</t>
  </si>
  <si>
    <t>827.00 M</t>
  </si>
  <si>
    <t>DPZ</t>
  </si>
  <si>
    <t>Domino's Pizza Inc</t>
  </si>
  <si>
    <t>400.71 M</t>
  </si>
  <si>
    <t>DRI</t>
  </si>
  <si>
    <t>Darden Restaurants</t>
  </si>
  <si>
    <t>80% Buy</t>
  </si>
  <si>
    <t>-52.40 M</t>
  </si>
  <si>
    <t>EBAY</t>
  </si>
  <si>
    <t>Ebay Inc</t>
  </si>
  <si>
    <t>24% Buy</t>
  </si>
  <si>
    <t>1,786.00 M</t>
  </si>
  <si>
    <t>ETSY</t>
  </si>
  <si>
    <t>Etsy Inc</t>
  </si>
  <si>
    <t>16:26 ET</t>
  </si>
  <si>
    <t>88% Buy</t>
  </si>
  <si>
    <t>95.89 M</t>
  </si>
  <si>
    <t>EXPE</t>
  </si>
  <si>
    <t>Expedia Group Inc</t>
  </si>
  <si>
    <t>565.00 M</t>
  </si>
  <si>
    <t>F</t>
  </si>
  <si>
    <t>Ford Motor Company</t>
  </si>
  <si>
    <t>47.00 M</t>
  </si>
  <si>
    <t>GM</t>
  </si>
  <si>
    <t>General Motors Company</t>
  </si>
  <si>
    <t>6,732.00 M</t>
  </si>
  <si>
    <t>GPC</t>
  </si>
  <si>
    <t>Genuine Parts Company</t>
  </si>
  <si>
    <t>621.09 M</t>
  </si>
  <si>
    <t>GPS</t>
  </si>
  <si>
    <t>Gap Inc</t>
  </si>
  <si>
    <t>351.00 M</t>
  </si>
  <si>
    <t>GRMN</t>
  </si>
  <si>
    <t>Garmin Ltd</t>
  </si>
  <si>
    <t>952.49 M</t>
  </si>
  <si>
    <t>HAS</t>
  </si>
  <si>
    <t>Hasbro Inc</t>
  </si>
  <si>
    <t>520.45 M</t>
  </si>
  <si>
    <t>HBI</t>
  </si>
  <si>
    <t>Hanesbrands Inc</t>
  </si>
  <si>
    <t>600.72 M</t>
  </si>
  <si>
    <t>HD</t>
  </si>
  <si>
    <t>Home Depot</t>
  </si>
  <si>
    <t>11,242.00 M</t>
  </si>
  <si>
    <t>HLT</t>
  </si>
  <si>
    <t>Hilton Inc</t>
  </si>
  <si>
    <t>881.00 M</t>
  </si>
  <si>
    <t>KMX</t>
  </si>
  <si>
    <t>Carmax Inc</t>
  </si>
  <si>
    <t>888.43 M</t>
  </si>
  <si>
    <t>LB</t>
  </si>
  <si>
    <t>L Brands Inc</t>
  </si>
  <si>
    <t>-366.00 M</t>
  </si>
  <si>
    <t>LEG</t>
  </si>
  <si>
    <t>Leggett &amp; Platt Inc</t>
  </si>
  <si>
    <t>333.80 M</t>
  </si>
  <si>
    <t>LEN</t>
  </si>
  <si>
    <t>Lennar Corp</t>
  </si>
  <si>
    <t>1,849.05 M</t>
  </si>
  <si>
    <t>LKQ</t>
  </si>
  <si>
    <t>LKQ Corp</t>
  </si>
  <si>
    <t>541.26 M</t>
  </si>
  <si>
    <t>LOW</t>
  </si>
  <si>
    <t>Lowe's Companies</t>
  </si>
  <si>
    <t>4,281.00 M</t>
  </si>
  <si>
    <t>LVS</t>
  </si>
  <si>
    <t>Las Vegas Sands</t>
  </si>
  <si>
    <t>16:17 ET</t>
  </si>
  <si>
    <t>72% Sell</t>
  </si>
  <si>
    <t>2,698.00 M</t>
  </si>
  <si>
    <t>MAR</t>
  </si>
  <si>
    <t>Marriot Int Cl A</t>
  </si>
  <si>
    <t>24% Sell</t>
  </si>
  <si>
    <t>1,273.00 M</t>
  </si>
  <si>
    <t>MCD</t>
  </si>
  <si>
    <t>McDonald's Corp</t>
  </si>
  <si>
    <t>6,025.40 M</t>
  </si>
  <si>
    <t>MGM</t>
  </si>
  <si>
    <t>MGM Resorts International</t>
  </si>
  <si>
    <t>2,046.43 M</t>
  </si>
  <si>
    <t>MHK</t>
  </si>
  <si>
    <t>Mohawk Industries</t>
  </si>
  <si>
    <t>744.21 M</t>
  </si>
  <si>
    <t>NCLH</t>
  </si>
  <si>
    <t>Norwegian Cruise Ord</t>
  </si>
  <si>
    <t>16:13 ET</t>
  </si>
  <si>
    <t>32% Buy</t>
  </si>
  <si>
    <t>930.23 M</t>
  </si>
  <si>
    <t>NKE</t>
  </si>
  <si>
    <t>Nike Inc</t>
  </si>
  <si>
    <t>16:15 ET</t>
  </si>
  <si>
    <t>2,539.00 M</t>
  </si>
  <si>
    <t>NVR</t>
  </si>
  <si>
    <t>NVR Inc</t>
  </si>
  <si>
    <t>878.54 M</t>
  </si>
  <si>
    <t>NWL</t>
  </si>
  <si>
    <t>Newell Rubbermaid Inc</t>
  </si>
  <si>
    <t>96% Buy</t>
  </si>
  <si>
    <t>106.60 M</t>
  </si>
  <si>
    <t>ORLY</t>
  </si>
  <si>
    <t>O'Reilly Automotive</t>
  </si>
  <si>
    <t>1,391.04 M</t>
  </si>
  <si>
    <t>PHM</t>
  </si>
  <si>
    <t>Pultegroup</t>
  </si>
  <si>
    <t>1,016.70 M</t>
  </si>
  <si>
    <t>PVH</t>
  </si>
  <si>
    <t>Phillips-Van Heusen Corp</t>
  </si>
  <si>
    <t>417.30 M</t>
  </si>
  <si>
    <t>RCL</t>
  </si>
  <si>
    <t>Royal Caribbean Cruises Ltd</t>
  </si>
  <si>
    <t>1,878.89 M</t>
  </si>
  <si>
    <t>RL</t>
  </si>
  <si>
    <t>Ralph Lauren Corp</t>
  </si>
  <si>
    <t>384.30 M</t>
  </si>
  <si>
    <t>ROST</t>
  </si>
  <si>
    <t>Ross Stores Inc</t>
  </si>
  <si>
    <t>Hold</t>
  </si>
  <si>
    <t>1,660.93 M</t>
  </si>
  <si>
    <t>SBUX</t>
  </si>
  <si>
    <t>Starbucks Corp</t>
  </si>
  <si>
    <t>3,599.20 M</t>
  </si>
  <si>
    <t>TGT</t>
  </si>
  <si>
    <t>Target Corp</t>
  </si>
  <si>
    <t>16:21 ET</t>
  </si>
  <si>
    <t>3,281.00 M</t>
  </si>
  <si>
    <t>TIF</t>
  </si>
  <si>
    <t>Tiffany &amp; Company</t>
  </si>
  <si>
    <t>40% Sell</t>
  </si>
  <si>
    <t>541.10 M</t>
  </si>
  <si>
    <t>TJX</t>
  </si>
  <si>
    <t>TJX Companies</t>
  </si>
  <si>
    <t>3,272.19 M</t>
  </si>
  <si>
    <t>TPR</t>
  </si>
  <si>
    <t>Tapestry Inc</t>
  </si>
  <si>
    <t>-652.10 M</t>
  </si>
  <si>
    <t>TSCO</t>
  </si>
  <si>
    <t>Tractor Supply Company</t>
  </si>
  <si>
    <t>562.35 M</t>
  </si>
  <si>
    <t>UA</t>
  </si>
  <si>
    <t>Under Armour Inc Cl C</t>
  </si>
  <si>
    <t>92.14 M</t>
  </si>
  <si>
    <t>UAA</t>
  </si>
  <si>
    <t>Under Armour</t>
  </si>
  <si>
    <t>ULTA</t>
  </si>
  <si>
    <t>Ulta Beauty Inc</t>
  </si>
  <si>
    <t>705.95 M</t>
  </si>
  <si>
    <t>VFC</t>
  </si>
  <si>
    <t>V.F. Corp</t>
  </si>
  <si>
    <t>679.45 M</t>
  </si>
  <si>
    <t>WHR</t>
  </si>
  <si>
    <t>Whirlpool Corp</t>
  </si>
  <si>
    <t>1,184.00 M</t>
  </si>
  <si>
    <t>WYNN</t>
  </si>
  <si>
    <t>Wynn Resorts Ltd</t>
  </si>
  <si>
    <t>122.99 M</t>
  </si>
  <si>
    <t>YUM</t>
  </si>
  <si>
    <t>Yum! Brands</t>
  </si>
  <si>
    <t>1,294.00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</si>
</sst>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color rgb="FF00702F"/>
      <name val="Arial"/>
    </font>
    <font>
      <color rgb="FFC40000"/>
      <name val="Arial"/>
    </font>
    <font>
      <u/>
      <color rgb="FF000000"/>
      <name val="Arial"/>
    </font>
    <font>
      <color rgb="FF5900B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  <fill>
      <patternFill patternType="solid">
        <fgColor rgb="FFE0E0E0"/>
        <bgColor rgb="FFE0E0E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shrinkToFit="0" vertical="bottom" wrapText="0"/>
    </xf>
    <xf borderId="0" fillId="3" fontId="1" numFmtId="3" xfId="0" applyAlignment="1" applyFont="1" applyNumberFormat="1">
      <alignment horizontal="right" readingOrder="0" shrinkToFit="0" vertical="bottom" wrapText="0"/>
    </xf>
    <xf borderId="0" fillId="3" fontId="1" numFmtId="164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1" numFmtId="10" xfId="0" applyAlignment="1" applyFont="1" applyNumberFormat="1">
      <alignment horizontal="right" readingOrder="0" shrinkToFit="0" vertical="bottom" wrapText="0"/>
    </xf>
    <xf borderId="0" fillId="3" fontId="4" numFmtId="10" xfId="0" applyAlignment="1" applyFont="1" applyNumberFormat="1">
      <alignment horizontal="right" readingOrder="0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1" numFmtId="4" xfId="0" applyAlignment="1" applyFont="1" applyNumberForma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2" fontId="4" numFmtId="10" xfId="0" applyAlignment="1" applyFont="1" applyNumberFormat="1">
      <alignment horizontal="right" readingOrder="0" shrinkToFit="0" vertical="bottom" wrapText="0"/>
    </xf>
    <xf borderId="0" fillId="2" fontId="1" numFmtId="3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" numFmtId="10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horizontal="right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2" fontId="1" numFmtId="164" xfId="0" applyAlignment="1" applyFont="1" applyNumberFormat="1">
      <alignment horizontal="right" readingOrder="0" shrinkToFit="0" vertical="bottom" wrapText="0"/>
    </xf>
    <xf borderId="0" fillId="3" fontId="1" numFmtId="4" xfId="0" applyAlignment="1" applyFont="1" applyNumberFormat="1">
      <alignment horizontal="right"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readingOrder="0" shrinkToFit="0" vertical="bottom" wrapText="0"/>
    </xf>
    <xf borderId="0" fillId="4" fontId="1" numFmtId="10" xfId="0" applyAlignment="1" applyFont="1" applyNumberFormat="1">
      <alignment horizontal="right" readingOrder="0" shrinkToFit="0" vertical="bottom" wrapText="0"/>
    </xf>
    <xf borderId="0" fillId="4" fontId="1" numFmtId="3" xfId="0" applyAlignment="1" applyFont="1" applyNumberFormat="1">
      <alignment horizontal="right"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shrinkToFit="0" vertical="bottom" wrapText="0"/>
    </xf>
    <xf borderId="0" fillId="4" fontId="4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rchart.com/stocks/quotes/NVR/overview" TargetMode="External"/><Relationship Id="rId42" Type="http://schemas.openxmlformats.org/officeDocument/2006/relationships/hyperlink" Target="https://www.barchart.com/stocks/quotes/ORLY/overview" TargetMode="External"/><Relationship Id="rId41" Type="http://schemas.openxmlformats.org/officeDocument/2006/relationships/hyperlink" Target="https://www.barchart.com/stocks/quotes/NWL/overview" TargetMode="External"/><Relationship Id="rId44" Type="http://schemas.openxmlformats.org/officeDocument/2006/relationships/hyperlink" Target="https://www.barchart.com/stocks/quotes/PVH/overview" TargetMode="External"/><Relationship Id="rId43" Type="http://schemas.openxmlformats.org/officeDocument/2006/relationships/hyperlink" Target="https://www.barchart.com/stocks/quotes/PHM/overview" TargetMode="External"/><Relationship Id="rId46" Type="http://schemas.openxmlformats.org/officeDocument/2006/relationships/hyperlink" Target="https://www.barchart.com/stocks/quotes/RL/overview" TargetMode="External"/><Relationship Id="rId45" Type="http://schemas.openxmlformats.org/officeDocument/2006/relationships/hyperlink" Target="https://www.barchart.com/stocks/quotes/RCL/overview" TargetMode="External"/><Relationship Id="rId1" Type="http://schemas.openxmlformats.org/officeDocument/2006/relationships/hyperlink" Target="https://www.barchart.com/stocks/quotes/AAP/overview" TargetMode="External"/><Relationship Id="rId2" Type="http://schemas.openxmlformats.org/officeDocument/2006/relationships/hyperlink" Target="https://www.barchart.com/stocks/quotes/AMZN/overview" TargetMode="External"/><Relationship Id="rId3" Type="http://schemas.openxmlformats.org/officeDocument/2006/relationships/hyperlink" Target="https://www.barchart.com/stocks/quotes/APTV/overview" TargetMode="External"/><Relationship Id="rId4" Type="http://schemas.openxmlformats.org/officeDocument/2006/relationships/hyperlink" Target="https://www.barchart.com/stocks/quotes/AZO/overview" TargetMode="External"/><Relationship Id="rId9" Type="http://schemas.openxmlformats.org/officeDocument/2006/relationships/hyperlink" Target="https://www.barchart.com/stocks/quotes/CMG/overview" TargetMode="External"/><Relationship Id="rId48" Type="http://schemas.openxmlformats.org/officeDocument/2006/relationships/hyperlink" Target="https://www.barchart.com/stocks/quotes/SBUX/overview" TargetMode="External"/><Relationship Id="rId47" Type="http://schemas.openxmlformats.org/officeDocument/2006/relationships/hyperlink" Target="https://www.barchart.com/stocks/quotes/ROST/overview" TargetMode="External"/><Relationship Id="rId49" Type="http://schemas.openxmlformats.org/officeDocument/2006/relationships/hyperlink" Target="https://www.barchart.com/stocks/quotes/TGT/overview" TargetMode="External"/><Relationship Id="rId5" Type="http://schemas.openxmlformats.org/officeDocument/2006/relationships/hyperlink" Target="https://www.barchart.com/stocks/quotes/BBY/overview" TargetMode="External"/><Relationship Id="rId6" Type="http://schemas.openxmlformats.org/officeDocument/2006/relationships/hyperlink" Target="https://www.barchart.com/stocks/quotes/BKNG/overview" TargetMode="External"/><Relationship Id="rId7" Type="http://schemas.openxmlformats.org/officeDocument/2006/relationships/hyperlink" Target="https://www.barchart.com/stocks/quotes/BWA/overview" TargetMode="External"/><Relationship Id="rId8" Type="http://schemas.openxmlformats.org/officeDocument/2006/relationships/hyperlink" Target="https://www.barchart.com/stocks/quotes/CCL/overview" TargetMode="External"/><Relationship Id="rId31" Type="http://schemas.openxmlformats.org/officeDocument/2006/relationships/hyperlink" Target="https://www.barchart.com/stocks/quotes/LKQ/overview" TargetMode="External"/><Relationship Id="rId30" Type="http://schemas.openxmlformats.org/officeDocument/2006/relationships/hyperlink" Target="https://www.barchart.com/stocks/quotes/LEN/overview" TargetMode="External"/><Relationship Id="rId33" Type="http://schemas.openxmlformats.org/officeDocument/2006/relationships/hyperlink" Target="https://www.barchart.com/stocks/quotes/LVS/overview" TargetMode="External"/><Relationship Id="rId32" Type="http://schemas.openxmlformats.org/officeDocument/2006/relationships/hyperlink" Target="https://www.barchart.com/stocks/quotes/LOW/overview" TargetMode="External"/><Relationship Id="rId35" Type="http://schemas.openxmlformats.org/officeDocument/2006/relationships/hyperlink" Target="https://www.barchart.com/stocks/quotes/MCD/overview" TargetMode="External"/><Relationship Id="rId34" Type="http://schemas.openxmlformats.org/officeDocument/2006/relationships/hyperlink" Target="https://www.barchart.com/stocks/quotes/MAR/overview" TargetMode="External"/><Relationship Id="rId37" Type="http://schemas.openxmlformats.org/officeDocument/2006/relationships/hyperlink" Target="https://www.barchart.com/stocks/quotes/MHK/overview" TargetMode="External"/><Relationship Id="rId36" Type="http://schemas.openxmlformats.org/officeDocument/2006/relationships/hyperlink" Target="https://www.barchart.com/stocks/quotes/MGM/overview" TargetMode="External"/><Relationship Id="rId39" Type="http://schemas.openxmlformats.org/officeDocument/2006/relationships/hyperlink" Target="https://www.barchart.com/stocks/quotes/NKE/overview" TargetMode="External"/><Relationship Id="rId38" Type="http://schemas.openxmlformats.org/officeDocument/2006/relationships/hyperlink" Target="https://www.barchart.com/stocks/quotes/NCLH/overview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www.barchart.com/stocks/quotes/GPC/overview" TargetMode="External"/><Relationship Id="rId22" Type="http://schemas.openxmlformats.org/officeDocument/2006/relationships/hyperlink" Target="https://www.barchart.com/stocks/quotes/GRMN/overview" TargetMode="External"/><Relationship Id="rId21" Type="http://schemas.openxmlformats.org/officeDocument/2006/relationships/hyperlink" Target="https://www.barchart.com/stocks/quotes/GPS/overview" TargetMode="External"/><Relationship Id="rId24" Type="http://schemas.openxmlformats.org/officeDocument/2006/relationships/hyperlink" Target="https://www.barchart.com/stocks/quotes/HBI/overview" TargetMode="External"/><Relationship Id="rId23" Type="http://schemas.openxmlformats.org/officeDocument/2006/relationships/hyperlink" Target="https://www.barchart.com/stocks/quotes/HAS/overview" TargetMode="External"/><Relationship Id="rId60" Type="http://schemas.openxmlformats.org/officeDocument/2006/relationships/hyperlink" Target="https://www.barchart.com/stocks/quotes/YUM/overview" TargetMode="External"/><Relationship Id="rId26" Type="http://schemas.openxmlformats.org/officeDocument/2006/relationships/hyperlink" Target="https://www.barchart.com/stocks/quotes/HLT/overview" TargetMode="External"/><Relationship Id="rId25" Type="http://schemas.openxmlformats.org/officeDocument/2006/relationships/hyperlink" Target="https://www.barchart.com/stocks/quotes/HD/overview" TargetMode="External"/><Relationship Id="rId28" Type="http://schemas.openxmlformats.org/officeDocument/2006/relationships/hyperlink" Target="https://www.barchart.com/stocks/quotes/LB/overview" TargetMode="External"/><Relationship Id="rId27" Type="http://schemas.openxmlformats.org/officeDocument/2006/relationships/hyperlink" Target="https://www.barchart.com/stocks/quotes/KMX/overview" TargetMode="External"/><Relationship Id="rId29" Type="http://schemas.openxmlformats.org/officeDocument/2006/relationships/hyperlink" Target="https://www.barchart.com/stocks/quotes/LEG/overview" TargetMode="External"/><Relationship Id="rId51" Type="http://schemas.openxmlformats.org/officeDocument/2006/relationships/hyperlink" Target="https://www.barchart.com/stocks/quotes/TJX/overview" TargetMode="External"/><Relationship Id="rId50" Type="http://schemas.openxmlformats.org/officeDocument/2006/relationships/hyperlink" Target="https://www.barchart.com/stocks/quotes/TIF/overview" TargetMode="External"/><Relationship Id="rId53" Type="http://schemas.openxmlformats.org/officeDocument/2006/relationships/hyperlink" Target="https://www.barchart.com/stocks/quotes/TSCO/overview" TargetMode="External"/><Relationship Id="rId52" Type="http://schemas.openxmlformats.org/officeDocument/2006/relationships/hyperlink" Target="https://www.barchart.com/stocks/quotes/TPR/overview" TargetMode="External"/><Relationship Id="rId11" Type="http://schemas.openxmlformats.org/officeDocument/2006/relationships/hyperlink" Target="https://www.barchart.com/stocks/quotes/DHI/overview" TargetMode="External"/><Relationship Id="rId55" Type="http://schemas.openxmlformats.org/officeDocument/2006/relationships/hyperlink" Target="https://www.barchart.com/stocks/quotes/UAA/overview" TargetMode="External"/><Relationship Id="rId10" Type="http://schemas.openxmlformats.org/officeDocument/2006/relationships/hyperlink" Target="https://www.barchart.com/stocks/quotes/DG/overview" TargetMode="External"/><Relationship Id="rId54" Type="http://schemas.openxmlformats.org/officeDocument/2006/relationships/hyperlink" Target="https://www.barchart.com/stocks/quotes/UA/overview" TargetMode="External"/><Relationship Id="rId13" Type="http://schemas.openxmlformats.org/officeDocument/2006/relationships/hyperlink" Target="https://www.barchart.com/stocks/quotes/DPZ/overview" TargetMode="External"/><Relationship Id="rId57" Type="http://schemas.openxmlformats.org/officeDocument/2006/relationships/hyperlink" Target="https://www.barchart.com/stocks/quotes/VFC/overview" TargetMode="External"/><Relationship Id="rId12" Type="http://schemas.openxmlformats.org/officeDocument/2006/relationships/hyperlink" Target="https://www.barchart.com/stocks/quotes/DLTR/overview" TargetMode="External"/><Relationship Id="rId56" Type="http://schemas.openxmlformats.org/officeDocument/2006/relationships/hyperlink" Target="https://www.barchart.com/stocks/quotes/ULTA/overview" TargetMode="External"/><Relationship Id="rId15" Type="http://schemas.openxmlformats.org/officeDocument/2006/relationships/hyperlink" Target="https://www.barchart.com/stocks/quotes/EBAY/overview" TargetMode="External"/><Relationship Id="rId59" Type="http://schemas.openxmlformats.org/officeDocument/2006/relationships/hyperlink" Target="https://www.barchart.com/stocks/quotes/WYNN/overview" TargetMode="External"/><Relationship Id="rId14" Type="http://schemas.openxmlformats.org/officeDocument/2006/relationships/hyperlink" Target="https://www.barchart.com/stocks/quotes/DRI/overview" TargetMode="External"/><Relationship Id="rId58" Type="http://schemas.openxmlformats.org/officeDocument/2006/relationships/hyperlink" Target="https://www.barchart.com/stocks/quotes/WHR/overview" TargetMode="External"/><Relationship Id="rId17" Type="http://schemas.openxmlformats.org/officeDocument/2006/relationships/hyperlink" Target="https://www.barchart.com/stocks/quotes/EXPE/overview" TargetMode="External"/><Relationship Id="rId16" Type="http://schemas.openxmlformats.org/officeDocument/2006/relationships/hyperlink" Target="https://www.barchart.com/stocks/quotes/ETSY/overview" TargetMode="External"/><Relationship Id="rId19" Type="http://schemas.openxmlformats.org/officeDocument/2006/relationships/hyperlink" Target="https://www.barchart.com/stocks/quotes/GM/overview" TargetMode="External"/><Relationship Id="rId18" Type="http://schemas.openxmlformats.org/officeDocument/2006/relationships/hyperlink" Target="https://www.barchart.com/stocks/quotes/F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3" t="s">
        <v>27</v>
      </c>
      <c r="B2" s="4" t="s">
        <v>28</v>
      </c>
      <c r="C2" s="5">
        <v>154.38</v>
      </c>
      <c r="D2" s="6">
        <f>+1.36</f>
        <v>1.36</v>
      </c>
      <c r="E2" s="6">
        <f>+0.89%</f>
        <v>0.0089</v>
      </c>
      <c r="F2" s="5">
        <v>157.7</v>
      </c>
      <c r="G2" s="5">
        <v>153.88</v>
      </c>
      <c r="H2" s="7">
        <v>875178.0</v>
      </c>
      <c r="I2" s="8">
        <v>44125.0</v>
      </c>
      <c r="J2" s="9" t="s">
        <v>29</v>
      </c>
      <c r="K2" s="10">
        <v>0.5075</v>
      </c>
      <c r="L2" s="10">
        <v>0.1678</v>
      </c>
      <c r="M2" s="7">
        <v>697093.0</v>
      </c>
      <c r="N2" s="5">
        <v>71.33</v>
      </c>
      <c r="O2" s="5">
        <v>171.43</v>
      </c>
      <c r="P2" s="6">
        <f>+10.4</f>
        <v>10.4</v>
      </c>
      <c r="Q2" s="11">
        <v>-0.0361</v>
      </c>
      <c r="R2" s="6">
        <f>+4.01%</f>
        <v>0.0401</v>
      </c>
      <c r="S2" s="6">
        <f>+4.75%</f>
        <v>0.0475</v>
      </c>
      <c r="T2" s="11">
        <v>-0.0702</v>
      </c>
      <c r="U2" s="7">
        <v>1.0579649E7</v>
      </c>
      <c r="V2" s="5">
        <v>20.24</v>
      </c>
      <c r="W2" s="5">
        <v>7.57</v>
      </c>
      <c r="X2" s="5" t="s">
        <v>30</v>
      </c>
      <c r="Y2" s="9">
        <v>1.37</v>
      </c>
      <c r="Z2" s="5">
        <v>1.0</v>
      </c>
      <c r="AA2" s="10">
        <v>0.0065</v>
      </c>
    </row>
    <row r="3">
      <c r="A3" s="12" t="s">
        <v>31</v>
      </c>
      <c r="B3" s="1" t="s">
        <v>32</v>
      </c>
      <c r="C3" s="13">
        <v>3188.08</v>
      </c>
      <c r="D3" s="14">
        <v>-28.93</v>
      </c>
      <c r="E3" s="15">
        <v>-0.009</v>
      </c>
      <c r="F3" s="13">
        <v>3233.87</v>
      </c>
      <c r="G3" s="13">
        <v>3160.0</v>
      </c>
      <c r="H3" s="16">
        <v>4407619.0</v>
      </c>
      <c r="I3" s="2" t="s">
        <v>33</v>
      </c>
      <c r="J3" s="17" t="s">
        <v>34</v>
      </c>
      <c r="K3" s="18">
        <v>0.4925</v>
      </c>
      <c r="L3" s="18">
        <v>0.3486</v>
      </c>
      <c r="M3" s="16">
        <v>5017392.0</v>
      </c>
      <c r="N3" s="13">
        <v>1626.03</v>
      </c>
      <c r="O3" s="13">
        <v>3552.25</v>
      </c>
      <c r="P3" s="19">
        <f>+80.56</f>
        <v>80.56</v>
      </c>
      <c r="Q3" s="19">
        <f>+72.36%</f>
        <v>0.7236</v>
      </c>
      <c r="R3" s="19">
        <f>+7.58%</f>
        <v>0.0758</v>
      </c>
      <c r="S3" s="19">
        <f>+1.49%</f>
        <v>0.0149</v>
      </c>
      <c r="T3" s="19">
        <f>+78.36%</f>
        <v>0.7836</v>
      </c>
      <c r="U3" s="16">
        <v>1.61136816E9</v>
      </c>
      <c r="V3" s="2">
        <v>123.31</v>
      </c>
      <c r="W3" s="2">
        <v>26.01</v>
      </c>
      <c r="X3" s="2" t="s">
        <v>35</v>
      </c>
      <c r="Y3" s="17">
        <v>1.35</v>
      </c>
      <c r="Z3" s="2">
        <v>0.0</v>
      </c>
      <c r="AA3" s="18">
        <v>0.0</v>
      </c>
    </row>
    <row r="4">
      <c r="A4" s="3" t="s">
        <v>36</v>
      </c>
      <c r="B4" s="4" t="s">
        <v>37</v>
      </c>
      <c r="C4" s="5">
        <v>99.41</v>
      </c>
      <c r="D4" s="20">
        <v>-0.84</v>
      </c>
      <c r="E4" s="11">
        <v>-0.0084</v>
      </c>
      <c r="F4" s="5">
        <v>101.6</v>
      </c>
      <c r="G4" s="5">
        <v>99.35</v>
      </c>
      <c r="H4" s="7">
        <v>1844373.0</v>
      </c>
      <c r="I4" s="8">
        <v>44125.0</v>
      </c>
      <c r="J4" s="9" t="s">
        <v>38</v>
      </c>
      <c r="K4" s="10">
        <v>0.6322</v>
      </c>
      <c r="L4" s="10">
        <v>0.3133</v>
      </c>
      <c r="M4" s="7">
        <v>1621369.0</v>
      </c>
      <c r="N4" s="5">
        <v>29.22</v>
      </c>
      <c r="O4" s="5">
        <v>102.18</v>
      </c>
      <c r="P4" s="6">
        <f>+22.38</f>
        <v>22.38</v>
      </c>
      <c r="Q4" s="6">
        <f>+4.68%</f>
        <v>0.0468</v>
      </c>
      <c r="R4" s="6">
        <f>+17.56%</f>
        <v>0.1756</v>
      </c>
      <c r="S4" s="6">
        <f>+21.42%</f>
        <v>0.2142</v>
      </c>
      <c r="T4" s="6">
        <f>+11.25%</f>
        <v>0.1125</v>
      </c>
      <c r="U4" s="7">
        <v>2.7053804E7</v>
      </c>
      <c r="V4" s="5">
        <v>49.7</v>
      </c>
      <c r="W4" s="5">
        <v>2.0</v>
      </c>
      <c r="X4" s="5" t="s">
        <v>39</v>
      </c>
      <c r="Y4" s="9">
        <v>2.23</v>
      </c>
      <c r="Z4" s="5">
        <v>0.0</v>
      </c>
      <c r="AA4" s="10">
        <v>0.0</v>
      </c>
    </row>
    <row r="5">
      <c r="A5" s="12" t="s">
        <v>40</v>
      </c>
      <c r="B5" s="1" t="s">
        <v>41</v>
      </c>
      <c r="C5" s="13">
        <v>1178.0</v>
      </c>
      <c r="D5" s="14">
        <v>-0.62</v>
      </c>
      <c r="E5" s="15">
        <v>-5.0E-4</v>
      </c>
      <c r="F5" s="13">
        <v>1193.19</v>
      </c>
      <c r="G5" s="13">
        <v>1174.55</v>
      </c>
      <c r="H5" s="16">
        <v>149797.0</v>
      </c>
      <c r="I5" s="2" t="s">
        <v>42</v>
      </c>
      <c r="J5" s="17" t="s">
        <v>43</v>
      </c>
      <c r="K5" s="18">
        <v>0.5046</v>
      </c>
      <c r="L5" s="18">
        <v>0.1949</v>
      </c>
      <c r="M5" s="16">
        <v>194360.0</v>
      </c>
      <c r="N5" s="2">
        <v>684.91</v>
      </c>
      <c r="O5" s="13">
        <v>1274.41</v>
      </c>
      <c r="P5" s="19">
        <f>+18.45</f>
        <v>18.45</v>
      </c>
      <c r="Q5" s="15">
        <v>-0.0111</v>
      </c>
      <c r="R5" s="15">
        <v>-0.0067</v>
      </c>
      <c r="S5" s="19">
        <f>+1.93%</f>
        <v>0.0193</v>
      </c>
      <c r="T5" s="19">
        <f>+6.14%</f>
        <v>0.0614</v>
      </c>
      <c r="U5" s="16">
        <v>2.7523122E7</v>
      </c>
      <c r="V5" s="2">
        <v>16.34</v>
      </c>
      <c r="W5" s="2">
        <v>72.01</v>
      </c>
      <c r="X5" s="2" t="s">
        <v>44</v>
      </c>
      <c r="Y5" s="17">
        <v>0.92</v>
      </c>
      <c r="Z5" s="2">
        <v>0.0</v>
      </c>
      <c r="AA5" s="18">
        <v>0.0</v>
      </c>
    </row>
    <row r="6">
      <c r="A6" s="3" t="s">
        <v>45</v>
      </c>
      <c r="B6" s="4" t="s">
        <v>46</v>
      </c>
      <c r="C6" s="5">
        <v>118.69</v>
      </c>
      <c r="D6" s="20">
        <v>-2.34</v>
      </c>
      <c r="E6" s="11">
        <v>-0.0194</v>
      </c>
      <c r="F6" s="5">
        <v>121.78</v>
      </c>
      <c r="G6" s="5">
        <v>118.55</v>
      </c>
      <c r="H6" s="7">
        <v>1769830.0</v>
      </c>
      <c r="I6" s="8">
        <v>44125.0</v>
      </c>
      <c r="J6" s="9" t="s">
        <v>38</v>
      </c>
      <c r="K6" s="10">
        <v>0.6146</v>
      </c>
      <c r="L6" s="10">
        <v>0.2548</v>
      </c>
      <c r="M6" s="7">
        <v>1991189.0</v>
      </c>
      <c r="N6" s="5">
        <v>48.1</v>
      </c>
      <c r="O6" s="5">
        <v>123.67</v>
      </c>
      <c r="P6" s="6">
        <f>+69.12</f>
        <v>69.12</v>
      </c>
      <c r="Q6" s="6">
        <f>+35.18%</f>
        <v>0.3518</v>
      </c>
      <c r="R6" s="6">
        <f>+12%</f>
        <v>0.12</v>
      </c>
      <c r="S6" s="6">
        <f>+31.47%</f>
        <v>0.3147</v>
      </c>
      <c r="T6" s="6">
        <f>+66.07%</f>
        <v>0.6607</v>
      </c>
      <c r="U6" s="7">
        <v>3.12902E7</v>
      </c>
      <c r="V6" s="5">
        <v>18.85</v>
      </c>
      <c r="W6" s="5">
        <v>6.41</v>
      </c>
      <c r="X6" s="5" t="s">
        <v>47</v>
      </c>
      <c r="Y6" s="9">
        <v>1.63</v>
      </c>
      <c r="Z6" s="5">
        <v>2.2</v>
      </c>
      <c r="AA6" s="10">
        <v>0.0182</v>
      </c>
    </row>
    <row r="7">
      <c r="A7" s="12" t="s">
        <v>48</v>
      </c>
      <c r="B7" s="1" t="s">
        <v>49</v>
      </c>
      <c r="C7" s="13">
        <v>1702.03</v>
      </c>
      <c r="D7" s="19">
        <f>+28.82</f>
        <v>28.82</v>
      </c>
      <c r="E7" s="19">
        <f>+1.72%</f>
        <v>0.0172</v>
      </c>
      <c r="F7" s="13">
        <v>1704.0</v>
      </c>
      <c r="G7" s="13">
        <v>1657.38</v>
      </c>
      <c r="H7" s="16">
        <v>281876.0</v>
      </c>
      <c r="I7" s="21">
        <v>44125.0</v>
      </c>
      <c r="J7" s="17" t="s">
        <v>50</v>
      </c>
      <c r="K7" s="18">
        <v>0.4648</v>
      </c>
      <c r="L7" s="18">
        <v>0.2956</v>
      </c>
      <c r="M7" s="16">
        <v>313888.0</v>
      </c>
      <c r="N7" s="13">
        <v>1107.29</v>
      </c>
      <c r="O7" s="13">
        <v>2094.0</v>
      </c>
      <c r="P7" s="14">
        <v>-12.44</v>
      </c>
      <c r="Q7" s="15">
        <v>-0.1712</v>
      </c>
      <c r="R7" s="19">
        <f>+3%</f>
        <v>0.03</v>
      </c>
      <c r="S7" s="15">
        <v>-0.0057</v>
      </c>
      <c r="T7" s="15">
        <v>-0.1583</v>
      </c>
      <c r="U7" s="16">
        <v>6.8454856E7</v>
      </c>
      <c r="V7" s="2">
        <v>26.83</v>
      </c>
      <c r="W7" s="2">
        <v>61.62</v>
      </c>
      <c r="X7" s="2" t="s">
        <v>51</v>
      </c>
      <c r="Y7" s="17">
        <v>1.16</v>
      </c>
      <c r="Z7" s="2">
        <v>0.0</v>
      </c>
      <c r="AA7" s="18">
        <v>0.0</v>
      </c>
    </row>
    <row r="8">
      <c r="A8" s="3" t="s">
        <v>52</v>
      </c>
      <c r="B8" s="4" t="s">
        <v>53</v>
      </c>
      <c r="C8" s="5">
        <v>39.62</v>
      </c>
      <c r="D8" s="6">
        <f>+0.33</f>
        <v>0.33</v>
      </c>
      <c r="E8" s="6">
        <f>+0.84%</f>
        <v>0.0084</v>
      </c>
      <c r="F8" s="5">
        <v>39.96</v>
      </c>
      <c r="G8" s="5">
        <v>39.23</v>
      </c>
      <c r="H8" s="7">
        <v>3380739.0</v>
      </c>
      <c r="I8" s="8">
        <v>44125.0</v>
      </c>
      <c r="J8" s="9" t="s">
        <v>54</v>
      </c>
      <c r="K8" s="10">
        <v>0.5097</v>
      </c>
      <c r="L8" s="10">
        <v>0.3199</v>
      </c>
      <c r="M8" s="7">
        <v>3630793.0</v>
      </c>
      <c r="N8" s="5">
        <v>17.0</v>
      </c>
      <c r="O8" s="5">
        <v>46.6</v>
      </c>
      <c r="P8" s="6">
        <f>+7.8</f>
        <v>7.8</v>
      </c>
      <c r="Q8" s="11">
        <v>-0.0867</v>
      </c>
      <c r="R8" s="6">
        <f>+5.91%</f>
        <v>0.0591</v>
      </c>
      <c r="S8" s="6">
        <f>+5.09%</f>
        <v>0.0509</v>
      </c>
      <c r="T8" s="6">
        <f>+1.64%</f>
        <v>0.0164</v>
      </c>
      <c r="U8" s="7">
        <v>8143010.0</v>
      </c>
      <c r="V8" s="5">
        <v>14.01</v>
      </c>
      <c r="W8" s="5">
        <v>2.76</v>
      </c>
      <c r="X8" s="5" t="s">
        <v>55</v>
      </c>
      <c r="Y8" s="9">
        <v>1.73</v>
      </c>
      <c r="Z8" s="5">
        <v>0.68</v>
      </c>
      <c r="AA8" s="10">
        <v>0.0173</v>
      </c>
    </row>
    <row r="9">
      <c r="A9" s="12" t="s">
        <v>56</v>
      </c>
      <c r="B9" s="1" t="s">
        <v>57</v>
      </c>
      <c r="C9" s="2">
        <v>14.46</v>
      </c>
      <c r="D9" s="14">
        <v>-0.13</v>
      </c>
      <c r="E9" s="15">
        <v>-0.0089</v>
      </c>
      <c r="F9" s="2">
        <v>14.63</v>
      </c>
      <c r="G9" s="2">
        <v>14.31</v>
      </c>
      <c r="H9" s="16">
        <v>1.7358243E7</v>
      </c>
      <c r="I9" s="21">
        <v>44125.0</v>
      </c>
      <c r="J9" s="14" t="s">
        <v>58</v>
      </c>
      <c r="K9" s="18">
        <v>0.4556</v>
      </c>
      <c r="L9" s="18">
        <v>0.5304</v>
      </c>
      <c r="M9" s="16">
        <v>3.3652637E7</v>
      </c>
      <c r="N9" s="2">
        <v>7.8</v>
      </c>
      <c r="O9" s="2">
        <v>51.94</v>
      </c>
      <c r="P9" s="14">
        <v>-51.85</v>
      </c>
      <c r="Q9" s="15">
        <v>-0.7151</v>
      </c>
      <c r="R9" s="19">
        <f>+1.33%</f>
        <v>0.0133</v>
      </c>
      <c r="S9" s="15">
        <v>-0.0467</v>
      </c>
      <c r="T9" s="15">
        <v>-0.6642</v>
      </c>
      <c r="U9" s="16">
        <v>1.0527499E7</v>
      </c>
      <c r="V9" s="2">
        <v>0.0</v>
      </c>
      <c r="W9" s="2">
        <v>-4.65</v>
      </c>
      <c r="X9" s="2" t="s">
        <v>59</v>
      </c>
      <c r="Y9" s="17">
        <v>1.96</v>
      </c>
      <c r="Z9" s="2">
        <v>0.0</v>
      </c>
      <c r="AA9" s="18">
        <v>0.0</v>
      </c>
    </row>
    <row r="10">
      <c r="A10" s="3" t="s">
        <v>60</v>
      </c>
      <c r="B10" s="4" t="s">
        <v>61</v>
      </c>
      <c r="C10" s="22">
        <v>1280.27</v>
      </c>
      <c r="D10" s="20">
        <v>-68.2</v>
      </c>
      <c r="E10" s="11">
        <v>-0.0506</v>
      </c>
      <c r="F10" s="22">
        <v>1375.0</v>
      </c>
      <c r="G10" s="22">
        <v>1251.55</v>
      </c>
      <c r="H10" s="7">
        <v>603325.0</v>
      </c>
      <c r="I10" s="5" t="s">
        <v>33</v>
      </c>
      <c r="J10" s="9" t="s">
        <v>38</v>
      </c>
      <c r="K10" s="10">
        <v>0.6659</v>
      </c>
      <c r="L10" s="10">
        <v>0.1855</v>
      </c>
      <c r="M10" s="7">
        <v>292196.0</v>
      </c>
      <c r="N10" s="5">
        <v>415.0</v>
      </c>
      <c r="O10" s="22">
        <v>1384.46</v>
      </c>
      <c r="P10" s="6">
        <f>+77.25</f>
        <v>77.25</v>
      </c>
      <c r="Q10" s="6">
        <f>+63.26%</f>
        <v>0.6326</v>
      </c>
      <c r="R10" s="6">
        <f>+13.27%</f>
        <v>0.1327</v>
      </c>
      <c r="S10" s="6">
        <f>+17.5%</f>
        <v>0.175</v>
      </c>
      <c r="T10" s="6">
        <f>+60.49%</f>
        <v>0.6049</v>
      </c>
      <c r="U10" s="7">
        <v>3.7714008E7</v>
      </c>
      <c r="V10" s="5">
        <v>131.46</v>
      </c>
      <c r="W10" s="5">
        <v>10.16</v>
      </c>
      <c r="X10" s="5" t="s">
        <v>62</v>
      </c>
      <c r="Y10" s="9">
        <v>1.27</v>
      </c>
      <c r="Z10" s="5">
        <v>0.0</v>
      </c>
      <c r="AA10" s="10">
        <v>0.0</v>
      </c>
    </row>
    <row r="11">
      <c r="A11" s="12" t="s">
        <v>63</v>
      </c>
      <c r="B11" s="1" t="s">
        <v>64</v>
      </c>
      <c r="C11" s="2">
        <v>219.83</v>
      </c>
      <c r="D11" s="19">
        <f>+2.05</f>
        <v>2.05</v>
      </c>
      <c r="E11" s="19">
        <f>+0.94%</f>
        <v>0.0094</v>
      </c>
      <c r="F11" s="2">
        <v>221.71</v>
      </c>
      <c r="G11" s="2">
        <v>217.37</v>
      </c>
      <c r="H11" s="16">
        <v>1757986.0</v>
      </c>
      <c r="I11" s="21">
        <v>44125.0</v>
      </c>
      <c r="J11" s="17" t="s">
        <v>38</v>
      </c>
      <c r="K11" s="18">
        <v>0.6189</v>
      </c>
      <c r="L11" s="18">
        <v>0.1436</v>
      </c>
      <c r="M11" s="16">
        <v>1438969.0</v>
      </c>
      <c r="N11" s="2">
        <v>125.0</v>
      </c>
      <c r="O11" s="2">
        <v>224.82</v>
      </c>
      <c r="P11" s="19">
        <f>+42.89</f>
        <v>42.89</v>
      </c>
      <c r="Q11" s="19">
        <f>+40.95%</f>
        <v>0.4095</v>
      </c>
      <c r="R11" s="19">
        <f>+8.34%</f>
        <v>0.0834</v>
      </c>
      <c r="S11" s="19">
        <f>+14.59%</f>
        <v>0.1459</v>
      </c>
      <c r="T11" s="19">
        <f>+33.78%</f>
        <v>0.3378</v>
      </c>
      <c r="U11" s="16">
        <v>5.4234624E7</v>
      </c>
      <c r="V11" s="2">
        <v>23.7</v>
      </c>
      <c r="W11" s="2">
        <v>9.2</v>
      </c>
      <c r="X11" s="2" t="s">
        <v>65</v>
      </c>
      <c r="Y11" s="17">
        <v>0.46</v>
      </c>
      <c r="Z11" s="2">
        <v>1.44</v>
      </c>
      <c r="AA11" s="18">
        <v>0.0066</v>
      </c>
    </row>
    <row r="12">
      <c r="A12" s="3" t="s">
        <v>66</v>
      </c>
      <c r="B12" s="4" t="s">
        <v>67</v>
      </c>
      <c r="C12" s="5">
        <v>73.68</v>
      </c>
      <c r="D12" s="20">
        <v>-2.84</v>
      </c>
      <c r="E12" s="11">
        <v>-0.0371</v>
      </c>
      <c r="F12" s="5">
        <v>76.54</v>
      </c>
      <c r="G12" s="5">
        <v>72.82</v>
      </c>
      <c r="H12" s="7">
        <v>2809773.0</v>
      </c>
      <c r="I12" s="5" t="s">
        <v>68</v>
      </c>
      <c r="J12" s="9" t="s">
        <v>54</v>
      </c>
      <c r="K12" s="10">
        <v>0.4793</v>
      </c>
      <c r="L12" s="10">
        <v>0.3026</v>
      </c>
      <c r="M12" s="7">
        <v>2618553.0</v>
      </c>
      <c r="N12" s="5">
        <v>25.51</v>
      </c>
      <c r="O12" s="5">
        <v>81.21</v>
      </c>
      <c r="P12" s="6">
        <f>+53.67</f>
        <v>53.67</v>
      </c>
      <c r="Q12" s="6">
        <f>+38.6%</f>
        <v>0.386</v>
      </c>
      <c r="R12" s="6">
        <f>+1.37%</f>
        <v>0.0137</v>
      </c>
      <c r="S12" s="6">
        <f>+16.58%</f>
        <v>0.1658</v>
      </c>
      <c r="T12" s="6">
        <f>+37.5%</f>
        <v>0.375</v>
      </c>
      <c r="U12" s="7">
        <v>2.7830552E7</v>
      </c>
      <c r="V12" s="5">
        <v>14.14</v>
      </c>
      <c r="W12" s="5">
        <v>5.36</v>
      </c>
      <c r="X12" s="5" t="s">
        <v>69</v>
      </c>
      <c r="Y12" s="9">
        <v>1.66</v>
      </c>
      <c r="Z12" s="5">
        <v>0.7</v>
      </c>
      <c r="AA12" s="10">
        <v>0.0091</v>
      </c>
    </row>
    <row r="13">
      <c r="A13" s="12" t="s">
        <v>70</v>
      </c>
      <c r="B13" s="1" t="s">
        <v>71</v>
      </c>
      <c r="C13" s="2">
        <v>94.9</v>
      </c>
      <c r="D13" s="14">
        <v>-0.57</v>
      </c>
      <c r="E13" s="15">
        <v>-0.006</v>
      </c>
      <c r="F13" s="2">
        <v>96.15</v>
      </c>
      <c r="G13" s="2">
        <v>94.64</v>
      </c>
      <c r="H13" s="16">
        <v>1166060.0</v>
      </c>
      <c r="I13" s="21">
        <v>44125.0</v>
      </c>
      <c r="J13" s="17" t="s">
        <v>72</v>
      </c>
      <c r="K13" s="18">
        <v>0.5413</v>
      </c>
      <c r="L13" s="18">
        <v>0.2087</v>
      </c>
      <c r="M13" s="16">
        <v>1794518.0</v>
      </c>
      <c r="N13" s="2">
        <v>60.2</v>
      </c>
      <c r="O13" s="2">
        <v>119.71</v>
      </c>
      <c r="P13" s="14">
        <v>-8.4</v>
      </c>
      <c r="Q13" s="19">
        <f>+0.84%</f>
        <v>0.0084</v>
      </c>
      <c r="R13" s="19">
        <f>+10.32%</f>
        <v>0.1032</v>
      </c>
      <c r="S13" s="15">
        <v>-0.0128</v>
      </c>
      <c r="T13" s="15">
        <v>-0.1872</v>
      </c>
      <c r="U13" s="16">
        <v>2.2641556E7</v>
      </c>
      <c r="V13" s="2">
        <v>18.96</v>
      </c>
      <c r="W13" s="2">
        <v>5.01</v>
      </c>
      <c r="X13" s="2" t="s">
        <v>73</v>
      </c>
      <c r="Y13" s="17">
        <v>0.6</v>
      </c>
      <c r="Z13" s="2">
        <v>0.0</v>
      </c>
      <c r="AA13" s="18">
        <v>0.0</v>
      </c>
    </row>
    <row r="14">
      <c r="A14" s="3" t="s">
        <v>74</v>
      </c>
      <c r="B14" s="4" t="s">
        <v>75</v>
      </c>
      <c r="C14" s="5">
        <v>388.4</v>
      </c>
      <c r="D14" s="20">
        <v>-4.39</v>
      </c>
      <c r="E14" s="11">
        <v>-0.0111</v>
      </c>
      <c r="F14" s="5">
        <v>394.05</v>
      </c>
      <c r="G14" s="5">
        <v>388.4</v>
      </c>
      <c r="H14" s="7">
        <v>522198.0</v>
      </c>
      <c r="I14" s="8">
        <v>44125.0</v>
      </c>
      <c r="J14" s="9" t="s">
        <v>43</v>
      </c>
      <c r="K14" s="10">
        <v>0.4285</v>
      </c>
      <c r="L14" s="10">
        <v>0.329</v>
      </c>
      <c r="M14" s="7">
        <v>894672.0</v>
      </c>
      <c r="N14" s="5">
        <v>255.38</v>
      </c>
      <c r="O14" s="5">
        <v>435.58</v>
      </c>
      <c r="P14" s="6">
        <f>+30.25</f>
        <v>30.25</v>
      </c>
      <c r="Q14" s="6">
        <f>+32.74%</f>
        <v>0.3274</v>
      </c>
      <c r="R14" s="11">
        <v>-0.0371</v>
      </c>
      <c r="S14" s="6">
        <f>+0.55%</f>
        <v>0.0055</v>
      </c>
      <c r="T14" s="6">
        <f>+51.43%</f>
        <v>0.5143</v>
      </c>
      <c r="U14" s="7">
        <v>1.5539755E7</v>
      </c>
      <c r="V14" s="5">
        <v>33.81</v>
      </c>
      <c r="W14" s="5">
        <v>11.68</v>
      </c>
      <c r="X14" s="5" t="s">
        <v>76</v>
      </c>
      <c r="Y14" s="9">
        <v>0.33</v>
      </c>
      <c r="Z14" s="5">
        <v>3.12</v>
      </c>
      <c r="AA14" s="10">
        <v>0.0079</v>
      </c>
    </row>
    <row r="15">
      <c r="A15" s="12" t="s">
        <v>77</v>
      </c>
      <c r="B15" s="1" t="s">
        <v>78</v>
      </c>
      <c r="C15" s="2">
        <v>98.99</v>
      </c>
      <c r="D15" s="14">
        <v>-0.6</v>
      </c>
      <c r="E15" s="15">
        <v>-0.0061</v>
      </c>
      <c r="F15" s="2">
        <v>98.99</v>
      </c>
      <c r="G15" s="2">
        <v>96.7</v>
      </c>
      <c r="H15" s="16">
        <v>872663.0</v>
      </c>
      <c r="I15" s="21">
        <v>44125.0</v>
      </c>
      <c r="J15" s="17" t="s">
        <v>79</v>
      </c>
      <c r="K15" s="18">
        <v>0.5461</v>
      </c>
      <c r="L15" s="18">
        <v>0.3794</v>
      </c>
      <c r="M15" s="16">
        <v>2069153.0</v>
      </c>
      <c r="N15" s="2">
        <v>26.15</v>
      </c>
      <c r="O15" s="2">
        <v>124.01</v>
      </c>
      <c r="P15" s="19">
        <f>+3.26</f>
        <v>3.26</v>
      </c>
      <c r="Q15" s="15">
        <v>-0.1038</v>
      </c>
      <c r="R15" s="19">
        <f>+11.29%</f>
        <v>0.1129</v>
      </c>
      <c r="S15" s="19">
        <f>+29.39%</f>
        <v>0.2939</v>
      </c>
      <c r="T15" s="15">
        <v>-0.1132</v>
      </c>
      <c r="U15" s="16">
        <v>1.2803868E7</v>
      </c>
      <c r="V15" s="2">
        <v>41.29</v>
      </c>
      <c r="W15" s="2">
        <v>2.34</v>
      </c>
      <c r="X15" s="2" t="s">
        <v>80</v>
      </c>
      <c r="Y15" s="17">
        <v>1.25</v>
      </c>
      <c r="Z15" s="2">
        <v>1.2</v>
      </c>
      <c r="AA15" s="18">
        <v>0.0122</v>
      </c>
    </row>
    <row r="16">
      <c r="A16" s="3" t="s">
        <v>81</v>
      </c>
      <c r="B16" s="4" t="s">
        <v>82</v>
      </c>
      <c r="C16" s="5">
        <v>52.84</v>
      </c>
      <c r="D16" s="20">
        <v>-1.38</v>
      </c>
      <c r="E16" s="11">
        <v>-0.0255</v>
      </c>
      <c r="F16" s="5">
        <v>54.48</v>
      </c>
      <c r="G16" s="5">
        <v>52.63</v>
      </c>
      <c r="H16" s="7">
        <v>6534794.0</v>
      </c>
      <c r="I16" s="8">
        <v>44125.0</v>
      </c>
      <c r="J16" s="9" t="s">
        <v>83</v>
      </c>
      <c r="K16" s="10">
        <v>0.4814</v>
      </c>
      <c r="L16" s="10">
        <v>0.4043</v>
      </c>
      <c r="M16" s="7">
        <v>7206571.0</v>
      </c>
      <c r="N16" s="5">
        <v>26.02</v>
      </c>
      <c r="O16" s="5">
        <v>61.06</v>
      </c>
      <c r="P16" s="6">
        <f>+49.08</f>
        <v>49.08</v>
      </c>
      <c r="Q16" s="6">
        <f>+46.28%</f>
        <v>0.4628</v>
      </c>
      <c r="R16" s="6">
        <f>+5.35%</f>
        <v>0.0535</v>
      </c>
      <c r="S16" s="11">
        <v>-0.0666</v>
      </c>
      <c r="T16" s="6">
        <f>+34.54%</f>
        <v>0.3454</v>
      </c>
      <c r="U16" s="7">
        <v>3.7933552E7</v>
      </c>
      <c r="V16" s="5">
        <v>19.33</v>
      </c>
      <c r="W16" s="5">
        <v>2.81</v>
      </c>
      <c r="X16" s="5" t="s">
        <v>84</v>
      </c>
      <c r="Y16" s="9">
        <v>1.33</v>
      </c>
      <c r="Z16" s="5">
        <v>0.64</v>
      </c>
      <c r="AA16" s="10">
        <v>0.0118</v>
      </c>
    </row>
    <row r="17">
      <c r="A17" s="12" t="s">
        <v>85</v>
      </c>
      <c r="B17" s="1" t="s">
        <v>86</v>
      </c>
      <c r="C17" s="2">
        <v>133.1</v>
      </c>
      <c r="D17" s="14">
        <v>-11.69</v>
      </c>
      <c r="E17" s="15">
        <v>-0.0807</v>
      </c>
      <c r="F17" s="2">
        <v>145.63</v>
      </c>
      <c r="G17" s="2">
        <v>132.73</v>
      </c>
      <c r="H17" s="16">
        <v>5529146.0</v>
      </c>
      <c r="I17" s="2" t="s">
        <v>87</v>
      </c>
      <c r="J17" s="17" t="s">
        <v>88</v>
      </c>
      <c r="K17" s="18">
        <v>0.5146</v>
      </c>
      <c r="L17" s="18">
        <v>0.5873</v>
      </c>
      <c r="M17" s="16">
        <v>3269593.0</v>
      </c>
      <c r="N17" s="2">
        <v>29.95</v>
      </c>
      <c r="O17" s="2">
        <v>154.88</v>
      </c>
      <c r="P17" s="19">
        <f>+160.62</f>
        <v>160.62</v>
      </c>
      <c r="Q17" s="19">
        <f>+200.25%</f>
        <v>2.0025</v>
      </c>
      <c r="R17" s="19">
        <f>+14.65%</f>
        <v>0.1465</v>
      </c>
      <c r="S17" s="19">
        <f>+27.1%</f>
        <v>0.271</v>
      </c>
      <c r="T17" s="19">
        <f>+129.17%</f>
        <v>1.2917</v>
      </c>
      <c r="U17" s="16">
        <v>1.7277502E7</v>
      </c>
      <c r="V17" s="2">
        <v>121.61</v>
      </c>
      <c r="W17" s="2">
        <v>1.22</v>
      </c>
      <c r="X17" s="2" t="s">
        <v>89</v>
      </c>
      <c r="Y17" s="17">
        <v>1.36</v>
      </c>
      <c r="Z17" s="2">
        <v>0.0</v>
      </c>
      <c r="AA17" s="18">
        <v>0.0</v>
      </c>
    </row>
    <row r="18">
      <c r="A18" s="3" t="s">
        <v>90</v>
      </c>
      <c r="B18" s="4" t="s">
        <v>91</v>
      </c>
      <c r="C18" s="5">
        <v>92.7</v>
      </c>
      <c r="D18" s="20">
        <v>-0.29</v>
      </c>
      <c r="E18" s="11">
        <v>-0.0031</v>
      </c>
      <c r="F18" s="5">
        <v>93.32</v>
      </c>
      <c r="G18" s="5">
        <v>91.5</v>
      </c>
      <c r="H18" s="7">
        <v>1036283.0</v>
      </c>
      <c r="I18" s="8">
        <v>44125.0</v>
      </c>
      <c r="J18" s="9" t="s">
        <v>43</v>
      </c>
      <c r="K18" s="10">
        <v>0.4956</v>
      </c>
      <c r="L18" s="10">
        <v>0.2389</v>
      </c>
      <c r="M18" s="7">
        <v>1958334.0</v>
      </c>
      <c r="N18" s="5">
        <v>40.76</v>
      </c>
      <c r="O18" s="5">
        <v>139.32</v>
      </c>
      <c r="P18" s="20">
        <v>-7.5</v>
      </c>
      <c r="Q18" s="11">
        <v>-0.1428</v>
      </c>
      <c r="R18" s="6">
        <f>+1.54%</f>
        <v>0.0154</v>
      </c>
      <c r="S18" s="6">
        <f>+5.91%</f>
        <v>0.0591</v>
      </c>
      <c r="T18" s="11">
        <v>-0.3197</v>
      </c>
      <c r="U18" s="7">
        <v>1.3128462E7</v>
      </c>
      <c r="V18" s="5">
        <v>0.0</v>
      </c>
      <c r="W18" s="5">
        <v>-2.62</v>
      </c>
      <c r="X18" s="5" t="s">
        <v>92</v>
      </c>
      <c r="Y18" s="9">
        <v>1.65</v>
      </c>
      <c r="Z18" s="5">
        <v>0.0</v>
      </c>
      <c r="AA18" s="10">
        <v>0.0</v>
      </c>
    </row>
    <row r="19">
      <c r="A19" s="12" t="s">
        <v>93</v>
      </c>
      <c r="B19" s="1" t="s">
        <v>94</v>
      </c>
      <c r="C19" s="2">
        <v>7.85</v>
      </c>
      <c r="D19" s="19">
        <f>+0.11</f>
        <v>0.11</v>
      </c>
      <c r="E19" s="19">
        <f>+1.42%</f>
        <v>0.0142</v>
      </c>
      <c r="F19" s="2">
        <v>7.88</v>
      </c>
      <c r="G19" s="2">
        <v>7.73</v>
      </c>
      <c r="H19" s="16">
        <v>5.1574605E7</v>
      </c>
      <c r="I19" s="21">
        <v>44125.0</v>
      </c>
      <c r="J19" s="17" t="s">
        <v>38</v>
      </c>
      <c r="K19" s="18">
        <v>0.6464</v>
      </c>
      <c r="L19" s="18">
        <v>0.3046</v>
      </c>
      <c r="M19" s="16">
        <v>5.66435E7</v>
      </c>
      <c r="N19" s="2">
        <v>3.96</v>
      </c>
      <c r="O19" s="2">
        <v>9.57</v>
      </c>
      <c r="P19" s="14">
        <v>-6.01</v>
      </c>
      <c r="Q19" s="15">
        <v>-0.1559</v>
      </c>
      <c r="R19" s="19">
        <f>+14.26%</f>
        <v>0.1426</v>
      </c>
      <c r="S19" s="19">
        <f>+17.51%</f>
        <v>0.1751</v>
      </c>
      <c r="T19" s="15">
        <v>-0.1307</v>
      </c>
      <c r="U19" s="16">
        <v>3.079273E7</v>
      </c>
      <c r="V19" s="2">
        <v>0.0</v>
      </c>
      <c r="W19" s="2">
        <v>-0.12</v>
      </c>
      <c r="X19" s="2" t="s">
        <v>95</v>
      </c>
      <c r="Y19" s="17">
        <v>1.32</v>
      </c>
      <c r="Z19" s="2">
        <v>0.0</v>
      </c>
      <c r="AA19" s="18">
        <v>0.0</v>
      </c>
    </row>
    <row r="20">
      <c r="A20" s="3" t="s">
        <v>96</v>
      </c>
      <c r="B20" s="4" t="s">
        <v>97</v>
      </c>
      <c r="C20" s="5">
        <v>35.85</v>
      </c>
      <c r="D20" s="6">
        <f>+0.28</f>
        <v>0.28</v>
      </c>
      <c r="E20" s="6">
        <f>+0.79%</f>
        <v>0.0079</v>
      </c>
      <c r="F20" s="5">
        <v>36.67</v>
      </c>
      <c r="G20" s="5">
        <v>35.13</v>
      </c>
      <c r="H20" s="7">
        <v>2.2952934E7</v>
      </c>
      <c r="I20" s="8">
        <v>44125.0</v>
      </c>
      <c r="J20" s="9" t="s">
        <v>38</v>
      </c>
      <c r="K20" s="10">
        <v>0.697</v>
      </c>
      <c r="L20" s="10">
        <v>0.3341</v>
      </c>
      <c r="M20" s="7">
        <v>1.185825E7</v>
      </c>
      <c r="N20" s="5">
        <v>14.32</v>
      </c>
      <c r="O20" s="5">
        <v>38.96</v>
      </c>
      <c r="P20" s="6">
        <f>+12.2</f>
        <v>12.2</v>
      </c>
      <c r="Q20" s="11">
        <v>-0.0273</v>
      </c>
      <c r="R20" s="6">
        <f>+13.02%</f>
        <v>0.1302</v>
      </c>
      <c r="S20" s="6">
        <f>+36.87%</f>
        <v>0.3687</v>
      </c>
      <c r="T20" s="11">
        <v>-0.0158</v>
      </c>
      <c r="U20" s="7">
        <v>5.0947056E7</v>
      </c>
      <c r="V20" s="5">
        <v>17.65</v>
      </c>
      <c r="W20" s="5">
        <v>1.89</v>
      </c>
      <c r="X20" s="5" t="s">
        <v>98</v>
      </c>
      <c r="Y20" s="9">
        <v>1.45</v>
      </c>
      <c r="Z20" s="5">
        <v>0.0</v>
      </c>
      <c r="AA20" s="10">
        <v>0.0</v>
      </c>
    </row>
    <row r="21">
      <c r="A21" s="12" t="s">
        <v>99</v>
      </c>
      <c r="B21" s="1" t="s">
        <v>100</v>
      </c>
      <c r="C21" s="2">
        <v>102.02</v>
      </c>
      <c r="D21" s="19">
        <f>+0.17</f>
        <v>0.17</v>
      </c>
      <c r="E21" s="19">
        <f>+0.17%</f>
        <v>0.0017</v>
      </c>
      <c r="F21" s="2">
        <v>103.33</v>
      </c>
      <c r="G21" s="2">
        <v>101.64</v>
      </c>
      <c r="H21" s="16">
        <v>951902.0</v>
      </c>
      <c r="I21" s="21">
        <v>44125.0</v>
      </c>
      <c r="J21" s="17" t="s">
        <v>38</v>
      </c>
      <c r="K21" s="18">
        <v>0.6084</v>
      </c>
      <c r="L21" s="18">
        <v>0.1794</v>
      </c>
      <c r="M21" s="16">
        <v>740960.0</v>
      </c>
      <c r="N21" s="2">
        <v>49.68</v>
      </c>
      <c r="O21" s="2">
        <v>108.58</v>
      </c>
      <c r="P21" s="19">
        <f>+21</f>
        <v>21</v>
      </c>
      <c r="Q21" s="15">
        <v>-0.0412</v>
      </c>
      <c r="R21" s="15">
        <v>-0.0021</v>
      </c>
      <c r="S21" s="19">
        <f>+17.03%</f>
        <v>0.1703</v>
      </c>
      <c r="T21" s="19">
        <f>+0.49%</f>
        <v>0.0049</v>
      </c>
      <c r="U21" s="16">
        <v>1.4693289E7</v>
      </c>
      <c r="V21" s="2">
        <v>19.77</v>
      </c>
      <c r="W21" s="2">
        <v>5.09</v>
      </c>
      <c r="X21" s="2" t="s">
        <v>101</v>
      </c>
      <c r="Y21" s="17">
        <v>1.07</v>
      </c>
      <c r="Z21" s="2">
        <v>3.16</v>
      </c>
      <c r="AA21" s="18">
        <v>0.031</v>
      </c>
    </row>
    <row r="22">
      <c r="A22" s="3" t="s">
        <v>102</v>
      </c>
      <c r="B22" s="4" t="s">
        <v>103</v>
      </c>
      <c r="C22" s="5">
        <v>18.6</v>
      </c>
      <c r="D22" s="20">
        <v>-0.41</v>
      </c>
      <c r="E22" s="11">
        <v>-0.0215</v>
      </c>
      <c r="F22" s="5">
        <v>19.22</v>
      </c>
      <c r="G22" s="5">
        <v>18.35</v>
      </c>
      <c r="H22" s="7">
        <v>9629932.0</v>
      </c>
      <c r="I22" s="8">
        <v>44125.0</v>
      </c>
      <c r="J22" s="9" t="s">
        <v>38</v>
      </c>
      <c r="K22" s="10">
        <v>0.5905</v>
      </c>
      <c r="L22" s="10">
        <v>0.4394</v>
      </c>
      <c r="M22" s="7">
        <v>8039370.0</v>
      </c>
      <c r="N22" s="5">
        <v>5.26</v>
      </c>
      <c r="O22" s="5">
        <v>20.34</v>
      </c>
      <c r="P22" s="6">
        <f>+9.5</f>
        <v>9.5</v>
      </c>
      <c r="Q22" s="6">
        <f>+7.64%</f>
        <v>0.0764</v>
      </c>
      <c r="R22" s="6">
        <f>+13.34%</f>
        <v>0.1334</v>
      </c>
      <c r="S22" s="6">
        <f>+53.34%</f>
        <v>0.5334</v>
      </c>
      <c r="T22" s="6">
        <f>+12.74%</f>
        <v>0.1274</v>
      </c>
      <c r="U22" s="7">
        <v>7109475.0</v>
      </c>
      <c r="V22" s="5">
        <v>0.0</v>
      </c>
      <c r="W22" s="5">
        <v>-1.45</v>
      </c>
      <c r="X22" s="5" t="s">
        <v>104</v>
      </c>
      <c r="Y22" s="9">
        <v>1.58</v>
      </c>
      <c r="Z22" s="5">
        <v>0.0</v>
      </c>
      <c r="AA22" s="10">
        <v>0.0</v>
      </c>
    </row>
    <row r="23">
      <c r="A23" s="12" t="s">
        <v>105</v>
      </c>
      <c r="B23" s="1" t="s">
        <v>106</v>
      </c>
      <c r="C23" s="2">
        <v>98.39</v>
      </c>
      <c r="D23" s="14">
        <v>-0.35</v>
      </c>
      <c r="E23" s="15">
        <v>-0.0035</v>
      </c>
      <c r="F23" s="2">
        <v>99.63</v>
      </c>
      <c r="G23" s="2">
        <v>97.59</v>
      </c>
      <c r="H23" s="16">
        <v>428444.0</v>
      </c>
      <c r="I23" s="21">
        <v>44125.0</v>
      </c>
      <c r="J23" s="17" t="s">
        <v>43</v>
      </c>
      <c r="K23" s="18">
        <v>0.5188</v>
      </c>
      <c r="L23" s="18">
        <v>0.1669</v>
      </c>
      <c r="M23" s="16">
        <v>553870.0</v>
      </c>
      <c r="N23" s="2">
        <v>61.04</v>
      </c>
      <c r="O23" s="2">
        <v>106.0</v>
      </c>
      <c r="P23" s="19">
        <f>+13.4</f>
        <v>13.4</v>
      </c>
      <c r="Q23" s="19">
        <f>+1.26%</f>
        <v>0.0126</v>
      </c>
      <c r="R23" s="19">
        <f>+2.55%</f>
        <v>0.0255</v>
      </c>
      <c r="S23" s="15">
        <v>-0.0141</v>
      </c>
      <c r="T23" s="19">
        <f>+12.95%</f>
        <v>0.1295</v>
      </c>
      <c r="U23" s="16">
        <v>1.8892302E7</v>
      </c>
      <c r="V23" s="2">
        <v>22.31</v>
      </c>
      <c r="W23" s="2">
        <v>4.38</v>
      </c>
      <c r="X23" s="2" t="s">
        <v>107</v>
      </c>
      <c r="Y23" s="17">
        <v>0.94</v>
      </c>
      <c r="Z23" s="2">
        <v>2.44</v>
      </c>
      <c r="AA23" s="18">
        <v>0.0247</v>
      </c>
    </row>
    <row r="24">
      <c r="A24" s="3" t="s">
        <v>108</v>
      </c>
      <c r="B24" s="4" t="s">
        <v>109</v>
      </c>
      <c r="C24" s="5">
        <v>86.95</v>
      </c>
      <c r="D24" s="6">
        <f>+0.25</f>
        <v>0.25</v>
      </c>
      <c r="E24" s="6">
        <f>+0.29%</f>
        <v>0.0029</v>
      </c>
      <c r="F24" s="5">
        <v>87.78</v>
      </c>
      <c r="G24" s="5">
        <v>86.23</v>
      </c>
      <c r="H24" s="7">
        <v>669380.0</v>
      </c>
      <c r="I24" s="8">
        <v>44125.0</v>
      </c>
      <c r="J24" s="9" t="s">
        <v>88</v>
      </c>
      <c r="K24" s="10">
        <v>0.611</v>
      </c>
      <c r="L24" s="10">
        <v>0.2287</v>
      </c>
      <c r="M24" s="7">
        <v>728359.0</v>
      </c>
      <c r="N24" s="5">
        <v>41.33</v>
      </c>
      <c r="O24" s="5">
        <v>109.5</v>
      </c>
      <c r="P24" s="20">
        <v>-11.13</v>
      </c>
      <c r="Q24" s="11">
        <v>-0.1767</v>
      </c>
      <c r="R24" s="6">
        <f>+14.3%</f>
        <v>0.143</v>
      </c>
      <c r="S24" s="6">
        <f>+10.3%</f>
        <v>0.103</v>
      </c>
      <c r="T24" s="11">
        <v>-0.2764</v>
      </c>
      <c r="U24" s="7">
        <v>1.1874414E7</v>
      </c>
      <c r="V24" s="5">
        <v>23.58</v>
      </c>
      <c r="W24" s="5">
        <v>3.67</v>
      </c>
      <c r="X24" s="5" t="s">
        <v>110</v>
      </c>
      <c r="Y24" s="9">
        <v>0.91</v>
      </c>
      <c r="Z24" s="5">
        <v>2.72</v>
      </c>
      <c r="AA24" s="10">
        <v>0.0314</v>
      </c>
    </row>
    <row r="25">
      <c r="A25" s="12" t="s">
        <v>111</v>
      </c>
      <c r="B25" s="1" t="s">
        <v>112</v>
      </c>
      <c r="C25" s="2">
        <v>17.26</v>
      </c>
      <c r="D25" s="19">
        <f>+0.14</f>
        <v>0.14</v>
      </c>
      <c r="E25" s="19">
        <f>+0.82%</f>
        <v>0.0082</v>
      </c>
      <c r="F25" s="2">
        <v>17.4</v>
      </c>
      <c r="G25" s="2">
        <v>16.94</v>
      </c>
      <c r="H25" s="16">
        <v>3005168.0</v>
      </c>
      <c r="I25" s="21">
        <v>44125.0</v>
      </c>
      <c r="J25" s="17" t="s">
        <v>38</v>
      </c>
      <c r="K25" s="18">
        <v>0.6137</v>
      </c>
      <c r="L25" s="18">
        <v>0.2681</v>
      </c>
      <c r="M25" s="16">
        <v>4168463.0</v>
      </c>
      <c r="N25" s="2">
        <v>6.96</v>
      </c>
      <c r="O25" s="2">
        <v>17.52</v>
      </c>
      <c r="P25" s="19">
        <f>+4.12</f>
        <v>4.12</v>
      </c>
      <c r="Q25" s="19">
        <f>+16.23%</f>
        <v>0.1623</v>
      </c>
      <c r="R25" s="19">
        <f>+12.88%</f>
        <v>0.1288</v>
      </c>
      <c r="S25" s="19">
        <f>+24.35%</f>
        <v>0.2435</v>
      </c>
      <c r="T25" s="19">
        <f>+10.29%</f>
        <v>0.1029</v>
      </c>
      <c r="U25" s="16">
        <v>5957035.0</v>
      </c>
      <c r="V25" s="2">
        <v>9.84</v>
      </c>
      <c r="W25" s="2">
        <v>1.7</v>
      </c>
      <c r="X25" s="2" t="s">
        <v>113</v>
      </c>
      <c r="Y25" s="17">
        <v>1.64</v>
      </c>
      <c r="Z25" s="2">
        <v>0.6</v>
      </c>
      <c r="AA25" s="18">
        <v>0.0351</v>
      </c>
    </row>
    <row r="26">
      <c r="A26" s="3" t="s">
        <v>114</v>
      </c>
      <c r="B26" s="4" t="s">
        <v>115</v>
      </c>
      <c r="C26" s="5">
        <v>284.52</v>
      </c>
      <c r="D26" s="20">
        <v>-1.52</v>
      </c>
      <c r="E26" s="11">
        <v>-0.0053</v>
      </c>
      <c r="F26" s="5">
        <v>288.02</v>
      </c>
      <c r="G26" s="5">
        <v>283.28</v>
      </c>
      <c r="H26" s="7">
        <v>2271113.0</v>
      </c>
      <c r="I26" s="8">
        <v>44125.0</v>
      </c>
      <c r="J26" s="9" t="s">
        <v>38</v>
      </c>
      <c r="K26" s="10">
        <v>0.5463</v>
      </c>
      <c r="L26" s="10">
        <v>0.1659</v>
      </c>
      <c r="M26" s="7">
        <v>2722427.0</v>
      </c>
      <c r="N26" s="5">
        <v>140.63</v>
      </c>
      <c r="O26" s="5">
        <v>292.95</v>
      </c>
      <c r="P26" s="6">
        <f>+32.91</f>
        <v>32.91</v>
      </c>
      <c r="Q26" s="6">
        <f>+30.28%</f>
        <v>0.3028</v>
      </c>
      <c r="R26" s="6">
        <f>+4.46%</f>
        <v>0.0446</v>
      </c>
      <c r="S26" s="6">
        <f>+8.42%</f>
        <v>0.0842</v>
      </c>
      <c r="T26" s="6">
        <f>+20.2%</f>
        <v>0.202</v>
      </c>
      <c r="U26" s="7">
        <v>3.07909504E8</v>
      </c>
      <c r="V26" s="5">
        <v>26.01</v>
      </c>
      <c r="W26" s="5">
        <v>10.91</v>
      </c>
      <c r="X26" s="5" t="s">
        <v>116</v>
      </c>
      <c r="Y26" s="9">
        <v>1.09</v>
      </c>
      <c r="Z26" s="5">
        <v>6.0</v>
      </c>
      <c r="AA26" s="10">
        <v>0.021</v>
      </c>
    </row>
    <row r="27">
      <c r="A27" s="12" t="s">
        <v>117</v>
      </c>
      <c r="B27" s="1" t="s">
        <v>118</v>
      </c>
      <c r="C27" s="2">
        <v>88.97</v>
      </c>
      <c r="D27" s="14">
        <v>-0.51</v>
      </c>
      <c r="E27" s="15">
        <v>-0.0057</v>
      </c>
      <c r="F27" s="2">
        <v>89.63</v>
      </c>
      <c r="G27" s="2">
        <v>88.2</v>
      </c>
      <c r="H27" s="16">
        <v>3395987.0</v>
      </c>
      <c r="I27" s="21">
        <v>44125.0</v>
      </c>
      <c r="J27" s="17" t="s">
        <v>79</v>
      </c>
      <c r="K27" s="18">
        <v>0.5168</v>
      </c>
      <c r="L27" s="18">
        <v>0.2967</v>
      </c>
      <c r="M27" s="16">
        <v>2301004.0</v>
      </c>
      <c r="N27" s="2">
        <v>44.3</v>
      </c>
      <c r="O27" s="2">
        <v>115.48</v>
      </c>
      <c r="P27" s="14">
        <v>-3.75</v>
      </c>
      <c r="Q27" s="15">
        <v>-0.1978</v>
      </c>
      <c r="R27" s="19">
        <f>+4.08%</f>
        <v>0.0408</v>
      </c>
      <c r="S27" s="19">
        <f>+11.05%</f>
        <v>0.1105</v>
      </c>
      <c r="T27" s="15">
        <v>-0.037</v>
      </c>
      <c r="U27" s="16">
        <v>2.4838564E7</v>
      </c>
      <c r="V27" s="2">
        <v>40.16</v>
      </c>
      <c r="W27" s="2">
        <v>2.18</v>
      </c>
      <c r="X27" s="2" t="s">
        <v>119</v>
      </c>
      <c r="Y27" s="17">
        <v>1.33</v>
      </c>
      <c r="Z27" s="2">
        <v>0.0</v>
      </c>
      <c r="AA27" s="18">
        <v>0.0</v>
      </c>
    </row>
    <row r="28">
      <c r="A28" s="3" t="s">
        <v>120</v>
      </c>
      <c r="B28" s="4" t="s">
        <v>121</v>
      </c>
      <c r="C28" s="5">
        <v>89.81</v>
      </c>
      <c r="D28" s="20">
        <v>-1.38</v>
      </c>
      <c r="E28" s="11">
        <v>-0.0151</v>
      </c>
      <c r="F28" s="5">
        <v>93.89</v>
      </c>
      <c r="G28" s="5">
        <v>89.71</v>
      </c>
      <c r="H28" s="7">
        <v>1080014.0</v>
      </c>
      <c r="I28" s="8">
        <v>44125.0</v>
      </c>
      <c r="J28" s="9" t="s">
        <v>50</v>
      </c>
      <c r="K28" s="10">
        <v>0.3899</v>
      </c>
      <c r="L28" s="10">
        <v>0.4918</v>
      </c>
      <c r="M28" s="7">
        <v>2132061.0</v>
      </c>
      <c r="N28" s="5">
        <v>37.59</v>
      </c>
      <c r="O28" s="5">
        <v>109.31</v>
      </c>
      <c r="P28" s="20">
        <v>-3.69</v>
      </c>
      <c r="Q28" s="6">
        <f>+2.44%</f>
        <v>0.0244</v>
      </c>
      <c r="R28" s="11">
        <v>-0.1118</v>
      </c>
      <c r="S28" s="11">
        <v>-0.0573</v>
      </c>
      <c r="T28" s="11">
        <v>-0.0647</v>
      </c>
      <c r="U28" s="7">
        <v>1.4953249E7</v>
      </c>
      <c r="V28" s="5">
        <v>21.11</v>
      </c>
      <c r="W28" s="5">
        <v>4.36</v>
      </c>
      <c r="X28" s="5" t="s">
        <v>122</v>
      </c>
      <c r="Y28" s="9">
        <v>1.77</v>
      </c>
      <c r="Z28" s="5">
        <v>0.0</v>
      </c>
      <c r="AA28" s="10">
        <v>0.0</v>
      </c>
    </row>
    <row r="29">
      <c r="A29" s="12" t="s">
        <v>123</v>
      </c>
      <c r="B29" s="1" t="s">
        <v>124</v>
      </c>
      <c r="C29" s="2">
        <v>32.18</v>
      </c>
      <c r="D29" s="14">
        <v>-0.86</v>
      </c>
      <c r="E29" s="15">
        <v>-0.026</v>
      </c>
      <c r="F29" s="2">
        <v>33.2</v>
      </c>
      <c r="G29" s="2">
        <v>31.96</v>
      </c>
      <c r="H29" s="16">
        <v>3439386.0</v>
      </c>
      <c r="I29" s="21">
        <v>44125.0</v>
      </c>
      <c r="J29" s="17" t="s">
        <v>88</v>
      </c>
      <c r="K29" s="18">
        <v>0.5666</v>
      </c>
      <c r="L29" s="18">
        <v>0.3956</v>
      </c>
      <c r="M29" s="16">
        <v>4592579.0</v>
      </c>
      <c r="N29" s="2">
        <v>8.0</v>
      </c>
      <c r="O29" s="2">
        <v>35.41</v>
      </c>
      <c r="P29" s="19">
        <f>+119.28</f>
        <v>119.28</v>
      </c>
      <c r="Q29" s="19">
        <f>+77.59%</f>
        <v>0.7759</v>
      </c>
      <c r="R29" s="19">
        <f>+9.27%</f>
        <v>0.0927</v>
      </c>
      <c r="S29" s="19">
        <f>+70.54%</f>
        <v>0.7054</v>
      </c>
      <c r="T29" s="19">
        <f>+93.86%</f>
        <v>0.9386</v>
      </c>
      <c r="U29" s="16">
        <v>9187011.0</v>
      </c>
      <c r="V29" s="2">
        <v>28.56</v>
      </c>
      <c r="W29" s="2">
        <v>1.16</v>
      </c>
      <c r="X29" s="2" t="s">
        <v>125</v>
      </c>
      <c r="Y29" s="17">
        <v>1.61</v>
      </c>
      <c r="Z29" s="2">
        <v>0.0</v>
      </c>
      <c r="AA29" s="18">
        <v>0.0</v>
      </c>
    </row>
    <row r="30">
      <c r="A30" s="3" t="s">
        <v>126</v>
      </c>
      <c r="B30" s="4" t="s">
        <v>127</v>
      </c>
      <c r="C30" s="5">
        <v>43.81</v>
      </c>
      <c r="D30" s="20">
        <v>-0.43</v>
      </c>
      <c r="E30" s="11">
        <v>-0.0097</v>
      </c>
      <c r="F30" s="5">
        <v>44.26</v>
      </c>
      <c r="G30" s="5">
        <v>43.4</v>
      </c>
      <c r="H30" s="7">
        <v>506331.0</v>
      </c>
      <c r="I30" s="8">
        <v>44125.0</v>
      </c>
      <c r="J30" s="9" t="s">
        <v>38</v>
      </c>
      <c r="K30" s="10">
        <v>0.5393</v>
      </c>
      <c r="L30" s="10">
        <v>0.2908</v>
      </c>
      <c r="M30" s="7">
        <v>705497.0</v>
      </c>
      <c r="N30" s="5">
        <v>22.03</v>
      </c>
      <c r="O30" s="5">
        <v>55.42</v>
      </c>
      <c r="P30" s="6">
        <f>+4.2</f>
        <v>4.2</v>
      </c>
      <c r="Q30" s="11">
        <v>-0.1381</v>
      </c>
      <c r="R30" s="6">
        <f>+5.64%</f>
        <v>0.0564</v>
      </c>
      <c r="S30" s="6">
        <f>+22.37%</f>
        <v>0.2237</v>
      </c>
      <c r="T30" s="11">
        <v>-0.0045</v>
      </c>
      <c r="U30" s="7">
        <v>5859715.0</v>
      </c>
      <c r="V30" s="5">
        <v>21.97</v>
      </c>
      <c r="W30" s="5">
        <v>2.01</v>
      </c>
      <c r="X30" s="5" t="s">
        <v>128</v>
      </c>
      <c r="Y30" s="9">
        <v>1.54</v>
      </c>
      <c r="Z30" s="5">
        <v>1.6</v>
      </c>
      <c r="AA30" s="10">
        <v>0.0362</v>
      </c>
    </row>
    <row r="31">
      <c r="A31" s="12" t="s">
        <v>129</v>
      </c>
      <c r="B31" s="1" t="s">
        <v>130</v>
      </c>
      <c r="C31" s="2">
        <v>80.98</v>
      </c>
      <c r="D31" s="14">
        <v>-3.2</v>
      </c>
      <c r="E31" s="15">
        <v>-0.0384</v>
      </c>
      <c r="F31" s="2">
        <v>83.32</v>
      </c>
      <c r="G31" s="2">
        <v>79.76</v>
      </c>
      <c r="H31" s="16">
        <v>3159305.0</v>
      </c>
      <c r="I31" s="21">
        <v>44125.0</v>
      </c>
      <c r="J31" s="17" t="s">
        <v>88</v>
      </c>
      <c r="K31" s="18">
        <v>0.5073</v>
      </c>
      <c r="L31" s="18">
        <v>0.3318</v>
      </c>
      <c r="M31" s="16">
        <v>2477190.0</v>
      </c>
      <c r="N31" s="2">
        <v>25.42</v>
      </c>
      <c r="O31" s="2">
        <v>86.8</v>
      </c>
      <c r="P31" s="19">
        <f>+48.96</f>
        <v>48.96</v>
      </c>
      <c r="Q31" s="19">
        <f>+43.56%</f>
        <v>0.4356</v>
      </c>
      <c r="R31" s="19">
        <f>+4.35%</f>
        <v>0.0435</v>
      </c>
      <c r="S31" s="19">
        <f>+17.18%</f>
        <v>0.1718</v>
      </c>
      <c r="T31" s="19">
        <f>+31.25%</f>
        <v>0.3125</v>
      </c>
      <c r="U31" s="16">
        <v>2.6047864E7</v>
      </c>
      <c r="V31" s="2">
        <v>11.76</v>
      </c>
      <c r="W31" s="2">
        <v>7.02</v>
      </c>
      <c r="X31" s="2" t="s">
        <v>131</v>
      </c>
      <c r="Y31" s="17">
        <v>1.56</v>
      </c>
      <c r="Z31" s="2">
        <v>1.0</v>
      </c>
      <c r="AA31" s="18">
        <v>0.012</v>
      </c>
    </row>
    <row r="32">
      <c r="A32" s="3" t="s">
        <v>132</v>
      </c>
      <c r="B32" s="4" t="s">
        <v>133</v>
      </c>
      <c r="C32" s="5">
        <v>32.1</v>
      </c>
      <c r="D32" s="6">
        <f>+0.04</f>
        <v>0.04</v>
      </c>
      <c r="E32" s="6">
        <f>+0.12%</f>
        <v>0.0012</v>
      </c>
      <c r="F32" s="5">
        <v>32.59</v>
      </c>
      <c r="G32" s="5">
        <v>31.87</v>
      </c>
      <c r="H32" s="7">
        <v>2537523.0</v>
      </c>
      <c r="I32" s="8">
        <v>44125.0</v>
      </c>
      <c r="J32" s="9" t="s">
        <v>88</v>
      </c>
      <c r="K32" s="10">
        <v>0.5999</v>
      </c>
      <c r="L32" s="10">
        <v>0.2732</v>
      </c>
      <c r="M32" s="7">
        <v>2209306.0</v>
      </c>
      <c r="N32" s="5">
        <v>13.31</v>
      </c>
      <c r="O32" s="5">
        <v>36.63</v>
      </c>
      <c r="P32" s="6">
        <f>+11.99</f>
        <v>11.99</v>
      </c>
      <c r="Q32" s="11">
        <v>-0.1008</v>
      </c>
      <c r="R32" s="6">
        <f>+11%</f>
        <v>0.11</v>
      </c>
      <c r="S32" s="6">
        <f>+14.85%</f>
        <v>0.1485</v>
      </c>
      <c r="T32" s="6">
        <f>+1.42%</f>
        <v>0.0142</v>
      </c>
      <c r="U32" s="7">
        <v>9755634.0</v>
      </c>
      <c r="V32" s="5">
        <v>13.99</v>
      </c>
      <c r="W32" s="5">
        <v>2.25</v>
      </c>
      <c r="X32" s="5" t="s">
        <v>134</v>
      </c>
      <c r="Y32" s="9">
        <v>1.75</v>
      </c>
      <c r="Z32" s="5">
        <v>0.0</v>
      </c>
      <c r="AA32" s="10">
        <v>0.0</v>
      </c>
    </row>
    <row r="33">
      <c r="A33" s="12" t="s">
        <v>135</v>
      </c>
      <c r="B33" s="1" t="s">
        <v>136</v>
      </c>
      <c r="C33" s="2">
        <v>176.0</v>
      </c>
      <c r="D33" s="14">
        <v>-2.19</v>
      </c>
      <c r="E33" s="15">
        <v>-0.0124</v>
      </c>
      <c r="F33" s="2">
        <v>179.61</v>
      </c>
      <c r="G33" s="2">
        <v>174.34</v>
      </c>
      <c r="H33" s="16">
        <v>3427117.0</v>
      </c>
      <c r="I33" s="21">
        <v>44125.0</v>
      </c>
      <c r="J33" s="17" t="s">
        <v>38</v>
      </c>
      <c r="K33" s="18">
        <v>0.5964</v>
      </c>
      <c r="L33" s="18">
        <v>0.1962</v>
      </c>
      <c r="M33" s="16">
        <v>3229837.0</v>
      </c>
      <c r="N33" s="2">
        <v>60.0</v>
      </c>
      <c r="O33" s="2">
        <v>180.67</v>
      </c>
      <c r="P33" s="19">
        <f>+79.46</f>
        <v>79.46</v>
      </c>
      <c r="Q33" s="19">
        <f>+45.71%</f>
        <v>0.4571</v>
      </c>
      <c r="R33" s="19">
        <f>+9.34%</f>
        <v>0.0934</v>
      </c>
      <c r="S33" s="19">
        <f>+20.34%</f>
        <v>0.2034</v>
      </c>
      <c r="T33" s="19">
        <f>+55.87%</f>
        <v>0.5587</v>
      </c>
      <c r="U33" s="16">
        <v>1.33833288E8</v>
      </c>
      <c r="V33" s="2">
        <v>22.25</v>
      </c>
      <c r="W33" s="2">
        <v>7.87</v>
      </c>
      <c r="X33" s="2" t="s">
        <v>137</v>
      </c>
      <c r="Y33" s="17">
        <v>1.48</v>
      </c>
      <c r="Z33" s="2">
        <v>2.2</v>
      </c>
      <c r="AA33" s="18">
        <v>0.0124</v>
      </c>
    </row>
    <row r="34">
      <c r="A34" s="3" t="s">
        <v>138</v>
      </c>
      <c r="B34" s="4" t="s">
        <v>139</v>
      </c>
      <c r="C34" s="5">
        <v>46.8</v>
      </c>
      <c r="D34" s="6">
        <f>+0.6</f>
        <v>0.6</v>
      </c>
      <c r="E34" s="6">
        <f>+1.3%</f>
        <v>0.013</v>
      </c>
      <c r="F34" s="5">
        <v>47.0</v>
      </c>
      <c r="G34" s="5">
        <v>45.66</v>
      </c>
      <c r="H34" s="7">
        <v>3740534.0</v>
      </c>
      <c r="I34" s="5" t="s">
        <v>140</v>
      </c>
      <c r="J34" s="20" t="s">
        <v>141</v>
      </c>
      <c r="K34" s="10">
        <v>0.4609</v>
      </c>
      <c r="L34" s="10">
        <v>0.2198</v>
      </c>
      <c r="M34" s="7">
        <v>4841189.0</v>
      </c>
      <c r="N34" s="5">
        <v>33.3</v>
      </c>
      <c r="O34" s="5">
        <v>74.29</v>
      </c>
      <c r="P34" s="20">
        <v>-28.02</v>
      </c>
      <c r="Q34" s="11">
        <v>-0.3346</v>
      </c>
      <c r="R34" s="11">
        <v>-0.0108</v>
      </c>
      <c r="S34" s="11">
        <v>-0.0429</v>
      </c>
      <c r="T34" s="11">
        <v>-0.2075</v>
      </c>
      <c r="U34" s="7">
        <v>3.5287696E7</v>
      </c>
      <c r="V34" s="5">
        <v>81.75</v>
      </c>
      <c r="W34" s="5">
        <v>0.55</v>
      </c>
      <c r="X34" s="5" t="s">
        <v>142</v>
      </c>
      <c r="Y34" s="9">
        <v>1.48</v>
      </c>
      <c r="Z34" s="5">
        <v>0.0</v>
      </c>
      <c r="AA34" s="10">
        <v>0.0</v>
      </c>
    </row>
    <row r="35">
      <c r="A35" s="12" t="s">
        <v>143</v>
      </c>
      <c r="B35" s="1" t="s">
        <v>144</v>
      </c>
      <c r="C35" s="2">
        <v>95.2</v>
      </c>
      <c r="D35" s="14">
        <v>-0.89</v>
      </c>
      <c r="E35" s="15">
        <v>-0.0093</v>
      </c>
      <c r="F35" s="2">
        <v>96.27</v>
      </c>
      <c r="G35" s="2">
        <v>94.31</v>
      </c>
      <c r="H35" s="16">
        <v>1465269.0</v>
      </c>
      <c r="I35" s="21">
        <v>44125.0</v>
      </c>
      <c r="J35" s="14" t="s">
        <v>145</v>
      </c>
      <c r="K35" s="18">
        <v>0.4736</v>
      </c>
      <c r="L35" s="18">
        <v>0.2998</v>
      </c>
      <c r="M35" s="16">
        <v>2287328.0</v>
      </c>
      <c r="N35" s="2">
        <v>46.56</v>
      </c>
      <c r="O35" s="2">
        <v>153.39</v>
      </c>
      <c r="P35" s="14">
        <v>-26.69</v>
      </c>
      <c r="Q35" s="15">
        <v>-0.3717</v>
      </c>
      <c r="R35" s="19">
        <f>+2.29%</f>
        <v>0.0229</v>
      </c>
      <c r="S35" s="19">
        <f>+5.77%</f>
        <v>0.0577</v>
      </c>
      <c r="T35" s="15">
        <v>-0.2264</v>
      </c>
      <c r="U35" s="16">
        <v>3.1163428E7</v>
      </c>
      <c r="V35" s="2">
        <v>35.32</v>
      </c>
      <c r="W35" s="2">
        <v>2.66</v>
      </c>
      <c r="X35" s="2" t="s">
        <v>146</v>
      </c>
      <c r="Y35" s="17">
        <v>1.69</v>
      </c>
      <c r="Z35" s="2">
        <v>0.0</v>
      </c>
      <c r="AA35" s="18">
        <v>0.0</v>
      </c>
    </row>
    <row r="36">
      <c r="A36" s="3" t="s">
        <v>147</v>
      </c>
      <c r="B36" s="4" t="s">
        <v>148</v>
      </c>
      <c r="C36" s="5">
        <v>228.22</v>
      </c>
      <c r="D36" s="6">
        <f>+0.74</f>
        <v>0.74</v>
      </c>
      <c r="E36" s="6">
        <f>+0.33%</f>
        <v>0.0033</v>
      </c>
      <c r="F36" s="5">
        <v>229.5</v>
      </c>
      <c r="G36" s="5">
        <v>227.0</v>
      </c>
      <c r="H36" s="7">
        <v>1445205.0</v>
      </c>
      <c r="I36" s="8">
        <v>44125.0</v>
      </c>
      <c r="J36" s="9" t="s">
        <v>38</v>
      </c>
      <c r="K36" s="10">
        <v>0.6316</v>
      </c>
      <c r="L36" s="10">
        <v>0.1194</v>
      </c>
      <c r="M36" s="7">
        <v>2345262.0</v>
      </c>
      <c r="N36" s="5">
        <v>124.23</v>
      </c>
      <c r="O36" s="5">
        <v>231.91</v>
      </c>
      <c r="P36" s="6">
        <f>+23.83</f>
        <v>23.83</v>
      </c>
      <c r="Q36" s="6">
        <f>+15.47%</f>
        <v>0.1547</v>
      </c>
      <c r="R36" s="6">
        <f>+5.44%</f>
        <v>0.0544</v>
      </c>
      <c r="S36" s="6">
        <f>+18.25%</f>
        <v>0.1825</v>
      </c>
      <c r="T36" s="6">
        <f>+8.74%</f>
        <v>0.0874</v>
      </c>
      <c r="U36" s="7">
        <v>1.6924624E8</v>
      </c>
      <c r="V36" s="5">
        <v>36.39</v>
      </c>
      <c r="W36" s="5">
        <v>6.21</v>
      </c>
      <c r="X36" s="5" t="s">
        <v>149</v>
      </c>
      <c r="Y36" s="9">
        <v>0.67</v>
      </c>
      <c r="Z36" s="5">
        <v>5.0</v>
      </c>
      <c r="AA36" s="10">
        <v>0.022</v>
      </c>
    </row>
    <row r="37">
      <c r="A37" s="12" t="s">
        <v>150</v>
      </c>
      <c r="B37" s="1" t="s">
        <v>151</v>
      </c>
      <c r="C37" s="2">
        <v>21.6</v>
      </c>
      <c r="D37" s="19">
        <f>+0.08</f>
        <v>0.08</v>
      </c>
      <c r="E37" s="19">
        <f>+0.37%</f>
        <v>0.0037</v>
      </c>
      <c r="F37" s="2">
        <v>21.6</v>
      </c>
      <c r="G37" s="2">
        <v>21.09</v>
      </c>
      <c r="H37" s="16">
        <v>6521032.0</v>
      </c>
      <c r="I37" s="21">
        <v>44125.0</v>
      </c>
      <c r="J37" s="17" t="s">
        <v>83</v>
      </c>
      <c r="K37" s="18">
        <v>0.5023</v>
      </c>
      <c r="L37" s="18">
        <v>0.3178</v>
      </c>
      <c r="M37" s="16">
        <v>9961194.0</v>
      </c>
      <c r="N37" s="2">
        <v>5.9</v>
      </c>
      <c r="O37" s="2">
        <v>34.63</v>
      </c>
      <c r="P37" s="14">
        <v>-10.02</v>
      </c>
      <c r="Q37" s="15">
        <v>-0.3565</v>
      </c>
      <c r="R37" s="19">
        <f>+1.52%</f>
        <v>0.0152</v>
      </c>
      <c r="S37" s="19">
        <f>+28.28%</f>
        <v>0.2828</v>
      </c>
      <c r="T37" s="15">
        <v>-0.2354</v>
      </c>
      <c r="U37" s="16">
        <v>1.0561146E7</v>
      </c>
      <c r="V37" s="2">
        <v>0.0</v>
      </c>
      <c r="W37" s="2">
        <v>-1.58</v>
      </c>
      <c r="X37" s="2" t="s">
        <v>152</v>
      </c>
      <c r="Y37" s="17">
        <v>2.34</v>
      </c>
      <c r="Z37" s="2">
        <v>0.01</v>
      </c>
      <c r="AA37" s="18">
        <v>5.0E-4</v>
      </c>
    </row>
    <row r="38">
      <c r="A38" s="3" t="s">
        <v>153</v>
      </c>
      <c r="B38" s="4" t="s">
        <v>154</v>
      </c>
      <c r="C38" s="5">
        <v>99.71</v>
      </c>
      <c r="D38" s="20">
        <v>-3.24</v>
      </c>
      <c r="E38" s="11">
        <v>-0.0315</v>
      </c>
      <c r="F38" s="5">
        <v>102.83</v>
      </c>
      <c r="G38" s="5">
        <v>99.54</v>
      </c>
      <c r="H38" s="7">
        <v>437893.0</v>
      </c>
      <c r="I38" s="8">
        <v>44125.0</v>
      </c>
      <c r="J38" s="9" t="s">
        <v>29</v>
      </c>
      <c r="K38" s="10">
        <v>0.5059</v>
      </c>
      <c r="L38" s="10">
        <v>0.4095</v>
      </c>
      <c r="M38" s="7">
        <v>502665.0</v>
      </c>
      <c r="N38" s="5">
        <v>56.62</v>
      </c>
      <c r="O38" s="5">
        <v>153.05</v>
      </c>
      <c r="P38" s="20">
        <v>-11.68</v>
      </c>
      <c r="Q38" s="11">
        <v>-0.2689</v>
      </c>
      <c r="R38" s="6">
        <f>+3.99%</f>
        <v>0.0399</v>
      </c>
      <c r="S38" s="6">
        <f>+25.55%</f>
        <v>0.2555</v>
      </c>
      <c r="T38" s="11">
        <v>-0.2078</v>
      </c>
      <c r="U38" s="7">
        <v>7325253.0</v>
      </c>
      <c r="V38" s="5">
        <v>14.45</v>
      </c>
      <c r="W38" s="5">
        <v>7.03</v>
      </c>
      <c r="X38" s="5" t="s">
        <v>155</v>
      </c>
      <c r="Y38" s="9">
        <v>1.46</v>
      </c>
      <c r="Z38" s="5">
        <v>0.0</v>
      </c>
      <c r="AA38" s="10">
        <v>0.0</v>
      </c>
    </row>
    <row r="39">
      <c r="A39" s="12" t="s">
        <v>156</v>
      </c>
      <c r="B39" s="1" t="s">
        <v>157</v>
      </c>
      <c r="C39" s="2">
        <v>16.96</v>
      </c>
      <c r="D39" s="14">
        <v>-0.12</v>
      </c>
      <c r="E39" s="15">
        <v>-0.007</v>
      </c>
      <c r="F39" s="2">
        <v>17.14</v>
      </c>
      <c r="G39" s="2">
        <v>16.72</v>
      </c>
      <c r="H39" s="16">
        <v>1.1275781E7</v>
      </c>
      <c r="I39" s="2" t="s">
        <v>158</v>
      </c>
      <c r="J39" s="17" t="s">
        <v>159</v>
      </c>
      <c r="K39" s="18">
        <v>0.5122</v>
      </c>
      <c r="L39" s="18">
        <v>0.6414</v>
      </c>
      <c r="M39" s="16">
        <v>2.2000637E7</v>
      </c>
      <c r="N39" s="2">
        <v>7.03</v>
      </c>
      <c r="O39" s="2">
        <v>59.78</v>
      </c>
      <c r="P39" s="14">
        <v>-54.21</v>
      </c>
      <c r="Q39" s="15">
        <v>-0.7091</v>
      </c>
      <c r="R39" s="19">
        <f>+13.34%</f>
        <v>0.1334</v>
      </c>
      <c r="S39" s="19">
        <f>+13.42%</f>
        <v>0.1342</v>
      </c>
      <c r="T39" s="15">
        <v>-0.6665</v>
      </c>
      <c r="U39" s="16">
        <v>4707572.0</v>
      </c>
      <c r="V39" s="2">
        <v>0.0</v>
      </c>
      <c r="W39" s="2">
        <v>-0.81</v>
      </c>
      <c r="X39" s="2" t="s">
        <v>160</v>
      </c>
      <c r="Y39" s="17">
        <v>2.72</v>
      </c>
      <c r="Z39" s="2">
        <v>0.0</v>
      </c>
      <c r="AA39" s="18">
        <v>0.0</v>
      </c>
    </row>
    <row r="40">
      <c r="A40" s="3" t="s">
        <v>161</v>
      </c>
      <c r="B40" s="4" t="s">
        <v>162</v>
      </c>
      <c r="C40" s="5">
        <v>129.54</v>
      </c>
      <c r="D40" s="6">
        <f>+1.05</f>
        <v>1.05</v>
      </c>
      <c r="E40" s="6">
        <f>+0.82%</f>
        <v>0.0082</v>
      </c>
      <c r="F40" s="5">
        <v>131.38</v>
      </c>
      <c r="G40" s="5">
        <v>128.07</v>
      </c>
      <c r="H40" s="7">
        <v>4718341.0</v>
      </c>
      <c r="I40" s="5" t="s">
        <v>163</v>
      </c>
      <c r="J40" s="9" t="s">
        <v>38</v>
      </c>
      <c r="K40" s="10">
        <v>0.646</v>
      </c>
      <c r="L40" s="10">
        <v>0.154</v>
      </c>
      <c r="M40" s="7">
        <v>6162112.0</v>
      </c>
      <c r="N40" s="5">
        <v>60.0</v>
      </c>
      <c r="O40" s="5">
        <v>131.38</v>
      </c>
      <c r="P40" s="6">
        <f>+49.79</f>
        <v>49.79</v>
      </c>
      <c r="Q40" s="6">
        <f>+27.76%</f>
        <v>0.2776</v>
      </c>
      <c r="R40" s="6">
        <f>+14.17%</f>
        <v>0.1417</v>
      </c>
      <c r="S40" s="6">
        <f>+31.59%</f>
        <v>0.3159</v>
      </c>
      <c r="T40" s="6">
        <f>+34.51%</f>
        <v>0.3451</v>
      </c>
      <c r="U40" s="7">
        <v>2.01707072E8</v>
      </c>
      <c r="V40" s="5">
        <v>66.37</v>
      </c>
      <c r="W40" s="5">
        <v>1.92</v>
      </c>
      <c r="X40" s="5" t="s">
        <v>164</v>
      </c>
      <c r="Y40" s="9">
        <v>0.8</v>
      </c>
      <c r="Z40" s="5">
        <v>0.98</v>
      </c>
      <c r="AA40" s="10">
        <v>0.0076</v>
      </c>
    </row>
    <row r="41">
      <c r="A41" s="12" t="s">
        <v>165</v>
      </c>
      <c r="B41" s="1" t="s">
        <v>166</v>
      </c>
      <c r="C41" s="13">
        <v>4244.75</v>
      </c>
      <c r="D41" s="14">
        <v>-132.03</v>
      </c>
      <c r="E41" s="15">
        <v>-0.03</v>
      </c>
      <c r="F41" s="13">
        <v>4428.0</v>
      </c>
      <c r="G41" s="13">
        <v>4205.0</v>
      </c>
      <c r="H41" s="16">
        <v>21668.0</v>
      </c>
      <c r="I41" s="21">
        <v>44125.0</v>
      </c>
      <c r="J41" s="17" t="s">
        <v>38</v>
      </c>
      <c r="K41" s="18">
        <v>0.5253</v>
      </c>
      <c r="L41" s="18">
        <v>0.3412</v>
      </c>
      <c r="M41" s="16">
        <v>18613.0</v>
      </c>
      <c r="N41" s="13">
        <v>2043.01</v>
      </c>
      <c r="O41" s="13">
        <v>4530.0</v>
      </c>
      <c r="P41" s="19">
        <f>+23.26</f>
        <v>23.26</v>
      </c>
      <c r="Q41" s="19">
        <f>+11.46%</f>
        <v>0.1146</v>
      </c>
      <c r="R41" s="19">
        <f>+7.97%</f>
        <v>0.0797</v>
      </c>
      <c r="S41" s="19">
        <f>+25.83%</f>
        <v>0.2583</v>
      </c>
      <c r="T41" s="19">
        <f>+11.12%</f>
        <v>0.1112</v>
      </c>
      <c r="U41" s="16">
        <v>1.6289664E7</v>
      </c>
      <c r="V41" s="2">
        <v>20.44</v>
      </c>
      <c r="W41" s="2">
        <v>207.98</v>
      </c>
      <c r="X41" s="2" t="s">
        <v>167</v>
      </c>
      <c r="Y41" s="17">
        <v>1.09</v>
      </c>
      <c r="Z41" s="2">
        <v>0.0</v>
      </c>
      <c r="AA41" s="18">
        <v>0.0</v>
      </c>
    </row>
    <row r="42">
      <c r="A42" s="3" t="s">
        <v>168</v>
      </c>
      <c r="B42" s="4" t="s">
        <v>169</v>
      </c>
      <c r="C42" s="5">
        <v>17.55</v>
      </c>
      <c r="D42" s="20">
        <v>-0.12</v>
      </c>
      <c r="E42" s="11">
        <v>-0.0068</v>
      </c>
      <c r="F42" s="5">
        <v>17.7</v>
      </c>
      <c r="G42" s="5">
        <v>17.41</v>
      </c>
      <c r="H42" s="7">
        <v>1231284.0</v>
      </c>
      <c r="I42" s="8">
        <v>44125.0</v>
      </c>
      <c r="J42" s="9" t="s">
        <v>170</v>
      </c>
      <c r="K42" s="10">
        <v>0.5239</v>
      </c>
      <c r="L42" s="10">
        <v>0.2479</v>
      </c>
      <c r="M42" s="7">
        <v>1691899.0</v>
      </c>
      <c r="N42" s="5">
        <v>10.44</v>
      </c>
      <c r="O42" s="5">
        <v>20.99</v>
      </c>
      <c r="P42" s="20">
        <v>-6.05</v>
      </c>
      <c r="Q42" s="11">
        <v>-0.0869</v>
      </c>
      <c r="R42" s="6">
        <f>+2.69%</f>
        <v>0.0269</v>
      </c>
      <c r="S42" s="6">
        <f>+6.04%</f>
        <v>0.0604</v>
      </c>
      <c r="T42" s="11">
        <v>-0.119</v>
      </c>
      <c r="U42" s="7">
        <v>7501624.0</v>
      </c>
      <c r="V42" s="5">
        <v>11.42</v>
      </c>
      <c r="W42" s="5">
        <v>1.54</v>
      </c>
      <c r="X42" s="5" t="s">
        <v>171</v>
      </c>
      <c r="Y42" s="9">
        <v>0.97</v>
      </c>
      <c r="Z42" s="5">
        <v>0.92</v>
      </c>
      <c r="AA42" s="10">
        <v>0.052</v>
      </c>
    </row>
    <row r="43">
      <c r="A43" s="12" t="s">
        <v>172</v>
      </c>
      <c r="B43" s="1" t="s">
        <v>173</v>
      </c>
      <c r="C43" s="2">
        <v>466.0</v>
      </c>
      <c r="D43" s="14">
        <v>-3.69</v>
      </c>
      <c r="E43" s="15">
        <v>-0.0079</v>
      </c>
      <c r="F43" s="2">
        <v>474.73</v>
      </c>
      <c r="G43" s="2">
        <v>465.57</v>
      </c>
      <c r="H43" s="16">
        <v>350557.0</v>
      </c>
      <c r="I43" s="21">
        <v>44125.0</v>
      </c>
      <c r="J43" s="17" t="s">
        <v>72</v>
      </c>
      <c r="K43" s="18">
        <v>0.5292</v>
      </c>
      <c r="L43" s="18">
        <v>0.2335</v>
      </c>
      <c r="M43" s="16">
        <v>453109.0</v>
      </c>
      <c r="N43" s="2">
        <v>251.51</v>
      </c>
      <c r="O43" s="2">
        <v>487.95</v>
      </c>
      <c r="P43" s="19">
        <f>+20.34</f>
        <v>20.34</v>
      </c>
      <c r="Q43" s="19">
        <f>+6.33%</f>
        <v>0.0633</v>
      </c>
      <c r="R43" s="19">
        <f>+2.65%</f>
        <v>0.0265</v>
      </c>
      <c r="S43" s="19">
        <f>+4.37%</f>
        <v>0.0437</v>
      </c>
      <c r="T43" s="19">
        <f>+15.79%</f>
        <v>0.1579</v>
      </c>
      <c r="U43" s="16">
        <v>3.4767596E7</v>
      </c>
      <c r="V43" s="2">
        <v>22.73</v>
      </c>
      <c r="W43" s="2">
        <v>20.4</v>
      </c>
      <c r="X43" s="2" t="s">
        <v>174</v>
      </c>
      <c r="Y43" s="17">
        <v>1.09</v>
      </c>
      <c r="Z43" s="2">
        <v>0.0</v>
      </c>
      <c r="AA43" s="18">
        <v>0.0</v>
      </c>
    </row>
    <row r="44">
      <c r="A44" s="3" t="s">
        <v>175</v>
      </c>
      <c r="B44" s="4" t="s">
        <v>176</v>
      </c>
      <c r="C44" s="5">
        <v>45.24</v>
      </c>
      <c r="D44" s="20">
        <v>-1.73</v>
      </c>
      <c r="E44" s="11">
        <v>-0.0368</v>
      </c>
      <c r="F44" s="5">
        <v>47.0</v>
      </c>
      <c r="G44" s="5">
        <v>44.8</v>
      </c>
      <c r="H44" s="7">
        <v>4164971.0</v>
      </c>
      <c r="I44" s="8">
        <v>44125.0</v>
      </c>
      <c r="J44" s="9" t="s">
        <v>54</v>
      </c>
      <c r="K44" s="10">
        <v>0.4731</v>
      </c>
      <c r="L44" s="10">
        <v>0.3322</v>
      </c>
      <c r="M44" s="7">
        <v>2363803.0</v>
      </c>
      <c r="N44" s="5">
        <v>17.12</v>
      </c>
      <c r="O44" s="5">
        <v>49.7</v>
      </c>
      <c r="P44" s="6">
        <f>+40.36</f>
        <v>40.36</v>
      </c>
      <c r="Q44" s="6">
        <f>+16.6%</f>
        <v>0.166</v>
      </c>
      <c r="R44" s="6">
        <f>+1.41%</f>
        <v>0.0141</v>
      </c>
      <c r="S44" s="6">
        <f>+20%</f>
        <v>0.2</v>
      </c>
      <c r="T44" s="6">
        <f>+18.46%</f>
        <v>0.1846</v>
      </c>
      <c r="U44" s="7">
        <v>1.2599002E7</v>
      </c>
      <c r="V44" s="5">
        <v>11.49</v>
      </c>
      <c r="W44" s="5">
        <v>4.04</v>
      </c>
      <c r="X44" s="5" t="s">
        <v>177</v>
      </c>
      <c r="Y44" s="9">
        <v>1.37</v>
      </c>
      <c r="Z44" s="5">
        <v>0.48</v>
      </c>
      <c r="AA44" s="10">
        <v>0.0102</v>
      </c>
    </row>
    <row r="45">
      <c r="A45" s="12" t="s">
        <v>178</v>
      </c>
      <c r="B45" s="1" t="s">
        <v>179</v>
      </c>
      <c r="C45" s="2">
        <v>61.42</v>
      </c>
      <c r="D45" s="14">
        <v>-0.09</v>
      </c>
      <c r="E45" s="15">
        <v>-0.0015</v>
      </c>
      <c r="F45" s="2">
        <v>62.79</v>
      </c>
      <c r="G45" s="2">
        <v>60.64</v>
      </c>
      <c r="H45" s="16">
        <v>837858.0</v>
      </c>
      <c r="I45" s="21">
        <v>44125.0</v>
      </c>
      <c r="J45" s="17" t="s">
        <v>72</v>
      </c>
      <c r="K45" s="18">
        <v>0.4958</v>
      </c>
      <c r="L45" s="18">
        <v>0.4277</v>
      </c>
      <c r="M45" s="16">
        <v>1092778.0</v>
      </c>
      <c r="N45" s="2">
        <v>28.4</v>
      </c>
      <c r="O45" s="2">
        <v>108.06</v>
      </c>
      <c r="P45" s="14">
        <v>-31.79</v>
      </c>
      <c r="Q45" s="15">
        <v>-0.4159</v>
      </c>
      <c r="R45" s="15">
        <v>-0.0504</v>
      </c>
      <c r="S45" s="19">
        <f>+25.3%</f>
        <v>0.253</v>
      </c>
      <c r="T45" s="15">
        <v>-0.3126</v>
      </c>
      <c r="U45" s="16">
        <v>4378618.0</v>
      </c>
      <c r="V45" s="2">
        <v>29.83</v>
      </c>
      <c r="W45" s="2">
        <v>2.08</v>
      </c>
      <c r="X45" s="2" t="s">
        <v>180</v>
      </c>
      <c r="Y45" s="17">
        <v>2.06</v>
      </c>
      <c r="Z45" s="2">
        <v>0.0</v>
      </c>
      <c r="AA45" s="18">
        <v>0.0</v>
      </c>
    </row>
    <row r="46">
      <c r="A46" s="3" t="s">
        <v>181</v>
      </c>
      <c r="B46" s="4" t="s">
        <v>182</v>
      </c>
      <c r="C46" s="5">
        <v>60.58</v>
      </c>
      <c r="D46" s="20">
        <v>-1.21</v>
      </c>
      <c r="E46" s="11">
        <v>-0.0196</v>
      </c>
      <c r="F46" s="5">
        <v>61.61</v>
      </c>
      <c r="G46" s="5">
        <v>60.02</v>
      </c>
      <c r="H46" s="7">
        <v>3819111.0</v>
      </c>
      <c r="I46" s="5" t="s">
        <v>68</v>
      </c>
      <c r="J46" s="9" t="s">
        <v>50</v>
      </c>
      <c r="K46" s="10">
        <v>0.4575</v>
      </c>
      <c r="L46" s="10">
        <v>0.6318</v>
      </c>
      <c r="M46" s="7">
        <v>7316248.0</v>
      </c>
      <c r="N46" s="5">
        <v>19.25</v>
      </c>
      <c r="O46" s="5">
        <v>135.32</v>
      </c>
      <c r="P46" s="20">
        <v>-32.88</v>
      </c>
      <c r="Q46" s="11">
        <v>-0.5454</v>
      </c>
      <c r="R46" s="11">
        <v>-3.0E-4</v>
      </c>
      <c r="S46" s="6">
        <f>+14.94%</f>
        <v>0.1494</v>
      </c>
      <c r="T46" s="11">
        <v>-0.4585</v>
      </c>
      <c r="U46" s="7">
        <v>1.3269649E7</v>
      </c>
      <c r="V46" s="5">
        <v>0.0</v>
      </c>
      <c r="W46" s="5">
        <v>-1.92</v>
      </c>
      <c r="X46" s="5" t="s">
        <v>183</v>
      </c>
      <c r="Y46" s="9">
        <v>2.67</v>
      </c>
      <c r="Z46" s="5">
        <v>0.0</v>
      </c>
      <c r="AA46" s="10">
        <v>0.0</v>
      </c>
    </row>
    <row r="47">
      <c r="A47" s="12" t="s">
        <v>184</v>
      </c>
      <c r="B47" s="1" t="s">
        <v>185</v>
      </c>
      <c r="C47" s="2">
        <v>75.01</v>
      </c>
      <c r="D47" s="19">
        <f>+1.53</f>
        <v>1.53</v>
      </c>
      <c r="E47" s="19">
        <f>+2.08%</f>
        <v>0.0208</v>
      </c>
      <c r="F47" s="2">
        <v>75.16</v>
      </c>
      <c r="G47" s="2">
        <v>72.65</v>
      </c>
      <c r="H47" s="16">
        <v>755821.0</v>
      </c>
      <c r="I47" s="21">
        <v>44125.0</v>
      </c>
      <c r="J47" s="14" t="s">
        <v>145</v>
      </c>
      <c r="K47" s="18">
        <v>0.539</v>
      </c>
      <c r="L47" s="18">
        <v>0.3496</v>
      </c>
      <c r="M47" s="16">
        <v>1200571.0</v>
      </c>
      <c r="N47" s="2">
        <v>59.82</v>
      </c>
      <c r="O47" s="2">
        <v>128.29</v>
      </c>
      <c r="P47" s="14">
        <v>-27.92</v>
      </c>
      <c r="Q47" s="15">
        <v>-0.3601</v>
      </c>
      <c r="R47" s="19">
        <f>+5.4%</f>
        <v>0.054</v>
      </c>
      <c r="S47" s="19">
        <f>+4.82%</f>
        <v>0.0482</v>
      </c>
      <c r="T47" s="15">
        <v>-0.2225</v>
      </c>
      <c r="U47" s="16">
        <v>5369538.0</v>
      </c>
      <c r="V47" s="2">
        <v>25.55</v>
      </c>
      <c r="W47" s="2">
        <v>2.91</v>
      </c>
      <c r="X47" s="2" t="s">
        <v>186</v>
      </c>
      <c r="Y47" s="17">
        <v>1.2</v>
      </c>
      <c r="Z47" s="2">
        <v>0.0</v>
      </c>
      <c r="AA47" s="18">
        <v>0.0</v>
      </c>
    </row>
    <row r="48">
      <c r="A48" s="3" t="s">
        <v>187</v>
      </c>
      <c r="B48" s="4" t="s">
        <v>188</v>
      </c>
      <c r="C48" s="5">
        <v>92.17</v>
      </c>
      <c r="D48" s="6">
        <f>+0.03</f>
        <v>0.03</v>
      </c>
      <c r="E48" s="6">
        <f>+0.03%</f>
        <v>0.0003</v>
      </c>
      <c r="F48" s="5">
        <v>92.88</v>
      </c>
      <c r="G48" s="5">
        <v>90.8</v>
      </c>
      <c r="H48" s="7">
        <v>1603993.0</v>
      </c>
      <c r="I48" s="8">
        <v>44125.0</v>
      </c>
      <c r="J48" s="23" t="s">
        <v>189</v>
      </c>
      <c r="K48" s="10">
        <v>0.478</v>
      </c>
      <c r="L48" s="10">
        <v>0.3154</v>
      </c>
      <c r="M48" s="7">
        <v>1665470.0</v>
      </c>
      <c r="N48" s="5">
        <v>56.3</v>
      </c>
      <c r="O48" s="5">
        <v>124.16</v>
      </c>
      <c r="P48" s="20">
        <v>-8.52</v>
      </c>
      <c r="Q48" s="11">
        <v>-0.2083</v>
      </c>
      <c r="R48" s="6">
        <f>+1.94%</f>
        <v>0.0194</v>
      </c>
      <c r="S48" s="6">
        <f>+6.54%</f>
        <v>0.0654</v>
      </c>
      <c r="T48" s="11">
        <v>-0.1695</v>
      </c>
      <c r="U48" s="7">
        <v>3.2816636E7</v>
      </c>
      <c r="V48" s="5">
        <v>48.13</v>
      </c>
      <c r="W48" s="5">
        <v>1.89</v>
      </c>
      <c r="X48" s="5" t="s">
        <v>190</v>
      </c>
      <c r="Y48" s="9">
        <v>0.72</v>
      </c>
      <c r="Z48" s="5">
        <v>0.0</v>
      </c>
      <c r="AA48" s="10">
        <v>0.0</v>
      </c>
    </row>
    <row r="49">
      <c r="A49" s="12" t="s">
        <v>191</v>
      </c>
      <c r="B49" s="1" t="s">
        <v>192</v>
      </c>
      <c r="C49" s="2">
        <v>88.78</v>
      </c>
      <c r="D49" s="19">
        <f>+0.27</f>
        <v>0.27</v>
      </c>
      <c r="E49" s="19">
        <f>+0.31%</f>
        <v>0.0031</v>
      </c>
      <c r="F49" s="2">
        <v>89.16</v>
      </c>
      <c r="G49" s="2">
        <v>88.19</v>
      </c>
      <c r="H49" s="16">
        <v>4014159.0</v>
      </c>
      <c r="I49" s="2" t="s">
        <v>163</v>
      </c>
      <c r="J49" s="17" t="s">
        <v>38</v>
      </c>
      <c r="K49" s="18">
        <v>0.565</v>
      </c>
      <c r="L49" s="18">
        <v>0.1811</v>
      </c>
      <c r="M49" s="16">
        <v>5784238.0</v>
      </c>
      <c r="N49" s="2">
        <v>50.02</v>
      </c>
      <c r="O49" s="2">
        <v>94.13</v>
      </c>
      <c r="P49" s="19">
        <f>+11.7</f>
        <v>11.7</v>
      </c>
      <c r="Q49" s="19">
        <f>+0.4%</f>
        <v>0.004</v>
      </c>
      <c r="R49" s="19">
        <f>+5.22%</f>
        <v>0.0522</v>
      </c>
      <c r="S49" s="19">
        <f>+17.01%</f>
        <v>0.1701</v>
      </c>
      <c r="T49" s="19">
        <f>+3.42%</f>
        <v>0.0342</v>
      </c>
      <c r="U49" s="16">
        <v>1.03468192E8</v>
      </c>
      <c r="V49" s="2">
        <v>64.89</v>
      </c>
      <c r="W49" s="2">
        <v>1.35</v>
      </c>
      <c r="X49" s="2" t="s">
        <v>193</v>
      </c>
      <c r="Y49" s="17">
        <v>0.81</v>
      </c>
      <c r="Z49" s="2">
        <v>1.64</v>
      </c>
      <c r="AA49" s="18">
        <v>0.0185</v>
      </c>
    </row>
    <row r="50">
      <c r="A50" s="3" t="s">
        <v>194</v>
      </c>
      <c r="B50" s="4" t="s">
        <v>195</v>
      </c>
      <c r="C50" s="5">
        <v>163.02</v>
      </c>
      <c r="D50" s="20">
        <v>-1.85</v>
      </c>
      <c r="E50" s="11">
        <v>-0.0112</v>
      </c>
      <c r="F50" s="5">
        <v>166.19</v>
      </c>
      <c r="G50" s="5">
        <v>162.95</v>
      </c>
      <c r="H50" s="7">
        <v>3021302.0</v>
      </c>
      <c r="I50" s="5" t="s">
        <v>196</v>
      </c>
      <c r="J50" s="9" t="s">
        <v>38</v>
      </c>
      <c r="K50" s="10">
        <v>0.6419</v>
      </c>
      <c r="L50" s="10">
        <v>0.1418</v>
      </c>
      <c r="M50" s="7">
        <v>2780851.0</v>
      </c>
      <c r="N50" s="5">
        <v>90.17</v>
      </c>
      <c r="O50" s="5">
        <v>167.42</v>
      </c>
      <c r="P50" s="6">
        <f>+59.99</f>
        <v>59.99</v>
      </c>
      <c r="Q50" s="6">
        <f>+27.36%</f>
        <v>0.2736</v>
      </c>
      <c r="R50" s="6">
        <f>+8.96%</f>
        <v>0.0896</v>
      </c>
      <c r="S50" s="6">
        <f>+35.85%</f>
        <v>0.3585</v>
      </c>
      <c r="T50" s="6">
        <f>+43.64%</f>
        <v>0.4364</v>
      </c>
      <c r="U50" s="7">
        <v>8.2536888E7</v>
      </c>
      <c r="V50" s="5">
        <v>23.37</v>
      </c>
      <c r="W50" s="5">
        <v>7.02</v>
      </c>
      <c r="X50" s="5" t="s">
        <v>197</v>
      </c>
      <c r="Y50" s="9">
        <v>0.85</v>
      </c>
      <c r="Z50" s="5">
        <v>2.72</v>
      </c>
      <c r="AA50" s="10">
        <v>0.0165</v>
      </c>
    </row>
    <row r="51">
      <c r="A51" s="12" t="s">
        <v>198</v>
      </c>
      <c r="B51" s="1" t="s">
        <v>199</v>
      </c>
      <c r="C51" s="2">
        <v>122.8</v>
      </c>
      <c r="D51" s="19">
        <f>+0.6</f>
        <v>0.6</v>
      </c>
      <c r="E51" s="19">
        <f>+0.49%</f>
        <v>0.0049</v>
      </c>
      <c r="F51" s="2">
        <v>123.34</v>
      </c>
      <c r="G51" s="2">
        <v>122.52</v>
      </c>
      <c r="H51" s="16">
        <v>841509.0</v>
      </c>
      <c r="I51" s="21">
        <v>44125.0</v>
      </c>
      <c r="J51" s="14" t="s">
        <v>200</v>
      </c>
      <c r="K51" s="18">
        <v>0.6216</v>
      </c>
      <c r="L51" s="18">
        <v>0.0933</v>
      </c>
      <c r="M51" s="16">
        <v>1016034.0</v>
      </c>
      <c r="N51" s="2">
        <v>88.57</v>
      </c>
      <c r="O51" s="2">
        <v>134.42</v>
      </c>
      <c r="P51" s="19">
        <f>+9.4</f>
        <v>9.4</v>
      </c>
      <c r="Q51" s="15">
        <v>-0.0812</v>
      </c>
      <c r="R51" s="19">
        <f>+6.59%</f>
        <v>0.0659</v>
      </c>
      <c r="S51" s="19">
        <f>+0.45%</f>
        <v>0.0045</v>
      </c>
      <c r="T51" s="19">
        <f>+37.1%</f>
        <v>0.371</v>
      </c>
      <c r="U51" s="16">
        <v>1.4841001E7</v>
      </c>
      <c r="V51" s="2">
        <v>54.55</v>
      </c>
      <c r="W51" s="2">
        <v>2.24</v>
      </c>
      <c r="X51" s="2" t="s">
        <v>201</v>
      </c>
      <c r="Y51" s="17">
        <v>0.88</v>
      </c>
      <c r="Z51" s="2">
        <v>2.32</v>
      </c>
      <c r="AA51" s="18">
        <v>0.019</v>
      </c>
    </row>
    <row r="52">
      <c r="A52" s="3" t="s">
        <v>202</v>
      </c>
      <c r="B52" s="4" t="s">
        <v>203</v>
      </c>
      <c r="C52" s="5">
        <v>54.98</v>
      </c>
      <c r="D52" s="6">
        <f>+0.04</f>
        <v>0.04</v>
      </c>
      <c r="E52" s="6">
        <f>+0.07%</f>
        <v>0.0007</v>
      </c>
      <c r="F52" s="5">
        <v>55.39</v>
      </c>
      <c r="G52" s="5">
        <v>54.57</v>
      </c>
      <c r="H52" s="7">
        <v>4013841.0</v>
      </c>
      <c r="I52" s="8">
        <v>44125.0</v>
      </c>
      <c r="J52" s="9" t="s">
        <v>54</v>
      </c>
      <c r="K52" s="10">
        <v>0.471</v>
      </c>
      <c r="L52" s="10">
        <v>0.2826</v>
      </c>
      <c r="M52" s="7">
        <v>5241512.0</v>
      </c>
      <c r="N52" s="5">
        <v>32.72</v>
      </c>
      <c r="O52" s="5">
        <v>64.95</v>
      </c>
      <c r="P52" s="6">
        <f>+0.77</f>
        <v>0.77</v>
      </c>
      <c r="Q52" s="11">
        <v>-0.0996</v>
      </c>
      <c r="R52" s="6">
        <f>+1.5%</f>
        <v>0.015</v>
      </c>
      <c r="S52" s="6">
        <f>+3.6%</f>
        <v>0.036</v>
      </c>
      <c r="T52" s="11">
        <v>-0.0823</v>
      </c>
      <c r="U52" s="7">
        <v>6.5864424E7</v>
      </c>
      <c r="V52" s="5">
        <v>96.72</v>
      </c>
      <c r="W52" s="5">
        <v>0.57</v>
      </c>
      <c r="X52" s="5" t="s">
        <v>204</v>
      </c>
      <c r="Y52" s="9">
        <v>0.73</v>
      </c>
      <c r="Z52" s="5">
        <v>0.0</v>
      </c>
      <c r="AA52" s="10">
        <v>0.0</v>
      </c>
    </row>
    <row r="53">
      <c r="A53" s="12" t="s">
        <v>205</v>
      </c>
      <c r="B53" s="1" t="s">
        <v>206</v>
      </c>
      <c r="C53" s="2">
        <v>20.48</v>
      </c>
      <c r="D53" s="14">
        <v>-0.02</v>
      </c>
      <c r="E53" s="15">
        <v>-0.001</v>
      </c>
      <c r="F53" s="2">
        <v>20.74</v>
      </c>
      <c r="G53" s="2">
        <v>20.07</v>
      </c>
      <c r="H53" s="16">
        <v>5941593.0</v>
      </c>
      <c r="I53" s="21">
        <v>44125.0</v>
      </c>
      <c r="J53" s="17" t="s">
        <v>72</v>
      </c>
      <c r="K53" s="18">
        <v>0.7148</v>
      </c>
      <c r="L53" s="18">
        <v>0.4164</v>
      </c>
      <c r="M53" s="16">
        <v>5321910.0</v>
      </c>
      <c r="N53" s="2">
        <v>10.18</v>
      </c>
      <c r="O53" s="2">
        <v>30.4</v>
      </c>
      <c r="P53" s="14">
        <v>-14.7</v>
      </c>
      <c r="Q53" s="15">
        <v>-0.2406</v>
      </c>
      <c r="R53" s="19">
        <f>+24.05%</f>
        <v>0.2405</v>
      </c>
      <c r="S53" s="19">
        <f>+50.04%</f>
        <v>0.5004</v>
      </c>
      <c r="T53" s="15">
        <v>-0.2195</v>
      </c>
      <c r="U53" s="16">
        <v>5680620.0</v>
      </c>
      <c r="V53" s="2">
        <v>20.47</v>
      </c>
      <c r="W53" s="2">
        <v>0.98</v>
      </c>
      <c r="X53" s="2" t="s">
        <v>207</v>
      </c>
      <c r="Y53" s="17">
        <v>1.32</v>
      </c>
      <c r="Z53" s="2">
        <v>0.0</v>
      </c>
      <c r="AA53" s="18">
        <v>0.0</v>
      </c>
    </row>
    <row r="54">
      <c r="A54" s="3" t="s">
        <v>208</v>
      </c>
      <c r="B54" s="4" t="s">
        <v>209</v>
      </c>
      <c r="C54" s="5">
        <v>149.86</v>
      </c>
      <c r="D54" s="20">
        <v>-0.61</v>
      </c>
      <c r="E54" s="11">
        <v>-0.0041</v>
      </c>
      <c r="F54" s="5">
        <v>151.23</v>
      </c>
      <c r="G54" s="5">
        <v>148.53</v>
      </c>
      <c r="H54" s="7">
        <v>1233418.0</v>
      </c>
      <c r="I54" s="8">
        <v>44125.0</v>
      </c>
      <c r="J54" s="9" t="s">
        <v>38</v>
      </c>
      <c r="K54" s="10">
        <v>0.5507</v>
      </c>
      <c r="L54" s="10">
        <v>0.2203</v>
      </c>
      <c r="M54" s="7">
        <v>1227418.0</v>
      </c>
      <c r="N54" s="5">
        <v>63.89</v>
      </c>
      <c r="O54" s="5">
        <v>157.07</v>
      </c>
      <c r="P54" s="6">
        <f>+62.81</f>
        <v>62.81</v>
      </c>
      <c r="Q54" s="6">
        <f>+59.59%</f>
        <v>0.5959</v>
      </c>
      <c r="R54" s="6">
        <f>+8.41%</f>
        <v>0.0841</v>
      </c>
      <c r="S54" s="6">
        <f>+3.54%</f>
        <v>0.0354</v>
      </c>
      <c r="T54" s="6">
        <f>+61.32%</f>
        <v>0.6132</v>
      </c>
      <c r="U54" s="7">
        <v>1.7398732E7</v>
      </c>
      <c r="V54" s="5">
        <v>25.76</v>
      </c>
      <c r="W54" s="5">
        <v>5.86</v>
      </c>
      <c r="X54" s="5" t="s">
        <v>210</v>
      </c>
      <c r="Y54" s="9">
        <v>1.02</v>
      </c>
      <c r="Z54" s="5">
        <v>1.6</v>
      </c>
      <c r="AA54" s="10">
        <v>0.0107</v>
      </c>
    </row>
    <row r="55">
      <c r="A55" s="12" t="s">
        <v>211</v>
      </c>
      <c r="B55" s="1" t="s">
        <v>212</v>
      </c>
      <c r="C55" s="2">
        <v>12.11</v>
      </c>
      <c r="D55" s="19">
        <f>+0.33</f>
        <v>0.33</v>
      </c>
      <c r="E55" s="19">
        <f>+2.8%</f>
        <v>0.028</v>
      </c>
      <c r="F55" s="2">
        <v>12.22</v>
      </c>
      <c r="G55" s="2">
        <v>11.8</v>
      </c>
      <c r="H55" s="16">
        <v>4034945.0</v>
      </c>
      <c r="I55" s="2" t="s">
        <v>68</v>
      </c>
      <c r="J55" s="17" t="s">
        <v>72</v>
      </c>
      <c r="K55" s="18">
        <v>0.6842</v>
      </c>
      <c r="L55" s="18">
        <v>0.3625</v>
      </c>
      <c r="M55" s="16">
        <v>3323339.0</v>
      </c>
      <c r="N55" s="2">
        <v>6.37</v>
      </c>
      <c r="O55" s="2">
        <v>19.65</v>
      </c>
      <c r="P55" s="14">
        <v>-21.09</v>
      </c>
      <c r="Q55" s="15">
        <v>-0.3686</v>
      </c>
      <c r="R55" s="19">
        <f>+29.38%</f>
        <v>0.2938</v>
      </c>
      <c r="S55" s="19">
        <f>+28.28%</f>
        <v>0.2828</v>
      </c>
      <c r="T55" s="15">
        <v>-0.3335</v>
      </c>
      <c r="U55" s="16">
        <v>5353857.0</v>
      </c>
      <c r="V55" s="2">
        <v>0.0</v>
      </c>
      <c r="W55" s="2">
        <v>-0.32</v>
      </c>
      <c r="X55" s="2" t="s">
        <v>213</v>
      </c>
      <c r="Y55" s="17">
        <v>1.38</v>
      </c>
      <c r="Z55" s="2">
        <v>0.0</v>
      </c>
      <c r="AA55" s="18">
        <v>0.0</v>
      </c>
    </row>
    <row r="56">
      <c r="A56" s="3" t="s">
        <v>214</v>
      </c>
      <c r="B56" s="4" t="s">
        <v>215</v>
      </c>
      <c r="C56" s="5">
        <v>13.94</v>
      </c>
      <c r="D56" s="6">
        <f>+0.47</f>
        <v>0.47</v>
      </c>
      <c r="E56" s="6">
        <f>+3.49%</f>
        <v>0.0349</v>
      </c>
      <c r="F56" s="5">
        <v>14.04</v>
      </c>
      <c r="G56" s="5">
        <v>13.54</v>
      </c>
      <c r="H56" s="7">
        <v>9054964.0</v>
      </c>
      <c r="I56" s="5" t="s">
        <v>140</v>
      </c>
      <c r="J56" s="9" t="s">
        <v>72</v>
      </c>
      <c r="K56" s="10">
        <v>0.6828</v>
      </c>
      <c r="L56" s="10">
        <v>0.3941</v>
      </c>
      <c r="M56" s="7">
        <v>6145794.0</v>
      </c>
      <c r="N56" s="5">
        <v>7.15</v>
      </c>
      <c r="O56" s="5">
        <v>21.96</v>
      </c>
      <c r="P56" s="20">
        <v>-18.88</v>
      </c>
      <c r="Q56" s="11">
        <v>-0.3546</v>
      </c>
      <c r="R56" s="6">
        <f>+30.4%</f>
        <v>0.304</v>
      </c>
      <c r="S56" s="6">
        <f>+32.76%</f>
        <v>0.3276</v>
      </c>
      <c r="T56" s="11">
        <v>-0.3061</v>
      </c>
      <c r="U56" s="7">
        <v>6121940.0</v>
      </c>
      <c r="V56" s="5">
        <v>0.0</v>
      </c>
      <c r="W56" s="5">
        <v>-0.32</v>
      </c>
      <c r="X56" s="5" t="s">
        <v>213</v>
      </c>
      <c r="Y56" s="9">
        <v>1.09</v>
      </c>
      <c r="Z56" s="5">
        <v>0.0</v>
      </c>
      <c r="AA56" s="10">
        <v>0.0</v>
      </c>
    </row>
    <row r="57">
      <c r="A57" s="12" t="s">
        <v>216</v>
      </c>
      <c r="B57" s="1" t="s">
        <v>217</v>
      </c>
      <c r="C57" s="2">
        <v>232.85</v>
      </c>
      <c r="D57" s="19">
        <f>+0.22</f>
        <v>0.22</v>
      </c>
      <c r="E57" s="19">
        <f>+0.09%</f>
        <v>0.0009</v>
      </c>
      <c r="F57" s="2">
        <v>235.16</v>
      </c>
      <c r="G57" s="2">
        <v>228.51</v>
      </c>
      <c r="H57" s="16">
        <v>619221.0</v>
      </c>
      <c r="I57" s="21">
        <v>44125.0</v>
      </c>
      <c r="J57" s="17" t="s">
        <v>88</v>
      </c>
      <c r="K57" s="18">
        <v>0.524</v>
      </c>
      <c r="L57" s="18">
        <v>0.2959</v>
      </c>
      <c r="M57" s="16">
        <v>721395.0</v>
      </c>
      <c r="N57" s="2">
        <v>124.05</v>
      </c>
      <c r="O57" s="2">
        <v>304.65</v>
      </c>
      <c r="P57" s="19">
        <f>+3.25</f>
        <v>3.25</v>
      </c>
      <c r="Q57" s="15">
        <v>-0.0802</v>
      </c>
      <c r="R57" s="19">
        <f>+3.09%</f>
        <v>0.0309</v>
      </c>
      <c r="S57" s="19">
        <f>+15.3%</f>
        <v>0.153</v>
      </c>
      <c r="T57" s="15">
        <v>-0.0104</v>
      </c>
      <c r="U57" s="16">
        <v>1.3108052E7</v>
      </c>
      <c r="V57" s="2">
        <v>41.38</v>
      </c>
      <c r="W57" s="2">
        <v>5.69</v>
      </c>
      <c r="X57" s="2" t="s">
        <v>218</v>
      </c>
      <c r="Y57" s="17">
        <v>1.5</v>
      </c>
      <c r="Z57" s="2">
        <v>0.0</v>
      </c>
      <c r="AA57" s="18">
        <v>0.0</v>
      </c>
    </row>
    <row r="58">
      <c r="A58" s="3" t="s">
        <v>219</v>
      </c>
      <c r="B58" s="4" t="s">
        <v>220</v>
      </c>
      <c r="C58" s="5">
        <v>72.75</v>
      </c>
      <c r="D58" s="6">
        <f>+0.38</f>
        <v>0.38</v>
      </c>
      <c r="E58" s="6">
        <f>+0.53%</f>
        <v>0.0053</v>
      </c>
      <c r="F58" s="5">
        <v>73.83</v>
      </c>
      <c r="G58" s="5">
        <v>72.2</v>
      </c>
      <c r="H58" s="7">
        <v>2430053.0</v>
      </c>
      <c r="I58" s="8">
        <v>44125.0</v>
      </c>
      <c r="J58" s="9" t="s">
        <v>54</v>
      </c>
      <c r="K58" s="10">
        <v>0.5209</v>
      </c>
      <c r="L58" s="10">
        <v>0.3046</v>
      </c>
      <c r="M58" s="7">
        <v>2094118.0</v>
      </c>
      <c r="N58" s="5">
        <v>45.07</v>
      </c>
      <c r="O58" s="5">
        <v>100.25</v>
      </c>
      <c r="P58" s="20">
        <v>-8.13</v>
      </c>
      <c r="Q58" s="11">
        <v>-0.27</v>
      </c>
      <c r="R58" s="6">
        <f>+5.91%</f>
        <v>0.0591</v>
      </c>
      <c r="S58" s="6">
        <f>+21.92%</f>
        <v>0.2192</v>
      </c>
      <c r="T58" s="11">
        <v>-0.2213</v>
      </c>
      <c r="U58" s="7">
        <v>2.8198898E7</v>
      </c>
      <c r="V58" s="5">
        <v>50.73</v>
      </c>
      <c r="W58" s="5">
        <v>1.43</v>
      </c>
      <c r="X58" s="5" t="s">
        <v>221</v>
      </c>
      <c r="Y58" s="9">
        <v>1.14</v>
      </c>
      <c r="Z58" s="5">
        <v>1.92</v>
      </c>
      <c r="AA58" s="10">
        <v>0.0265</v>
      </c>
    </row>
    <row r="59">
      <c r="A59" s="12" t="s">
        <v>222</v>
      </c>
      <c r="B59" s="1" t="s">
        <v>223</v>
      </c>
      <c r="C59" s="2">
        <v>205.98</v>
      </c>
      <c r="D59" s="19">
        <f>+6.05</f>
        <v>6.05</v>
      </c>
      <c r="E59" s="19">
        <f>+3.03%</f>
        <v>0.0303</v>
      </c>
      <c r="F59" s="2">
        <v>215.0</v>
      </c>
      <c r="G59" s="2">
        <v>194.1</v>
      </c>
      <c r="H59" s="16">
        <v>986597.0</v>
      </c>
      <c r="I59" s="2" t="s">
        <v>140</v>
      </c>
      <c r="J59" s="17" t="s">
        <v>38</v>
      </c>
      <c r="K59" s="18">
        <v>0.6127</v>
      </c>
      <c r="L59" s="18">
        <v>0.2761</v>
      </c>
      <c r="M59" s="16">
        <v>725708.0</v>
      </c>
      <c r="N59" s="2">
        <v>64.0</v>
      </c>
      <c r="O59" s="2">
        <v>206.11</v>
      </c>
      <c r="P59" s="19">
        <f>+68.23</f>
        <v>68.23</v>
      </c>
      <c r="Q59" s="19">
        <f>+33.42%</f>
        <v>0.3342</v>
      </c>
      <c r="R59" s="19">
        <f>+10.73%</f>
        <v>0.1073</v>
      </c>
      <c r="S59" s="19">
        <f>+36.92%</f>
        <v>0.3692</v>
      </c>
      <c r="T59" s="19">
        <f>+22.51%</f>
        <v>0.2251</v>
      </c>
      <c r="U59" s="16">
        <v>1.2454438E7</v>
      </c>
      <c r="V59" s="2">
        <v>14.36</v>
      </c>
      <c r="W59" s="2">
        <v>13.85</v>
      </c>
      <c r="X59" s="2" t="s">
        <v>224</v>
      </c>
      <c r="Y59" s="17">
        <v>2.01</v>
      </c>
      <c r="Z59" s="2">
        <v>4.8</v>
      </c>
      <c r="AA59" s="18">
        <v>0.024</v>
      </c>
    </row>
    <row r="60">
      <c r="A60" s="3" t="s">
        <v>225</v>
      </c>
      <c r="B60" s="4" t="s">
        <v>226</v>
      </c>
      <c r="C60" s="5">
        <v>73.49</v>
      </c>
      <c r="D60" s="6">
        <f>+1.05</f>
        <v>1.05</v>
      </c>
      <c r="E60" s="6">
        <f>+1.45%</f>
        <v>0.0145</v>
      </c>
      <c r="F60" s="5">
        <v>73.5</v>
      </c>
      <c r="G60" s="5">
        <v>71.32</v>
      </c>
      <c r="H60" s="7">
        <v>2344840.0</v>
      </c>
      <c r="I60" s="5" t="s">
        <v>68</v>
      </c>
      <c r="J60" s="20" t="s">
        <v>141</v>
      </c>
      <c r="K60" s="10">
        <v>0.4555</v>
      </c>
      <c r="L60" s="10">
        <v>0.3019</v>
      </c>
      <c r="M60" s="7">
        <v>3448858.0</v>
      </c>
      <c r="N60" s="5">
        <v>35.84</v>
      </c>
      <c r="O60" s="5">
        <v>153.41</v>
      </c>
      <c r="P60" s="20">
        <v>-40.85</v>
      </c>
      <c r="Q60" s="11">
        <v>-0.4754</v>
      </c>
      <c r="R60" s="6">
        <f>+0.76%</f>
        <v>0.0076</v>
      </c>
      <c r="S60" s="11">
        <v>-0.0801</v>
      </c>
      <c r="T60" s="11">
        <v>-0.3767</v>
      </c>
      <c r="U60" s="7">
        <v>7812509.0</v>
      </c>
      <c r="V60" s="5">
        <v>0.0</v>
      </c>
      <c r="W60" s="5">
        <v>-10.13</v>
      </c>
      <c r="X60" s="5" t="s">
        <v>227</v>
      </c>
      <c r="Y60" s="9">
        <v>2.32</v>
      </c>
      <c r="Z60" s="5">
        <v>0.0</v>
      </c>
      <c r="AA60" s="10">
        <v>0.0</v>
      </c>
    </row>
    <row r="61">
      <c r="A61" s="12" t="s">
        <v>228</v>
      </c>
      <c r="B61" s="1" t="s">
        <v>229</v>
      </c>
      <c r="C61" s="2">
        <v>99.07</v>
      </c>
      <c r="D61" s="19">
        <f>+1.82</f>
        <v>1.82</v>
      </c>
      <c r="E61" s="19">
        <f>+1.87%</f>
        <v>0.0187</v>
      </c>
      <c r="F61" s="2">
        <v>99.38</v>
      </c>
      <c r="G61" s="2">
        <v>96.9</v>
      </c>
      <c r="H61" s="16">
        <v>1027879.0</v>
      </c>
      <c r="I61" s="21">
        <v>44125.0</v>
      </c>
      <c r="J61" s="24" t="s">
        <v>38</v>
      </c>
      <c r="K61" s="25">
        <v>0.6078</v>
      </c>
      <c r="L61" s="25">
        <v>0.2322</v>
      </c>
      <c r="M61" s="26">
        <v>1451572.0</v>
      </c>
      <c r="N61" s="27">
        <v>54.95</v>
      </c>
      <c r="O61" s="27">
        <v>112.3</v>
      </c>
      <c r="P61" s="28">
        <f>+1.29</f>
        <v>1.29</v>
      </c>
      <c r="Q61" s="29">
        <v>-0.0165</v>
      </c>
      <c r="R61" s="28">
        <f>+10.89%</f>
        <v>0.1089</v>
      </c>
      <c r="S61" s="28">
        <f>+8.82%</f>
        <v>0.0882</v>
      </c>
      <c r="T61" s="29">
        <v>-0.1179</v>
      </c>
      <c r="U61" s="26">
        <v>2.932019E7</v>
      </c>
      <c r="V61" s="27">
        <v>29.83</v>
      </c>
      <c r="W61" s="27">
        <v>3.26</v>
      </c>
      <c r="X61" s="27" t="s">
        <v>230</v>
      </c>
      <c r="Y61" s="24">
        <v>0.93</v>
      </c>
      <c r="Z61" s="27">
        <v>1.88</v>
      </c>
      <c r="AA61" s="25">
        <v>0.0193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</hyperlinks>
  <drawing r:id="rId61"/>
</worksheet>
</file>