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ctrlProps/ctrlProp3.xml" ContentType="application/vnd.ms-excel.controlproperti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af9566427f0cd7a/[LEÔNIDAS]/[EMPRESA]/PRODUTOS/CURSOS/CALCULISTA DE ESTRUTURAS METÁLICAS/Aulas/Módulo 10 - Ligações nas Estruturas/Aulas/"/>
    </mc:Choice>
  </mc:AlternateContent>
  <xr:revisionPtr revIDLastSave="981" documentId="11_C545D84BFEB0267B5D39A520CAEFC9D906C71FC1" xr6:coauthVersionLast="47" xr6:coauthVersionMax="47" xr10:uidLastSave="{BA97C2F8-124D-4C41-AE62-0FFC2586CE9B}"/>
  <bookViews>
    <workbookView xWindow="35535" yWindow="2895" windowWidth="20025" windowHeight="11295" tabRatio="752" firstSheet="1" activeTab="2" xr2:uid="{00000000-000D-0000-FFFF-FFFF00000000}"/>
  </bookViews>
  <sheets>
    <sheet name="CONSIDERAÇÕES" sheetId="4" r:id="rId1"/>
    <sheet name="PLACAS DE BASE (2)" sheetId="11" r:id="rId2"/>
    <sheet name="PLACAS DE BASE" sheetId="10" r:id="rId3"/>
    <sheet name="PLACAS DE BASE - COMPRESSÃO" sheetId="7" r:id="rId4"/>
    <sheet name="DISTÂNCIA ENTRE FUROS" sheetId="9" r:id="rId5"/>
    <sheet name="DIÂMETROS" sheetId="2" r:id="rId6"/>
    <sheet name="AÇOS" sheetId="3" r:id="rId7"/>
    <sheet name="CONCRETOS" sheetId="5" r:id="rId8"/>
    <sheet name="TABELA DE PERFIS W-HP" sheetId="8" r:id="rId9"/>
  </sheets>
  <definedNames>
    <definedName name="_xlnm.Print_Area" localSheetId="2">'PLACAS DE BASE'!$A$1:$Q$84</definedName>
    <definedName name="_xlnm.Print_Area" localSheetId="3">'PLACAS DE BASE - COMPRESSÃO'!$A$1:$Q$81</definedName>
    <definedName name="_xlnm.Print_Area" localSheetId="1">'PLACAS DE BASE (2)'!$A$1:$Q$84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2" i="11" l="1"/>
  <c r="D79" i="11"/>
  <c r="D72" i="11"/>
  <c r="D62" i="11"/>
  <c r="D60" i="11"/>
  <c r="D53" i="11"/>
  <c r="D71" i="11" s="1"/>
  <c r="D44" i="11"/>
  <c r="D43" i="11"/>
  <c r="D42" i="11"/>
  <c r="D32" i="11"/>
  <c r="D31" i="11"/>
  <c r="D28" i="11"/>
  <c r="D29" i="11" s="1"/>
  <c r="D30" i="11" s="1"/>
  <c r="D27" i="11"/>
  <c r="D25" i="11"/>
  <c r="D23" i="11"/>
  <c r="D19" i="11"/>
  <c r="F15" i="11"/>
  <c r="F14" i="11"/>
  <c r="F13" i="11"/>
  <c r="D63" i="11" l="1"/>
  <c r="D54" i="11"/>
  <c r="D31" i="10"/>
  <c r="D53" i="10"/>
  <c r="D82" i="10"/>
  <c r="D79" i="10"/>
  <c r="D72" i="10"/>
  <c r="D62" i="10"/>
  <c r="D60" i="10"/>
  <c r="D44" i="10"/>
  <c r="D43" i="10"/>
  <c r="D42" i="10"/>
  <c r="D32" i="10"/>
  <c r="D28" i="10"/>
  <c r="D29" i="10" s="1"/>
  <c r="D30" i="10" s="1"/>
  <c r="D27" i="10"/>
  <c r="D25" i="10"/>
  <c r="D23" i="10"/>
  <c r="D19" i="10"/>
  <c r="F15" i="10"/>
  <c r="F14" i="10"/>
  <c r="F13" i="10"/>
  <c r="D40" i="7"/>
  <c r="D39" i="7"/>
  <c r="D63" i="10" l="1"/>
  <c r="D71" i="10"/>
  <c r="D54" i="10"/>
  <c r="E15" i="9" l="1"/>
  <c r="D15" i="9"/>
  <c r="C15" i="9"/>
  <c r="E14" i="9"/>
  <c r="D14" i="9"/>
  <c r="C14" i="9"/>
  <c r="E13" i="9"/>
  <c r="D13" i="9"/>
  <c r="C13" i="9"/>
  <c r="E12" i="9"/>
  <c r="D12" i="9"/>
  <c r="C12" i="9"/>
  <c r="E11" i="9"/>
  <c r="D11" i="9"/>
  <c r="C11" i="9"/>
  <c r="E10" i="9"/>
  <c r="D10" i="9"/>
  <c r="C10" i="9"/>
  <c r="E9" i="9"/>
  <c r="D9" i="9"/>
  <c r="C9" i="9"/>
  <c r="E8" i="9"/>
  <c r="D8" i="9"/>
  <c r="C8" i="9"/>
  <c r="E7" i="9"/>
  <c r="D7" i="9"/>
  <c r="C7" i="9"/>
  <c r="E6" i="9"/>
  <c r="D6" i="9"/>
  <c r="C6" i="9"/>
  <c r="E5" i="9"/>
  <c r="D5" i="9"/>
  <c r="C5" i="9"/>
  <c r="F14" i="7" l="1"/>
  <c r="F15" i="7"/>
  <c r="F13" i="7"/>
  <c r="D79" i="7" l="1"/>
  <c r="D69" i="7"/>
  <c r="D76" i="7"/>
  <c r="D56" i="7"/>
  <c r="D57" i="7" s="1"/>
  <c r="D41" i="7"/>
  <c r="D50" i="7"/>
  <c r="D48" i="7"/>
  <c r="D31" i="7"/>
  <c r="C17" i="2" s="1"/>
  <c r="D17" i="2" s="1"/>
  <c r="D28" i="7"/>
  <c r="D29" i="7" s="1"/>
  <c r="D30" i="7" s="1"/>
  <c r="D27" i="7"/>
  <c r="D25" i="7"/>
  <c r="D23" i="7"/>
  <c r="D19" i="7"/>
  <c r="F33" i="2"/>
  <c r="F32" i="2"/>
  <c r="F31" i="2"/>
  <c r="F30" i="2"/>
  <c r="F29" i="2"/>
  <c r="F28" i="2"/>
  <c r="F27" i="2"/>
  <c r="F26" i="2"/>
  <c r="F25" i="2"/>
  <c r="F24" i="2"/>
  <c r="F23" i="2"/>
  <c r="F22" i="2"/>
  <c r="A33" i="2"/>
  <c r="A32" i="2"/>
  <c r="A31" i="2"/>
  <c r="A30" i="2"/>
  <c r="A29" i="2"/>
  <c r="A28" i="2"/>
  <c r="A27" i="2"/>
  <c r="A26" i="2"/>
  <c r="A25" i="2"/>
  <c r="A24" i="2"/>
  <c r="A23" i="2"/>
  <c r="A22" i="2"/>
  <c r="F15" i="2"/>
  <c r="F14" i="2"/>
  <c r="F13" i="2"/>
  <c r="F12" i="2"/>
  <c r="F11" i="2"/>
  <c r="F10" i="2"/>
  <c r="F9" i="2"/>
  <c r="F8" i="2"/>
  <c r="F7" i="2"/>
  <c r="F6" i="2"/>
  <c r="F5" i="2"/>
  <c r="F4" i="2"/>
  <c r="A5" i="2"/>
  <c r="A6" i="2"/>
  <c r="A7" i="2"/>
  <c r="A8" i="2"/>
  <c r="A9" i="2"/>
  <c r="A10" i="2"/>
  <c r="A11" i="2"/>
  <c r="A12" i="2"/>
  <c r="A13" i="2"/>
  <c r="A14" i="2"/>
  <c r="A15" i="2"/>
  <c r="A4" i="2"/>
  <c r="E8" i="5"/>
  <c r="D8" i="5"/>
  <c r="C8" i="5"/>
  <c r="B8" i="5"/>
  <c r="D68" i="7" l="1"/>
  <c r="D51" i="7"/>
  <c r="C6" i="3"/>
  <c r="D9" i="11" s="1"/>
  <c r="D6" i="3"/>
  <c r="D10" i="11" s="1"/>
  <c r="E6" i="3"/>
  <c r="B6" i="3"/>
  <c r="D70" i="11" l="1"/>
  <c r="D78" i="11"/>
  <c r="D33" i="11"/>
  <c r="D34" i="11" s="1"/>
  <c r="D74" i="11"/>
  <c r="D75" i="11" s="1"/>
  <c r="D81" i="11"/>
  <c r="D83" i="11" s="1"/>
  <c r="D51" i="11"/>
  <c r="D56" i="11"/>
  <c r="D35" i="11"/>
  <c r="D36" i="11" s="1"/>
  <c r="D9" i="10"/>
  <c r="D9" i="7"/>
  <c r="D10" i="10"/>
  <c r="D10" i="7"/>
  <c r="C35" i="2"/>
  <c r="D35" i="2" s="1"/>
  <c r="D57" i="11" l="1"/>
  <c r="D55" i="11"/>
  <c r="D78" i="7"/>
  <c r="D80" i="7" s="1"/>
  <c r="D67" i="7"/>
  <c r="D32" i="7"/>
  <c r="D33" i="7" s="1"/>
  <c r="D71" i="7"/>
  <c r="D72" i="7" s="1"/>
  <c r="D75" i="7"/>
  <c r="D33" i="10"/>
  <c r="D34" i="10" s="1"/>
  <c r="D81" i="10"/>
  <c r="D83" i="10" s="1"/>
  <c r="D70" i="10"/>
  <c r="D78" i="10"/>
  <c r="D74" i="10"/>
  <c r="D75" i="10" s="1"/>
  <c r="D54" i="7"/>
  <c r="D59" i="7"/>
  <c r="D35" i="10"/>
  <c r="D36" i="10" s="1"/>
  <c r="D51" i="10"/>
  <c r="D56" i="10"/>
  <c r="H17" i="2"/>
  <c r="I17" i="2" s="1"/>
  <c r="H35" i="2"/>
  <c r="D55" i="10" l="1"/>
  <c r="D57" i="10"/>
  <c r="D60" i="7"/>
  <c r="D58" i="7"/>
  <c r="I35" i="2"/>
</calcChain>
</file>

<file path=xl/sharedStrings.xml><?xml version="1.0" encoding="utf-8"?>
<sst xmlns="http://schemas.openxmlformats.org/spreadsheetml/2006/main" count="567" uniqueCount="150">
  <si>
    <t>Fy</t>
  </si>
  <si>
    <t>Fu</t>
  </si>
  <si>
    <t>kN/cm²</t>
  </si>
  <si>
    <t>cm²</t>
  </si>
  <si>
    <t>Cisalhamento: (AISC-ASD)</t>
  </si>
  <si>
    <t>SAE 1020</t>
  </si>
  <si>
    <t>Cargas:</t>
  </si>
  <si>
    <t>Cisalhamento: (AISC-LRFD)</t>
  </si>
  <si>
    <t>Tração: (AISC-ASD)</t>
  </si>
  <si>
    <t>Tração: (AISC-LRFD)</t>
  </si>
  <si>
    <t>Número de Chumbadores</t>
  </si>
  <si>
    <r>
      <t>n</t>
    </r>
    <r>
      <rPr>
        <vertAlign val="subscript"/>
        <sz val="10"/>
        <color theme="1"/>
        <rFont val="Calibri"/>
        <family val="2"/>
        <scheme val="minor"/>
      </rPr>
      <t>t</t>
    </r>
  </si>
  <si>
    <r>
      <t>n</t>
    </r>
    <r>
      <rPr>
        <vertAlign val="subscript"/>
        <sz val="10"/>
        <color theme="1"/>
        <rFont val="Calibri"/>
        <family val="2"/>
        <scheme val="minor"/>
      </rPr>
      <t>c</t>
    </r>
  </si>
  <si>
    <t>*tração</t>
  </si>
  <si>
    <t>mm</t>
  </si>
  <si>
    <t>MIN</t>
  </si>
  <si>
    <t>MAX</t>
  </si>
  <si>
    <t>SELEÇÃO</t>
  </si>
  <si>
    <t>POTÊNCIA</t>
  </si>
  <si>
    <t>RESULTADO</t>
  </si>
  <si>
    <t>Aço</t>
  </si>
  <si>
    <t>ASTM A36</t>
  </si>
  <si>
    <t>Unidade</t>
  </si>
  <si>
    <t>ÍNDICE</t>
  </si>
  <si>
    <t>Aço:</t>
  </si>
  <si>
    <t>Entradas</t>
  </si>
  <si>
    <t>Saídas</t>
  </si>
  <si>
    <t>Resultado Final</t>
  </si>
  <si>
    <t>LEGENDA:</t>
  </si>
  <si>
    <t>Resultado Incorreto</t>
  </si>
  <si>
    <t>Base engastada no mínimo 4 chumbadores</t>
  </si>
  <si>
    <t>Nunca utilizar concredo simples (sem armação)</t>
  </si>
  <si>
    <t>As bases engastadas estão sujeitas à ação simultânea de : momento fleto e esforços normais e horizontais.</t>
  </si>
  <si>
    <t>CONSIDERAÇÕES</t>
  </si>
  <si>
    <t>Para casos de bsaes rotuladas, o sistema de travamento dos pilares deverá considerar a necessidade de utilizar contraventamento para estabilidade do conjunto</t>
  </si>
  <si>
    <t>A espessura da chapa de base pode ser reduzida com o uso de enrijecedores de coluna</t>
  </si>
  <si>
    <t>Deixar os furos da placa de base com 3,2mm a mais que o diâmetro da barra</t>
  </si>
  <si>
    <t xml:space="preserve">Assentar placa de base sobre grout e nunca diretamente sobre a fundação de concreto </t>
  </si>
  <si>
    <t>DIMENSIONAMENTO DE PLACAS DE BASE</t>
  </si>
  <si>
    <t>kN</t>
  </si>
  <si>
    <t>kNm</t>
  </si>
  <si>
    <t>*compressão</t>
  </si>
  <si>
    <r>
      <t>d</t>
    </r>
    <r>
      <rPr>
        <vertAlign val="subscript"/>
        <sz val="10"/>
        <color theme="1"/>
        <rFont val="Calibri"/>
        <family val="2"/>
        <scheme val="minor"/>
      </rPr>
      <t>chumb</t>
    </r>
  </si>
  <si>
    <t>DIÂMETRO</t>
  </si>
  <si>
    <r>
      <t>d</t>
    </r>
    <r>
      <rPr>
        <vertAlign val="subscript"/>
        <sz val="10"/>
        <color theme="1"/>
        <rFont val="Calibri"/>
        <family val="2"/>
        <scheme val="minor"/>
      </rPr>
      <t>interna</t>
    </r>
  </si>
  <si>
    <r>
      <t>d</t>
    </r>
    <r>
      <rPr>
        <vertAlign val="subscript"/>
        <sz val="10"/>
        <color theme="1"/>
        <rFont val="Calibri"/>
        <family val="2"/>
        <scheme val="minor"/>
      </rPr>
      <t>borda</t>
    </r>
  </si>
  <si>
    <t>distância interna entre chumbadores</t>
  </si>
  <si>
    <t>distância entre chumbador e borda</t>
  </si>
  <si>
    <t>(PERFIS H ou W - ENGASTADAS)</t>
  </si>
  <si>
    <t>Fixar os chumbadores a uma altura de 300 a 500mm da base, proporcionando um ótimo engastamento</t>
  </si>
  <si>
    <t>Concreto</t>
  </si>
  <si>
    <t>B</t>
  </si>
  <si>
    <t>C</t>
  </si>
  <si>
    <t>fc</t>
  </si>
  <si>
    <t>ASTM A588</t>
  </si>
  <si>
    <t>fck</t>
  </si>
  <si>
    <t>Diâmetro dos Chumbadores</t>
  </si>
  <si>
    <t xml:space="preserve">Dimensões do Perfil </t>
  </si>
  <si>
    <r>
      <t>b</t>
    </r>
    <r>
      <rPr>
        <vertAlign val="subscript"/>
        <sz val="10"/>
        <color theme="1"/>
        <rFont val="Calibri"/>
        <family val="2"/>
        <scheme val="minor"/>
      </rPr>
      <t>f</t>
    </r>
  </si>
  <si>
    <t>d</t>
  </si>
  <si>
    <t>m</t>
  </si>
  <si>
    <t>n</t>
  </si>
  <si>
    <t>Placa de Base</t>
  </si>
  <si>
    <t>fck = resistência prevista para o concreto aos 28 dias em kN/cm2</t>
  </si>
  <si>
    <r>
      <t>d</t>
    </r>
    <r>
      <rPr>
        <vertAlign val="subscript"/>
        <sz val="10"/>
        <color theme="1"/>
        <rFont val="Calibri"/>
        <family val="2"/>
        <scheme val="minor"/>
      </rPr>
      <t>concreto</t>
    </r>
  </si>
  <si>
    <t>distância mínima entre a borda da chapa e o  concreto</t>
  </si>
  <si>
    <t>n'</t>
  </si>
  <si>
    <t>distância braço alavanca da linha de chumbadores</t>
  </si>
  <si>
    <r>
      <t>d</t>
    </r>
    <r>
      <rPr>
        <vertAlign val="subscript"/>
        <sz val="10"/>
        <color theme="1"/>
        <rFont val="Calibri"/>
        <family val="2"/>
        <scheme val="minor"/>
      </rPr>
      <t>alavanca</t>
    </r>
  </si>
  <si>
    <r>
      <t>d</t>
    </r>
    <r>
      <rPr>
        <vertAlign val="subscript"/>
        <sz val="10"/>
        <color theme="1"/>
        <rFont val="Calibri"/>
        <family val="2"/>
        <scheme val="minor"/>
      </rPr>
      <t>int,projeto</t>
    </r>
  </si>
  <si>
    <t>distância interna entre chumbadores de projeto</t>
  </si>
  <si>
    <r>
      <t>d</t>
    </r>
    <r>
      <rPr>
        <vertAlign val="subscript"/>
        <sz val="10"/>
        <color theme="1"/>
        <rFont val="Calibri"/>
        <family val="2"/>
        <scheme val="minor"/>
      </rPr>
      <t>borda,projeto</t>
    </r>
  </si>
  <si>
    <t>distância entre chumbador e borda de projeto</t>
  </si>
  <si>
    <r>
      <t>N</t>
    </r>
    <r>
      <rPr>
        <vertAlign val="subscript"/>
        <sz val="10"/>
        <color theme="1"/>
        <rFont val="Calibri"/>
        <family val="2"/>
        <scheme val="minor"/>
      </rPr>
      <t>Sdt</t>
    </r>
  </si>
  <si>
    <t>Tração solicitante nos chumbadores</t>
  </si>
  <si>
    <r>
      <t>N</t>
    </r>
    <r>
      <rPr>
        <vertAlign val="subscript"/>
        <sz val="10"/>
        <color theme="1"/>
        <rFont val="Calibri"/>
        <family val="2"/>
        <scheme val="minor"/>
      </rPr>
      <t>Sd</t>
    </r>
  </si>
  <si>
    <r>
      <t>M</t>
    </r>
    <r>
      <rPr>
        <vertAlign val="subscript"/>
        <sz val="10"/>
        <color theme="1"/>
        <rFont val="Calibri"/>
        <family val="2"/>
        <scheme val="minor"/>
      </rPr>
      <t>Sd</t>
    </r>
  </si>
  <si>
    <r>
      <t>N</t>
    </r>
    <r>
      <rPr>
        <vertAlign val="subscript"/>
        <sz val="10"/>
        <color theme="1"/>
        <rFont val="Calibri"/>
        <family val="2"/>
        <scheme val="minor"/>
      </rPr>
      <t>Sdc</t>
    </r>
  </si>
  <si>
    <r>
      <t>N</t>
    </r>
    <r>
      <rPr>
        <vertAlign val="subscript"/>
        <sz val="10"/>
        <color theme="1"/>
        <rFont val="Calibri"/>
        <family val="2"/>
        <scheme val="minor"/>
      </rPr>
      <t>Sdt/Barra</t>
    </r>
  </si>
  <si>
    <r>
      <t>A</t>
    </r>
    <r>
      <rPr>
        <vertAlign val="subscript"/>
        <sz val="10"/>
        <color theme="1"/>
        <rFont val="Calibri"/>
        <family val="2"/>
        <scheme val="minor"/>
      </rPr>
      <t>barra</t>
    </r>
  </si>
  <si>
    <r>
      <t>N</t>
    </r>
    <r>
      <rPr>
        <vertAlign val="subscript"/>
        <sz val="10"/>
        <color theme="1"/>
        <rFont val="Calibri"/>
        <family val="2"/>
        <scheme val="minor"/>
      </rPr>
      <t>Rdt/Barra</t>
    </r>
  </si>
  <si>
    <t>Tração resistente de cada chumbador</t>
  </si>
  <si>
    <t>%</t>
  </si>
  <si>
    <t>% Utilização da barra</t>
  </si>
  <si>
    <t>Espessura da Chapa de Base</t>
  </si>
  <si>
    <t>t</t>
  </si>
  <si>
    <t>fy</t>
  </si>
  <si>
    <t>fu</t>
  </si>
  <si>
    <r>
      <t>M</t>
    </r>
    <r>
      <rPr>
        <vertAlign val="subscript"/>
        <sz val="10"/>
        <color theme="1"/>
        <rFont val="Calibri"/>
        <family val="2"/>
        <scheme val="minor"/>
      </rPr>
      <t>Sd; Chapa</t>
    </r>
  </si>
  <si>
    <r>
      <t>d</t>
    </r>
    <r>
      <rPr>
        <vertAlign val="subscript"/>
        <sz val="10"/>
        <color theme="1"/>
        <rFont val="Calibri"/>
        <family val="2"/>
        <scheme val="minor"/>
      </rPr>
      <t>borda,perfil</t>
    </r>
  </si>
  <si>
    <r>
      <t>N</t>
    </r>
    <r>
      <rPr>
        <vertAlign val="subscript"/>
        <sz val="10"/>
        <color theme="1"/>
        <rFont val="Calibri"/>
        <family val="2"/>
        <scheme val="minor"/>
      </rPr>
      <t>Sdt; Chapa</t>
    </r>
  </si>
  <si>
    <t>Mpa</t>
  </si>
  <si>
    <t>Verificação</t>
  </si>
  <si>
    <t>Resistência à compressão do concreto da fundação</t>
  </si>
  <si>
    <r>
      <t>f</t>
    </r>
    <r>
      <rPr>
        <vertAlign val="subscript"/>
        <sz val="10"/>
        <color theme="1"/>
        <rFont val="Calibri"/>
        <family val="2"/>
        <scheme val="minor"/>
      </rPr>
      <t>c,máximo</t>
    </r>
  </si>
  <si>
    <r>
      <t>f</t>
    </r>
    <r>
      <rPr>
        <vertAlign val="subscript"/>
        <sz val="10"/>
        <color theme="1"/>
        <rFont val="Calibri"/>
        <family val="2"/>
        <scheme val="minor"/>
      </rPr>
      <t>b</t>
    </r>
  </si>
  <si>
    <t>Tensão normal a flexão</t>
  </si>
  <si>
    <r>
      <t>t</t>
    </r>
    <r>
      <rPr>
        <vertAlign val="subscript"/>
        <sz val="10"/>
        <color theme="1"/>
        <rFont val="Calibri"/>
        <family val="2"/>
        <scheme val="minor"/>
      </rPr>
      <t>calculado</t>
    </r>
  </si>
  <si>
    <t>Distância máxima entre o centro do furo e borda de perfil de coluna</t>
  </si>
  <si>
    <t>Dimensionamento da Solda</t>
  </si>
  <si>
    <t>Resistência do Metal Solda &lt;= Resistência do Metal-Base</t>
  </si>
  <si>
    <t>Espessura comercial</t>
  </si>
  <si>
    <r>
      <t>t</t>
    </r>
    <r>
      <rPr>
        <vertAlign val="subscript"/>
        <sz val="10"/>
        <color theme="1"/>
        <rFont val="Calibri"/>
        <family val="2"/>
        <scheme val="minor"/>
      </rPr>
      <t>f</t>
    </r>
  </si>
  <si>
    <t>Espessura da aba do perfil H 200 x 86</t>
  </si>
  <si>
    <t>Resistência da Solda de penetração partcial a 45°</t>
  </si>
  <si>
    <t>L</t>
  </si>
  <si>
    <t>Comprimento da Solda será a largura da aba do perfil</t>
  </si>
  <si>
    <t>Medida externa da aba do perfil</t>
  </si>
  <si>
    <t>Medida externa da alma do perfil</t>
  </si>
  <si>
    <r>
      <t>t</t>
    </r>
    <r>
      <rPr>
        <vertAlign val="subscript"/>
        <sz val="10"/>
        <color theme="1"/>
        <rFont val="Calibri"/>
        <family val="2"/>
        <scheme val="minor"/>
      </rPr>
      <t>w</t>
    </r>
  </si>
  <si>
    <r>
      <t>b</t>
    </r>
    <r>
      <rPr>
        <vertAlign val="subscript"/>
        <sz val="10"/>
        <color theme="1"/>
        <rFont val="Calibri"/>
        <family val="2"/>
        <scheme val="minor"/>
      </rPr>
      <t>w</t>
    </r>
  </si>
  <si>
    <t>Espessura do cordão a 45°</t>
  </si>
  <si>
    <t>Espessura da alma da coluna</t>
  </si>
  <si>
    <t>Comprimento da Solda da alma</t>
  </si>
  <si>
    <r>
      <t>R</t>
    </r>
    <r>
      <rPr>
        <vertAlign val="subscript"/>
        <sz val="10"/>
        <color theme="1"/>
        <rFont val="Calibri"/>
        <family val="2"/>
        <scheme val="minor"/>
      </rPr>
      <t>w</t>
    </r>
  </si>
  <si>
    <t>Resistência do Cordão de Solda</t>
  </si>
  <si>
    <t>Número de cordões de solda</t>
  </si>
  <si>
    <t>cm</t>
  </si>
  <si>
    <r>
      <t>H</t>
    </r>
    <r>
      <rPr>
        <vertAlign val="subscript"/>
        <sz val="10"/>
        <color theme="1"/>
        <rFont val="Calibri"/>
        <family val="2"/>
        <scheme val="minor"/>
      </rPr>
      <t>Sd</t>
    </r>
  </si>
  <si>
    <t xml:space="preserve"> </t>
  </si>
  <si>
    <t>MÉTODO AISC-ASD</t>
  </si>
  <si>
    <t>tf</t>
  </si>
  <si>
    <t>tfm</t>
  </si>
  <si>
    <r>
      <t>Diâmetro d</t>
    </r>
    <r>
      <rPr>
        <vertAlign val="subscript"/>
        <sz val="11"/>
        <color theme="0"/>
        <rFont val="Calibri"/>
        <family val="2"/>
        <scheme val="minor"/>
      </rPr>
      <t>b</t>
    </r>
  </si>
  <si>
    <t>Diâmetro do furo padrão</t>
  </si>
  <si>
    <t>Distância entre centro à centro de furos padrão</t>
  </si>
  <si>
    <t>Distância entre centro à borda de furos padrão</t>
  </si>
  <si>
    <t>s</t>
  </si>
  <si>
    <t>e</t>
  </si>
  <si>
    <t>Fonte: Tabela 14 da NBR 8800</t>
  </si>
  <si>
    <t>Para qualquer borda de uma parte ligada, a distância do centro do parafuso, ou da barra redonda rosqueada, mais próximo até essa borda não pode exceder a 12 vezes a espessura da parte ligada considerada, nem 150 mm.</t>
  </si>
  <si>
    <t>Peril</t>
  </si>
  <si>
    <t>W 200 x 86 (HP)</t>
  </si>
  <si>
    <t>M</t>
  </si>
  <si>
    <t>SUBMETIDA A ESFORÇO DE COMPRESSÃO AXIAL COM MOMENTO</t>
  </si>
  <si>
    <t>SUBMETIDA A ESFORÇO DE COMPRESSÃO AXIAL</t>
  </si>
  <si>
    <r>
      <t>d</t>
    </r>
    <r>
      <rPr>
        <vertAlign val="subscript"/>
        <sz val="9"/>
        <color theme="1"/>
        <rFont val="Calibri"/>
        <family val="2"/>
        <scheme val="minor"/>
      </rPr>
      <t>mín(furo-furo)</t>
    </r>
  </si>
  <si>
    <r>
      <t>d</t>
    </r>
    <r>
      <rPr>
        <vertAlign val="subscript"/>
        <sz val="9"/>
        <color theme="1"/>
        <rFont val="Calibri"/>
        <family val="2"/>
        <scheme val="minor"/>
      </rPr>
      <t>mín(furo-borda)</t>
    </r>
  </si>
  <si>
    <r>
      <t>d</t>
    </r>
    <r>
      <rPr>
        <vertAlign val="subscript"/>
        <sz val="10"/>
        <color theme="1"/>
        <rFont val="Calibri"/>
        <family val="2"/>
        <scheme val="minor"/>
      </rPr>
      <t>borda(projeto)</t>
    </r>
  </si>
  <si>
    <r>
      <t>d</t>
    </r>
    <r>
      <rPr>
        <vertAlign val="subscript"/>
        <sz val="10"/>
        <color theme="1"/>
        <rFont val="Calibri"/>
        <family val="2"/>
        <scheme val="minor"/>
      </rPr>
      <t>(furo-furo)(projeto)</t>
    </r>
  </si>
  <si>
    <r>
      <t>N</t>
    </r>
    <r>
      <rPr>
        <vertAlign val="subscript"/>
        <sz val="10"/>
        <color theme="1"/>
        <rFont val="Calibri"/>
        <family val="2"/>
        <scheme val="minor"/>
      </rPr>
      <t>Sdt; Chumbador</t>
    </r>
  </si>
  <si>
    <r>
      <t>d</t>
    </r>
    <r>
      <rPr>
        <vertAlign val="subscript"/>
        <sz val="10"/>
        <color theme="1"/>
        <rFont val="Calibri"/>
        <family val="2"/>
        <scheme val="minor"/>
      </rPr>
      <t xml:space="preserve">furo borda e perfil </t>
    </r>
  </si>
  <si>
    <t>Diâmetro dos Chumbadores (Tração)</t>
  </si>
  <si>
    <t>Espessura da Placa de Base</t>
  </si>
  <si>
    <r>
      <t>N</t>
    </r>
    <r>
      <rPr>
        <vertAlign val="subscript"/>
        <sz val="10"/>
        <color theme="1"/>
        <rFont val="Calibri"/>
        <family val="2"/>
        <scheme val="minor"/>
      </rPr>
      <t>Rdc/Barra</t>
    </r>
  </si>
  <si>
    <r>
      <t>N</t>
    </r>
    <r>
      <rPr>
        <vertAlign val="subscript"/>
        <sz val="10"/>
        <color theme="1"/>
        <rFont val="Calibri"/>
        <family val="2"/>
        <scheme val="minor"/>
      </rPr>
      <t>Sdc/Barra</t>
    </r>
  </si>
  <si>
    <t>% Utilização da barra à tração</t>
  </si>
  <si>
    <t>% Utilização da barra à cisalhamento</t>
  </si>
  <si>
    <t>Verificação da Resistência do Concreto</t>
  </si>
  <si>
    <t>W 250 x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</si>
</sst>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\ &quot;mm&quot;"/>
    <numFmt numFmtId="166" formatCode="0.000"/>
    <numFmt numFmtId="167" formatCode="&quot;M&quot;0"/>
    <numFmt numFmtId="168" formatCode="&quot;Ø&quot;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bscript"/>
      <sz val="11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vertAlign val="subscript"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77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 applyAlignment="1">
      <alignment horizontal="left"/>
    </xf>
    <xf numFmtId="2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2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9" fillId="0" borderId="0" xfId="0" applyFont="1"/>
    <xf numFmtId="165" fontId="8" fillId="0" borderId="1" xfId="0" applyNumberFormat="1" applyFont="1" applyBorder="1" applyAlignment="1">
      <alignment horizontal="center"/>
    </xf>
    <xf numFmtId="0" fontId="2" fillId="2" borderId="0" xfId="0" applyFont="1" applyFill="1"/>
    <xf numFmtId="1" fontId="2" fillId="2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6" fillId="2" borderId="0" xfId="0" applyFont="1" applyFill="1" applyAlignment="1">
      <alignment horizontal="left" vertical="center"/>
    </xf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2" fillId="2" borderId="7" xfId="0" applyFont="1" applyFill="1" applyBorder="1" applyAlignment="1">
      <alignment horizontal="left"/>
    </xf>
    <xf numFmtId="0" fontId="5" fillId="2" borderId="0" xfId="0" applyFont="1" applyFill="1"/>
    <xf numFmtId="0" fontId="0" fillId="2" borderId="8" xfId="0" applyFill="1" applyBorder="1"/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2" borderId="9" xfId="0" applyFill="1" applyBorder="1"/>
    <xf numFmtId="2" fontId="2" fillId="6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0" fontId="0" fillId="2" borderId="10" xfId="0" applyFill="1" applyBorder="1"/>
    <xf numFmtId="2" fontId="2" fillId="4" borderId="1" xfId="0" applyNumberFormat="1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11" fillId="2" borderId="0" xfId="0" applyFont="1" applyFill="1"/>
    <xf numFmtId="1" fontId="2" fillId="4" borderId="1" xfId="0" applyNumberFormat="1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1" fontId="2" fillId="2" borderId="0" xfId="0" applyNumberFormat="1" applyFont="1" applyFill="1" applyAlignment="1">
      <alignment horizontal="center"/>
    </xf>
    <xf numFmtId="9" fontId="2" fillId="2" borderId="1" xfId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11" fillId="2" borderId="0" xfId="0" applyFont="1" applyFill="1" applyAlignment="1">
      <alignment horizontal="right" vertical="center"/>
    </xf>
    <xf numFmtId="2" fontId="11" fillId="2" borderId="0" xfId="0" applyNumberFormat="1" applyFont="1" applyFill="1" applyAlignment="1">
      <alignment horizontal="right" vertical="center"/>
    </xf>
    <xf numFmtId="0" fontId="12" fillId="8" borderId="1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7" fontId="14" fillId="0" borderId="0" xfId="0" applyNumberFormat="1" applyFont="1" applyAlignment="1">
      <alignment horizontal="left"/>
    </xf>
    <xf numFmtId="168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16" fillId="2" borderId="0" xfId="0" applyFont="1" applyFill="1" applyAlignment="1">
      <alignment horizontal="left" vertical="center"/>
    </xf>
  </cellXfs>
  <cellStyles count="2">
    <cellStyle name="Normal" xfId="0" builtinId="0"/>
    <cellStyle name="Porcentagem" xfId="1" builtinId="5"/>
  </cellStyles>
  <dxfs count="4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Drop" dropStyle="combo" dx="16" fmlaLink="AÇOS!$A$2" fmlaRange="AÇOS!$B$2:$B$4" noThreeD="1" sel="3" val="0"/>
</file>

<file path=xl/ctrlProps/ctrlProp2.xml><?xml version="1.0" encoding="utf-8"?>
<formControlPr xmlns="http://schemas.microsoft.com/office/spreadsheetml/2009/9/main" objectType="Drop" dropStyle="combo" dx="16" fmlaLink="AÇOS!$A$2" fmlaRange="AÇOS!$B$2:$B$4" noThreeD="1" sel="3" val="0"/>
</file>

<file path=xl/ctrlProps/ctrlProp3.xml><?xml version="1.0" encoding="utf-8"?>
<formControlPr xmlns="http://schemas.microsoft.com/office/spreadsheetml/2009/9/main" objectType="Drop" dropStyle="combo" dx="16" fmlaLink="AÇOS!$A$2" fmlaRange="AÇOS!$B$2:$B$4" noThreeD="1" sel="3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5.png"/><Relationship Id="rId7" Type="http://schemas.openxmlformats.org/officeDocument/2006/relationships/image" Target="../media/image8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7.png"/><Relationship Id="rId5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5.png"/><Relationship Id="rId7" Type="http://schemas.openxmlformats.org/officeDocument/2006/relationships/image" Target="../media/image8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7.png"/><Relationship Id="rId5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20</xdr:row>
      <xdr:rowOff>9525</xdr:rowOff>
    </xdr:from>
    <xdr:to>
      <xdr:col>3</xdr:col>
      <xdr:colOff>476250</xdr:colOff>
      <xdr:row>27</xdr:row>
      <xdr:rowOff>120545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3819525"/>
          <a:ext cx="1552575" cy="1444520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19</xdr:row>
      <xdr:rowOff>38100</xdr:rowOff>
    </xdr:from>
    <xdr:to>
      <xdr:col>10</xdr:col>
      <xdr:colOff>171961</xdr:colOff>
      <xdr:row>35</xdr:row>
      <xdr:rowOff>57578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9850" y="3657600"/>
          <a:ext cx="3658111" cy="30674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302172</xdr:colOff>
      <xdr:row>93</xdr:row>
      <xdr:rowOff>179293</xdr:rowOff>
    </xdr:from>
    <xdr:to>
      <xdr:col>13</xdr:col>
      <xdr:colOff>351919</xdr:colOff>
      <xdr:row>116</xdr:row>
      <xdr:rowOff>58796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D5273B7-C1CB-47A5-9D37-FD61B083D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172" y="17981518"/>
          <a:ext cx="7155397" cy="4261003"/>
        </a:xfrm>
        <a:prstGeom prst="rect">
          <a:avLst/>
        </a:prstGeom>
      </xdr:spPr>
    </xdr:pic>
    <xdr:clientData/>
  </xdr:twoCellAnchor>
  <xdr:twoCellAnchor editAs="oneCell">
    <xdr:from>
      <xdr:col>1</xdr:col>
      <xdr:colOff>51735</xdr:colOff>
      <xdr:row>116</xdr:row>
      <xdr:rowOff>156882</xdr:rowOff>
    </xdr:from>
    <xdr:to>
      <xdr:col>13</xdr:col>
      <xdr:colOff>558728</xdr:colOff>
      <xdr:row>141</xdr:row>
      <xdr:rowOff>82619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F910CF2-ECB3-42DC-84F0-111545DEB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6535" y="22340607"/>
          <a:ext cx="7307843" cy="4688237"/>
        </a:xfrm>
        <a:prstGeom prst="rect">
          <a:avLst/>
        </a:prstGeom>
      </xdr:spPr>
    </xdr:pic>
    <xdr:clientData/>
  </xdr:twoCellAnchor>
  <xdr:twoCellAnchor editAs="oneCell">
    <xdr:from>
      <xdr:col>1</xdr:col>
      <xdr:colOff>68355</xdr:colOff>
      <xdr:row>142</xdr:row>
      <xdr:rowOff>154149</xdr:rowOff>
    </xdr:from>
    <xdr:to>
      <xdr:col>12</xdr:col>
      <xdr:colOff>413208</xdr:colOff>
      <xdr:row>153</xdr:row>
      <xdr:rowOff>168088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A53A2D9-E54D-4209-8EE2-1DC32B99F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155" y="27290874"/>
          <a:ext cx="6459903" cy="2109439"/>
        </a:xfrm>
        <a:prstGeom prst="rect">
          <a:avLst/>
        </a:prstGeom>
      </xdr:spPr>
    </xdr:pic>
    <xdr:clientData/>
  </xdr:twoCellAnchor>
  <xdr:twoCellAnchor editAs="oneCell">
    <xdr:from>
      <xdr:col>2</xdr:col>
      <xdr:colOff>176503</xdr:colOff>
      <xdr:row>154</xdr:row>
      <xdr:rowOff>44822</xdr:rowOff>
    </xdr:from>
    <xdr:to>
      <xdr:col>9</xdr:col>
      <xdr:colOff>542380</xdr:colOff>
      <xdr:row>164</xdr:row>
      <xdr:rowOff>29919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F5DA22D-3F48-4882-933C-B7F5177B4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2278" y="29467547"/>
          <a:ext cx="5118852" cy="189009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</xdr:row>
          <xdr:rowOff>47625</xdr:rowOff>
        </xdr:from>
        <xdr:to>
          <xdr:col>3</xdr:col>
          <xdr:colOff>465411</xdr:colOff>
          <xdr:row>7</xdr:row>
          <xdr:rowOff>219075</xdr:rowOff>
        </xdr:to>
        <xdr:sp macro="" textlink="">
          <xdr:nvSpPr>
            <xdr:cNvPr id="14337" name="Drop Down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813B3AFE-AA2B-4625-B227-8FE342E698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437265</xdr:colOff>
      <xdr:row>8</xdr:row>
      <xdr:rowOff>1985</xdr:rowOff>
    </xdr:from>
    <xdr:to>
      <xdr:col>9</xdr:col>
      <xdr:colOff>492673</xdr:colOff>
      <xdr:row>16</xdr:row>
      <xdr:rowOff>67405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605172E-009E-4EBB-B000-E6F700AB0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18665" y="1611710"/>
          <a:ext cx="1712758" cy="1589420"/>
        </a:xfrm>
        <a:prstGeom prst="rect">
          <a:avLst/>
        </a:prstGeom>
      </xdr:spPr>
    </xdr:pic>
    <xdr:clientData/>
  </xdr:twoCellAnchor>
  <xdr:twoCellAnchor editAs="oneCell">
    <xdr:from>
      <xdr:col>5</xdr:col>
      <xdr:colOff>138518</xdr:colOff>
      <xdr:row>40</xdr:row>
      <xdr:rowOff>106247</xdr:rowOff>
    </xdr:from>
    <xdr:to>
      <xdr:col>7</xdr:col>
      <xdr:colOff>235839</xdr:colOff>
      <xdr:row>47</xdr:row>
      <xdr:rowOff>64834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9D7058D-9A85-421C-B8CA-85E0C850A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19843" y="7811972"/>
          <a:ext cx="1306996" cy="1292087"/>
        </a:xfrm>
        <a:prstGeom prst="rect">
          <a:avLst/>
        </a:prstGeom>
      </xdr:spPr>
    </xdr:pic>
    <xdr:clientData/>
  </xdr:twoCellAnchor>
  <xdr:twoCellAnchor editAs="oneCell">
    <xdr:from>
      <xdr:col>7</xdr:col>
      <xdr:colOff>232770</xdr:colOff>
      <xdr:row>41</xdr:row>
      <xdr:rowOff>2554</xdr:rowOff>
    </xdr:from>
    <xdr:to>
      <xdr:col>9</xdr:col>
      <xdr:colOff>415273</xdr:colOff>
      <xdr:row>47</xdr:row>
      <xdr:rowOff>175936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28783C0E-B0F9-4C9B-9FAC-4AF4E0EE9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23770" y="7898779"/>
          <a:ext cx="1230253" cy="1316382"/>
        </a:xfrm>
        <a:prstGeom prst="rect">
          <a:avLst/>
        </a:prstGeom>
      </xdr:spPr>
    </xdr:pic>
    <xdr:clientData/>
  </xdr:twoCellAnchor>
  <xdr:twoCellAnchor editAs="oneCell">
    <xdr:from>
      <xdr:col>7</xdr:col>
      <xdr:colOff>81398</xdr:colOff>
      <xdr:row>52</xdr:row>
      <xdr:rowOff>24847</xdr:rowOff>
    </xdr:from>
    <xdr:to>
      <xdr:col>9</xdr:col>
      <xdr:colOff>379572</xdr:colOff>
      <xdr:row>57</xdr:row>
      <xdr:rowOff>61923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ABD24491-DF26-45AA-B649-4582EB14F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72398" y="10016572"/>
          <a:ext cx="1345924" cy="9895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302172</xdr:colOff>
      <xdr:row>93</xdr:row>
      <xdr:rowOff>179293</xdr:rowOff>
    </xdr:from>
    <xdr:to>
      <xdr:col>13</xdr:col>
      <xdr:colOff>351919</xdr:colOff>
      <xdr:row>116</xdr:row>
      <xdr:rowOff>58796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6997814-1D69-4276-B028-65B60711A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172" y="17410018"/>
          <a:ext cx="7156054" cy="4261003"/>
        </a:xfrm>
        <a:prstGeom prst="rect">
          <a:avLst/>
        </a:prstGeom>
      </xdr:spPr>
    </xdr:pic>
    <xdr:clientData/>
  </xdr:twoCellAnchor>
  <xdr:twoCellAnchor editAs="oneCell">
    <xdr:from>
      <xdr:col>1</xdr:col>
      <xdr:colOff>51735</xdr:colOff>
      <xdr:row>116</xdr:row>
      <xdr:rowOff>156882</xdr:rowOff>
    </xdr:from>
    <xdr:to>
      <xdr:col>13</xdr:col>
      <xdr:colOff>558728</xdr:colOff>
      <xdr:row>141</xdr:row>
      <xdr:rowOff>82619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C0C7A6E-4958-4DCF-A962-55E775216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6535" y="21769107"/>
          <a:ext cx="7308500" cy="4688237"/>
        </a:xfrm>
        <a:prstGeom prst="rect">
          <a:avLst/>
        </a:prstGeom>
      </xdr:spPr>
    </xdr:pic>
    <xdr:clientData/>
  </xdr:twoCellAnchor>
  <xdr:twoCellAnchor editAs="oneCell">
    <xdr:from>
      <xdr:col>1</xdr:col>
      <xdr:colOff>68355</xdr:colOff>
      <xdr:row>142</xdr:row>
      <xdr:rowOff>154149</xdr:rowOff>
    </xdr:from>
    <xdr:to>
      <xdr:col>12</xdr:col>
      <xdr:colOff>413208</xdr:colOff>
      <xdr:row>153</xdr:row>
      <xdr:rowOff>168088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52B1DFA-D99A-4281-BBEC-0CBFA9CAA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3155" y="26719374"/>
          <a:ext cx="6464501" cy="2109439"/>
        </a:xfrm>
        <a:prstGeom prst="rect">
          <a:avLst/>
        </a:prstGeom>
      </xdr:spPr>
    </xdr:pic>
    <xdr:clientData/>
  </xdr:twoCellAnchor>
  <xdr:twoCellAnchor editAs="oneCell">
    <xdr:from>
      <xdr:col>2</xdr:col>
      <xdr:colOff>176503</xdr:colOff>
      <xdr:row>154</xdr:row>
      <xdr:rowOff>44822</xdr:rowOff>
    </xdr:from>
    <xdr:to>
      <xdr:col>9</xdr:col>
      <xdr:colOff>542380</xdr:colOff>
      <xdr:row>164</xdr:row>
      <xdr:rowOff>29919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C40C5D6-D8F2-45AA-861D-7DD9C9CA8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2278" y="28896047"/>
          <a:ext cx="5120822" cy="189009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</xdr:row>
          <xdr:rowOff>47625</xdr:rowOff>
        </xdr:from>
        <xdr:to>
          <xdr:col>3</xdr:col>
          <xdr:colOff>465411</xdr:colOff>
          <xdr:row>7</xdr:row>
          <xdr:rowOff>219075</xdr:rowOff>
        </xdr:to>
        <xdr:sp macro="" textlink="">
          <xdr:nvSpPr>
            <xdr:cNvPr id="13313" name="Drop Down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5C9BE131-C63D-410C-A8A2-63F1CA26B3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437265</xdr:colOff>
      <xdr:row>8</xdr:row>
      <xdr:rowOff>1985</xdr:rowOff>
    </xdr:from>
    <xdr:to>
      <xdr:col>9</xdr:col>
      <xdr:colOff>492673</xdr:colOff>
      <xdr:row>16</xdr:row>
      <xdr:rowOff>67405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57DCAF7-C2B2-4E94-90FD-88EFBEF51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94006" y="1611382"/>
          <a:ext cx="1717356" cy="1589420"/>
        </a:xfrm>
        <a:prstGeom prst="rect">
          <a:avLst/>
        </a:prstGeom>
      </xdr:spPr>
    </xdr:pic>
    <xdr:clientData/>
  </xdr:twoCellAnchor>
  <xdr:twoCellAnchor editAs="oneCell">
    <xdr:from>
      <xdr:col>5</xdr:col>
      <xdr:colOff>138518</xdr:colOff>
      <xdr:row>40</xdr:row>
      <xdr:rowOff>106247</xdr:rowOff>
    </xdr:from>
    <xdr:to>
      <xdr:col>7</xdr:col>
      <xdr:colOff>235839</xdr:colOff>
      <xdr:row>47</xdr:row>
      <xdr:rowOff>64834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0EAD780-6182-4522-92BC-F735B8283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0828" y="7811644"/>
          <a:ext cx="1306011" cy="1292087"/>
        </a:xfrm>
        <a:prstGeom prst="rect">
          <a:avLst/>
        </a:prstGeom>
      </xdr:spPr>
    </xdr:pic>
    <xdr:clientData/>
  </xdr:twoCellAnchor>
  <xdr:twoCellAnchor editAs="oneCell">
    <xdr:from>
      <xdr:col>7</xdr:col>
      <xdr:colOff>232770</xdr:colOff>
      <xdr:row>41</xdr:row>
      <xdr:rowOff>2554</xdr:rowOff>
    </xdr:from>
    <xdr:to>
      <xdr:col>9</xdr:col>
      <xdr:colOff>415273</xdr:colOff>
      <xdr:row>47</xdr:row>
      <xdr:rowOff>175936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54C448F-B389-4FF8-80BD-F4614FED0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23770" y="7898451"/>
          <a:ext cx="1233537" cy="1316382"/>
        </a:xfrm>
        <a:prstGeom prst="rect">
          <a:avLst/>
        </a:prstGeom>
      </xdr:spPr>
    </xdr:pic>
    <xdr:clientData/>
  </xdr:twoCellAnchor>
  <xdr:twoCellAnchor editAs="oneCell">
    <xdr:from>
      <xdr:col>7</xdr:col>
      <xdr:colOff>81398</xdr:colOff>
      <xdr:row>52</xdr:row>
      <xdr:rowOff>24847</xdr:rowOff>
    </xdr:from>
    <xdr:to>
      <xdr:col>9</xdr:col>
      <xdr:colOff>379572</xdr:colOff>
      <xdr:row>57</xdr:row>
      <xdr:rowOff>61923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1CA4522C-5832-4B05-BB07-31ABCEB23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34248" y="10588072"/>
          <a:ext cx="1345923" cy="9895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302172</xdr:colOff>
      <xdr:row>90</xdr:row>
      <xdr:rowOff>179293</xdr:rowOff>
    </xdr:from>
    <xdr:to>
      <xdr:col>14</xdr:col>
      <xdr:colOff>181126</xdr:colOff>
      <xdr:row>113</xdr:row>
      <xdr:rowOff>58796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172" y="16838190"/>
          <a:ext cx="7157368" cy="4261003"/>
        </a:xfrm>
        <a:prstGeom prst="rect">
          <a:avLst/>
        </a:prstGeom>
      </xdr:spPr>
    </xdr:pic>
    <xdr:clientData/>
  </xdr:twoCellAnchor>
  <xdr:twoCellAnchor editAs="oneCell">
    <xdr:from>
      <xdr:col>1</xdr:col>
      <xdr:colOff>51735</xdr:colOff>
      <xdr:row>113</xdr:row>
      <xdr:rowOff>156882</xdr:rowOff>
    </xdr:from>
    <xdr:to>
      <xdr:col>14</xdr:col>
      <xdr:colOff>387935</xdr:colOff>
      <xdr:row>138</xdr:row>
      <xdr:rowOff>82619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3907" y="21197279"/>
          <a:ext cx="7312442" cy="4688237"/>
        </a:xfrm>
        <a:prstGeom prst="rect">
          <a:avLst/>
        </a:prstGeom>
      </xdr:spPr>
    </xdr:pic>
    <xdr:clientData/>
  </xdr:twoCellAnchor>
  <xdr:twoCellAnchor editAs="oneCell">
    <xdr:from>
      <xdr:col>1</xdr:col>
      <xdr:colOff>68355</xdr:colOff>
      <xdr:row>139</xdr:row>
      <xdr:rowOff>154149</xdr:rowOff>
    </xdr:from>
    <xdr:to>
      <xdr:col>13</xdr:col>
      <xdr:colOff>170156</xdr:colOff>
      <xdr:row>150</xdr:row>
      <xdr:rowOff>168088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0527" y="26147546"/>
          <a:ext cx="6467129" cy="2109439"/>
        </a:xfrm>
        <a:prstGeom prst="rect">
          <a:avLst/>
        </a:prstGeom>
      </xdr:spPr>
    </xdr:pic>
    <xdr:clientData/>
  </xdr:twoCellAnchor>
  <xdr:twoCellAnchor editAs="oneCell">
    <xdr:from>
      <xdr:col>2</xdr:col>
      <xdr:colOff>176503</xdr:colOff>
      <xdr:row>151</xdr:row>
      <xdr:rowOff>44822</xdr:rowOff>
    </xdr:from>
    <xdr:to>
      <xdr:col>11</xdr:col>
      <xdr:colOff>30000</xdr:colOff>
      <xdr:row>161</xdr:row>
      <xdr:rowOff>29919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2606" y="28324219"/>
          <a:ext cx="5121808" cy="189009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276225</xdr:colOff>
          <xdr:row>7</xdr:row>
          <xdr:rowOff>47625</xdr:rowOff>
        </xdr:from>
        <xdr:to>
          <xdr:col>3</xdr:col>
          <xdr:colOff>905532</xdr:colOff>
          <xdr:row>7</xdr:row>
          <xdr:rowOff>219075</xdr:rowOff>
        </xdr:to>
        <xdr:sp macro="" textlink="">
          <xdr:nvSpPr>
            <xdr:cNvPr id="7169" name="Drop Dow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5</xdr:col>
      <xdr:colOff>473535</xdr:colOff>
      <xdr:row>42</xdr:row>
      <xdr:rowOff>47125</xdr:rowOff>
    </xdr:from>
    <xdr:to>
      <xdr:col>7</xdr:col>
      <xdr:colOff>570857</xdr:colOff>
      <xdr:row>49</xdr:row>
      <xdr:rowOff>5712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84345" y="7943022"/>
          <a:ext cx="1306011" cy="1292087"/>
        </a:xfrm>
        <a:prstGeom prst="rect">
          <a:avLst/>
        </a:prstGeom>
      </xdr:spPr>
    </xdr:pic>
    <xdr:clientData/>
  </xdr:twoCellAnchor>
  <xdr:twoCellAnchor editAs="oneCell">
    <xdr:from>
      <xdr:col>5</xdr:col>
      <xdr:colOff>521806</xdr:colOff>
      <xdr:row>34</xdr:row>
      <xdr:rowOff>41967</xdr:rowOff>
    </xdr:from>
    <xdr:to>
      <xdr:col>7</xdr:col>
      <xdr:colOff>546654</xdr:colOff>
      <xdr:row>41</xdr:row>
      <xdr:rowOff>24849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32045" y="7943576"/>
          <a:ext cx="1234108" cy="1316382"/>
        </a:xfrm>
        <a:prstGeom prst="rect">
          <a:avLst/>
        </a:prstGeom>
      </xdr:spPr>
    </xdr:pic>
    <xdr:clientData/>
  </xdr:twoCellAnchor>
  <xdr:twoCellAnchor editAs="oneCell">
    <xdr:from>
      <xdr:col>7</xdr:col>
      <xdr:colOff>81398</xdr:colOff>
      <xdr:row>55</xdr:row>
      <xdr:rowOff>24847</xdr:rowOff>
    </xdr:from>
    <xdr:to>
      <xdr:col>9</xdr:col>
      <xdr:colOff>379571</xdr:colOff>
      <xdr:row>60</xdr:row>
      <xdr:rowOff>61923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00898" y="10016244"/>
          <a:ext cx="1349208" cy="989576"/>
        </a:xfrm>
        <a:prstGeom prst="rect">
          <a:avLst/>
        </a:prstGeom>
      </xdr:spPr>
    </xdr:pic>
    <xdr:clientData/>
  </xdr:twoCellAnchor>
  <xdr:twoCellAnchor editAs="oneCell">
    <xdr:from>
      <xdr:col>6</xdr:col>
      <xdr:colOff>453258</xdr:colOff>
      <xdr:row>9</xdr:row>
      <xdr:rowOff>1082</xdr:rowOff>
    </xdr:from>
    <xdr:to>
      <xdr:col>9</xdr:col>
      <xdr:colOff>183931</xdr:colOff>
      <xdr:row>15</xdr:row>
      <xdr:rowOff>17407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761C5720-F0A9-7361-97A6-3FD4EAF2D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3224" y="1800979"/>
          <a:ext cx="1392621" cy="115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723900</xdr:colOff>
      <xdr:row>19</xdr:row>
      <xdr:rowOff>142875</xdr:rowOff>
    </xdr:from>
    <xdr:to>
      <xdr:col>3</xdr:col>
      <xdr:colOff>1619250</xdr:colOff>
      <xdr:row>31</xdr:row>
      <xdr:rowOff>142875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977F9453-E33A-4849-85EC-27D250DC7150}"/>
            </a:ext>
          </a:extLst>
        </xdr:cNvPr>
        <xdr:cNvSpPr/>
      </xdr:nvSpPr>
      <xdr:spPr>
        <a:xfrm>
          <a:off x="1333500" y="4581525"/>
          <a:ext cx="3705225" cy="2286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1371600</xdr:colOff>
      <xdr:row>21</xdr:row>
      <xdr:rowOff>85725</xdr:rowOff>
    </xdr:from>
    <xdr:to>
      <xdr:col>2</xdr:col>
      <xdr:colOff>17100</xdr:colOff>
      <xdr:row>23</xdr:row>
      <xdr:rowOff>64725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89EA6C5D-643E-4F1C-8BE2-BF4BBC325CB6}"/>
            </a:ext>
          </a:extLst>
        </xdr:cNvPr>
        <xdr:cNvSpPr/>
      </xdr:nvSpPr>
      <xdr:spPr>
        <a:xfrm>
          <a:off x="1981200" y="4905375"/>
          <a:ext cx="360000" cy="36000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1304925</xdr:colOff>
      <xdr:row>28</xdr:row>
      <xdr:rowOff>114300</xdr:rowOff>
    </xdr:from>
    <xdr:to>
      <xdr:col>1</xdr:col>
      <xdr:colOff>1664925</xdr:colOff>
      <xdr:row>30</xdr:row>
      <xdr:rowOff>93300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AE57286D-0264-4986-80F8-3DE7A7B8AFDC}"/>
            </a:ext>
          </a:extLst>
        </xdr:cNvPr>
        <xdr:cNvSpPr/>
      </xdr:nvSpPr>
      <xdr:spPr>
        <a:xfrm>
          <a:off x="1914525" y="6267450"/>
          <a:ext cx="360000" cy="36000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742950</xdr:colOff>
      <xdr:row>21</xdr:row>
      <xdr:rowOff>76200</xdr:rowOff>
    </xdr:from>
    <xdr:to>
      <xdr:col>3</xdr:col>
      <xdr:colOff>1102950</xdr:colOff>
      <xdr:row>23</xdr:row>
      <xdr:rowOff>55200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1B7219DE-9452-421E-92AA-3C60D7178508}"/>
            </a:ext>
          </a:extLst>
        </xdr:cNvPr>
        <xdr:cNvSpPr/>
      </xdr:nvSpPr>
      <xdr:spPr>
        <a:xfrm>
          <a:off x="4162425" y="4895850"/>
          <a:ext cx="360000" cy="36000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742950</xdr:colOff>
      <xdr:row>28</xdr:row>
      <xdr:rowOff>114300</xdr:rowOff>
    </xdr:from>
    <xdr:to>
      <xdr:col>3</xdr:col>
      <xdr:colOff>1102950</xdr:colOff>
      <xdr:row>30</xdr:row>
      <xdr:rowOff>93300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3CC671B2-FF3C-49CA-AF6C-8F8F58FC0F12}"/>
            </a:ext>
          </a:extLst>
        </xdr:cNvPr>
        <xdr:cNvSpPr/>
      </xdr:nvSpPr>
      <xdr:spPr>
        <a:xfrm>
          <a:off x="4162425" y="6267450"/>
          <a:ext cx="360000" cy="36000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600075</xdr:colOff>
      <xdr:row>1</xdr:row>
      <xdr:rowOff>152400</xdr:rowOff>
    </xdr:from>
    <xdr:to>
      <xdr:col>14</xdr:col>
      <xdr:colOff>571500</xdr:colOff>
      <xdr:row>15</xdr:row>
      <xdr:rowOff>160877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40BCBE2-4B27-4A84-8D51-E66A45446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8550" y="342900"/>
          <a:ext cx="5457825" cy="34946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133350</xdr:rowOff>
    </xdr:from>
    <xdr:to>
      <xdr:col>20</xdr:col>
      <xdr:colOff>46108</xdr:colOff>
      <xdr:row>28</xdr:row>
      <xdr:rowOff>75540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133350"/>
          <a:ext cx="12133333" cy="5276190"/>
        </a:xfrm>
        <a:prstGeom prst="rect">
          <a:avLst/>
        </a:prstGeom>
      </xdr:spPr>
    </xdr:pic>
    <xdr:clientData/>
  </xdr:twoCellAnchor>
  <xdr:twoCellAnchor editAs="oneCell">
    <xdr:from>
      <xdr:col>20</xdr:col>
      <xdr:colOff>600075</xdr:colOff>
      <xdr:row>1</xdr:row>
      <xdr:rowOff>57150</xdr:rowOff>
    </xdr:from>
    <xdr:to>
      <xdr:col>25</xdr:col>
      <xdr:colOff>133350</xdr:colOff>
      <xdr:row>27</xdr:row>
      <xdr:rowOff>84326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92075" y="247650"/>
          <a:ext cx="2581275" cy="498017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28</xdr:row>
      <xdr:rowOff>57150</xdr:rowOff>
    </xdr:from>
    <xdr:to>
      <xdr:col>19</xdr:col>
      <xdr:colOff>550943</xdr:colOff>
      <xdr:row>45</xdr:row>
      <xdr:rowOff>75793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5391150"/>
          <a:ext cx="12057143" cy="3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45</xdr:row>
      <xdr:rowOff>76200</xdr:rowOff>
    </xdr:from>
    <xdr:to>
      <xdr:col>19</xdr:col>
      <xdr:colOff>493803</xdr:colOff>
      <xdr:row>76</xdr:row>
      <xdr:rowOff>104033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" y="8648700"/>
          <a:ext cx="11971428" cy="59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76</xdr:row>
      <xdr:rowOff>95250</xdr:rowOff>
    </xdr:from>
    <xdr:to>
      <xdr:col>19</xdr:col>
      <xdr:colOff>541421</xdr:colOff>
      <xdr:row>111</xdr:row>
      <xdr:rowOff>113464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" y="14573250"/>
          <a:ext cx="12028571" cy="66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B3ED-B487-4828-B8F4-C7BC74C40B20}">
  <dimension ref="A1:K17"/>
  <sheetViews>
    <sheetView showGridLines="0" workbookViewId="0">
      <selection activeCell="J11" sqref="J11"/>
    </sheetView>
  </sheetViews>
  <sheetFormatPr defaultRowHeight="15" x14ac:dyDescent="0.25"/>
  <sheetData>
    <row r="1" spans="1:11" x14ac:dyDescent="0.25">
      <c r="A1" s="59" t="s">
        <v>33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3" spans="1:11" x14ac:dyDescent="0.25">
      <c r="A3" t="s">
        <v>30</v>
      </c>
    </row>
    <row r="5" spans="1:11" x14ac:dyDescent="0.25">
      <c r="A5" t="s">
        <v>31</v>
      </c>
    </row>
    <row r="7" spans="1:11" x14ac:dyDescent="0.25">
      <c r="A7" t="s">
        <v>32</v>
      </c>
    </row>
    <row r="9" spans="1:11" x14ac:dyDescent="0.25">
      <c r="A9" t="s">
        <v>34</v>
      </c>
    </row>
    <row r="11" spans="1:11" x14ac:dyDescent="0.25">
      <c r="A11" t="s">
        <v>35</v>
      </c>
    </row>
    <row r="13" spans="1:11" x14ac:dyDescent="0.25">
      <c r="A13" t="s">
        <v>36</v>
      </c>
    </row>
    <row r="15" spans="1:11" x14ac:dyDescent="0.25">
      <c r="A15" t="s">
        <v>37</v>
      </c>
    </row>
    <row r="17" spans="1:1" x14ac:dyDescent="0.25">
      <c r="A17" t="s">
        <v>49</v>
      </c>
    </row>
  </sheetData>
  <mergeCells count="1">
    <mergeCell ref="A1:K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7F9C-AE31-4B3E-98D9-1F3A92FF5C54}">
  <sheetPr>
    <pageSetUpPr fitToPage="1"/>
  </sheetPr>
  <dimension ref="B2:K94"/>
  <sheetViews>
    <sheetView topLeftCell="A66" zoomScaleNormal="100" workbookViewId="0">
      <selection activeCell="C76" sqref="C76:G76"/>
    </sheetView>
  </sheetViews>
  <sheetFormatPr defaultRowHeight="15" x14ac:dyDescent="0.25"/>
  <cols>
    <col min="1" max="1" width="4.5703125" style="2" customWidth="1"/>
    <col min="2" max="2" width="2.7109375" style="2" customWidth="1"/>
    <col min="3" max="3" width="16.42578125" style="1" customWidth="1"/>
    <col min="4" max="4" width="13.7109375" style="2" customWidth="1"/>
    <col min="5" max="5" width="7.28515625" style="2" customWidth="1"/>
    <col min="6" max="6" width="9" style="44" customWidth="1"/>
    <col min="7" max="8" width="9.140625" style="2"/>
    <col min="9" max="9" width="6.5703125" style="2" bestFit="1" customWidth="1"/>
    <col min="10" max="10" width="11.5703125" style="2" customWidth="1"/>
    <col min="11" max="11" width="2.7109375" style="2" customWidth="1"/>
    <col min="12" max="12" width="3.42578125" style="2" customWidth="1"/>
    <col min="13" max="13" width="10.28515625" style="2" customWidth="1"/>
    <col min="14" max="15" width="9.140625" style="2"/>
    <col min="16" max="16" width="8.85546875" style="2" customWidth="1"/>
    <col min="17" max="19" width="9.140625" style="2"/>
    <col min="20" max="20" width="4.5703125" style="2" customWidth="1"/>
    <col min="21" max="21" width="5" style="2" customWidth="1"/>
    <col min="22" max="22" width="2.7109375" style="2" customWidth="1"/>
    <col min="23" max="16384" width="9.140625" style="2"/>
  </cols>
  <sheetData>
    <row r="2" spans="2:11" ht="6" customHeight="1" x14ac:dyDescent="0.25">
      <c r="B2" s="21"/>
      <c r="C2" s="22"/>
      <c r="D2" s="23"/>
      <c r="E2" s="23"/>
      <c r="F2" s="43"/>
      <c r="G2" s="23"/>
      <c r="H2" s="23"/>
      <c r="I2" s="23"/>
      <c r="J2" s="23"/>
      <c r="K2" s="24"/>
    </row>
    <row r="3" spans="2:11" ht="18.75" x14ac:dyDescent="0.3">
      <c r="B3" s="25"/>
      <c r="C3" s="60" t="s">
        <v>38</v>
      </c>
      <c r="D3" s="60"/>
      <c r="E3" s="60"/>
      <c r="F3" s="60"/>
      <c r="G3" s="60"/>
      <c r="H3" s="60"/>
      <c r="I3" s="60"/>
      <c r="J3" s="60"/>
      <c r="K3" s="26"/>
    </row>
    <row r="4" spans="2:11" ht="18.75" x14ac:dyDescent="0.3">
      <c r="B4" s="25"/>
      <c r="C4" s="60" t="s">
        <v>134</v>
      </c>
      <c r="D4" s="60"/>
      <c r="E4" s="60"/>
      <c r="F4" s="60"/>
      <c r="G4" s="60"/>
      <c r="H4" s="60"/>
      <c r="I4" s="60"/>
      <c r="J4" s="60"/>
      <c r="K4" s="26"/>
    </row>
    <row r="5" spans="2:11" ht="18.75" x14ac:dyDescent="0.3">
      <c r="B5" s="25"/>
      <c r="C5" s="60" t="s">
        <v>120</v>
      </c>
      <c r="D5" s="60"/>
      <c r="E5" s="60"/>
      <c r="F5" s="60"/>
      <c r="G5" s="60"/>
      <c r="H5" s="60"/>
      <c r="I5" s="60"/>
      <c r="J5" s="60"/>
      <c r="K5" s="26"/>
    </row>
    <row r="6" spans="2:11" x14ac:dyDescent="0.25">
      <c r="B6" s="25"/>
      <c r="C6" s="61" t="s">
        <v>48</v>
      </c>
      <c r="D6" s="61"/>
      <c r="E6" s="61"/>
      <c r="F6" s="61"/>
      <c r="G6" s="61"/>
      <c r="H6" s="61"/>
      <c r="I6" s="61"/>
      <c r="J6" s="61"/>
      <c r="K6" s="26"/>
    </row>
    <row r="7" spans="2:11" x14ac:dyDescent="0.25">
      <c r="B7" s="25"/>
      <c r="C7" s="19"/>
      <c r="K7" s="26"/>
    </row>
    <row r="8" spans="2:11" ht="19.5" customHeight="1" x14ac:dyDescent="0.25">
      <c r="B8" s="25"/>
      <c r="C8" s="20" t="s">
        <v>24</v>
      </c>
      <c r="D8" s="5"/>
      <c r="E8" s="5"/>
      <c r="K8" s="26"/>
    </row>
    <row r="9" spans="2:11" x14ac:dyDescent="0.25">
      <c r="B9" s="25"/>
      <c r="C9" s="3" t="s">
        <v>86</v>
      </c>
      <c r="D9" s="7">
        <f>AÇOS!C6</f>
        <v>34.5</v>
      </c>
      <c r="E9" s="4" t="s">
        <v>2</v>
      </c>
      <c r="K9" s="26"/>
    </row>
    <row r="10" spans="2:11" x14ac:dyDescent="0.25">
      <c r="B10" s="25"/>
      <c r="C10" s="3" t="s">
        <v>87</v>
      </c>
      <c r="D10" s="7">
        <f>AÇOS!D6</f>
        <v>48.5</v>
      </c>
      <c r="E10" s="4" t="s">
        <v>2</v>
      </c>
      <c r="K10" s="26"/>
    </row>
    <row r="11" spans="2:11" x14ac:dyDescent="0.25">
      <c r="B11" s="25"/>
      <c r="C11" s="8"/>
      <c r="D11" s="17"/>
      <c r="E11" s="17"/>
      <c r="K11" s="26"/>
    </row>
    <row r="12" spans="2:11" x14ac:dyDescent="0.25">
      <c r="B12" s="25"/>
      <c r="C12" s="9" t="s">
        <v>6</v>
      </c>
      <c r="D12" s="17"/>
      <c r="E12" s="17"/>
      <c r="K12" s="26"/>
    </row>
    <row r="13" spans="2:11" x14ac:dyDescent="0.25">
      <c r="B13" s="25"/>
      <c r="C13" s="3" t="s">
        <v>77</v>
      </c>
      <c r="D13" s="36">
        <v>30.5</v>
      </c>
      <c r="E13" s="3" t="s">
        <v>39</v>
      </c>
      <c r="F13" s="65">
        <f>D13*0.102</f>
        <v>3.1109999999999998</v>
      </c>
      <c r="G13" s="2" t="s">
        <v>121</v>
      </c>
      <c r="K13" s="26"/>
    </row>
    <row r="14" spans="2:11" x14ac:dyDescent="0.25">
      <c r="B14" s="25"/>
      <c r="C14" s="3" t="s">
        <v>118</v>
      </c>
      <c r="D14" s="36">
        <v>18.89</v>
      </c>
      <c r="E14" s="3" t="s">
        <v>39</v>
      </c>
      <c r="F14" s="65">
        <f t="shared" ref="F14:F15" si="0">D14*0.102</f>
        <v>1.9267799999999999</v>
      </c>
      <c r="G14" s="2" t="s">
        <v>121</v>
      </c>
      <c r="K14" s="26"/>
    </row>
    <row r="15" spans="2:11" x14ac:dyDescent="0.25">
      <c r="B15" s="25"/>
      <c r="C15" s="3" t="s">
        <v>76</v>
      </c>
      <c r="D15" s="36">
        <v>39.54</v>
      </c>
      <c r="E15" s="3" t="s">
        <v>40</v>
      </c>
      <c r="F15" s="65">
        <f t="shared" si="0"/>
        <v>4.03308</v>
      </c>
      <c r="G15" s="2" t="s">
        <v>122</v>
      </c>
      <c r="K15" s="26"/>
    </row>
    <row r="16" spans="2:11" x14ac:dyDescent="0.25">
      <c r="B16" s="25"/>
      <c r="K16" s="27"/>
    </row>
    <row r="17" spans="2:11" x14ac:dyDescent="0.25">
      <c r="B17" s="25"/>
      <c r="C17" s="9" t="s">
        <v>10</v>
      </c>
      <c r="D17" s="17"/>
      <c r="K17" s="27"/>
    </row>
    <row r="18" spans="2:11" x14ac:dyDescent="0.25">
      <c r="B18" s="25"/>
      <c r="C18" s="3" t="s">
        <v>11</v>
      </c>
      <c r="D18" s="11">
        <v>3</v>
      </c>
      <c r="E18" s="28" t="s">
        <v>13</v>
      </c>
      <c r="K18" s="27"/>
    </row>
    <row r="19" spans="2:11" x14ac:dyDescent="0.25">
      <c r="B19" s="25"/>
      <c r="C19" s="3" t="s">
        <v>12</v>
      </c>
      <c r="D19" s="3">
        <f>D18</f>
        <v>3</v>
      </c>
      <c r="E19" s="28" t="s">
        <v>41</v>
      </c>
      <c r="K19" s="27"/>
    </row>
    <row r="20" spans="2:11" x14ac:dyDescent="0.25">
      <c r="B20" s="25"/>
      <c r="K20" s="27"/>
    </row>
    <row r="21" spans="2:11" x14ac:dyDescent="0.25">
      <c r="B21" s="25"/>
      <c r="C21" s="9" t="s">
        <v>142</v>
      </c>
      <c r="D21" s="17"/>
      <c r="K21" s="26"/>
    </row>
    <row r="22" spans="2:11" x14ac:dyDescent="0.25">
      <c r="B22" s="25"/>
      <c r="C22" s="3" t="s">
        <v>42</v>
      </c>
      <c r="D22" s="36">
        <v>19.05</v>
      </c>
      <c r="E22" s="3" t="s">
        <v>14</v>
      </c>
      <c r="F22" s="45"/>
      <c r="K22" s="26"/>
    </row>
    <row r="23" spans="2:11" x14ac:dyDescent="0.25">
      <c r="B23" s="25"/>
      <c r="C23" s="55" t="s">
        <v>136</v>
      </c>
      <c r="D23" s="6">
        <f>D22*6.5</f>
        <v>123.825</v>
      </c>
      <c r="E23" s="3" t="s">
        <v>14</v>
      </c>
      <c r="F23" s="50" t="s">
        <v>46</v>
      </c>
      <c r="K23" s="26"/>
    </row>
    <row r="24" spans="2:11" x14ac:dyDescent="0.25">
      <c r="B24" s="25"/>
      <c r="C24" s="3" t="s">
        <v>139</v>
      </c>
      <c r="D24" s="11">
        <v>135</v>
      </c>
      <c r="E24" s="3" t="s">
        <v>14</v>
      </c>
      <c r="F24" s="50" t="s">
        <v>70</v>
      </c>
      <c r="K24" s="26"/>
    </row>
    <row r="25" spans="2:11" x14ac:dyDescent="0.25">
      <c r="B25" s="25"/>
      <c r="C25" s="55" t="s">
        <v>137</v>
      </c>
      <c r="D25" s="3">
        <f>D22*2</f>
        <v>38.1</v>
      </c>
      <c r="E25" s="3" t="s">
        <v>14</v>
      </c>
      <c r="F25" s="50" t="s">
        <v>47</v>
      </c>
      <c r="K25" s="26"/>
    </row>
    <row r="26" spans="2:11" x14ac:dyDescent="0.25">
      <c r="B26" s="25"/>
      <c r="C26" s="3" t="s">
        <v>138</v>
      </c>
      <c r="D26" s="11">
        <v>40</v>
      </c>
      <c r="E26" s="3"/>
      <c r="F26" s="50" t="s">
        <v>72</v>
      </c>
      <c r="K26" s="26"/>
    </row>
    <row r="27" spans="2:11" x14ac:dyDescent="0.25">
      <c r="B27" s="25"/>
      <c r="C27" s="3" t="s">
        <v>64</v>
      </c>
      <c r="D27" s="3">
        <f>D26</f>
        <v>40</v>
      </c>
      <c r="E27" s="3" t="s">
        <v>14</v>
      </c>
      <c r="F27" s="50" t="s">
        <v>65</v>
      </c>
      <c r="K27" s="26"/>
    </row>
    <row r="28" spans="2:11" x14ac:dyDescent="0.25">
      <c r="B28" s="25"/>
      <c r="C28" s="3" t="s">
        <v>68</v>
      </c>
      <c r="D28" s="7">
        <f>D48-2*D26</f>
        <v>370</v>
      </c>
      <c r="E28" s="3" t="s">
        <v>14</v>
      </c>
      <c r="F28" s="50" t="s">
        <v>67</v>
      </c>
      <c r="K28" s="26"/>
    </row>
    <row r="29" spans="2:11" x14ac:dyDescent="0.25">
      <c r="B29" s="25"/>
      <c r="C29" s="3" t="s">
        <v>140</v>
      </c>
      <c r="D29" s="6">
        <f>D15*100/(D28/10)</f>
        <v>106.86486486486487</v>
      </c>
      <c r="E29" s="3" t="s">
        <v>39</v>
      </c>
      <c r="F29" s="50" t="s">
        <v>74</v>
      </c>
      <c r="K29" s="26"/>
    </row>
    <row r="30" spans="2:11" x14ac:dyDescent="0.25">
      <c r="B30" s="25"/>
      <c r="C30" s="3" t="s">
        <v>78</v>
      </c>
      <c r="D30" s="40">
        <f>D29/D18</f>
        <v>35.621621621621621</v>
      </c>
      <c r="E30" s="3" t="s">
        <v>39</v>
      </c>
      <c r="F30" s="50" t="s">
        <v>74</v>
      </c>
      <c r="K30" s="26"/>
    </row>
    <row r="31" spans="2:11" x14ac:dyDescent="0.25">
      <c r="B31" s="25"/>
      <c r="C31" s="3" t="s">
        <v>145</v>
      </c>
      <c r="D31" s="40">
        <f>D14/D18</f>
        <v>6.2966666666666669</v>
      </c>
      <c r="E31" s="3" t="s">
        <v>39</v>
      </c>
      <c r="F31" s="50"/>
      <c r="K31" s="26"/>
    </row>
    <row r="32" spans="2:11" x14ac:dyDescent="0.25">
      <c r="B32" s="25"/>
      <c r="C32" s="3" t="s">
        <v>79</v>
      </c>
      <c r="D32" s="40">
        <f>PI()*(D22/10)^2/4</f>
        <v>2.8502295699234246</v>
      </c>
      <c r="E32" s="3" t="s">
        <v>3</v>
      </c>
      <c r="F32" s="50"/>
      <c r="K32" s="26"/>
    </row>
    <row r="33" spans="2:11" x14ac:dyDescent="0.25">
      <c r="B33" s="25"/>
      <c r="C33" s="3" t="s">
        <v>80</v>
      </c>
      <c r="D33" s="40">
        <f>0.33*D10*D32</f>
        <v>45.617924266624406</v>
      </c>
      <c r="E33" s="3" t="s">
        <v>39</v>
      </c>
      <c r="F33" s="50" t="s">
        <v>81</v>
      </c>
      <c r="K33" s="26"/>
    </row>
    <row r="34" spans="2:11" x14ac:dyDescent="0.25">
      <c r="B34" s="25"/>
      <c r="C34" s="55" t="s">
        <v>92</v>
      </c>
      <c r="D34" s="54">
        <f>D30/D33</f>
        <v>0.780868971885325</v>
      </c>
      <c r="E34" s="3" t="s">
        <v>82</v>
      </c>
      <c r="F34" s="50" t="s">
        <v>146</v>
      </c>
      <c r="K34" s="26"/>
    </row>
    <row r="35" spans="2:11" x14ac:dyDescent="0.25">
      <c r="B35" s="25"/>
      <c r="C35" s="3" t="s">
        <v>144</v>
      </c>
      <c r="D35" s="40">
        <f>0.33*D32*D9</f>
        <v>32.449863653578191</v>
      </c>
      <c r="E35" s="3" t="s">
        <v>39</v>
      </c>
      <c r="F35" s="50"/>
      <c r="K35" s="26"/>
    </row>
    <row r="36" spans="2:11" x14ac:dyDescent="0.25">
      <c r="B36" s="25"/>
      <c r="C36" s="55" t="s">
        <v>92</v>
      </c>
      <c r="D36" s="54">
        <f>D31/D35</f>
        <v>0.19404293139371462</v>
      </c>
      <c r="E36" s="3" t="s">
        <v>82</v>
      </c>
      <c r="F36" s="50" t="s">
        <v>147</v>
      </c>
      <c r="K36" s="26"/>
    </row>
    <row r="37" spans="2:11" x14ac:dyDescent="0.25">
      <c r="B37" s="25"/>
      <c r="C37" s="2"/>
      <c r="F37" s="51"/>
      <c r="K37" s="26"/>
    </row>
    <row r="38" spans="2:11" x14ac:dyDescent="0.25">
      <c r="B38" s="25"/>
      <c r="C38" s="9" t="s">
        <v>57</v>
      </c>
      <c r="D38" s="17"/>
      <c r="K38" s="26"/>
    </row>
    <row r="39" spans="2:11" x14ac:dyDescent="0.25">
      <c r="B39" s="25"/>
      <c r="C39" s="3" t="s">
        <v>131</v>
      </c>
      <c r="D39" s="11" t="s">
        <v>149</v>
      </c>
      <c r="E39" s="3"/>
      <c r="K39" s="26"/>
    </row>
    <row r="40" spans="2:11" x14ac:dyDescent="0.25">
      <c r="B40" s="25"/>
      <c r="C40" s="3" t="s">
        <v>58</v>
      </c>
      <c r="D40" s="11">
        <v>146</v>
      </c>
      <c r="E40" s="3" t="s">
        <v>14</v>
      </c>
      <c r="F40" s="45"/>
      <c r="K40" s="26"/>
    </row>
    <row r="41" spans="2:11" x14ac:dyDescent="0.25">
      <c r="B41" s="25"/>
      <c r="C41" s="3" t="s">
        <v>59</v>
      </c>
      <c r="D41" s="11">
        <v>258</v>
      </c>
      <c r="E41" s="3" t="s">
        <v>14</v>
      </c>
      <c r="F41" s="50"/>
      <c r="K41" s="26"/>
    </row>
    <row r="42" spans="2:11" x14ac:dyDescent="0.25">
      <c r="B42" s="25"/>
      <c r="C42" s="3" t="s">
        <v>60</v>
      </c>
      <c r="D42" s="7">
        <f>(D48-(0.95*D41))/2</f>
        <v>102.45</v>
      </c>
      <c r="E42" s="3" t="s">
        <v>14</v>
      </c>
      <c r="F42" s="50"/>
      <c r="K42" s="26"/>
    </row>
    <row r="43" spans="2:11" x14ac:dyDescent="0.25">
      <c r="B43" s="25"/>
      <c r="C43" s="3" t="s">
        <v>61</v>
      </c>
      <c r="D43" s="7">
        <f>(D48-(0.8*D40))/2</f>
        <v>166.6</v>
      </c>
      <c r="E43" s="3" t="s">
        <v>14</v>
      </c>
      <c r="F43" s="50"/>
      <c r="K43" s="26"/>
    </row>
    <row r="44" spans="2:11" x14ac:dyDescent="0.25">
      <c r="B44" s="25"/>
      <c r="C44" s="3" t="s">
        <v>66</v>
      </c>
      <c r="D44" s="7">
        <f>SQRT(D41*D40)/4</f>
        <v>48.52061417583252</v>
      </c>
      <c r="E44" s="3" t="s">
        <v>14</v>
      </c>
      <c r="F44" s="50"/>
      <c r="K44" s="26"/>
    </row>
    <row r="45" spans="2:11" x14ac:dyDescent="0.25">
      <c r="B45" s="25"/>
      <c r="C45" s="8"/>
      <c r="D45" s="8"/>
      <c r="E45" s="8"/>
      <c r="F45" s="50"/>
      <c r="K45" s="26"/>
    </row>
    <row r="46" spans="2:11" x14ac:dyDescent="0.25">
      <c r="B46" s="25"/>
      <c r="C46" s="9" t="s">
        <v>62</v>
      </c>
      <c r="D46" s="17"/>
      <c r="K46" s="26"/>
    </row>
    <row r="47" spans="2:11" x14ac:dyDescent="0.25">
      <c r="B47" s="25"/>
      <c r="C47" s="3" t="s">
        <v>51</v>
      </c>
      <c r="D47" s="42">
        <v>350</v>
      </c>
      <c r="E47" s="3" t="s">
        <v>14</v>
      </c>
      <c r="F47" s="45"/>
      <c r="K47" s="26"/>
    </row>
    <row r="48" spans="2:11" x14ac:dyDescent="0.25">
      <c r="B48" s="25"/>
      <c r="C48" s="3" t="s">
        <v>52</v>
      </c>
      <c r="D48" s="42">
        <v>450</v>
      </c>
      <c r="E48" s="3" t="s">
        <v>14</v>
      </c>
      <c r="F48" s="45"/>
      <c r="K48" s="26"/>
    </row>
    <row r="49" spans="2:11" x14ac:dyDescent="0.25">
      <c r="B49" s="25"/>
      <c r="C49" s="8"/>
      <c r="D49" s="17"/>
      <c r="E49" s="17"/>
      <c r="K49" s="26"/>
    </row>
    <row r="50" spans="2:11" x14ac:dyDescent="0.25">
      <c r="B50" s="25"/>
      <c r="C50" s="9" t="s">
        <v>143</v>
      </c>
      <c r="D50" s="17"/>
      <c r="K50" s="26"/>
    </row>
    <row r="51" spans="2:11" x14ac:dyDescent="0.25">
      <c r="B51" s="25"/>
      <c r="C51" s="3" t="s">
        <v>95</v>
      </c>
      <c r="D51" s="58">
        <f>0.75*D9</f>
        <v>25.875</v>
      </c>
      <c r="E51" s="3" t="s">
        <v>2</v>
      </c>
      <c r="F51" s="50" t="s">
        <v>96</v>
      </c>
      <c r="K51" s="26"/>
    </row>
    <row r="52" spans="2:11" x14ac:dyDescent="0.25">
      <c r="B52" s="25"/>
      <c r="C52" s="3" t="s">
        <v>141</v>
      </c>
      <c r="D52" s="12">
        <v>75</v>
      </c>
      <c r="E52" s="3" t="s">
        <v>14</v>
      </c>
      <c r="F52" s="50" t="s">
        <v>98</v>
      </c>
      <c r="K52" s="26"/>
    </row>
    <row r="53" spans="2:11" x14ac:dyDescent="0.25">
      <c r="B53" s="25"/>
      <c r="C53" s="3" t="s">
        <v>90</v>
      </c>
      <c r="D53" s="6">
        <f>D15*100/(D41/10)</f>
        <v>153.25581395348837</v>
      </c>
      <c r="E53" s="3" t="s">
        <v>39</v>
      </c>
      <c r="F53" s="50"/>
      <c r="K53" s="26"/>
    </row>
    <row r="54" spans="2:11" x14ac:dyDescent="0.25">
      <c r="B54" s="25"/>
      <c r="C54" s="3" t="s">
        <v>88</v>
      </c>
      <c r="D54" s="6">
        <f>D53*(D52/1000)</f>
        <v>11.494186046511627</v>
      </c>
      <c r="E54" s="3" t="s">
        <v>40</v>
      </c>
      <c r="F54" s="50"/>
      <c r="K54" s="26"/>
    </row>
    <row r="55" spans="2:11" x14ac:dyDescent="0.25">
      <c r="B55" s="25"/>
      <c r="C55" s="3" t="s">
        <v>97</v>
      </c>
      <c r="D55" s="6">
        <f>(SQRT((6*D54)/(D51*10*D48)))*1000</f>
        <v>24.337070505433239</v>
      </c>
      <c r="E55" s="3" t="s">
        <v>14</v>
      </c>
      <c r="F55" s="50"/>
      <c r="K55" s="26"/>
    </row>
    <row r="56" spans="2:11" x14ac:dyDescent="0.25">
      <c r="B56" s="25"/>
      <c r="C56" s="3" t="s">
        <v>97</v>
      </c>
      <c r="D56" s="58">
        <f>2*(D42/10)*SQRT(D60/D9)</f>
        <v>0.48544725700890951</v>
      </c>
      <c r="E56" s="3" t="s">
        <v>117</v>
      </c>
      <c r="F56" s="50"/>
      <c r="K56" s="26"/>
    </row>
    <row r="57" spans="2:11" x14ac:dyDescent="0.25">
      <c r="B57" s="25"/>
      <c r="C57" s="3" t="s">
        <v>85</v>
      </c>
      <c r="D57" s="10">
        <f>VLOOKUP((SQRT((6*D54)/(D51*10*D48)))*1000,DIÂMETROS!A3:D15,4)</f>
        <v>25.4</v>
      </c>
      <c r="E57" s="3" t="s">
        <v>14</v>
      </c>
      <c r="F57" s="50" t="s">
        <v>101</v>
      </c>
      <c r="K57" s="26"/>
    </row>
    <row r="58" spans="2:11" x14ac:dyDescent="0.25">
      <c r="B58" s="25"/>
      <c r="C58" s="8"/>
      <c r="D58" s="8"/>
      <c r="E58" s="8"/>
      <c r="F58" s="50"/>
      <c r="K58" s="26"/>
    </row>
    <row r="59" spans="2:11" x14ac:dyDescent="0.25">
      <c r="B59" s="25"/>
      <c r="C59" s="9" t="s">
        <v>148</v>
      </c>
      <c r="D59" s="17"/>
      <c r="K59" s="26"/>
    </row>
    <row r="60" spans="2:11" x14ac:dyDescent="0.25">
      <c r="B60" s="25"/>
      <c r="C60" s="3" t="s">
        <v>53</v>
      </c>
      <c r="D60" s="6">
        <f>D13/((D47/10)*(D48/10))</f>
        <v>1.9365079365079366E-2</v>
      </c>
      <c r="E60" s="3" t="s">
        <v>2</v>
      </c>
      <c r="F60" s="52"/>
      <c r="K60" s="26"/>
    </row>
    <row r="61" spans="2:11" x14ac:dyDescent="0.25">
      <c r="B61" s="25"/>
      <c r="C61" s="3" t="s">
        <v>55</v>
      </c>
      <c r="D61" s="42">
        <v>30</v>
      </c>
      <c r="E61" s="3" t="s">
        <v>91</v>
      </c>
      <c r="F61" s="52"/>
      <c r="K61" s="26"/>
    </row>
    <row r="62" spans="2:11" x14ac:dyDescent="0.25">
      <c r="B62" s="25"/>
      <c r="C62" s="3" t="s">
        <v>94</v>
      </c>
      <c r="D62" s="6">
        <f>0.35*D61/10</f>
        <v>1.05</v>
      </c>
      <c r="E62" s="3" t="s">
        <v>2</v>
      </c>
      <c r="F62" s="52"/>
      <c r="K62" s="26"/>
    </row>
    <row r="63" spans="2:11" x14ac:dyDescent="0.25">
      <c r="B63" s="25"/>
      <c r="C63" s="55" t="s">
        <v>92</v>
      </c>
      <c r="D63" s="54">
        <f>D60/D62</f>
        <v>1.8442932728647016E-2</v>
      </c>
      <c r="E63" s="3" t="s">
        <v>82</v>
      </c>
      <c r="F63" s="50" t="s">
        <v>93</v>
      </c>
      <c r="K63" s="26"/>
    </row>
    <row r="64" spans="2:11" x14ac:dyDescent="0.25">
      <c r="B64" s="25"/>
      <c r="C64" s="9"/>
      <c r="D64" s="17"/>
      <c r="K64" s="26"/>
    </row>
    <row r="65" spans="2:11" x14ac:dyDescent="0.25">
      <c r="B65" s="25"/>
      <c r="C65" s="9" t="s">
        <v>99</v>
      </c>
      <c r="D65" s="17"/>
      <c r="F65" s="50"/>
      <c r="K65" s="26"/>
    </row>
    <row r="66" spans="2:11" x14ac:dyDescent="0.25">
      <c r="B66" s="25"/>
      <c r="C66" s="3" t="s">
        <v>58</v>
      </c>
      <c r="D66" s="12">
        <v>209</v>
      </c>
      <c r="E66" s="3" t="s">
        <v>14</v>
      </c>
      <c r="F66" s="50" t="s">
        <v>107</v>
      </c>
      <c r="K66" s="26"/>
    </row>
    <row r="67" spans="2:11" x14ac:dyDescent="0.25">
      <c r="B67" s="25"/>
      <c r="C67" s="3" t="s">
        <v>59</v>
      </c>
      <c r="D67" s="12">
        <v>222</v>
      </c>
      <c r="E67" s="3" t="s">
        <v>14</v>
      </c>
      <c r="F67" s="50" t="s">
        <v>108</v>
      </c>
      <c r="K67" s="26"/>
    </row>
    <row r="68" spans="2:11" x14ac:dyDescent="0.25">
      <c r="B68" s="25"/>
      <c r="C68" s="3" t="s">
        <v>110</v>
      </c>
      <c r="D68" s="12">
        <v>14</v>
      </c>
      <c r="E68" s="3" t="s">
        <v>14</v>
      </c>
      <c r="F68" s="50" t="s">
        <v>111</v>
      </c>
      <c r="K68" s="26"/>
    </row>
    <row r="69" spans="2:11" x14ac:dyDescent="0.25">
      <c r="B69" s="25"/>
      <c r="C69" s="3" t="s">
        <v>102</v>
      </c>
      <c r="D69" s="12">
        <v>20.6</v>
      </c>
      <c r="E69" s="3" t="s">
        <v>14</v>
      </c>
      <c r="F69" s="50" t="s">
        <v>103</v>
      </c>
      <c r="K69" s="26"/>
    </row>
    <row r="70" spans="2:11" x14ac:dyDescent="0.25">
      <c r="B70" s="25"/>
      <c r="C70" s="55" t="s">
        <v>92</v>
      </c>
      <c r="D70" s="54">
        <f>(D68/10*0.3*D10)/(D69/10*0.4*D9)</f>
        <v>0.71654706627268894</v>
      </c>
      <c r="E70" s="3" t="s">
        <v>82</v>
      </c>
      <c r="F70" s="76" t="s">
        <v>100</v>
      </c>
      <c r="K70" s="26"/>
    </row>
    <row r="71" spans="2:11" x14ac:dyDescent="0.25">
      <c r="B71" s="25"/>
      <c r="C71" s="3" t="s">
        <v>75</v>
      </c>
      <c r="D71" s="6">
        <f>1.4*D53</f>
        <v>214.55813953488371</v>
      </c>
      <c r="E71" s="3" t="s">
        <v>39</v>
      </c>
      <c r="F71" s="50" t="s">
        <v>104</v>
      </c>
      <c r="K71" s="26"/>
    </row>
    <row r="72" spans="2:11" x14ac:dyDescent="0.25">
      <c r="B72" s="25"/>
      <c r="C72" s="3" t="s">
        <v>105</v>
      </c>
      <c r="D72" s="10">
        <f>D66/10</f>
        <v>20.9</v>
      </c>
      <c r="E72" s="3" t="s">
        <v>117</v>
      </c>
      <c r="F72" s="76" t="s">
        <v>106</v>
      </c>
      <c r="K72" s="26"/>
    </row>
    <row r="73" spans="2:11" x14ac:dyDescent="0.25">
      <c r="B73" s="25"/>
      <c r="C73" s="3" t="s">
        <v>61</v>
      </c>
      <c r="D73" s="56">
        <v>1</v>
      </c>
      <c r="E73" s="3"/>
      <c r="F73" s="50" t="s">
        <v>116</v>
      </c>
      <c r="K73" s="26"/>
    </row>
    <row r="74" spans="2:11" x14ac:dyDescent="0.25">
      <c r="B74" s="25"/>
      <c r="C74" s="3" t="s">
        <v>114</v>
      </c>
      <c r="D74" s="40">
        <f>D73*D72*D68/10*0.3*D10</f>
        <v>425.73299999999995</v>
      </c>
      <c r="E74" s="3" t="s">
        <v>39</v>
      </c>
      <c r="F74" s="50" t="s">
        <v>115</v>
      </c>
      <c r="K74" s="26"/>
    </row>
    <row r="75" spans="2:11" x14ac:dyDescent="0.25">
      <c r="B75" s="25"/>
      <c r="C75" s="55" t="s">
        <v>92</v>
      </c>
      <c r="D75" s="54">
        <f>D71/D74</f>
        <v>0.50397347524125147</v>
      </c>
      <c r="E75" s="3" t="s">
        <v>82</v>
      </c>
      <c r="F75" s="50"/>
      <c r="K75" s="26"/>
    </row>
    <row r="76" spans="2:11" x14ac:dyDescent="0.25">
      <c r="B76" s="25"/>
      <c r="C76" s="3" t="s">
        <v>110</v>
      </c>
      <c r="D76" s="12">
        <v>8</v>
      </c>
      <c r="E76" s="3" t="s">
        <v>14</v>
      </c>
      <c r="F76" s="50" t="s">
        <v>111</v>
      </c>
      <c r="K76" s="26"/>
    </row>
    <row r="77" spans="2:11" x14ac:dyDescent="0.25">
      <c r="B77" s="25"/>
      <c r="C77" s="3" t="s">
        <v>109</v>
      </c>
      <c r="D77" s="12">
        <v>13</v>
      </c>
      <c r="E77" s="3" t="s">
        <v>14</v>
      </c>
      <c r="F77" s="50" t="s">
        <v>112</v>
      </c>
      <c r="K77" s="26"/>
    </row>
    <row r="78" spans="2:11" x14ac:dyDescent="0.25">
      <c r="B78" s="25"/>
      <c r="C78" s="55" t="s">
        <v>92</v>
      </c>
      <c r="D78" s="54">
        <f>(0.7*D76/10*0.3*D10)/(D77/10*0.4*D9)</f>
        <v>0.45418060200668892</v>
      </c>
      <c r="E78" s="3" t="s">
        <v>82</v>
      </c>
      <c r="F78" s="50" t="s">
        <v>100</v>
      </c>
      <c r="K78" s="26"/>
    </row>
    <row r="79" spans="2:11" x14ac:dyDescent="0.25">
      <c r="B79" s="25"/>
      <c r="C79" s="3" t="s">
        <v>105</v>
      </c>
      <c r="D79" s="10">
        <f>D67/10-3*D69/10-3*D69/10</f>
        <v>9.84</v>
      </c>
      <c r="E79" s="3" t="s">
        <v>117</v>
      </c>
      <c r="F79" s="76" t="s">
        <v>113</v>
      </c>
      <c r="K79" s="26"/>
    </row>
    <row r="80" spans="2:11" x14ac:dyDescent="0.25">
      <c r="B80" s="25"/>
      <c r="C80" s="3" t="s">
        <v>61</v>
      </c>
      <c r="D80" s="56">
        <v>2</v>
      </c>
      <c r="E80" s="3"/>
      <c r="F80" s="50" t="s">
        <v>116</v>
      </c>
      <c r="K80" s="26"/>
    </row>
    <row r="81" spans="2:11" x14ac:dyDescent="0.25">
      <c r="B81" s="25"/>
      <c r="C81" s="3" t="s">
        <v>114</v>
      </c>
      <c r="D81" s="57">
        <f>D80*D79*0.7*(D76-1.5)/10*0.3*D10</f>
        <v>130.28652</v>
      </c>
      <c r="E81" s="3" t="s">
        <v>39</v>
      </c>
      <c r="F81" s="50" t="s">
        <v>115</v>
      </c>
      <c r="K81" s="26"/>
    </row>
    <row r="82" spans="2:11" x14ac:dyDescent="0.25">
      <c r="B82" s="25"/>
      <c r="C82" s="3" t="s">
        <v>118</v>
      </c>
      <c r="D82" s="40">
        <f>D14</f>
        <v>18.89</v>
      </c>
      <c r="E82" s="3" t="s">
        <v>39</v>
      </c>
      <c r="F82" s="50" t="s">
        <v>115</v>
      </c>
      <c r="K82" s="26"/>
    </row>
    <row r="83" spans="2:11" x14ac:dyDescent="0.25">
      <c r="B83" s="25"/>
      <c r="C83" s="55" t="s">
        <v>92</v>
      </c>
      <c r="D83" s="54">
        <f>D82/D81</f>
        <v>0.14498813845054731</v>
      </c>
      <c r="E83" s="3" t="s">
        <v>82</v>
      </c>
      <c r="F83" s="50" t="s">
        <v>119</v>
      </c>
      <c r="K83" s="26"/>
    </row>
    <row r="84" spans="2:11" x14ac:dyDescent="0.25">
      <c r="B84" s="29"/>
      <c r="C84" s="30"/>
      <c r="D84" s="31"/>
      <c r="E84" s="31"/>
      <c r="F84" s="46"/>
      <c r="G84" s="31"/>
      <c r="H84" s="31"/>
      <c r="I84" s="31"/>
      <c r="J84" s="31"/>
      <c r="K84" s="32"/>
    </row>
    <row r="87" spans="2:11" x14ac:dyDescent="0.25">
      <c r="B87" s="21"/>
      <c r="C87" s="62" t="s">
        <v>28</v>
      </c>
      <c r="D87" s="62"/>
      <c r="E87" s="47"/>
      <c r="F87" s="2"/>
    </row>
    <row r="88" spans="2:11" x14ac:dyDescent="0.25">
      <c r="B88" s="35"/>
      <c r="C88" s="12"/>
      <c r="D88" s="41" t="s">
        <v>25</v>
      </c>
      <c r="E88" s="48"/>
      <c r="F88" s="2"/>
    </row>
    <row r="89" spans="2:11" x14ac:dyDescent="0.25">
      <c r="B89" s="25"/>
      <c r="C89" s="10"/>
      <c r="D89" s="41" t="s">
        <v>26</v>
      </c>
      <c r="E89" s="48"/>
      <c r="F89" s="2"/>
    </row>
    <row r="90" spans="2:11" x14ac:dyDescent="0.25">
      <c r="B90" s="25"/>
      <c r="C90" s="33"/>
      <c r="D90" s="41" t="s">
        <v>27</v>
      </c>
      <c r="E90" s="48"/>
      <c r="F90" s="2"/>
    </row>
    <row r="91" spans="2:11" x14ac:dyDescent="0.25">
      <c r="B91" s="25"/>
      <c r="C91" s="34"/>
      <c r="D91" s="41" t="s">
        <v>29</v>
      </c>
      <c r="E91" s="48"/>
      <c r="F91" s="2"/>
    </row>
    <row r="92" spans="2:11" x14ac:dyDescent="0.25">
      <c r="B92" s="29"/>
      <c r="C92" s="31"/>
      <c r="D92" s="31"/>
      <c r="E92" s="49"/>
      <c r="F92" s="2"/>
    </row>
    <row r="93" spans="2:11" x14ac:dyDescent="0.25">
      <c r="C93" s="2"/>
      <c r="E93" s="44"/>
      <c r="F93" s="2"/>
    </row>
    <row r="94" spans="2:11" x14ac:dyDescent="0.25">
      <c r="B94" s="1"/>
      <c r="C94" s="2"/>
      <c r="E94" s="44"/>
      <c r="F94" s="2"/>
    </row>
  </sheetData>
  <mergeCells count="5">
    <mergeCell ref="C3:J3"/>
    <mergeCell ref="C4:J4"/>
    <mergeCell ref="C5:J5"/>
    <mergeCell ref="C6:J6"/>
    <mergeCell ref="C87:D87"/>
  </mergeCells>
  <conditionalFormatting sqref="D34">
    <cfRule type="cellIs" dxfId="13" priority="13" operator="lessThan">
      <formula>1</formula>
    </cfRule>
    <cfRule type="cellIs" dxfId="12" priority="14" operator="greaterThan">
      <formula>1</formula>
    </cfRule>
  </conditionalFormatting>
  <conditionalFormatting sqref="D63">
    <cfRule type="cellIs" dxfId="11" priority="11" operator="lessThan">
      <formula>1</formula>
    </cfRule>
    <cfRule type="cellIs" dxfId="10" priority="12" operator="greaterThan">
      <formula>1</formula>
    </cfRule>
  </conditionalFormatting>
  <conditionalFormatting sqref="D70">
    <cfRule type="cellIs" dxfId="9" priority="9" operator="lessThan">
      <formula>1</formula>
    </cfRule>
    <cfRule type="cellIs" dxfId="8" priority="10" operator="greaterThan">
      <formula>1</formula>
    </cfRule>
  </conditionalFormatting>
  <conditionalFormatting sqref="D75">
    <cfRule type="cellIs" dxfId="7" priority="3" operator="lessThan">
      <formula>1</formula>
    </cfRule>
    <cfRule type="cellIs" dxfId="6" priority="4" operator="greaterThan">
      <formula>1</formula>
    </cfRule>
  </conditionalFormatting>
  <conditionalFormatting sqref="D78"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D83">
    <cfRule type="cellIs" dxfId="3" priority="5" operator="lessThan">
      <formula>1</formula>
    </cfRule>
    <cfRule type="cellIs" dxfId="2" priority="6" operator="greaterThan">
      <formula>1</formula>
    </cfRule>
  </conditionalFormatting>
  <conditionalFormatting sqref="D36">
    <cfRule type="cellIs" dxfId="1" priority="1" operator="lessThan">
      <formula>1</formula>
    </cfRule>
    <cfRule type="cellIs" dxfId="0" priority="2" operator="greaterThan">
      <formula>1</formula>
    </cfRule>
  </conditionalFormatting>
  <pageMargins left="0.511811024" right="0.511811024" top="0.78740157499999996" bottom="0.78740157499999996" header="0.31496062000000002" footer="0.31496062000000002"/>
  <pageSetup paperSize="9" scale="8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Drop Down 1">
              <controlPr defaultSize="0" autoLine="0" autoPict="0">
                <anchor moveWithCells="1">
                  <from>
                    <xdr:col>2</xdr:col>
                    <xdr:colOff>276225</xdr:colOff>
                    <xdr:row>7</xdr:row>
                    <xdr:rowOff>47625</xdr:rowOff>
                  </from>
                  <to>
                    <xdr:col>3</xdr:col>
                    <xdr:colOff>466725</xdr:colOff>
                    <xdr:row>7</xdr:row>
                    <xdr:rowOff>219075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8A73689-3F2D-4F3B-B1B0-3AC4C5CC7347}">
          <x14:formula1>
            <xm:f>CONCRETOS!$B$2:$B$6</xm:f>
          </x14:formula1>
          <xm:sqref>D61</xm:sqref>
        </x14:dataValidation>
        <x14:dataValidation type="list" allowBlank="1" showInputMessage="1" showErrorMessage="1" xr:uid="{3D9F8925-451D-442A-92B2-6A030DC32C20}">
          <x14:formula1>
            <xm:f>DIÂMETROS!$D$3:$D$15</xm:f>
          </x14:formula1>
          <xm:sqref>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F8FC-A4F7-4AD2-83CB-F5890770D11B}">
  <sheetPr>
    <pageSetUpPr fitToPage="1"/>
  </sheetPr>
  <dimension ref="B2:K94"/>
  <sheetViews>
    <sheetView tabSelected="1" topLeftCell="A6" zoomScaleNormal="100" workbookViewId="0">
      <selection activeCell="G64" sqref="G64"/>
    </sheetView>
  </sheetViews>
  <sheetFormatPr defaultRowHeight="15" x14ac:dyDescent="0.25"/>
  <cols>
    <col min="1" max="1" width="4.5703125" style="2" customWidth="1"/>
    <col min="2" max="2" width="2.7109375" style="2" customWidth="1"/>
    <col min="3" max="3" width="16.42578125" style="1" customWidth="1"/>
    <col min="4" max="4" width="13.7109375" style="2" customWidth="1"/>
    <col min="5" max="5" width="7.28515625" style="2" customWidth="1"/>
    <col min="6" max="6" width="9" style="44" customWidth="1"/>
    <col min="7" max="8" width="9.140625" style="2"/>
    <col min="9" max="9" width="6.5703125" style="2" bestFit="1" customWidth="1"/>
    <col min="10" max="10" width="11.5703125" style="2" customWidth="1"/>
    <col min="11" max="11" width="2.7109375" style="2" customWidth="1"/>
    <col min="12" max="12" width="3.42578125" style="2" customWidth="1"/>
    <col min="13" max="13" width="10.28515625" style="2" customWidth="1"/>
    <col min="14" max="15" width="9.140625" style="2"/>
    <col min="16" max="16" width="8.85546875" style="2" customWidth="1"/>
    <col min="17" max="19" width="9.140625" style="2"/>
    <col min="20" max="20" width="4.5703125" style="2" customWidth="1"/>
    <col min="21" max="21" width="5" style="2" customWidth="1"/>
    <col min="22" max="22" width="2.7109375" style="2" customWidth="1"/>
    <col min="23" max="16384" width="9.140625" style="2"/>
  </cols>
  <sheetData>
    <row r="2" spans="2:11" ht="6" customHeight="1" x14ac:dyDescent="0.25">
      <c r="B2" s="21"/>
      <c r="C2" s="22"/>
      <c r="D2" s="23"/>
      <c r="E2" s="23"/>
      <c r="F2" s="43"/>
      <c r="G2" s="23"/>
      <c r="H2" s="23"/>
      <c r="I2" s="23"/>
      <c r="J2" s="23"/>
      <c r="K2" s="24"/>
    </row>
    <row r="3" spans="2:11" ht="18.75" x14ac:dyDescent="0.3">
      <c r="B3" s="25"/>
      <c r="C3" s="60" t="s">
        <v>38</v>
      </c>
      <c r="D3" s="60"/>
      <c r="E3" s="60"/>
      <c r="F3" s="60"/>
      <c r="G3" s="60"/>
      <c r="H3" s="60"/>
      <c r="I3" s="60"/>
      <c r="J3" s="60"/>
      <c r="K3" s="26"/>
    </row>
    <row r="4" spans="2:11" ht="18.75" x14ac:dyDescent="0.3">
      <c r="B4" s="25"/>
      <c r="C4" s="60" t="s">
        <v>134</v>
      </c>
      <c r="D4" s="60"/>
      <c r="E4" s="60"/>
      <c r="F4" s="60"/>
      <c r="G4" s="60"/>
      <c r="H4" s="60"/>
      <c r="I4" s="60"/>
      <c r="J4" s="60"/>
      <c r="K4" s="26"/>
    </row>
    <row r="5" spans="2:11" ht="18.75" x14ac:dyDescent="0.3">
      <c r="B5" s="25"/>
      <c r="C5" s="60" t="s">
        <v>120</v>
      </c>
      <c r="D5" s="60"/>
      <c r="E5" s="60"/>
      <c r="F5" s="60"/>
      <c r="G5" s="60"/>
      <c r="H5" s="60"/>
      <c r="I5" s="60"/>
      <c r="J5" s="60"/>
      <c r="K5" s="26"/>
    </row>
    <row r="6" spans="2:11" x14ac:dyDescent="0.25">
      <c r="B6" s="25"/>
      <c r="C6" s="61" t="s">
        <v>48</v>
      </c>
      <c r="D6" s="61"/>
      <c r="E6" s="61"/>
      <c r="F6" s="61"/>
      <c r="G6" s="61"/>
      <c r="H6" s="61"/>
      <c r="I6" s="61"/>
      <c r="J6" s="61"/>
      <c r="K6" s="26"/>
    </row>
    <row r="7" spans="2:11" x14ac:dyDescent="0.25">
      <c r="B7" s="25"/>
      <c r="C7" s="19"/>
      <c r="K7" s="26"/>
    </row>
    <row r="8" spans="2:11" ht="19.5" customHeight="1" x14ac:dyDescent="0.25">
      <c r="B8" s="25"/>
      <c r="C8" s="20" t="s">
        <v>24</v>
      </c>
      <c r="D8" s="5"/>
      <c r="E8" s="5"/>
      <c r="K8" s="26"/>
    </row>
    <row r="9" spans="2:11" x14ac:dyDescent="0.25">
      <c r="B9" s="25"/>
      <c r="C9" s="3" t="s">
        <v>86</v>
      </c>
      <c r="D9" s="7">
        <f>AÇOS!C6</f>
        <v>34.5</v>
      </c>
      <c r="E9" s="4" t="s">
        <v>2</v>
      </c>
      <c r="K9" s="26"/>
    </row>
    <row r="10" spans="2:11" x14ac:dyDescent="0.25">
      <c r="B10" s="25"/>
      <c r="C10" s="3" t="s">
        <v>87</v>
      </c>
      <c r="D10" s="7">
        <f>AÇOS!D6</f>
        <v>48.5</v>
      </c>
      <c r="E10" s="4" t="s">
        <v>2</v>
      </c>
      <c r="K10" s="26"/>
    </row>
    <row r="11" spans="2:11" x14ac:dyDescent="0.25">
      <c r="B11" s="25"/>
      <c r="C11" s="8"/>
      <c r="D11" s="17"/>
      <c r="E11" s="17"/>
      <c r="K11" s="26"/>
    </row>
    <row r="12" spans="2:11" x14ac:dyDescent="0.25">
      <c r="B12" s="25"/>
      <c r="C12" s="9" t="s">
        <v>6</v>
      </c>
      <c r="D12" s="17"/>
      <c r="E12" s="17"/>
      <c r="K12" s="26"/>
    </row>
    <row r="13" spans="2:11" x14ac:dyDescent="0.25">
      <c r="B13" s="25"/>
      <c r="C13" s="3" t="s">
        <v>77</v>
      </c>
      <c r="D13" s="36">
        <v>900</v>
      </c>
      <c r="E13" s="3" t="s">
        <v>39</v>
      </c>
      <c r="F13" s="65">
        <f>D13*0.102</f>
        <v>91.8</v>
      </c>
      <c r="G13" s="2" t="s">
        <v>121</v>
      </c>
      <c r="K13" s="26"/>
    </row>
    <row r="14" spans="2:11" x14ac:dyDescent="0.25">
      <c r="B14" s="25"/>
      <c r="C14" s="3" t="s">
        <v>118</v>
      </c>
      <c r="D14" s="36">
        <v>48.6</v>
      </c>
      <c r="E14" s="3" t="s">
        <v>39</v>
      </c>
      <c r="F14" s="65">
        <f t="shared" ref="F14:F15" si="0">D14*0.102</f>
        <v>4.9571999999999994</v>
      </c>
      <c r="G14" s="2" t="s">
        <v>121</v>
      </c>
      <c r="K14" s="26"/>
    </row>
    <row r="15" spans="2:11" x14ac:dyDescent="0.25">
      <c r="B15" s="25"/>
      <c r="C15" s="3" t="s">
        <v>76</v>
      </c>
      <c r="D15" s="36">
        <v>45</v>
      </c>
      <c r="E15" s="3" t="s">
        <v>40</v>
      </c>
      <c r="F15" s="64">
        <f t="shared" si="0"/>
        <v>4.59</v>
      </c>
      <c r="G15" s="2" t="s">
        <v>122</v>
      </c>
      <c r="K15" s="26"/>
    </row>
    <row r="16" spans="2:11" x14ac:dyDescent="0.25">
      <c r="B16" s="25"/>
      <c r="K16" s="27"/>
    </row>
    <row r="17" spans="2:11" x14ac:dyDescent="0.25">
      <c r="B17" s="25"/>
      <c r="C17" s="9" t="s">
        <v>10</v>
      </c>
      <c r="D17" s="17"/>
      <c r="K17" s="27"/>
    </row>
    <row r="18" spans="2:11" x14ac:dyDescent="0.25">
      <c r="B18" s="25"/>
      <c r="C18" s="3" t="s">
        <v>11</v>
      </c>
      <c r="D18" s="11">
        <v>3</v>
      </c>
      <c r="E18" s="28" t="s">
        <v>13</v>
      </c>
      <c r="K18" s="27"/>
    </row>
    <row r="19" spans="2:11" x14ac:dyDescent="0.25">
      <c r="B19" s="25"/>
      <c r="C19" s="3" t="s">
        <v>12</v>
      </c>
      <c r="D19" s="3">
        <f>D18</f>
        <v>3</v>
      </c>
      <c r="E19" s="28" t="s">
        <v>41</v>
      </c>
      <c r="K19" s="27"/>
    </row>
    <row r="20" spans="2:11" x14ac:dyDescent="0.25">
      <c r="B20" s="25"/>
      <c r="K20" s="27"/>
    </row>
    <row r="21" spans="2:11" x14ac:dyDescent="0.25">
      <c r="B21" s="25"/>
      <c r="C21" s="9" t="s">
        <v>142</v>
      </c>
      <c r="D21" s="17"/>
      <c r="K21" s="26"/>
    </row>
    <row r="22" spans="2:11" x14ac:dyDescent="0.25">
      <c r="B22" s="25"/>
      <c r="C22" s="3" t="s">
        <v>42</v>
      </c>
      <c r="D22" s="36">
        <v>22.23</v>
      </c>
      <c r="E22" s="3" t="s">
        <v>14</v>
      </c>
      <c r="F22" s="45"/>
      <c r="K22" s="26"/>
    </row>
    <row r="23" spans="2:11" x14ac:dyDescent="0.25">
      <c r="B23" s="25"/>
      <c r="C23" s="55" t="s">
        <v>136</v>
      </c>
      <c r="D23" s="6">
        <f>D22*6.5</f>
        <v>144.495</v>
      </c>
      <c r="E23" s="3" t="s">
        <v>14</v>
      </c>
      <c r="F23" s="50" t="s">
        <v>46</v>
      </c>
      <c r="K23" s="26"/>
    </row>
    <row r="24" spans="2:11" x14ac:dyDescent="0.25">
      <c r="B24" s="25"/>
      <c r="C24" s="3" t="s">
        <v>139</v>
      </c>
      <c r="D24" s="11">
        <v>150</v>
      </c>
      <c r="E24" s="3" t="s">
        <v>14</v>
      </c>
      <c r="F24" s="50" t="s">
        <v>70</v>
      </c>
      <c r="K24" s="26"/>
    </row>
    <row r="25" spans="2:11" x14ac:dyDescent="0.25">
      <c r="B25" s="25"/>
      <c r="C25" s="55" t="s">
        <v>137</v>
      </c>
      <c r="D25" s="3">
        <f>D22*2</f>
        <v>44.46</v>
      </c>
      <c r="E25" s="3" t="s">
        <v>14</v>
      </c>
      <c r="F25" s="50" t="s">
        <v>47</v>
      </c>
      <c r="K25" s="26"/>
    </row>
    <row r="26" spans="2:11" x14ac:dyDescent="0.25">
      <c r="B26" s="25"/>
      <c r="C26" s="3" t="s">
        <v>138</v>
      </c>
      <c r="D26" s="11">
        <v>50</v>
      </c>
      <c r="E26" s="3"/>
      <c r="F26" s="50" t="s">
        <v>72</v>
      </c>
      <c r="K26" s="26"/>
    </row>
    <row r="27" spans="2:11" x14ac:dyDescent="0.25">
      <c r="B27" s="25"/>
      <c r="C27" s="3" t="s">
        <v>64</v>
      </c>
      <c r="D27" s="3">
        <f>D26</f>
        <v>50</v>
      </c>
      <c r="E27" s="3" t="s">
        <v>14</v>
      </c>
      <c r="F27" s="50" t="s">
        <v>65</v>
      </c>
      <c r="K27" s="26"/>
    </row>
    <row r="28" spans="2:11" x14ac:dyDescent="0.25">
      <c r="B28" s="25"/>
      <c r="C28" s="3" t="s">
        <v>68</v>
      </c>
      <c r="D28" s="7">
        <f>D48-2*D26</f>
        <v>322</v>
      </c>
      <c r="E28" s="3" t="s">
        <v>14</v>
      </c>
      <c r="F28" s="50" t="s">
        <v>67</v>
      </c>
      <c r="K28" s="26"/>
    </row>
    <row r="29" spans="2:11" x14ac:dyDescent="0.25">
      <c r="B29" s="25"/>
      <c r="C29" s="3" t="s">
        <v>140</v>
      </c>
      <c r="D29" s="6">
        <f>D15*100/(D28/10)</f>
        <v>139.75155279503105</v>
      </c>
      <c r="E29" s="3" t="s">
        <v>39</v>
      </c>
      <c r="F29" s="50" t="s">
        <v>74</v>
      </c>
      <c r="K29" s="26"/>
    </row>
    <row r="30" spans="2:11" x14ac:dyDescent="0.25">
      <c r="B30" s="25"/>
      <c r="C30" s="3" t="s">
        <v>78</v>
      </c>
      <c r="D30" s="40">
        <f>D29/D18</f>
        <v>46.583850931677013</v>
      </c>
      <c r="E30" s="3" t="s">
        <v>39</v>
      </c>
      <c r="F30" s="50" t="s">
        <v>74</v>
      </c>
      <c r="K30" s="26"/>
    </row>
    <row r="31" spans="2:11" x14ac:dyDescent="0.25">
      <c r="B31" s="25"/>
      <c r="C31" s="3" t="s">
        <v>145</v>
      </c>
      <c r="D31" s="40">
        <f>D14/D18</f>
        <v>16.2</v>
      </c>
      <c r="E31" s="3" t="s">
        <v>39</v>
      </c>
      <c r="F31" s="50"/>
      <c r="K31" s="26"/>
    </row>
    <row r="32" spans="2:11" x14ac:dyDescent="0.25">
      <c r="B32" s="25"/>
      <c r="C32" s="3" t="s">
        <v>79</v>
      </c>
      <c r="D32" s="40">
        <f>PI()*(D22/10)^2/4</f>
        <v>3.8812248806079084</v>
      </c>
      <c r="E32" s="3" t="s">
        <v>3</v>
      </c>
      <c r="F32" s="50"/>
      <c r="K32" s="26"/>
    </row>
    <row r="33" spans="2:11" x14ac:dyDescent="0.25">
      <c r="B33" s="25"/>
      <c r="C33" s="3" t="s">
        <v>80</v>
      </c>
      <c r="D33" s="40">
        <f>0.33*D10*D32</f>
        <v>62.119004214129568</v>
      </c>
      <c r="E33" s="3" t="s">
        <v>39</v>
      </c>
      <c r="F33" s="50" t="s">
        <v>81</v>
      </c>
      <c r="K33" s="26"/>
    </row>
    <row r="34" spans="2:11" x14ac:dyDescent="0.25">
      <c r="B34" s="25"/>
      <c r="C34" s="55" t="s">
        <v>92</v>
      </c>
      <c r="D34" s="54">
        <f>D30/D33</f>
        <v>0.74991303419962207</v>
      </c>
      <c r="E34" s="3" t="s">
        <v>82</v>
      </c>
      <c r="F34" s="50" t="s">
        <v>146</v>
      </c>
      <c r="K34" s="26"/>
    </row>
    <row r="35" spans="2:11" x14ac:dyDescent="0.25">
      <c r="B35" s="25"/>
      <c r="C35" s="3" t="s">
        <v>144</v>
      </c>
      <c r="D35" s="40">
        <f>0.33*D32*D9</f>
        <v>44.187745265721041</v>
      </c>
      <c r="E35" s="3" t="s">
        <v>39</v>
      </c>
      <c r="F35" s="50"/>
      <c r="K35" s="26"/>
    </row>
    <row r="36" spans="2:11" x14ac:dyDescent="0.25">
      <c r="B36" s="25"/>
      <c r="C36" s="55" t="s">
        <v>92</v>
      </c>
      <c r="D36" s="54">
        <f>D31/D35</f>
        <v>0.36661748415951118</v>
      </c>
      <c r="E36" s="3" t="s">
        <v>82</v>
      </c>
      <c r="F36" s="50" t="s">
        <v>147</v>
      </c>
      <c r="K36" s="26"/>
    </row>
    <row r="37" spans="2:11" x14ac:dyDescent="0.25">
      <c r="B37" s="25"/>
      <c r="C37" s="2"/>
      <c r="F37" s="51"/>
      <c r="K37" s="26"/>
    </row>
    <row r="38" spans="2:11" x14ac:dyDescent="0.25">
      <c r="B38" s="25"/>
      <c r="C38" s="9" t="s">
        <v>57</v>
      </c>
      <c r="D38" s="17"/>
      <c r="K38" s="26"/>
    </row>
    <row r="39" spans="2:11" x14ac:dyDescent="0.25">
      <c r="B39" s="25"/>
      <c r="C39" s="3" t="s">
        <v>131</v>
      </c>
      <c r="D39" s="11" t="s">
        <v>132</v>
      </c>
      <c r="E39" s="3"/>
      <c r="K39" s="26"/>
    </row>
    <row r="40" spans="2:11" x14ac:dyDescent="0.25">
      <c r="B40" s="25"/>
      <c r="C40" s="3" t="s">
        <v>58</v>
      </c>
      <c r="D40" s="11">
        <v>209</v>
      </c>
      <c r="E40" s="3" t="s">
        <v>14</v>
      </c>
      <c r="F40" s="45"/>
      <c r="K40" s="26"/>
    </row>
    <row r="41" spans="2:11" x14ac:dyDescent="0.25">
      <c r="B41" s="25"/>
      <c r="C41" s="3" t="s">
        <v>59</v>
      </c>
      <c r="D41" s="11">
        <v>222</v>
      </c>
      <c r="E41" s="3" t="s">
        <v>14</v>
      </c>
      <c r="F41" s="50"/>
      <c r="K41" s="26"/>
    </row>
    <row r="42" spans="2:11" x14ac:dyDescent="0.25">
      <c r="B42" s="25"/>
      <c r="C42" s="3" t="s">
        <v>60</v>
      </c>
      <c r="D42" s="7">
        <f>(D48-(0.95*D41))/2</f>
        <v>105.55000000000001</v>
      </c>
      <c r="E42" s="3" t="s">
        <v>14</v>
      </c>
      <c r="F42" s="50"/>
      <c r="K42" s="26"/>
    </row>
    <row r="43" spans="2:11" x14ac:dyDescent="0.25">
      <c r="B43" s="25"/>
      <c r="C43" s="3" t="s">
        <v>61</v>
      </c>
      <c r="D43" s="7">
        <f>(D48-(0.8*D40))/2</f>
        <v>127.39999999999999</v>
      </c>
      <c r="E43" s="3" t="s">
        <v>14</v>
      </c>
      <c r="F43" s="50"/>
      <c r="K43" s="26"/>
    </row>
    <row r="44" spans="2:11" x14ac:dyDescent="0.25">
      <c r="B44" s="25"/>
      <c r="C44" s="3" t="s">
        <v>66</v>
      </c>
      <c r="D44" s="7">
        <f>SQRT(D41*D40)/4</f>
        <v>53.850487462974741</v>
      </c>
      <c r="E44" s="3" t="s">
        <v>14</v>
      </c>
      <c r="F44" s="50"/>
      <c r="K44" s="26"/>
    </row>
    <row r="45" spans="2:11" x14ac:dyDescent="0.25">
      <c r="B45" s="25"/>
      <c r="C45" s="8"/>
      <c r="D45" s="8"/>
      <c r="E45" s="8"/>
      <c r="F45" s="50"/>
      <c r="K45" s="26"/>
    </row>
    <row r="46" spans="2:11" x14ac:dyDescent="0.25">
      <c r="B46" s="25"/>
      <c r="C46" s="9" t="s">
        <v>62</v>
      </c>
      <c r="D46" s="17"/>
      <c r="K46" s="26"/>
    </row>
    <row r="47" spans="2:11" x14ac:dyDescent="0.25">
      <c r="B47" s="25"/>
      <c r="C47" s="3" t="s">
        <v>51</v>
      </c>
      <c r="D47" s="42">
        <v>400</v>
      </c>
      <c r="E47" s="3" t="s">
        <v>14</v>
      </c>
      <c r="F47" s="45"/>
      <c r="K47" s="26"/>
    </row>
    <row r="48" spans="2:11" x14ac:dyDescent="0.25">
      <c r="B48" s="25"/>
      <c r="C48" s="3" t="s">
        <v>52</v>
      </c>
      <c r="D48" s="42">
        <v>422</v>
      </c>
      <c r="E48" s="3" t="s">
        <v>14</v>
      </c>
      <c r="F48" s="45"/>
      <c r="K48" s="26"/>
    </row>
    <row r="49" spans="2:11" x14ac:dyDescent="0.25">
      <c r="B49" s="25"/>
      <c r="C49" s="8"/>
      <c r="D49" s="17"/>
      <c r="E49" s="17"/>
      <c r="K49" s="26"/>
    </row>
    <row r="50" spans="2:11" x14ac:dyDescent="0.25">
      <c r="B50" s="25"/>
      <c r="C50" s="9" t="s">
        <v>143</v>
      </c>
      <c r="D50" s="17"/>
      <c r="K50" s="26"/>
    </row>
    <row r="51" spans="2:11" x14ac:dyDescent="0.25">
      <c r="B51" s="25"/>
      <c r="C51" s="3" t="s">
        <v>95</v>
      </c>
      <c r="D51" s="58">
        <f>0.75*D9</f>
        <v>25.875</v>
      </c>
      <c r="E51" s="3" t="s">
        <v>2</v>
      </c>
      <c r="F51" s="50" t="s">
        <v>96</v>
      </c>
      <c r="K51" s="26"/>
    </row>
    <row r="52" spans="2:11" x14ac:dyDescent="0.25">
      <c r="B52" s="25"/>
      <c r="C52" s="3" t="s">
        <v>141</v>
      </c>
      <c r="D52" s="12">
        <v>69</v>
      </c>
      <c r="E52" s="3" t="s">
        <v>14</v>
      </c>
      <c r="F52" s="50" t="s">
        <v>98</v>
      </c>
      <c r="K52" s="26"/>
    </row>
    <row r="53" spans="2:11" x14ac:dyDescent="0.25">
      <c r="B53" s="25"/>
      <c r="C53" s="3" t="s">
        <v>90</v>
      </c>
      <c r="D53" s="6">
        <f>D15*100/(D41/10)</f>
        <v>202.70270270270271</v>
      </c>
      <c r="E53" s="3" t="s">
        <v>39</v>
      </c>
      <c r="F53" s="50"/>
      <c r="K53" s="26"/>
    </row>
    <row r="54" spans="2:11" x14ac:dyDescent="0.25">
      <c r="B54" s="25"/>
      <c r="C54" s="3" t="s">
        <v>88</v>
      </c>
      <c r="D54" s="6">
        <f>D53*(D52/1000)</f>
        <v>13.986486486486488</v>
      </c>
      <c r="E54" s="3" t="s">
        <v>40</v>
      </c>
      <c r="F54" s="50"/>
      <c r="K54" s="26"/>
    </row>
    <row r="55" spans="2:11" x14ac:dyDescent="0.25">
      <c r="B55" s="25"/>
      <c r="C55" s="3" t="s">
        <v>97</v>
      </c>
      <c r="D55" s="6">
        <f>(SQRT((6*D54)/(D51*10*D48)))*1000</f>
        <v>27.722572984866371</v>
      </c>
      <c r="E55" s="3" t="s">
        <v>14</v>
      </c>
      <c r="F55" s="50"/>
      <c r="K55" s="26"/>
    </row>
    <row r="56" spans="2:11" x14ac:dyDescent="0.25">
      <c r="B56" s="25"/>
      <c r="C56" s="3" t="s">
        <v>97</v>
      </c>
      <c r="D56" s="58">
        <f>2*(D42/10)*SQRT(D60/D9)</f>
        <v>2.6243014436559959</v>
      </c>
      <c r="E56" s="3" t="s">
        <v>117</v>
      </c>
      <c r="F56" s="50"/>
      <c r="K56" s="26"/>
    </row>
    <row r="57" spans="2:11" x14ac:dyDescent="0.25">
      <c r="B57" s="25"/>
      <c r="C57" s="3" t="s">
        <v>85</v>
      </c>
      <c r="D57" s="10">
        <f>VLOOKUP((SQRT((6*D54)/(D51*10*D48)))*1000,DIÂMETROS!A3:D15,4)</f>
        <v>31.75</v>
      </c>
      <c r="E57" s="3" t="s">
        <v>14</v>
      </c>
      <c r="F57" s="50" t="s">
        <v>101</v>
      </c>
      <c r="K57" s="26"/>
    </row>
    <row r="58" spans="2:11" x14ac:dyDescent="0.25">
      <c r="B58" s="25"/>
      <c r="C58" s="8"/>
      <c r="D58" s="8"/>
      <c r="E58" s="8"/>
      <c r="F58" s="50"/>
      <c r="K58" s="26"/>
    </row>
    <row r="59" spans="2:11" x14ac:dyDescent="0.25">
      <c r="B59" s="25"/>
      <c r="C59" s="9" t="s">
        <v>148</v>
      </c>
      <c r="D59" s="17"/>
      <c r="K59" s="26"/>
    </row>
    <row r="60" spans="2:11" x14ac:dyDescent="0.25">
      <c r="B60" s="25"/>
      <c r="C60" s="3" t="s">
        <v>53</v>
      </c>
      <c r="D60" s="6">
        <f>D13/((D47/10)*(D48/10))</f>
        <v>0.53317535545023698</v>
      </c>
      <c r="E60" s="3" t="s">
        <v>2</v>
      </c>
      <c r="F60" s="52"/>
      <c r="K60" s="26"/>
    </row>
    <row r="61" spans="2:11" x14ac:dyDescent="0.25">
      <c r="B61" s="25"/>
      <c r="C61" s="3" t="s">
        <v>55</v>
      </c>
      <c r="D61" s="42">
        <v>30</v>
      </c>
      <c r="E61" s="3" t="s">
        <v>91</v>
      </c>
      <c r="F61" s="52"/>
      <c r="K61" s="26"/>
    </row>
    <row r="62" spans="2:11" x14ac:dyDescent="0.25">
      <c r="B62" s="25"/>
      <c r="C62" s="3" t="s">
        <v>94</v>
      </c>
      <c r="D62" s="6">
        <f>0.35*D61/10</f>
        <v>1.05</v>
      </c>
      <c r="E62" s="3" t="s">
        <v>2</v>
      </c>
      <c r="F62" s="52"/>
      <c r="K62" s="26"/>
    </row>
    <row r="63" spans="2:11" x14ac:dyDescent="0.25">
      <c r="B63" s="25"/>
      <c r="C63" s="55" t="s">
        <v>92</v>
      </c>
      <c r="D63" s="54">
        <f>D60/D62</f>
        <v>0.50778605280974953</v>
      </c>
      <c r="E63" s="3" t="s">
        <v>82</v>
      </c>
      <c r="F63" s="50" t="s">
        <v>93</v>
      </c>
      <c r="K63" s="26"/>
    </row>
    <row r="64" spans="2:11" x14ac:dyDescent="0.25">
      <c r="B64" s="25"/>
      <c r="C64" s="9"/>
      <c r="D64" s="17"/>
      <c r="K64" s="26"/>
    </row>
    <row r="65" spans="2:11" x14ac:dyDescent="0.25">
      <c r="B65" s="25"/>
      <c r="C65" s="9" t="s">
        <v>99</v>
      </c>
      <c r="D65" s="17"/>
      <c r="F65" s="50"/>
      <c r="K65" s="26"/>
    </row>
    <row r="66" spans="2:11" x14ac:dyDescent="0.25">
      <c r="B66" s="25"/>
      <c r="C66" s="3" t="s">
        <v>58</v>
      </c>
      <c r="D66" s="12">
        <v>209</v>
      </c>
      <c r="E66" s="3" t="s">
        <v>14</v>
      </c>
      <c r="F66" s="50" t="s">
        <v>107</v>
      </c>
      <c r="K66" s="26"/>
    </row>
    <row r="67" spans="2:11" x14ac:dyDescent="0.25">
      <c r="B67" s="25"/>
      <c r="C67" s="3" t="s">
        <v>59</v>
      </c>
      <c r="D67" s="12">
        <v>222</v>
      </c>
      <c r="E67" s="3" t="s">
        <v>14</v>
      </c>
      <c r="F67" s="50" t="s">
        <v>108</v>
      </c>
      <c r="K67" s="26"/>
    </row>
    <row r="68" spans="2:11" x14ac:dyDescent="0.25">
      <c r="B68" s="25"/>
      <c r="C68" s="3" t="s">
        <v>110</v>
      </c>
      <c r="D68" s="12">
        <v>14</v>
      </c>
      <c r="E68" s="3" t="s">
        <v>14</v>
      </c>
      <c r="F68" s="50" t="s">
        <v>111</v>
      </c>
      <c r="K68" s="26"/>
    </row>
    <row r="69" spans="2:11" x14ac:dyDescent="0.25">
      <c r="B69" s="25"/>
      <c r="C69" s="3" t="s">
        <v>102</v>
      </c>
      <c r="D69" s="12">
        <v>20.6</v>
      </c>
      <c r="E69" s="3" t="s">
        <v>14</v>
      </c>
      <c r="F69" s="50" t="s">
        <v>103</v>
      </c>
      <c r="K69" s="26"/>
    </row>
    <row r="70" spans="2:11" x14ac:dyDescent="0.25">
      <c r="B70" s="25"/>
      <c r="C70" s="55" t="s">
        <v>92</v>
      </c>
      <c r="D70" s="54">
        <f>(D68/10*0.3*D10)/(D69/10*0.4*D9)</f>
        <v>0.71654706627268894</v>
      </c>
      <c r="E70" s="3" t="s">
        <v>82</v>
      </c>
      <c r="F70" s="76" t="s">
        <v>100</v>
      </c>
      <c r="K70" s="26"/>
    </row>
    <row r="71" spans="2:11" x14ac:dyDescent="0.25">
      <c r="B71" s="25"/>
      <c r="C71" s="3" t="s">
        <v>75</v>
      </c>
      <c r="D71" s="6">
        <f>1.4*D53</f>
        <v>283.78378378378375</v>
      </c>
      <c r="E71" s="3" t="s">
        <v>39</v>
      </c>
      <c r="F71" s="50" t="s">
        <v>104</v>
      </c>
      <c r="K71" s="26"/>
    </row>
    <row r="72" spans="2:11" x14ac:dyDescent="0.25">
      <c r="B72" s="25"/>
      <c r="C72" s="3" t="s">
        <v>105</v>
      </c>
      <c r="D72" s="10">
        <f>D66/10</f>
        <v>20.9</v>
      </c>
      <c r="E72" s="3" t="s">
        <v>117</v>
      </c>
      <c r="F72" s="76" t="s">
        <v>106</v>
      </c>
      <c r="K72" s="26"/>
    </row>
    <row r="73" spans="2:11" x14ac:dyDescent="0.25">
      <c r="B73" s="25"/>
      <c r="C73" s="3" t="s">
        <v>61</v>
      </c>
      <c r="D73" s="56">
        <v>1</v>
      </c>
      <c r="E73" s="3"/>
      <c r="F73" s="50" t="s">
        <v>116</v>
      </c>
      <c r="K73" s="26"/>
    </row>
    <row r="74" spans="2:11" x14ac:dyDescent="0.25">
      <c r="B74" s="25"/>
      <c r="C74" s="3" t="s">
        <v>114</v>
      </c>
      <c r="D74" s="40">
        <f>D73*D72*D68/10*0.3*D10</f>
        <v>425.73299999999995</v>
      </c>
      <c r="E74" s="3" t="s">
        <v>39</v>
      </c>
      <c r="F74" s="50" t="s">
        <v>115</v>
      </c>
      <c r="K74" s="26"/>
    </row>
    <row r="75" spans="2:11" x14ac:dyDescent="0.25">
      <c r="B75" s="25"/>
      <c r="C75" s="55" t="s">
        <v>92</v>
      </c>
      <c r="D75" s="54">
        <f>D71/D74</f>
        <v>0.66657690097733502</v>
      </c>
      <c r="E75" s="3" t="s">
        <v>82</v>
      </c>
      <c r="F75" s="50"/>
      <c r="K75" s="26"/>
    </row>
    <row r="76" spans="2:11" x14ac:dyDescent="0.25">
      <c r="B76" s="25"/>
      <c r="C76" s="3" t="s">
        <v>110</v>
      </c>
      <c r="D76" s="12">
        <v>8</v>
      </c>
      <c r="E76" s="3" t="s">
        <v>14</v>
      </c>
      <c r="F76" s="50" t="s">
        <v>111</v>
      </c>
      <c r="K76" s="26"/>
    </row>
    <row r="77" spans="2:11" x14ac:dyDescent="0.25">
      <c r="B77" s="25"/>
      <c r="C77" s="3" t="s">
        <v>109</v>
      </c>
      <c r="D77" s="12">
        <v>13</v>
      </c>
      <c r="E77" s="3" t="s">
        <v>14</v>
      </c>
      <c r="F77" s="50" t="s">
        <v>112</v>
      </c>
      <c r="K77" s="26"/>
    </row>
    <row r="78" spans="2:11" x14ac:dyDescent="0.25">
      <c r="B78" s="25"/>
      <c r="C78" s="55" t="s">
        <v>92</v>
      </c>
      <c r="D78" s="54">
        <f>(0.7*D76/10*0.3*D10)/(D77/10*0.4*D9)</f>
        <v>0.45418060200668892</v>
      </c>
      <c r="E78" s="3" t="s">
        <v>82</v>
      </c>
      <c r="F78" s="50" t="s">
        <v>100</v>
      </c>
      <c r="K78" s="26"/>
    </row>
    <row r="79" spans="2:11" x14ac:dyDescent="0.25">
      <c r="B79" s="25"/>
      <c r="C79" s="3" t="s">
        <v>105</v>
      </c>
      <c r="D79" s="10">
        <f>D67/10-3*D69/10-3*D69/10</f>
        <v>9.84</v>
      </c>
      <c r="E79" s="3" t="s">
        <v>117</v>
      </c>
      <c r="F79" s="76" t="s">
        <v>113</v>
      </c>
      <c r="K79" s="26"/>
    </row>
    <row r="80" spans="2:11" x14ac:dyDescent="0.25">
      <c r="B80" s="25"/>
      <c r="C80" s="3" t="s">
        <v>61</v>
      </c>
      <c r="D80" s="56">
        <v>2</v>
      </c>
      <c r="E80" s="3"/>
      <c r="F80" s="50" t="s">
        <v>116</v>
      </c>
      <c r="K80" s="26"/>
    </row>
    <row r="81" spans="2:11" x14ac:dyDescent="0.25">
      <c r="B81" s="25"/>
      <c r="C81" s="3" t="s">
        <v>114</v>
      </c>
      <c r="D81" s="57">
        <f>D80*D79*0.7*(D76-1.5)/10*0.3*D10</f>
        <v>130.28652</v>
      </c>
      <c r="E81" s="3" t="s">
        <v>39</v>
      </c>
      <c r="F81" s="50" t="s">
        <v>115</v>
      </c>
      <c r="K81" s="26"/>
    </row>
    <row r="82" spans="2:11" x14ac:dyDescent="0.25">
      <c r="B82" s="25"/>
      <c r="C82" s="3" t="s">
        <v>118</v>
      </c>
      <c r="D82" s="40">
        <f>D14</f>
        <v>48.6</v>
      </c>
      <c r="E82" s="3" t="s">
        <v>39</v>
      </c>
      <c r="F82" s="50" t="s">
        <v>115</v>
      </c>
      <c r="K82" s="26"/>
    </row>
    <row r="83" spans="2:11" x14ac:dyDescent="0.25">
      <c r="B83" s="25"/>
      <c r="C83" s="55" t="s">
        <v>92</v>
      </c>
      <c r="D83" s="54">
        <f>D82/D81</f>
        <v>0.37302400893047111</v>
      </c>
      <c r="E83" s="3" t="s">
        <v>82</v>
      </c>
      <c r="F83" s="50" t="s">
        <v>119</v>
      </c>
      <c r="K83" s="26"/>
    </row>
    <row r="84" spans="2:11" x14ac:dyDescent="0.25">
      <c r="B84" s="29"/>
      <c r="C84" s="30"/>
      <c r="D84" s="31"/>
      <c r="E84" s="31"/>
      <c r="F84" s="46"/>
      <c r="G84" s="31"/>
      <c r="H84" s="31"/>
      <c r="I84" s="31"/>
      <c r="J84" s="31"/>
      <c r="K84" s="32"/>
    </row>
    <row r="87" spans="2:11" x14ac:dyDescent="0.25">
      <c r="B87" s="21"/>
      <c r="C87" s="62" t="s">
        <v>28</v>
      </c>
      <c r="D87" s="62"/>
      <c r="E87" s="47"/>
      <c r="F87" s="2"/>
    </row>
    <row r="88" spans="2:11" x14ac:dyDescent="0.25">
      <c r="B88" s="35"/>
      <c r="C88" s="12"/>
      <c r="D88" s="41" t="s">
        <v>25</v>
      </c>
      <c r="E88" s="48"/>
      <c r="F88" s="2"/>
    </row>
    <row r="89" spans="2:11" x14ac:dyDescent="0.25">
      <c r="B89" s="25"/>
      <c r="C89" s="10"/>
      <c r="D89" s="41" t="s">
        <v>26</v>
      </c>
      <c r="E89" s="48"/>
      <c r="F89" s="2"/>
    </row>
    <row r="90" spans="2:11" x14ac:dyDescent="0.25">
      <c r="B90" s="25"/>
      <c r="C90" s="33"/>
      <c r="D90" s="41" t="s">
        <v>27</v>
      </c>
      <c r="E90" s="48"/>
      <c r="F90" s="2"/>
    </row>
    <row r="91" spans="2:11" x14ac:dyDescent="0.25">
      <c r="B91" s="25"/>
      <c r="C91" s="34"/>
      <c r="D91" s="41" t="s">
        <v>29</v>
      </c>
      <c r="E91" s="48"/>
      <c r="F91" s="2"/>
    </row>
    <row r="92" spans="2:11" x14ac:dyDescent="0.25">
      <c r="B92" s="29"/>
      <c r="C92" s="31"/>
      <c r="D92" s="31"/>
      <c r="E92" s="49"/>
      <c r="F92" s="2"/>
    </row>
    <row r="93" spans="2:11" x14ac:dyDescent="0.25">
      <c r="C93" s="2"/>
      <c r="E93" s="44"/>
      <c r="F93" s="2"/>
    </row>
    <row r="94" spans="2:11" x14ac:dyDescent="0.25">
      <c r="B94" s="1"/>
      <c r="C94" s="2"/>
      <c r="E94" s="44"/>
      <c r="F94" s="2"/>
    </row>
  </sheetData>
  <mergeCells count="5">
    <mergeCell ref="C3:J3"/>
    <mergeCell ref="C4:J4"/>
    <mergeCell ref="C5:J5"/>
    <mergeCell ref="C6:J6"/>
    <mergeCell ref="C87:D87"/>
  </mergeCells>
  <conditionalFormatting sqref="D34">
    <cfRule type="cellIs" dxfId="39" priority="13" operator="lessThan">
      <formula>1</formula>
    </cfRule>
    <cfRule type="cellIs" dxfId="38" priority="14" operator="greaterThan">
      <formula>1</formula>
    </cfRule>
  </conditionalFormatting>
  <conditionalFormatting sqref="D63">
    <cfRule type="cellIs" dxfId="37" priority="11" operator="lessThan">
      <formula>1</formula>
    </cfRule>
    <cfRule type="cellIs" dxfId="36" priority="12" operator="greaterThan">
      <formula>1</formula>
    </cfRule>
  </conditionalFormatting>
  <conditionalFormatting sqref="D70">
    <cfRule type="cellIs" dxfId="35" priority="9" operator="lessThan">
      <formula>1</formula>
    </cfRule>
    <cfRule type="cellIs" dxfId="34" priority="10" operator="greaterThan">
      <formula>1</formula>
    </cfRule>
  </conditionalFormatting>
  <conditionalFormatting sqref="D75">
    <cfRule type="cellIs" dxfId="33" priority="3" operator="lessThan">
      <formula>1</formula>
    </cfRule>
    <cfRule type="cellIs" dxfId="32" priority="4" operator="greaterThan">
      <formula>1</formula>
    </cfRule>
  </conditionalFormatting>
  <conditionalFormatting sqref="D78">
    <cfRule type="cellIs" dxfId="31" priority="7" operator="lessThan">
      <formula>1</formula>
    </cfRule>
    <cfRule type="cellIs" dxfId="30" priority="8" operator="greaterThan">
      <formula>1</formula>
    </cfRule>
  </conditionalFormatting>
  <conditionalFormatting sqref="D83">
    <cfRule type="cellIs" dxfId="29" priority="5" operator="lessThan">
      <formula>1</formula>
    </cfRule>
    <cfRule type="cellIs" dxfId="28" priority="6" operator="greaterThan">
      <formula>1</formula>
    </cfRule>
  </conditionalFormatting>
  <conditionalFormatting sqref="D36">
    <cfRule type="cellIs" dxfId="27" priority="1" operator="lessThan">
      <formula>1</formula>
    </cfRule>
    <cfRule type="cellIs" dxfId="26" priority="2" operator="greaterThan">
      <formula>1</formula>
    </cfRule>
  </conditionalFormatting>
  <pageMargins left="0.511811024" right="0.511811024" top="0.78740157499999996" bottom="0.78740157499999996" header="0.31496062000000002" footer="0.31496062000000002"/>
  <pageSetup paperSize="9" scale="8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Drop Down 1">
              <controlPr defaultSize="0" autoLine="0" autoPict="0">
                <anchor moveWithCells="1">
                  <from>
                    <xdr:col>2</xdr:col>
                    <xdr:colOff>276225</xdr:colOff>
                    <xdr:row>7</xdr:row>
                    <xdr:rowOff>47625</xdr:rowOff>
                  </from>
                  <to>
                    <xdr:col>3</xdr:col>
                    <xdr:colOff>466725</xdr:colOff>
                    <xdr:row>7</xdr:row>
                    <xdr:rowOff>219075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2EAAA364-F8EF-485D-B2D2-A5D2F9A826AC}">
          <x14:formula1>
            <xm:f>DIÂMETROS!$D$3:$D$15</xm:f>
          </x14:formula1>
          <xm:sqref>D22</xm:sqref>
        </x14:dataValidation>
        <x14:dataValidation type="list" allowBlank="1" showInputMessage="1" showErrorMessage="1" xr:uid="{CF2EBE72-81F9-4E54-9ED1-83795765395C}">
          <x14:formula1>
            <xm:f>CONCRETOS!$B$2:$B$6</xm:f>
          </x14:formula1>
          <xm:sqref>D61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D6B5-1816-4CCF-BD89-0569CABC633A}">
  <sheetPr>
    <pageSetUpPr fitToPage="1"/>
  </sheetPr>
  <dimension ref="B2:K91"/>
  <sheetViews>
    <sheetView topLeftCell="A9" zoomScale="145" zoomScaleNormal="145" workbookViewId="0">
      <selection activeCell="D13" sqref="D13"/>
    </sheetView>
  </sheetViews>
  <sheetFormatPr defaultRowHeight="15" x14ac:dyDescent="0.25"/>
  <cols>
    <col min="1" max="1" width="4.5703125" style="2" customWidth="1"/>
    <col min="2" max="2" width="2.7109375" style="2" customWidth="1"/>
    <col min="3" max="3" width="9.85546875" style="1" customWidth="1"/>
    <col min="4" max="4" width="13.7109375" style="2" customWidth="1"/>
    <col min="5" max="5" width="7.28515625" style="2" customWidth="1"/>
    <col min="6" max="6" width="9" style="44" customWidth="1"/>
    <col min="7" max="8" width="9.140625" style="2"/>
    <col min="9" max="9" width="6.5703125" style="2" bestFit="1" customWidth="1"/>
    <col min="10" max="10" width="11.5703125" style="2" customWidth="1"/>
    <col min="11" max="11" width="2.7109375" style="2" customWidth="1"/>
    <col min="12" max="12" width="3.42578125" style="2" customWidth="1"/>
    <col min="13" max="13" width="10.28515625" style="2" customWidth="1"/>
    <col min="14" max="15" width="9.140625" style="2"/>
    <col min="16" max="16" width="8.85546875" style="2" customWidth="1"/>
    <col min="17" max="19" width="9.140625" style="2"/>
    <col min="20" max="20" width="4.5703125" style="2" customWidth="1"/>
    <col min="21" max="21" width="5" style="2" customWidth="1"/>
    <col min="22" max="22" width="2.7109375" style="2" customWidth="1"/>
    <col min="23" max="16384" width="9.140625" style="2"/>
  </cols>
  <sheetData>
    <row r="2" spans="2:11" ht="6" customHeight="1" x14ac:dyDescent="0.25">
      <c r="B2" s="21"/>
      <c r="C2" s="22"/>
      <c r="D2" s="23"/>
      <c r="E2" s="23"/>
      <c r="F2" s="43"/>
      <c r="G2" s="23"/>
      <c r="H2" s="23"/>
      <c r="I2" s="23"/>
      <c r="J2" s="23"/>
      <c r="K2" s="24"/>
    </row>
    <row r="3" spans="2:11" ht="18.75" x14ac:dyDescent="0.3">
      <c r="B3" s="25"/>
      <c r="C3" s="60" t="s">
        <v>38</v>
      </c>
      <c r="D3" s="60"/>
      <c r="E3" s="60"/>
      <c r="F3" s="60"/>
      <c r="G3" s="60"/>
      <c r="H3" s="60"/>
      <c r="I3" s="60"/>
      <c r="J3" s="60"/>
      <c r="K3" s="26"/>
    </row>
    <row r="4" spans="2:11" ht="18.75" x14ac:dyDescent="0.3">
      <c r="B4" s="25"/>
      <c r="C4" s="60" t="s">
        <v>135</v>
      </c>
      <c r="D4" s="60"/>
      <c r="E4" s="60"/>
      <c r="F4" s="60"/>
      <c r="G4" s="60"/>
      <c r="H4" s="60"/>
      <c r="I4" s="60"/>
      <c r="J4" s="60"/>
      <c r="K4" s="26"/>
    </row>
    <row r="5" spans="2:11" ht="18.75" x14ac:dyDescent="0.3">
      <c r="B5" s="25"/>
      <c r="C5" s="60" t="s">
        <v>120</v>
      </c>
      <c r="D5" s="60"/>
      <c r="E5" s="60"/>
      <c r="F5" s="60"/>
      <c r="G5" s="60"/>
      <c r="H5" s="60"/>
      <c r="I5" s="60"/>
      <c r="J5" s="60"/>
      <c r="K5" s="26"/>
    </row>
    <row r="6" spans="2:11" x14ac:dyDescent="0.25">
      <c r="B6" s="25"/>
      <c r="C6" s="61" t="s">
        <v>48</v>
      </c>
      <c r="D6" s="61"/>
      <c r="E6" s="61"/>
      <c r="F6" s="61"/>
      <c r="G6" s="61"/>
      <c r="H6" s="61"/>
      <c r="I6" s="61"/>
      <c r="J6" s="61"/>
      <c r="K6" s="26"/>
    </row>
    <row r="7" spans="2:11" x14ac:dyDescent="0.25">
      <c r="B7" s="25"/>
      <c r="C7" s="19"/>
      <c r="K7" s="26"/>
    </row>
    <row r="8" spans="2:11" ht="19.5" customHeight="1" x14ac:dyDescent="0.25">
      <c r="B8" s="25"/>
      <c r="C8" s="20" t="s">
        <v>24</v>
      </c>
      <c r="D8" s="5"/>
      <c r="E8" s="5"/>
      <c r="K8" s="26"/>
    </row>
    <row r="9" spans="2:11" x14ac:dyDescent="0.25">
      <c r="B9" s="25"/>
      <c r="C9" s="3" t="s">
        <v>86</v>
      </c>
      <c r="D9" s="7">
        <f>AÇOS!C6</f>
        <v>34.5</v>
      </c>
      <c r="E9" s="4" t="s">
        <v>2</v>
      </c>
      <c r="K9" s="26"/>
    </row>
    <row r="10" spans="2:11" x14ac:dyDescent="0.25">
      <c r="B10" s="25"/>
      <c r="C10" s="3" t="s">
        <v>87</v>
      </c>
      <c r="D10" s="7">
        <f>AÇOS!D6</f>
        <v>48.5</v>
      </c>
      <c r="E10" s="4" t="s">
        <v>2</v>
      </c>
      <c r="K10" s="26"/>
    </row>
    <row r="11" spans="2:11" x14ac:dyDescent="0.25">
      <c r="B11" s="25"/>
      <c r="C11" s="8"/>
      <c r="D11" s="17"/>
      <c r="E11" s="17"/>
      <c r="K11" s="26"/>
    </row>
    <row r="12" spans="2:11" x14ac:dyDescent="0.25">
      <c r="B12" s="25"/>
      <c r="C12" s="9" t="s">
        <v>6</v>
      </c>
      <c r="D12" s="17"/>
      <c r="E12" s="17"/>
      <c r="K12" s="26"/>
    </row>
    <row r="13" spans="2:11" x14ac:dyDescent="0.25">
      <c r="B13" s="25"/>
      <c r="C13" s="3" t="s">
        <v>77</v>
      </c>
      <c r="D13" s="36">
        <v>900</v>
      </c>
      <c r="E13" s="3" t="s">
        <v>39</v>
      </c>
      <c r="F13" s="65">
        <f>D13*0.102</f>
        <v>91.8</v>
      </c>
      <c r="G13" s="2" t="s">
        <v>121</v>
      </c>
      <c r="K13" s="26"/>
    </row>
    <row r="14" spans="2:11" x14ac:dyDescent="0.25">
      <c r="B14" s="25"/>
      <c r="C14" s="3" t="s">
        <v>118</v>
      </c>
      <c r="D14" s="36">
        <v>48.6</v>
      </c>
      <c r="E14" s="3" t="s">
        <v>39</v>
      </c>
      <c r="F14" s="65">
        <f t="shared" ref="F14:F15" si="0">D14*0.102</f>
        <v>4.9571999999999994</v>
      </c>
      <c r="G14" s="2" t="s">
        <v>121</v>
      </c>
      <c r="K14" s="26"/>
    </row>
    <row r="15" spans="2:11" x14ac:dyDescent="0.25">
      <c r="B15" s="25"/>
      <c r="C15" s="3" t="s">
        <v>76</v>
      </c>
      <c r="D15" s="36">
        <v>45</v>
      </c>
      <c r="E15" s="3" t="s">
        <v>40</v>
      </c>
      <c r="F15" s="64">
        <f t="shared" si="0"/>
        <v>4.59</v>
      </c>
      <c r="G15" s="2" t="s">
        <v>122</v>
      </c>
      <c r="K15" s="26"/>
    </row>
    <row r="16" spans="2:11" x14ac:dyDescent="0.25">
      <c r="B16" s="25"/>
      <c r="K16" s="27"/>
    </row>
    <row r="17" spans="2:11" x14ac:dyDescent="0.25">
      <c r="B17" s="25"/>
      <c r="C17" s="9" t="s">
        <v>10</v>
      </c>
      <c r="D17" s="17"/>
      <c r="K17" s="27"/>
    </row>
    <row r="18" spans="2:11" x14ac:dyDescent="0.25">
      <c r="B18" s="25"/>
      <c r="C18" s="3" t="s">
        <v>11</v>
      </c>
      <c r="D18" s="11">
        <v>2</v>
      </c>
      <c r="E18" s="28" t="s">
        <v>13</v>
      </c>
      <c r="K18" s="27"/>
    </row>
    <row r="19" spans="2:11" x14ac:dyDescent="0.25">
      <c r="B19" s="25"/>
      <c r="C19" s="3" t="s">
        <v>12</v>
      </c>
      <c r="D19" s="3">
        <f>D18</f>
        <v>2</v>
      </c>
      <c r="E19" s="28" t="s">
        <v>41</v>
      </c>
      <c r="K19" s="27"/>
    </row>
    <row r="20" spans="2:11" x14ac:dyDescent="0.25">
      <c r="B20" s="25"/>
      <c r="K20" s="27"/>
    </row>
    <row r="21" spans="2:11" x14ac:dyDescent="0.25">
      <c r="B21" s="25"/>
      <c r="C21" s="9" t="s">
        <v>56</v>
      </c>
      <c r="D21" s="17"/>
      <c r="K21" s="26"/>
    </row>
    <row r="22" spans="2:11" x14ac:dyDescent="0.25">
      <c r="B22" s="25"/>
      <c r="C22" s="3" t="s">
        <v>42</v>
      </c>
      <c r="D22" s="36">
        <v>25.4</v>
      </c>
      <c r="E22" s="3" t="s">
        <v>14</v>
      </c>
      <c r="F22" s="45"/>
      <c r="K22" s="26"/>
    </row>
    <row r="23" spans="2:11" x14ac:dyDescent="0.25">
      <c r="B23" s="25"/>
      <c r="C23" s="3" t="s">
        <v>44</v>
      </c>
      <c r="D23" s="6">
        <f>D22*6.5</f>
        <v>165.1</v>
      </c>
      <c r="E23" s="3" t="s">
        <v>14</v>
      </c>
      <c r="F23" s="50" t="s">
        <v>46</v>
      </c>
      <c r="K23" s="26"/>
    </row>
    <row r="24" spans="2:11" x14ac:dyDescent="0.25">
      <c r="B24" s="25"/>
      <c r="C24" s="3" t="s">
        <v>69</v>
      </c>
      <c r="D24" s="11">
        <v>150</v>
      </c>
      <c r="E24" s="3" t="s">
        <v>14</v>
      </c>
      <c r="F24" s="50" t="s">
        <v>70</v>
      </c>
      <c r="K24" s="26"/>
    </row>
    <row r="25" spans="2:11" x14ac:dyDescent="0.25">
      <c r="B25" s="25"/>
      <c r="C25" s="3" t="s">
        <v>71</v>
      </c>
      <c r="D25" s="3">
        <f>D22*2</f>
        <v>50.8</v>
      </c>
      <c r="E25" s="3" t="s">
        <v>14</v>
      </c>
      <c r="F25" s="50" t="s">
        <v>47</v>
      </c>
      <c r="K25" s="26"/>
    </row>
    <row r="26" spans="2:11" x14ac:dyDescent="0.25">
      <c r="B26" s="25"/>
      <c r="C26" s="3" t="s">
        <v>45</v>
      </c>
      <c r="D26" s="11">
        <v>50</v>
      </c>
      <c r="E26" s="3"/>
      <c r="F26" s="50" t="s">
        <v>72</v>
      </c>
      <c r="K26" s="26"/>
    </row>
    <row r="27" spans="2:11" x14ac:dyDescent="0.25">
      <c r="B27" s="25"/>
      <c r="C27" s="3" t="s">
        <v>64</v>
      </c>
      <c r="D27" s="3">
        <f>D26</f>
        <v>50</v>
      </c>
      <c r="E27" s="3" t="s">
        <v>14</v>
      </c>
      <c r="F27" s="50" t="s">
        <v>65</v>
      </c>
      <c r="K27" s="26"/>
    </row>
    <row r="28" spans="2:11" x14ac:dyDescent="0.25">
      <c r="B28" s="25"/>
      <c r="C28" s="3" t="s">
        <v>68</v>
      </c>
      <c r="D28" s="7">
        <f>D45-2*D26</f>
        <v>322</v>
      </c>
      <c r="E28" s="3" t="s">
        <v>14</v>
      </c>
      <c r="F28" s="50" t="s">
        <v>67</v>
      </c>
      <c r="K28" s="26"/>
    </row>
    <row r="29" spans="2:11" x14ac:dyDescent="0.25">
      <c r="B29" s="25"/>
      <c r="C29" s="3" t="s">
        <v>73</v>
      </c>
      <c r="D29" s="6">
        <f>D15*100/(D28/10)</f>
        <v>139.75155279503105</v>
      </c>
      <c r="E29" s="3" t="s">
        <v>39</v>
      </c>
      <c r="F29" s="50" t="s">
        <v>74</v>
      </c>
      <c r="K29" s="26"/>
    </row>
    <row r="30" spans="2:11" x14ac:dyDescent="0.25">
      <c r="B30" s="25"/>
      <c r="C30" s="3" t="s">
        <v>78</v>
      </c>
      <c r="D30" s="40">
        <f>D29/D18</f>
        <v>69.875776397515523</v>
      </c>
      <c r="E30" s="3" t="s">
        <v>39</v>
      </c>
      <c r="F30" s="50" t="s">
        <v>74</v>
      </c>
      <c r="K30" s="26"/>
    </row>
    <row r="31" spans="2:11" x14ac:dyDescent="0.25">
      <c r="B31" s="25"/>
      <c r="C31" s="3" t="s">
        <v>79</v>
      </c>
      <c r="D31" s="40">
        <f>PI()*(D22/10)^2/4</f>
        <v>5.0670747909749769</v>
      </c>
      <c r="E31" s="3" t="s">
        <v>3</v>
      </c>
      <c r="F31" s="50"/>
      <c r="K31" s="26"/>
    </row>
    <row r="32" spans="2:11" x14ac:dyDescent="0.25">
      <c r="B32" s="25"/>
      <c r="C32" s="3" t="s">
        <v>80</v>
      </c>
      <c r="D32" s="40">
        <f>0.33*D10*D31</f>
        <v>81.098532029554505</v>
      </c>
      <c r="E32" s="3" t="s">
        <v>39</v>
      </c>
      <c r="F32" s="50" t="s">
        <v>81</v>
      </c>
      <c r="K32" s="26"/>
    </row>
    <row r="33" spans="2:11" x14ac:dyDescent="0.25">
      <c r="B33" s="25"/>
      <c r="C33" s="55" t="s">
        <v>92</v>
      </c>
      <c r="D33" s="54">
        <f>D30/D32</f>
        <v>0.86161579807697253</v>
      </c>
      <c r="E33" s="3" t="s">
        <v>82</v>
      </c>
      <c r="F33" s="50" t="s">
        <v>83</v>
      </c>
      <c r="K33" s="26"/>
    </row>
    <row r="34" spans="2:11" x14ac:dyDescent="0.25">
      <c r="B34" s="25"/>
      <c r="C34" s="2"/>
      <c r="F34" s="51"/>
      <c r="K34" s="26"/>
    </row>
    <row r="35" spans="2:11" x14ac:dyDescent="0.25">
      <c r="B35" s="25"/>
      <c r="C35" s="9" t="s">
        <v>57</v>
      </c>
      <c r="D35" s="17"/>
      <c r="K35" s="26"/>
    </row>
    <row r="36" spans="2:11" x14ac:dyDescent="0.25">
      <c r="B36" s="25"/>
      <c r="C36" s="3" t="s">
        <v>131</v>
      </c>
      <c r="D36" s="11" t="s">
        <v>132</v>
      </c>
      <c r="E36" s="3"/>
      <c r="K36" s="26"/>
    </row>
    <row r="37" spans="2:11" x14ac:dyDescent="0.25">
      <c r="B37" s="25"/>
      <c r="C37" s="3" t="s">
        <v>58</v>
      </c>
      <c r="D37" s="11">
        <v>209</v>
      </c>
      <c r="E37" s="3" t="s">
        <v>14</v>
      </c>
      <c r="F37" s="45"/>
      <c r="K37" s="26"/>
    </row>
    <row r="38" spans="2:11" x14ac:dyDescent="0.25">
      <c r="B38" s="25"/>
      <c r="C38" s="3" t="s">
        <v>59</v>
      </c>
      <c r="D38" s="11">
        <v>222</v>
      </c>
      <c r="E38" s="3" t="s">
        <v>14</v>
      </c>
      <c r="F38" s="50"/>
      <c r="K38" s="26"/>
    </row>
    <row r="39" spans="2:11" x14ac:dyDescent="0.25">
      <c r="B39" s="25"/>
      <c r="C39" s="3" t="s">
        <v>60</v>
      </c>
      <c r="D39" s="7">
        <f>(D45-(0.95*D38))/2</f>
        <v>105.55000000000001</v>
      </c>
      <c r="E39" s="3" t="s">
        <v>14</v>
      </c>
      <c r="F39" s="50"/>
      <c r="K39" s="26"/>
    </row>
    <row r="40" spans="2:11" x14ac:dyDescent="0.25">
      <c r="B40" s="25"/>
      <c r="C40" s="3" t="s">
        <v>61</v>
      </c>
      <c r="D40" s="7">
        <f>(D45-(0.8*D37))/2</f>
        <v>127.39999999999999</v>
      </c>
      <c r="E40" s="3" t="s">
        <v>14</v>
      </c>
      <c r="F40" s="50"/>
      <c r="K40" s="26"/>
    </row>
    <row r="41" spans="2:11" x14ac:dyDescent="0.25">
      <c r="B41" s="25"/>
      <c r="C41" s="3" t="s">
        <v>66</v>
      </c>
      <c r="D41" s="7">
        <f>SQRT(D38*D37)/4</f>
        <v>53.850487462974741</v>
      </c>
      <c r="E41" s="3" t="s">
        <v>14</v>
      </c>
      <c r="F41" s="50"/>
      <c r="K41" s="26"/>
    </row>
    <row r="42" spans="2:11" x14ac:dyDescent="0.25">
      <c r="B42" s="25"/>
      <c r="C42" s="8"/>
      <c r="D42" s="8"/>
      <c r="E42" s="8"/>
      <c r="F42" s="50"/>
      <c r="K42" s="26"/>
    </row>
    <row r="43" spans="2:11" x14ac:dyDescent="0.25">
      <c r="B43" s="25"/>
      <c r="C43" s="9" t="s">
        <v>62</v>
      </c>
      <c r="D43" s="17"/>
      <c r="K43" s="26"/>
    </row>
    <row r="44" spans="2:11" x14ac:dyDescent="0.25">
      <c r="B44" s="25"/>
      <c r="C44" s="3" t="s">
        <v>51</v>
      </c>
      <c r="D44" s="42">
        <v>400</v>
      </c>
      <c r="E44" s="3" t="s">
        <v>14</v>
      </c>
      <c r="F44" s="45"/>
      <c r="K44" s="26"/>
    </row>
    <row r="45" spans="2:11" x14ac:dyDescent="0.25">
      <c r="B45" s="25"/>
      <c r="C45" s="3" t="s">
        <v>52</v>
      </c>
      <c r="D45" s="42">
        <v>422</v>
      </c>
      <c r="E45" s="3" t="s">
        <v>14</v>
      </c>
      <c r="F45" s="45"/>
      <c r="K45" s="26"/>
    </row>
    <row r="46" spans="2:11" x14ac:dyDescent="0.25">
      <c r="B46" s="25"/>
      <c r="C46" s="3" t="s">
        <v>53</v>
      </c>
      <c r="D46" s="6" t="s">
        <v>119</v>
      </c>
      <c r="E46" s="3"/>
      <c r="F46" s="45"/>
      <c r="K46" s="26"/>
    </row>
    <row r="47" spans="2:11" x14ac:dyDescent="0.25">
      <c r="B47" s="25"/>
      <c r="C47" s="3" t="s">
        <v>133</v>
      </c>
      <c r="D47" s="6"/>
      <c r="E47" s="3"/>
      <c r="F47" s="45"/>
      <c r="K47" s="26"/>
    </row>
    <row r="48" spans="2:11" x14ac:dyDescent="0.25">
      <c r="B48" s="25"/>
      <c r="C48" s="3" t="s">
        <v>53</v>
      </c>
      <c r="D48" s="6">
        <f>D13/((D44/10)*(D45/10))</f>
        <v>0.53317535545023698</v>
      </c>
      <c r="E48" s="3" t="s">
        <v>2</v>
      </c>
      <c r="F48" s="52"/>
      <c r="K48" s="26"/>
    </row>
    <row r="49" spans="2:11" x14ac:dyDescent="0.25">
      <c r="B49" s="25"/>
      <c r="C49" s="3" t="s">
        <v>55</v>
      </c>
      <c r="D49" s="42">
        <v>30</v>
      </c>
      <c r="E49" s="3" t="s">
        <v>91</v>
      </c>
      <c r="F49" s="52"/>
      <c r="K49" s="26"/>
    </row>
    <row r="50" spans="2:11" x14ac:dyDescent="0.25">
      <c r="B50" s="25"/>
      <c r="C50" s="3" t="s">
        <v>94</v>
      </c>
      <c r="D50" s="6">
        <f>0.35*D49/10</f>
        <v>1.05</v>
      </c>
      <c r="E50" s="3" t="s">
        <v>2</v>
      </c>
      <c r="F50" s="52"/>
      <c r="K50" s="26"/>
    </row>
    <row r="51" spans="2:11" x14ac:dyDescent="0.25">
      <c r="B51" s="25"/>
      <c r="C51" s="55" t="s">
        <v>92</v>
      </c>
      <c r="D51" s="54">
        <f>D48/D50</f>
        <v>0.50778605280974953</v>
      </c>
      <c r="E51" s="3" t="s">
        <v>82</v>
      </c>
      <c r="F51" s="50" t="s">
        <v>93</v>
      </c>
      <c r="K51" s="26"/>
    </row>
    <row r="52" spans="2:11" x14ac:dyDescent="0.25">
      <c r="B52" s="25"/>
      <c r="C52" s="8"/>
      <c r="D52" s="17"/>
      <c r="E52" s="17"/>
      <c r="K52" s="26"/>
    </row>
    <row r="53" spans="2:11" x14ac:dyDescent="0.25">
      <c r="B53" s="25"/>
      <c r="C53" s="9" t="s">
        <v>84</v>
      </c>
      <c r="D53" s="17"/>
      <c r="K53" s="26"/>
    </row>
    <row r="54" spans="2:11" x14ac:dyDescent="0.25">
      <c r="B54" s="25"/>
      <c r="C54" s="3" t="s">
        <v>95</v>
      </c>
      <c r="D54" s="7">
        <f>0.75*D9</f>
        <v>25.875</v>
      </c>
      <c r="E54" s="3" t="s">
        <v>2</v>
      </c>
      <c r="F54" s="50" t="s">
        <v>96</v>
      </c>
      <c r="K54" s="26"/>
    </row>
    <row r="55" spans="2:11" x14ac:dyDescent="0.25">
      <c r="B55" s="25"/>
      <c r="C55" s="3" t="s">
        <v>89</v>
      </c>
      <c r="D55" s="12">
        <v>68</v>
      </c>
      <c r="E55" s="3" t="s">
        <v>14</v>
      </c>
      <c r="F55" s="50" t="s">
        <v>98</v>
      </c>
      <c r="K55" s="26"/>
    </row>
    <row r="56" spans="2:11" x14ac:dyDescent="0.25">
      <c r="B56" s="25"/>
      <c r="C56" s="3" t="s">
        <v>90</v>
      </c>
      <c r="D56" s="6">
        <f>(D15*100)/(D38/10)</f>
        <v>202.70270270270271</v>
      </c>
      <c r="E56" s="3" t="s">
        <v>39</v>
      </c>
      <c r="F56" s="50"/>
      <c r="K56" s="26"/>
    </row>
    <row r="57" spans="2:11" x14ac:dyDescent="0.25">
      <c r="B57" s="25"/>
      <c r="C57" s="3" t="s">
        <v>88</v>
      </c>
      <c r="D57" s="6">
        <f>D56*(D55/1000)</f>
        <v>13.783783783783786</v>
      </c>
      <c r="E57" s="3" t="s">
        <v>40</v>
      </c>
      <c r="F57" s="50"/>
      <c r="K57" s="26"/>
    </row>
    <row r="58" spans="2:11" x14ac:dyDescent="0.25">
      <c r="B58" s="25"/>
      <c r="C58" s="3" t="s">
        <v>97</v>
      </c>
      <c r="D58" s="6">
        <f>(SQRT((6*D57)/(D54*10*D45)))*1000</f>
        <v>27.520951596415394</v>
      </c>
      <c r="E58" s="3" t="s">
        <v>14</v>
      </c>
      <c r="F58" s="50"/>
      <c r="K58" s="26"/>
    </row>
    <row r="59" spans="2:11" x14ac:dyDescent="0.25">
      <c r="B59" s="25"/>
      <c r="C59" s="3" t="s">
        <v>97</v>
      </c>
      <c r="D59" s="58">
        <f>2*(D39/10)*SQRT(D48/D9)</f>
        <v>2.6243014436559959</v>
      </c>
      <c r="E59" s="3" t="s">
        <v>117</v>
      </c>
      <c r="F59" s="50"/>
      <c r="K59" s="26"/>
    </row>
    <row r="60" spans="2:11" x14ac:dyDescent="0.25">
      <c r="B60" s="25"/>
      <c r="C60" s="3" t="s">
        <v>85</v>
      </c>
      <c r="D60" s="10">
        <f>VLOOKUP((SQRT((6*D57)/(D54*10*D45)))*1000,DIÂMETROS!A3:D15,4)</f>
        <v>31.75</v>
      </c>
      <c r="E60" s="3" t="s">
        <v>14</v>
      </c>
      <c r="F60" s="50" t="s">
        <v>101</v>
      </c>
      <c r="K60" s="26"/>
    </row>
    <row r="61" spans="2:11" x14ac:dyDescent="0.25">
      <c r="B61" s="25"/>
      <c r="C61" s="8"/>
      <c r="D61" s="8"/>
      <c r="E61" s="8"/>
      <c r="F61" s="50"/>
      <c r="K61" s="26"/>
    </row>
    <row r="62" spans="2:11" x14ac:dyDescent="0.25">
      <c r="B62" s="25"/>
      <c r="C62" s="9" t="s">
        <v>99</v>
      </c>
      <c r="D62" s="17"/>
      <c r="F62" s="50"/>
      <c r="K62" s="26"/>
    </row>
    <row r="63" spans="2:11" x14ac:dyDescent="0.25">
      <c r="B63" s="25"/>
      <c r="C63" s="3" t="s">
        <v>58</v>
      </c>
      <c r="D63" s="12">
        <v>209</v>
      </c>
      <c r="E63" s="3" t="s">
        <v>14</v>
      </c>
      <c r="F63" s="50" t="s">
        <v>107</v>
      </c>
      <c r="K63" s="26"/>
    </row>
    <row r="64" spans="2:11" x14ac:dyDescent="0.25">
      <c r="B64" s="25"/>
      <c r="C64" s="3" t="s">
        <v>59</v>
      </c>
      <c r="D64" s="12">
        <v>222</v>
      </c>
      <c r="E64" s="3" t="s">
        <v>14</v>
      </c>
      <c r="F64" s="50" t="s">
        <v>108</v>
      </c>
      <c r="K64" s="26"/>
    </row>
    <row r="65" spans="2:11" x14ac:dyDescent="0.25">
      <c r="B65" s="25"/>
      <c r="C65" s="3" t="s">
        <v>110</v>
      </c>
      <c r="D65" s="12">
        <v>14</v>
      </c>
      <c r="E65" s="3" t="s">
        <v>14</v>
      </c>
      <c r="F65" s="50" t="s">
        <v>111</v>
      </c>
      <c r="K65" s="26"/>
    </row>
    <row r="66" spans="2:11" x14ac:dyDescent="0.25">
      <c r="B66" s="25"/>
      <c r="C66" s="3" t="s">
        <v>102</v>
      </c>
      <c r="D66" s="12">
        <v>20.6</v>
      </c>
      <c r="E66" s="3" t="s">
        <v>14</v>
      </c>
      <c r="F66" s="50" t="s">
        <v>103</v>
      </c>
      <c r="K66" s="26"/>
    </row>
    <row r="67" spans="2:11" x14ac:dyDescent="0.25">
      <c r="B67" s="25"/>
      <c r="C67" s="55" t="s">
        <v>92</v>
      </c>
      <c r="D67" s="54">
        <f>(D65/10*0.3*D10)/(D66/10*0.4*D9)</f>
        <v>0.71654706627268894</v>
      </c>
      <c r="E67" s="3" t="s">
        <v>82</v>
      </c>
      <c r="F67" s="50" t="s">
        <v>100</v>
      </c>
      <c r="K67" s="26"/>
    </row>
    <row r="68" spans="2:11" x14ac:dyDescent="0.25">
      <c r="B68" s="25"/>
      <c r="C68" s="3" t="s">
        <v>75</v>
      </c>
      <c r="D68" s="6">
        <f>1.4*D56</f>
        <v>283.78378378378375</v>
      </c>
      <c r="E68" s="3" t="s">
        <v>39</v>
      </c>
      <c r="F68" s="50" t="s">
        <v>104</v>
      </c>
      <c r="K68" s="26"/>
    </row>
    <row r="69" spans="2:11" x14ac:dyDescent="0.25">
      <c r="B69" s="25"/>
      <c r="C69" s="3" t="s">
        <v>105</v>
      </c>
      <c r="D69" s="10">
        <f>D63/10</f>
        <v>20.9</v>
      </c>
      <c r="E69" s="3" t="s">
        <v>117</v>
      </c>
      <c r="F69" s="50" t="s">
        <v>106</v>
      </c>
      <c r="K69" s="26"/>
    </row>
    <row r="70" spans="2:11" x14ac:dyDescent="0.25">
      <c r="B70" s="25"/>
      <c r="C70" s="3" t="s">
        <v>61</v>
      </c>
      <c r="D70" s="56">
        <v>1</v>
      </c>
      <c r="E70" s="3"/>
      <c r="F70" s="50" t="s">
        <v>116</v>
      </c>
      <c r="K70" s="26"/>
    </row>
    <row r="71" spans="2:11" x14ac:dyDescent="0.25">
      <c r="B71" s="25"/>
      <c r="C71" s="3" t="s">
        <v>114</v>
      </c>
      <c r="D71" s="40">
        <f>D70*D69*D65/10*0.3*D10</f>
        <v>425.73299999999995</v>
      </c>
      <c r="E71" s="3" t="s">
        <v>39</v>
      </c>
      <c r="F71" s="50" t="s">
        <v>115</v>
      </c>
      <c r="K71" s="26"/>
    </row>
    <row r="72" spans="2:11" x14ac:dyDescent="0.25">
      <c r="B72" s="25"/>
      <c r="C72" s="55" t="s">
        <v>92</v>
      </c>
      <c r="D72" s="54">
        <f>D68/D71</f>
        <v>0.66657690097733502</v>
      </c>
      <c r="E72" s="3" t="s">
        <v>82</v>
      </c>
      <c r="F72" s="50"/>
      <c r="K72" s="26"/>
    </row>
    <row r="73" spans="2:11" x14ac:dyDescent="0.25">
      <c r="B73" s="25"/>
      <c r="C73" s="3" t="s">
        <v>110</v>
      </c>
      <c r="D73" s="12">
        <v>8</v>
      </c>
      <c r="E73" s="3" t="s">
        <v>14</v>
      </c>
      <c r="F73" s="50" t="s">
        <v>111</v>
      </c>
      <c r="K73" s="26"/>
    </row>
    <row r="74" spans="2:11" x14ac:dyDescent="0.25">
      <c r="B74" s="25"/>
      <c r="C74" s="3" t="s">
        <v>109</v>
      </c>
      <c r="D74" s="12">
        <v>13</v>
      </c>
      <c r="E74" s="3" t="s">
        <v>14</v>
      </c>
      <c r="F74" s="50" t="s">
        <v>112</v>
      </c>
      <c r="K74" s="26"/>
    </row>
    <row r="75" spans="2:11" x14ac:dyDescent="0.25">
      <c r="B75" s="25"/>
      <c r="C75" s="55" t="s">
        <v>92</v>
      </c>
      <c r="D75" s="54">
        <f>(0.7*D73/10*0.3*D10)/(D74/10*0.4*D9)</f>
        <v>0.45418060200668892</v>
      </c>
      <c r="E75" s="3" t="s">
        <v>82</v>
      </c>
      <c r="F75" s="50" t="s">
        <v>100</v>
      </c>
      <c r="K75" s="26"/>
    </row>
    <row r="76" spans="2:11" x14ac:dyDescent="0.25">
      <c r="B76" s="25"/>
      <c r="C76" s="3" t="s">
        <v>105</v>
      </c>
      <c r="D76" s="10">
        <f>D64/10-3*D66/10-3*D66/10</f>
        <v>9.84</v>
      </c>
      <c r="E76" s="3" t="s">
        <v>117</v>
      </c>
      <c r="F76" s="50" t="s">
        <v>113</v>
      </c>
      <c r="K76" s="26"/>
    </row>
    <row r="77" spans="2:11" x14ac:dyDescent="0.25">
      <c r="B77" s="25"/>
      <c r="C77" s="3" t="s">
        <v>61</v>
      </c>
      <c r="D77" s="56">
        <v>2</v>
      </c>
      <c r="E77" s="3"/>
      <c r="F77" s="50" t="s">
        <v>116</v>
      </c>
      <c r="K77" s="26"/>
    </row>
    <row r="78" spans="2:11" x14ac:dyDescent="0.25">
      <c r="B78" s="25"/>
      <c r="C78" s="3" t="s">
        <v>114</v>
      </c>
      <c r="D78" s="57">
        <f>D77*D76*0.7*(D73-1.5)/10*0.3*D10</f>
        <v>130.28652</v>
      </c>
      <c r="E78" s="3" t="s">
        <v>39</v>
      </c>
      <c r="F78" s="50" t="s">
        <v>115</v>
      </c>
      <c r="K78" s="26"/>
    </row>
    <row r="79" spans="2:11" x14ac:dyDescent="0.25">
      <c r="B79" s="25"/>
      <c r="C79" s="3" t="s">
        <v>118</v>
      </c>
      <c r="D79" s="40">
        <f>D14</f>
        <v>48.6</v>
      </c>
      <c r="E79" s="3" t="s">
        <v>39</v>
      </c>
      <c r="F79" s="50" t="s">
        <v>115</v>
      </c>
      <c r="K79" s="26"/>
    </row>
    <row r="80" spans="2:11" x14ac:dyDescent="0.25">
      <c r="B80" s="25"/>
      <c r="C80" s="55" t="s">
        <v>92</v>
      </c>
      <c r="D80" s="54">
        <f>D79/D78</f>
        <v>0.37302400893047111</v>
      </c>
      <c r="E80" s="3" t="s">
        <v>82</v>
      </c>
      <c r="F80" s="50" t="s">
        <v>119</v>
      </c>
      <c r="K80" s="26"/>
    </row>
    <row r="81" spans="2:11" x14ac:dyDescent="0.25">
      <c r="B81" s="29"/>
      <c r="C81" s="30"/>
      <c r="D81" s="31"/>
      <c r="E81" s="31"/>
      <c r="F81" s="46"/>
      <c r="G81" s="31"/>
      <c r="H81" s="31"/>
      <c r="I81" s="31"/>
      <c r="J81" s="31"/>
      <c r="K81" s="32"/>
    </row>
    <row r="84" spans="2:11" x14ac:dyDescent="0.25">
      <c r="B84" s="21"/>
      <c r="C84" s="62" t="s">
        <v>28</v>
      </c>
      <c r="D84" s="62"/>
      <c r="E84" s="47"/>
      <c r="F84" s="2"/>
    </row>
    <row r="85" spans="2:11" x14ac:dyDescent="0.25">
      <c r="B85" s="35"/>
      <c r="C85" s="12"/>
      <c r="D85" s="41" t="s">
        <v>25</v>
      </c>
      <c r="E85" s="48"/>
      <c r="F85" s="2"/>
    </row>
    <row r="86" spans="2:11" x14ac:dyDescent="0.25">
      <c r="B86" s="25"/>
      <c r="C86" s="10"/>
      <c r="D86" s="41" t="s">
        <v>26</v>
      </c>
      <c r="E86" s="48"/>
      <c r="F86" s="2"/>
    </row>
    <row r="87" spans="2:11" x14ac:dyDescent="0.25">
      <c r="B87" s="25"/>
      <c r="C87" s="33"/>
      <c r="D87" s="41" t="s">
        <v>27</v>
      </c>
      <c r="E87" s="48"/>
      <c r="F87" s="2"/>
    </row>
    <row r="88" spans="2:11" x14ac:dyDescent="0.25">
      <c r="B88" s="25"/>
      <c r="C88" s="34"/>
      <c r="D88" s="41" t="s">
        <v>29</v>
      </c>
      <c r="E88" s="48"/>
      <c r="F88" s="2"/>
    </row>
    <row r="89" spans="2:11" x14ac:dyDescent="0.25">
      <c r="B89" s="29"/>
      <c r="C89" s="31"/>
      <c r="D89" s="31"/>
      <c r="E89" s="49"/>
      <c r="F89" s="2"/>
    </row>
    <row r="90" spans="2:11" x14ac:dyDescent="0.25">
      <c r="C90" s="2"/>
      <c r="E90" s="44"/>
      <c r="F90" s="2"/>
    </row>
    <row r="91" spans="2:11" x14ac:dyDescent="0.25">
      <c r="B91" s="1"/>
      <c r="C91" s="2"/>
      <c r="E91" s="44"/>
      <c r="F91" s="2"/>
    </row>
  </sheetData>
  <mergeCells count="5">
    <mergeCell ref="C3:J3"/>
    <mergeCell ref="C4:J4"/>
    <mergeCell ref="C5:J5"/>
    <mergeCell ref="C6:J6"/>
    <mergeCell ref="C84:D84"/>
  </mergeCells>
  <conditionalFormatting sqref="D33">
    <cfRule type="cellIs" dxfId="25" priority="11" operator="lessThan">
      <formula>1</formula>
    </cfRule>
    <cfRule type="cellIs" dxfId="24" priority="12" operator="greaterThan">
      <formula>1</formula>
    </cfRule>
  </conditionalFormatting>
  <conditionalFormatting sqref="D51">
    <cfRule type="cellIs" dxfId="23" priority="9" operator="lessThan">
      <formula>1</formula>
    </cfRule>
    <cfRule type="cellIs" dxfId="22" priority="10" operator="greaterThan">
      <formula>1</formula>
    </cfRule>
  </conditionalFormatting>
  <conditionalFormatting sqref="D67">
    <cfRule type="cellIs" dxfId="21" priority="7" operator="lessThan">
      <formula>1</formula>
    </cfRule>
    <cfRule type="cellIs" dxfId="20" priority="8" operator="greaterThan">
      <formula>1</formula>
    </cfRule>
  </conditionalFormatting>
  <conditionalFormatting sqref="D72">
    <cfRule type="cellIs" dxfId="19" priority="1" operator="lessThan">
      <formula>1</formula>
    </cfRule>
    <cfRule type="cellIs" dxfId="18" priority="2" operator="greaterThan">
      <formula>1</formula>
    </cfRule>
  </conditionalFormatting>
  <conditionalFormatting sqref="D75">
    <cfRule type="cellIs" dxfId="17" priority="5" operator="lessThan">
      <formula>1</formula>
    </cfRule>
    <cfRule type="cellIs" dxfId="16" priority="6" operator="greaterThan">
      <formula>1</formula>
    </cfRule>
  </conditionalFormatting>
  <conditionalFormatting sqref="D80">
    <cfRule type="cellIs" dxfId="15" priority="3" operator="lessThan">
      <formula>1</formula>
    </cfRule>
    <cfRule type="cellIs" dxfId="14" priority="4" operator="greaterThan">
      <formula>1</formula>
    </cfRule>
  </conditionalFormatting>
  <pageMargins left="0.511811024" right="0.511811024" top="0.78740157499999996" bottom="0.78740157499999996" header="0.31496062000000002" footer="0.31496062000000002"/>
  <pageSetup paperSize="9" scale="8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Drop Down 1">
              <controlPr defaultSize="0" autoLine="0" autoPict="0">
                <anchor moveWithCells="1">
                  <from>
                    <xdr:col>2</xdr:col>
                    <xdr:colOff>276225</xdr:colOff>
                    <xdr:row>7</xdr:row>
                    <xdr:rowOff>47625</xdr:rowOff>
                  </from>
                  <to>
                    <xdr:col>3</xdr:col>
                    <xdr:colOff>904875</xdr:colOff>
                    <xdr:row>7</xdr:row>
                    <xdr:rowOff>219075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7E843467-26EE-4222-976F-6147F9B895F3}">
          <x14:formula1>
            <xm:f>CONCRETOS!$B$2:$B$6</xm:f>
          </x14:formula1>
          <xm:sqref>D49</xm:sqref>
        </x14:dataValidation>
        <x14:dataValidation type="list" allowBlank="1" showInputMessage="1" showErrorMessage="1" xr:uid="{C19D0E84-AD37-4EEB-8958-AA62531D25D6}">
          <x14:formula1>
            <xm:f>DIÂMETROS!$D$3:$D$15</xm:f>
          </x14:formula1>
          <xm:sqref>D22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46215-1667-4412-A3F4-0DA0F48432EB}">
  <dimension ref="B2:E19"/>
  <sheetViews>
    <sheetView showGridLines="0" workbookViewId="0">
      <selection activeCell="B6" sqref="B6"/>
    </sheetView>
  </sheetViews>
  <sheetFormatPr defaultRowHeight="15" x14ac:dyDescent="0.25"/>
  <cols>
    <col min="2" max="2" width="25.7109375" style="75" customWidth="1"/>
    <col min="3" max="3" width="16.42578125" style="75" customWidth="1"/>
    <col min="4" max="5" width="25.7109375" style="75" customWidth="1"/>
  </cols>
  <sheetData>
    <row r="2" spans="2:5" ht="30" x14ac:dyDescent="0.25">
      <c r="B2" s="66" t="s">
        <v>123</v>
      </c>
      <c r="C2" s="67" t="s">
        <v>124</v>
      </c>
      <c r="D2" s="67" t="s">
        <v>125</v>
      </c>
      <c r="E2" s="67" t="s">
        <v>126</v>
      </c>
    </row>
    <row r="3" spans="2:5" x14ac:dyDescent="0.25">
      <c r="B3" s="66"/>
      <c r="C3" s="67"/>
      <c r="D3" s="67" t="s">
        <v>127</v>
      </c>
      <c r="E3" s="67" t="s">
        <v>128</v>
      </c>
    </row>
    <row r="4" spans="2:5" x14ac:dyDescent="0.25">
      <c r="B4" s="67" t="s">
        <v>14</v>
      </c>
      <c r="C4" s="67" t="s">
        <v>14</v>
      </c>
      <c r="D4" s="67" t="s">
        <v>14</v>
      </c>
      <c r="E4" s="67" t="s">
        <v>14</v>
      </c>
    </row>
    <row r="5" spans="2:5" ht="20.100000000000001" customHeight="1" x14ac:dyDescent="0.25">
      <c r="B5" s="68">
        <v>5</v>
      </c>
      <c r="C5" s="69">
        <f>B5+1.5</f>
        <v>6.5</v>
      </c>
      <c r="D5" s="70">
        <f>3*B5</f>
        <v>15</v>
      </c>
      <c r="E5" s="70">
        <f>1.75*B5</f>
        <v>8.75</v>
      </c>
    </row>
    <row r="6" spans="2:5" ht="20.100000000000001" customHeight="1" x14ac:dyDescent="0.25">
      <c r="B6" s="68">
        <v>6</v>
      </c>
      <c r="C6" s="69">
        <f t="shared" ref="C6:C15" si="0">B6+1.5</f>
        <v>7.5</v>
      </c>
      <c r="D6" s="70">
        <f t="shared" ref="D6:D15" si="1">3*B6</f>
        <v>18</v>
      </c>
      <c r="E6" s="70">
        <f t="shared" ref="E6:E15" si="2">1.75*B6</f>
        <v>10.5</v>
      </c>
    </row>
    <row r="7" spans="2:5" ht="20.100000000000001" customHeight="1" x14ac:dyDescent="0.25">
      <c r="B7" s="68">
        <v>8</v>
      </c>
      <c r="C7" s="69">
        <f t="shared" si="0"/>
        <v>9.5</v>
      </c>
      <c r="D7" s="70">
        <f t="shared" si="1"/>
        <v>24</v>
      </c>
      <c r="E7" s="70">
        <f t="shared" si="2"/>
        <v>14</v>
      </c>
    </row>
    <row r="8" spans="2:5" ht="20.100000000000001" customHeight="1" x14ac:dyDescent="0.25">
      <c r="B8" s="68">
        <v>10</v>
      </c>
      <c r="C8" s="69">
        <f t="shared" si="0"/>
        <v>11.5</v>
      </c>
      <c r="D8" s="70">
        <f t="shared" si="1"/>
        <v>30</v>
      </c>
      <c r="E8" s="70">
        <f t="shared" si="2"/>
        <v>17.5</v>
      </c>
    </row>
    <row r="9" spans="2:5" ht="20.100000000000001" customHeight="1" x14ac:dyDescent="0.25">
      <c r="B9" s="68">
        <v>12</v>
      </c>
      <c r="C9" s="69">
        <f t="shared" si="0"/>
        <v>13.5</v>
      </c>
      <c r="D9" s="70">
        <f t="shared" si="1"/>
        <v>36</v>
      </c>
      <c r="E9" s="70">
        <f t="shared" si="2"/>
        <v>21</v>
      </c>
    </row>
    <row r="10" spans="2:5" ht="20.100000000000001" customHeight="1" x14ac:dyDescent="0.25">
      <c r="B10" s="68">
        <v>16</v>
      </c>
      <c r="C10" s="69">
        <f t="shared" si="0"/>
        <v>17.5</v>
      </c>
      <c r="D10" s="70">
        <f t="shared" si="1"/>
        <v>48</v>
      </c>
      <c r="E10" s="70">
        <f t="shared" si="2"/>
        <v>28</v>
      </c>
    </row>
    <row r="11" spans="2:5" ht="20.100000000000001" customHeight="1" x14ac:dyDescent="0.25">
      <c r="B11" s="68">
        <v>20</v>
      </c>
      <c r="C11" s="69">
        <f t="shared" si="0"/>
        <v>21.5</v>
      </c>
      <c r="D11" s="70">
        <f t="shared" si="1"/>
        <v>60</v>
      </c>
      <c r="E11" s="70">
        <f t="shared" si="2"/>
        <v>35</v>
      </c>
    </row>
    <row r="12" spans="2:5" ht="20.100000000000001" customHeight="1" x14ac:dyDescent="0.25">
      <c r="B12" s="68">
        <v>22</v>
      </c>
      <c r="C12" s="69">
        <f t="shared" si="0"/>
        <v>23.5</v>
      </c>
      <c r="D12" s="70">
        <f t="shared" si="1"/>
        <v>66</v>
      </c>
      <c r="E12" s="70">
        <f t="shared" si="2"/>
        <v>38.5</v>
      </c>
    </row>
    <row r="13" spans="2:5" ht="20.100000000000001" customHeight="1" x14ac:dyDescent="0.25">
      <c r="B13" s="68">
        <v>24</v>
      </c>
      <c r="C13" s="69">
        <f t="shared" si="0"/>
        <v>25.5</v>
      </c>
      <c r="D13" s="70">
        <f t="shared" si="1"/>
        <v>72</v>
      </c>
      <c r="E13" s="70">
        <f t="shared" si="2"/>
        <v>42</v>
      </c>
    </row>
    <row r="14" spans="2:5" ht="20.100000000000001" customHeight="1" x14ac:dyDescent="0.25">
      <c r="B14" s="68">
        <v>27</v>
      </c>
      <c r="C14" s="69">
        <f t="shared" si="0"/>
        <v>28.5</v>
      </c>
      <c r="D14" s="70">
        <f t="shared" si="1"/>
        <v>81</v>
      </c>
      <c r="E14" s="70">
        <f t="shared" si="2"/>
        <v>47.25</v>
      </c>
    </row>
    <row r="15" spans="2:5" ht="20.100000000000001" customHeight="1" x14ac:dyDescent="0.25">
      <c r="B15" s="68">
        <v>30</v>
      </c>
      <c r="C15" s="69">
        <f t="shared" si="0"/>
        <v>31.5</v>
      </c>
      <c r="D15" s="70">
        <f t="shared" si="1"/>
        <v>90</v>
      </c>
      <c r="E15" s="70">
        <f t="shared" si="2"/>
        <v>52.5</v>
      </c>
    </row>
    <row r="16" spans="2:5" x14ac:dyDescent="0.25">
      <c r="B16" s="71" t="s">
        <v>129</v>
      </c>
      <c r="C16" s="72"/>
      <c r="D16" s="73"/>
      <c r="E16" s="73"/>
    </row>
    <row r="18" spans="2:5" x14ac:dyDescent="0.25">
      <c r="B18" s="74" t="s">
        <v>130</v>
      </c>
      <c r="C18" s="74"/>
      <c r="D18" s="74"/>
      <c r="E18" s="74"/>
    </row>
    <row r="19" spans="2:5" x14ac:dyDescent="0.25">
      <c r="B19" s="74"/>
      <c r="C19" s="74"/>
      <c r="D19" s="74"/>
      <c r="E19" s="74"/>
    </row>
  </sheetData>
  <mergeCells count="1">
    <mergeCell ref="B18:E19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workbookViewId="0">
      <selection activeCell="C17" sqref="C17"/>
    </sheetView>
  </sheetViews>
  <sheetFormatPr defaultRowHeight="15" x14ac:dyDescent="0.25"/>
  <sheetData>
    <row r="1" spans="1:9" x14ac:dyDescent="0.25">
      <c r="A1" s="9" t="s">
        <v>4</v>
      </c>
      <c r="B1" s="5"/>
      <c r="C1" s="5"/>
      <c r="D1" s="2"/>
      <c r="F1" s="9" t="s">
        <v>7</v>
      </c>
    </row>
    <row r="2" spans="1:9" x14ac:dyDescent="0.25">
      <c r="A2" s="38" t="s">
        <v>15</v>
      </c>
      <c r="B2" s="38" t="s">
        <v>16</v>
      </c>
      <c r="C2" s="38" t="s">
        <v>17</v>
      </c>
      <c r="D2" s="38" t="s">
        <v>43</v>
      </c>
      <c r="F2" s="38" t="s">
        <v>15</v>
      </c>
      <c r="G2" s="38" t="s">
        <v>16</v>
      </c>
      <c r="H2" s="38" t="s">
        <v>17</v>
      </c>
      <c r="I2" s="38" t="s">
        <v>18</v>
      </c>
    </row>
    <row r="3" spans="1:9" x14ac:dyDescent="0.25">
      <c r="A3" s="13">
        <v>0</v>
      </c>
      <c r="B3" s="13">
        <v>4.76</v>
      </c>
      <c r="C3" s="14">
        <v>1</v>
      </c>
      <c r="D3" s="16">
        <v>4.76</v>
      </c>
      <c r="F3" s="13">
        <v>0</v>
      </c>
      <c r="G3" s="13">
        <v>4.76</v>
      </c>
      <c r="H3" s="14">
        <v>1</v>
      </c>
      <c r="I3" s="16">
        <v>4.76</v>
      </c>
    </row>
    <row r="4" spans="1:9" x14ac:dyDescent="0.25">
      <c r="A4" s="13">
        <f>B3</f>
        <v>4.76</v>
      </c>
      <c r="B4" s="13">
        <v>6.35</v>
      </c>
      <c r="C4" s="14">
        <v>2</v>
      </c>
      <c r="D4" s="16">
        <v>6.35</v>
      </c>
      <c r="F4" s="13">
        <f>G3</f>
        <v>4.76</v>
      </c>
      <c r="G4" s="13">
        <v>6.35</v>
      </c>
      <c r="H4" s="14">
        <v>2</v>
      </c>
      <c r="I4" s="16">
        <v>6.35</v>
      </c>
    </row>
    <row r="5" spans="1:9" x14ac:dyDescent="0.25">
      <c r="A5" s="13">
        <f t="shared" ref="A5:A15" si="0">B4</f>
        <v>6.35</v>
      </c>
      <c r="B5" s="13">
        <v>7.94</v>
      </c>
      <c r="C5" s="14">
        <v>3</v>
      </c>
      <c r="D5" s="16">
        <v>7.94</v>
      </c>
      <c r="F5" s="13">
        <f t="shared" ref="F5:F15" si="1">G4</f>
        <v>6.35</v>
      </c>
      <c r="G5" s="13">
        <v>7.94</v>
      </c>
      <c r="H5" s="14">
        <v>3</v>
      </c>
      <c r="I5" s="16">
        <v>7.94</v>
      </c>
    </row>
    <row r="6" spans="1:9" x14ac:dyDescent="0.25">
      <c r="A6" s="13">
        <f t="shared" si="0"/>
        <v>7.94</v>
      </c>
      <c r="B6" s="13">
        <v>9.5299999999999994</v>
      </c>
      <c r="C6" s="14">
        <v>4</v>
      </c>
      <c r="D6" s="16">
        <v>9.5299999999999994</v>
      </c>
      <c r="F6" s="13">
        <f t="shared" si="1"/>
        <v>7.94</v>
      </c>
      <c r="G6" s="13">
        <v>9.5299999999999994</v>
      </c>
      <c r="H6" s="14">
        <v>4</v>
      </c>
      <c r="I6" s="16">
        <v>9.5299999999999994</v>
      </c>
    </row>
    <row r="7" spans="1:9" x14ac:dyDescent="0.25">
      <c r="A7" s="13">
        <f t="shared" si="0"/>
        <v>9.5299999999999994</v>
      </c>
      <c r="B7" s="13">
        <v>12.7</v>
      </c>
      <c r="C7" s="14">
        <v>5</v>
      </c>
      <c r="D7" s="16">
        <v>12.7</v>
      </c>
      <c r="F7" s="13">
        <f t="shared" si="1"/>
        <v>9.5299999999999994</v>
      </c>
      <c r="G7" s="13">
        <v>12.7</v>
      </c>
      <c r="H7" s="14">
        <v>5</v>
      </c>
      <c r="I7" s="16">
        <v>12.7</v>
      </c>
    </row>
    <row r="8" spans="1:9" x14ac:dyDescent="0.25">
      <c r="A8" s="13">
        <f t="shared" si="0"/>
        <v>12.7</v>
      </c>
      <c r="B8" s="13">
        <v>15.88</v>
      </c>
      <c r="C8" s="14">
        <v>6</v>
      </c>
      <c r="D8" s="16">
        <v>15.88</v>
      </c>
      <c r="F8" s="13">
        <f t="shared" si="1"/>
        <v>12.7</v>
      </c>
      <c r="G8" s="13">
        <v>15.88</v>
      </c>
      <c r="H8" s="14">
        <v>6</v>
      </c>
      <c r="I8" s="16">
        <v>15.88</v>
      </c>
    </row>
    <row r="9" spans="1:9" x14ac:dyDescent="0.25">
      <c r="A9" s="13">
        <f t="shared" si="0"/>
        <v>15.88</v>
      </c>
      <c r="B9" s="13">
        <v>19.05</v>
      </c>
      <c r="C9" s="14">
        <v>7</v>
      </c>
      <c r="D9" s="16">
        <v>19.05</v>
      </c>
      <c r="F9" s="13">
        <f t="shared" si="1"/>
        <v>15.88</v>
      </c>
      <c r="G9" s="13">
        <v>19.05</v>
      </c>
      <c r="H9" s="14">
        <v>7</v>
      </c>
      <c r="I9" s="16">
        <v>19.05</v>
      </c>
    </row>
    <row r="10" spans="1:9" x14ac:dyDescent="0.25">
      <c r="A10" s="13">
        <f t="shared" si="0"/>
        <v>19.05</v>
      </c>
      <c r="B10" s="13">
        <v>22.23</v>
      </c>
      <c r="C10" s="14">
        <v>8</v>
      </c>
      <c r="D10" s="16">
        <v>22.23</v>
      </c>
      <c r="F10" s="13">
        <f t="shared" si="1"/>
        <v>19.05</v>
      </c>
      <c r="G10" s="13">
        <v>22.23</v>
      </c>
      <c r="H10" s="14">
        <v>8</v>
      </c>
      <c r="I10" s="16">
        <v>22.23</v>
      </c>
    </row>
    <row r="11" spans="1:9" x14ac:dyDescent="0.25">
      <c r="A11" s="13">
        <f t="shared" si="0"/>
        <v>22.23</v>
      </c>
      <c r="B11" s="13">
        <v>25.4</v>
      </c>
      <c r="C11" s="14">
        <v>9</v>
      </c>
      <c r="D11" s="16">
        <v>25.4</v>
      </c>
      <c r="F11" s="13">
        <f t="shared" si="1"/>
        <v>22.23</v>
      </c>
      <c r="G11" s="13">
        <v>25.4</v>
      </c>
      <c r="H11" s="14">
        <v>9</v>
      </c>
      <c r="I11" s="16">
        <v>25.4</v>
      </c>
    </row>
    <row r="12" spans="1:9" x14ac:dyDescent="0.25">
      <c r="A12" s="13">
        <f t="shared" si="0"/>
        <v>25.4</v>
      </c>
      <c r="B12" s="13">
        <v>31.75</v>
      </c>
      <c r="C12" s="14">
        <v>10</v>
      </c>
      <c r="D12" s="16">
        <v>31.75</v>
      </c>
      <c r="F12" s="13">
        <f t="shared" si="1"/>
        <v>25.4</v>
      </c>
      <c r="G12" s="13">
        <v>31.75</v>
      </c>
      <c r="H12" s="14">
        <v>10</v>
      </c>
      <c r="I12" s="16">
        <v>31.75</v>
      </c>
    </row>
    <row r="13" spans="1:9" x14ac:dyDescent="0.25">
      <c r="A13" s="13">
        <f t="shared" si="0"/>
        <v>31.75</v>
      </c>
      <c r="B13" s="13">
        <v>44.44</v>
      </c>
      <c r="C13" s="14">
        <v>11</v>
      </c>
      <c r="D13" s="16">
        <v>44.44</v>
      </c>
      <c r="F13" s="13">
        <f t="shared" si="1"/>
        <v>31.75</v>
      </c>
      <c r="G13" s="13">
        <v>44.44</v>
      </c>
      <c r="H13" s="14">
        <v>11</v>
      </c>
      <c r="I13" s="16">
        <v>44.44</v>
      </c>
    </row>
    <row r="14" spans="1:9" x14ac:dyDescent="0.25">
      <c r="A14" s="13">
        <f t="shared" si="0"/>
        <v>44.44</v>
      </c>
      <c r="B14" s="13">
        <v>50.8</v>
      </c>
      <c r="C14" s="14">
        <v>12</v>
      </c>
      <c r="D14" s="16">
        <v>50.8</v>
      </c>
      <c r="F14" s="13">
        <f t="shared" si="1"/>
        <v>44.44</v>
      </c>
      <c r="G14" s="13">
        <v>50.8</v>
      </c>
      <c r="H14" s="14">
        <v>12</v>
      </c>
      <c r="I14" s="16">
        <v>50.8</v>
      </c>
    </row>
    <row r="15" spans="1:9" x14ac:dyDescent="0.25">
      <c r="A15" s="13">
        <f t="shared" si="0"/>
        <v>50.8</v>
      </c>
      <c r="B15" s="13">
        <v>63.5</v>
      </c>
      <c r="C15" s="14">
        <v>13</v>
      </c>
      <c r="D15" s="16">
        <v>63.5</v>
      </c>
      <c r="F15" s="13">
        <f t="shared" si="1"/>
        <v>50.8</v>
      </c>
      <c r="G15" s="13">
        <v>63.5</v>
      </c>
      <c r="H15" s="14">
        <v>13</v>
      </c>
      <c r="I15" s="16">
        <v>63.5</v>
      </c>
    </row>
    <row r="16" spans="1:9" x14ac:dyDescent="0.25">
      <c r="A16" s="15"/>
      <c r="B16" s="15"/>
      <c r="C16" s="37" t="s">
        <v>19</v>
      </c>
      <c r="D16" s="37" t="s">
        <v>19</v>
      </c>
      <c r="F16" s="15"/>
      <c r="G16" s="15"/>
      <c r="H16" s="37" t="s">
        <v>19</v>
      </c>
      <c r="I16" s="37" t="s">
        <v>19</v>
      </c>
    </row>
    <row r="17" spans="1:9" x14ac:dyDescent="0.25">
      <c r="A17" s="15"/>
      <c r="B17" s="15"/>
      <c r="C17" s="13">
        <f>SQRT(4*('PLACAS DE BASE - COMPRESSÃO'!D31*100)/PI())</f>
        <v>25.4</v>
      </c>
      <c r="D17" s="16">
        <f>VLOOKUP(C17,A3:D15,4)</f>
        <v>31.75</v>
      </c>
      <c r="F17" s="15"/>
      <c r="G17" s="15"/>
      <c r="H17" s="14" t="e">
        <f>VLOOKUP(#REF!,F3:H15,3)</f>
        <v>#REF!</v>
      </c>
      <c r="I17" s="16" t="e">
        <f>VLOOKUP(H17,H3:I15,2)</f>
        <v>#REF!</v>
      </c>
    </row>
    <row r="19" spans="1:9" x14ac:dyDescent="0.25">
      <c r="A19" s="9" t="s">
        <v>8</v>
      </c>
      <c r="F19" s="9" t="s">
        <v>9</v>
      </c>
    </row>
    <row r="20" spans="1:9" x14ac:dyDescent="0.25">
      <c r="A20" s="38" t="s">
        <v>15</v>
      </c>
      <c r="B20" s="38" t="s">
        <v>16</v>
      </c>
      <c r="C20" s="38" t="s">
        <v>17</v>
      </c>
      <c r="D20" s="38" t="s">
        <v>18</v>
      </c>
      <c r="F20" s="38" t="s">
        <v>15</v>
      </c>
      <c r="G20" s="38" t="s">
        <v>16</v>
      </c>
      <c r="H20" s="38" t="s">
        <v>17</v>
      </c>
      <c r="I20" s="38" t="s">
        <v>18</v>
      </c>
    </row>
    <row r="21" spans="1:9" x14ac:dyDescent="0.25">
      <c r="A21" s="13">
        <v>0</v>
      </c>
      <c r="B21" s="13">
        <v>4.76</v>
      </c>
      <c r="C21" s="14">
        <v>1</v>
      </c>
      <c r="D21" s="16">
        <v>4.76</v>
      </c>
      <c r="F21" s="13">
        <v>0</v>
      </c>
      <c r="G21" s="13">
        <v>4.76</v>
      </c>
      <c r="H21" s="14">
        <v>1</v>
      </c>
      <c r="I21" s="16">
        <v>4.76</v>
      </c>
    </row>
    <row r="22" spans="1:9" x14ac:dyDescent="0.25">
      <c r="A22" s="13">
        <f>B21</f>
        <v>4.76</v>
      </c>
      <c r="B22" s="13">
        <v>6.35</v>
      </c>
      <c r="C22" s="14">
        <v>2</v>
      </c>
      <c r="D22" s="16">
        <v>6.35</v>
      </c>
      <c r="F22" s="13">
        <f>G21</f>
        <v>4.76</v>
      </c>
      <c r="G22" s="13">
        <v>6.35</v>
      </c>
      <c r="H22" s="14">
        <v>2</v>
      </c>
      <c r="I22" s="16">
        <v>6.35</v>
      </c>
    </row>
    <row r="23" spans="1:9" x14ac:dyDescent="0.25">
      <c r="A23" s="13">
        <f t="shared" ref="A23:A33" si="2">B22</f>
        <v>6.35</v>
      </c>
      <c r="B23" s="13">
        <v>7.94</v>
      </c>
      <c r="C23" s="14">
        <v>3</v>
      </c>
      <c r="D23" s="16">
        <v>7.94</v>
      </c>
      <c r="F23" s="13">
        <f t="shared" ref="F23:F33" si="3">G22</f>
        <v>6.35</v>
      </c>
      <c r="G23" s="13">
        <v>7.94</v>
      </c>
      <c r="H23" s="14">
        <v>3</v>
      </c>
      <c r="I23" s="16">
        <v>7.94</v>
      </c>
    </row>
    <row r="24" spans="1:9" x14ac:dyDescent="0.25">
      <c r="A24" s="13">
        <f t="shared" si="2"/>
        <v>7.94</v>
      </c>
      <c r="B24" s="13">
        <v>9.5299999999999994</v>
      </c>
      <c r="C24" s="14">
        <v>4</v>
      </c>
      <c r="D24" s="16">
        <v>9.5299999999999994</v>
      </c>
      <c r="F24" s="13">
        <f t="shared" si="3"/>
        <v>7.94</v>
      </c>
      <c r="G24" s="13">
        <v>9.5299999999999994</v>
      </c>
      <c r="H24" s="14">
        <v>4</v>
      </c>
      <c r="I24" s="16">
        <v>9.5299999999999994</v>
      </c>
    </row>
    <row r="25" spans="1:9" x14ac:dyDescent="0.25">
      <c r="A25" s="13">
        <f t="shared" si="2"/>
        <v>9.5299999999999994</v>
      </c>
      <c r="B25" s="13">
        <v>12.7</v>
      </c>
      <c r="C25" s="14">
        <v>5</v>
      </c>
      <c r="D25" s="16">
        <v>12.7</v>
      </c>
      <c r="F25" s="13">
        <f t="shared" si="3"/>
        <v>9.5299999999999994</v>
      </c>
      <c r="G25" s="13">
        <v>12.7</v>
      </c>
      <c r="H25" s="14">
        <v>5</v>
      </c>
      <c r="I25" s="16">
        <v>12.7</v>
      </c>
    </row>
    <row r="26" spans="1:9" x14ac:dyDescent="0.25">
      <c r="A26" s="13">
        <f t="shared" si="2"/>
        <v>12.7</v>
      </c>
      <c r="B26" s="13">
        <v>15.88</v>
      </c>
      <c r="C26" s="14">
        <v>6</v>
      </c>
      <c r="D26" s="16">
        <v>15.88</v>
      </c>
      <c r="F26" s="13">
        <f t="shared" si="3"/>
        <v>12.7</v>
      </c>
      <c r="G26" s="13">
        <v>15.88</v>
      </c>
      <c r="H26" s="14">
        <v>6</v>
      </c>
      <c r="I26" s="16">
        <v>15.88</v>
      </c>
    </row>
    <row r="27" spans="1:9" x14ac:dyDescent="0.25">
      <c r="A27" s="13">
        <f t="shared" si="2"/>
        <v>15.88</v>
      </c>
      <c r="B27" s="13">
        <v>19.05</v>
      </c>
      <c r="C27" s="14">
        <v>7</v>
      </c>
      <c r="D27" s="16">
        <v>19.05</v>
      </c>
      <c r="F27" s="13">
        <f t="shared" si="3"/>
        <v>15.88</v>
      </c>
      <c r="G27" s="13">
        <v>19.05</v>
      </c>
      <c r="H27" s="14">
        <v>7</v>
      </c>
      <c r="I27" s="16">
        <v>19.05</v>
      </c>
    </row>
    <row r="28" spans="1:9" x14ac:dyDescent="0.25">
      <c r="A28" s="13">
        <f t="shared" si="2"/>
        <v>19.05</v>
      </c>
      <c r="B28" s="13">
        <v>22.23</v>
      </c>
      <c r="C28" s="14">
        <v>8</v>
      </c>
      <c r="D28" s="16">
        <v>22.23</v>
      </c>
      <c r="F28" s="13">
        <f t="shared" si="3"/>
        <v>19.05</v>
      </c>
      <c r="G28" s="13">
        <v>22.23</v>
      </c>
      <c r="H28" s="14">
        <v>8</v>
      </c>
      <c r="I28" s="16">
        <v>22.23</v>
      </c>
    </row>
    <row r="29" spans="1:9" x14ac:dyDescent="0.25">
      <c r="A29" s="13">
        <f t="shared" si="2"/>
        <v>22.23</v>
      </c>
      <c r="B29" s="13">
        <v>25.4</v>
      </c>
      <c r="C29" s="14">
        <v>9</v>
      </c>
      <c r="D29" s="16">
        <v>25.4</v>
      </c>
      <c r="F29" s="13">
        <f t="shared" si="3"/>
        <v>22.23</v>
      </c>
      <c r="G29" s="13">
        <v>25.4</v>
      </c>
      <c r="H29" s="14">
        <v>9</v>
      </c>
      <c r="I29" s="16">
        <v>25.4</v>
      </c>
    </row>
    <row r="30" spans="1:9" x14ac:dyDescent="0.25">
      <c r="A30" s="13">
        <f t="shared" si="2"/>
        <v>25.4</v>
      </c>
      <c r="B30" s="13">
        <v>31.75</v>
      </c>
      <c r="C30" s="14">
        <v>10</v>
      </c>
      <c r="D30" s="16">
        <v>31.75</v>
      </c>
      <c r="F30" s="13">
        <f t="shared" si="3"/>
        <v>25.4</v>
      </c>
      <c r="G30" s="13">
        <v>31.75</v>
      </c>
      <c r="H30" s="14">
        <v>10</v>
      </c>
      <c r="I30" s="16">
        <v>31.75</v>
      </c>
    </row>
    <row r="31" spans="1:9" x14ac:dyDescent="0.25">
      <c r="A31" s="13">
        <f t="shared" si="2"/>
        <v>31.75</v>
      </c>
      <c r="B31" s="13">
        <v>44.44</v>
      </c>
      <c r="C31" s="14">
        <v>11</v>
      </c>
      <c r="D31" s="16">
        <v>44.44</v>
      </c>
      <c r="F31" s="13">
        <f t="shared" si="3"/>
        <v>31.75</v>
      </c>
      <c r="G31" s="13">
        <v>44.44</v>
      </c>
      <c r="H31" s="14">
        <v>11</v>
      </c>
      <c r="I31" s="16">
        <v>44.44</v>
      </c>
    </row>
    <row r="32" spans="1:9" x14ac:dyDescent="0.25">
      <c r="A32" s="13">
        <f t="shared" si="2"/>
        <v>44.44</v>
      </c>
      <c r="B32" s="13">
        <v>50.8</v>
      </c>
      <c r="C32" s="14">
        <v>12</v>
      </c>
      <c r="D32" s="16">
        <v>50.8</v>
      </c>
      <c r="F32" s="13">
        <f t="shared" si="3"/>
        <v>44.44</v>
      </c>
      <c r="G32" s="13">
        <v>50.8</v>
      </c>
      <c r="H32" s="14">
        <v>12</v>
      </c>
      <c r="I32" s="16">
        <v>50.8</v>
      </c>
    </row>
    <row r="33" spans="1:9" x14ac:dyDescent="0.25">
      <c r="A33" s="13">
        <f t="shared" si="2"/>
        <v>50.8</v>
      </c>
      <c r="B33" s="13">
        <v>63.5</v>
      </c>
      <c r="C33" s="14">
        <v>13</v>
      </c>
      <c r="D33" s="16">
        <v>63.5</v>
      </c>
      <c r="F33" s="13">
        <f t="shared" si="3"/>
        <v>50.8</v>
      </c>
      <c r="G33" s="13">
        <v>63.5</v>
      </c>
      <c r="H33" s="14">
        <v>13</v>
      </c>
      <c r="I33" s="16">
        <v>63.5</v>
      </c>
    </row>
    <row r="34" spans="1:9" x14ac:dyDescent="0.25">
      <c r="A34" s="15"/>
      <c r="B34" s="15"/>
      <c r="C34" s="37" t="s">
        <v>19</v>
      </c>
      <c r="D34" s="37" t="s">
        <v>19</v>
      </c>
      <c r="F34" s="15"/>
      <c r="G34" s="15"/>
      <c r="H34" s="37" t="s">
        <v>19</v>
      </c>
      <c r="I34" s="37" t="s">
        <v>19</v>
      </c>
    </row>
    <row r="35" spans="1:9" x14ac:dyDescent="0.25">
      <c r="A35" s="15"/>
      <c r="B35" s="15"/>
      <c r="C35" s="14" t="e">
        <f>VLOOKUP(#REF!,A21:C33,3)</f>
        <v>#REF!</v>
      </c>
      <c r="D35" s="16" t="e">
        <f>VLOOKUP(C35,C21:D33,2)</f>
        <v>#REF!</v>
      </c>
      <c r="F35" s="15"/>
      <c r="G35" s="15"/>
      <c r="H35" s="14" t="e">
        <f>VLOOKUP(#REF!,F21:H33,3)</f>
        <v>#REF!</v>
      </c>
      <c r="I35" s="16" t="e">
        <f>VLOOKUP(H35,H21:I33,2)</f>
        <v>#REF!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A4" sqref="A4:XFD4"/>
    </sheetView>
  </sheetViews>
  <sheetFormatPr defaultRowHeight="15" x14ac:dyDescent="0.25"/>
  <cols>
    <col min="1" max="16384" width="9.140625" style="2"/>
  </cols>
  <sheetData>
    <row r="1" spans="1:5" x14ac:dyDescent="0.25">
      <c r="A1" s="39" t="s">
        <v>23</v>
      </c>
      <c r="B1" s="39" t="s">
        <v>20</v>
      </c>
      <c r="C1" s="39" t="s">
        <v>0</v>
      </c>
      <c r="D1" s="39" t="s">
        <v>1</v>
      </c>
      <c r="E1" s="39" t="s">
        <v>22</v>
      </c>
    </row>
    <row r="2" spans="1:5" x14ac:dyDescent="0.25">
      <c r="A2" s="18">
        <v>3</v>
      </c>
      <c r="B2" s="18" t="s">
        <v>5</v>
      </c>
      <c r="C2" s="7">
        <v>24</v>
      </c>
      <c r="D2" s="3">
        <v>38.700000000000003</v>
      </c>
      <c r="E2" s="3" t="s">
        <v>2</v>
      </c>
    </row>
    <row r="3" spans="1:5" x14ac:dyDescent="0.25">
      <c r="A3" s="53"/>
      <c r="B3" s="18" t="s">
        <v>21</v>
      </c>
      <c r="C3" s="7">
        <v>25</v>
      </c>
      <c r="D3" s="7">
        <v>40</v>
      </c>
      <c r="E3" s="3" t="s">
        <v>2</v>
      </c>
    </row>
    <row r="4" spans="1:5" x14ac:dyDescent="0.25">
      <c r="B4" s="18" t="s">
        <v>54</v>
      </c>
      <c r="C4" s="7">
        <v>34.5</v>
      </c>
      <c r="D4" s="3">
        <v>48.5</v>
      </c>
      <c r="E4" s="3" t="s">
        <v>2</v>
      </c>
    </row>
    <row r="5" spans="1:5" x14ac:dyDescent="0.25">
      <c r="B5" s="63" t="s">
        <v>19</v>
      </c>
      <c r="C5" s="63"/>
      <c r="D5" s="63"/>
      <c r="E5" s="63"/>
    </row>
    <row r="6" spans="1:5" x14ac:dyDescent="0.25">
      <c r="B6" s="18" t="str">
        <f>INDEX(B2:B4,$A$2)</f>
        <v>ASTM A588</v>
      </c>
      <c r="C6" s="7">
        <f>INDEX(C2:C4,$A$2)</f>
        <v>34.5</v>
      </c>
      <c r="D6" s="7">
        <f>INDEX(D2:D4,$A$2)</f>
        <v>48.5</v>
      </c>
      <c r="E6" s="18" t="str">
        <f>INDEX(E2:E4,$A$2)</f>
        <v>kN/cm²</v>
      </c>
    </row>
  </sheetData>
  <mergeCells count="1">
    <mergeCell ref="B5:E5"/>
  </mergeCells>
  <phoneticPr fontId="8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A8F53-BD3F-4C05-87A3-87258EAA3191}">
  <dimension ref="A1:E10"/>
  <sheetViews>
    <sheetView workbookViewId="0">
      <selection activeCell="C4" sqref="C4"/>
    </sheetView>
  </sheetViews>
  <sheetFormatPr defaultRowHeight="15" x14ac:dyDescent="0.25"/>
  <cols>
    <col min="1" max="16384" width="9.140625" style="2"/>
  </cols>
  <sheetData>
    <row r="1" spans="1:5" x14ac:dyDescent="0.25">
      <c r="A1" s="39" t="s">
        <v>23</v>
      </c>
      <c r="B1" s="39" t="s">
        <v>50</v>
      </c>
      <c r="C1" s="39" t="s">
        <v>55</v>
      </c>
      <c r="D1" s="39" t="s">
        <v>1</v>
      </c>
      <c r="E1" s="39" t="s">
        <v>22</v>
      </c>
    </row>
    <row r="2" spans="1:5" x14ac:dyDescent="0.25">
      <c r="A2" s="18">
        <v>3</v>
      </c>
      <c r="B2" s="18">
        <v>20</v>
      </c>
      <c r="C2" s="7">
        <v>2</v>
      </c>
      <c r="D2" s="3"/>
      <c r="E2" s="3"/>
    </row>
    <row r="3" spans="1:5" x14ac:dyDescent="0.25">
      <c r="A3" s="53"/>
      <c r="B3" s="18">
        <v>25</v>
      </c>
      <c r="C3" s="7">
        <v>2.5</v>
      </c>
      <c r="D3" s="3"/>
      <c r="E3" s="3"/>
    </row>
    <row r="4" spans="1:5" x14ac:dyDescent="0.25">
      <c r="A4" s="53"/>
      <c r="B4" s="18">
        <v>30</v>
      </c>
      <c r="C4" s="7">
        <v>3</v>
      </c>
      <c r="D4" s="3"/>
      <c r="E4" s="3"/>
    </row>
    <row r="5" spans="1:5" x14ac:dyDescent="0.25">
      <c r="A5" s="53"/>
      <c r="B5" s="18">
        <v>35</v>
      </c>
      <c r="C5" s="7">
        <v>3.5</v>
      </c>
      <c r="D5" s="3"/>
      <c r="E5" s="3"/>
    </row>
    <row r="6" spans="1:5" x14ac:dyDescent="0.25">
      <c r="B6" s="18">
        <v>40</v>
      </c>
      <c r="C6" s="7">
        <v>4</v>
      </c>
      <c r="D6" s="7"/>
      <c r="E6" s="3"/>
    </row>
    <row r="7" spans="1:5" x14ac:dyDescent="0.25">
      <c r="B7" s="63" t="s">
        <v>19</v>
      </c>
      <c r="C7" s="63"/>
      <c r="D7" s="63"/>
      <c r="E7" s="63"/>
    </row>
    <row r="8" spans="1:5" x14ac:dyDescent="0.25">
      <c r="B8" s="18">
        <f>INDEX(B2:B6,$A$2)</f>
        <v>30</v>
      </c>
      <c r="C8" s="7">
        <f t="shared" ref="C8:E8" si="0">INDEX(C2:C6,$A$2)</f>
        <v>3</v>
      </c>
      <c r="D8" s="7">
        <f t="shared" si="0"/>
        <v>0</v>
      </c>
      <c r="E8" s="18">
        <f t="shared" si="0"/>
        <v>0</v>
      </c>
    </row>
    <row r="10" spans="1:5" x14ac:dyDescent="0.25">
      <c r="A10" s="2" t="s">
        <v>63</v>
      </c>
    </row>
  </sheetData>
  <mergeCells count="1">
    <mergeCell ref="B7:E7"/>
  </mergeCells>
  <phoneticPr fontId="8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B4BC-AD27-42A4-AD1A-0D0ABCCB06FD}">
  <dimension ref="A1"/>
  <sheetViews>
    <sheetView topLeftCell="A10" workbookViewId="0">
      <selection activeCell="U77" sqref="U7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3</vt:i4>
      </vt:variant>
    </vt:vector>
  </HeadingPairs>
  <TitlesOfParts>
    <vt:vector size="12" baseType="lpstr">
      <vt:lpstr>CONSIDERAÇÕES</vt:lpstr>
      <vt:lpstr>PLACAS DE BASE (2)</vt:lpstr>
      <vt:lpstr>PLACAS DE BASE</vt:lpstr>
      <vt:lpstr>PLACAS DE BASE - COMPRESSÃO</vt:lpstr>
      <vt:lpstr>DISTÂNCIA ENTRE FUROS</vt:lpstr>
      <vt:lpstr>DIÂMETROS</vt:lpstr>
      <vt:lpstr>AÇOS</vt:lpstr>
      <vt:lpstr>CONCRETOS</vt:lpstr>
      <vt:lpstr>TABELA DE PERFIS W-HP</vt:lpstr>
      <vt:lpstr>'PLACAS DE BASE'!Area_de_impressao</vt:lpstr>
      <vt:lpstr>'PLACAS DE BASE - COMPRESSÃO'!Area_de_impressao</vt:lpstr>
      <vt:lpstr>'PLACAS DE BASE (2)'!Area_de_impressao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Leônidas Müller</dc:creator>
  <cp:lastModifiedBy>Leônidas Müller de Oliveira</cp:lastModifiedBy>
  <cp:lastPrinted>2015-02-27T13:23:22Z</cp:lastPrinted>
  <dcterms:created xsi:type="dcterms:W3CDTF">2015-02-26T13:47:06Z</dcterms:created>
  <dcterms:modified xsi:type="dcterms:W3CDTF">2023-09-20T15:27:19Z</dcterms:modified>
</cp:coreProperties>
</file>