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 sheetId="1" r:id="rId4"/>
    <sheet state="visible" name="Pendientes" sheetId="2" r:id="rId5"/>
    <sheet state="visible" name="Log" sheetId="3" r:id="rId6"/>
    <sheet state="hidden" name="Copy of Global"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55">
      <text>
        <t xml:space="preserve">12 no mostradas
	-Leo Luna</t>
      </text>
    </comment>
    <comment authorId="0" ref="M15">
      <text>
        <t xml:space="preserve">Según Carla, si el DNI no existe, debería llevarte de manera automática al registro de cliente (si hubo un typo te jodés)
	-Leo Luna</t>
      </text>
    </comment>
    <comment authorId="0" ref="M30">
      <text>
        <t xml:space="preserve">falta aclarar que no tiene imagen en los escenarios
	-Leo Luna</t>
      </text>
    </comment>
    <comment authorId="0" ref="M8">
      <text>
        <t xml:space="preserve">Faltó RN
	-Leo Luna</t>
      </text>
    </comment>
    <comment authorId="0" ref="K20">
      <text>
        <t xml:space="preserve">Pinchó totalmente la integración con Binance Pay
	-Leo Luna</t>
      </text>
    </comment>
    <comment authorId="0" ref="C125">
      <text>
        <t xml:space="preserve">agregar hu en taiga
	-Santiago Marcos</t>
      </text>
    </comment>
    <comment authorId="0" ref="A135">
      <text>
        <t xml:space="preserve">Preguntar si es más reservas o más alquileres
	-Leo Luna
Alquileressssss
	-Leo Luna</t>
      </text>
    </comment>
    <comment authorId="0" ref="A123">
      <text>
        <t xml:space="preserve">Eliminación en cascada. Preguntar qué pasa con las reservas ACTIVAS, no que están pagas, esas se reembolsan, sino las que ya se llevaron del local
	-Leo Luna
No se puede eliminar una máquina que tiiene alquileres
	-Leo Luna</t>
      </text>
    </comment>
    <comment authorId="0" ref="A130">
      <text>
        <t xml:space="preserve">No se puede eliminar una sucursal que tiene máquinas asignadas
	-Leo Luna</t>
      </text>
    </comment>
    <comment authorId="0" ref="C113">
      <text>
        <t xml:space="preserve">@santimarcos440@gmail.com @matiterrone@gmail.com ahi la agregué a la planilla, hay que tener en cuenta que no existe en taiga
	-Leo Luna</t>
      </text>
    </comment>
    <comment authorId="0" ref="L49">
      <text>
        <t xml:space="preserve">Falta regla de negocio, las sucursales no pueden tener direcciones repetidas
	-Leo Luna</t>
      </text>
    </comment>
    <comment authorId="0" ref="L45">
      <text>
        <t xml:space="preserve">Falta regla de negocio, las sucursales no pueden tener direcciones repetidas
	-Leo Luna</t>
      </text>
    </comment>
    <comment authorId="0" ref="L19">
      <text>
        <t xml:space="preserve">Falta escenario por pago fallido (aunque nos hayan dicho que no existía y quedaba en pendiente, lo cual le comentamos y no nos supo decir nada)
	-Leo Luna</t>
      </text>
    </comment>
    <comment authorId="0" ref="L24">
      <text>
        <t xml:space="preserve">Falta:
- Que en la casilla se muestre el rango de fechas de una reserva (solo se muestra a veces)
- Regla de negocio (asumo que es que el alquiler tiene que ser del mínimo de días especificado)
- Escenario (?) no me acuerdo qué era
	-Leo Luna</t>
      </text>
    </comment>
    <comment authorId="0" ref="L13">
      <text>
        <t xml:space="preserve">Falta regla de negocio: El correo electrónico no puede estar repetido
	-Leo Luna</t>
      </text>
    </comment>
    <comment authorId="0" ref="L12">
      <text>
        <t xml:space="preserve">Falta escenario en el que el cliente NO tenga reservas.
	-Leo Luna
También nos tiró un pro-tip, preguntar qué pasa con las reservas que están en vigencia, es decir, máquinas que los clientes YA se llevaron.
	-Leo Luna</t>
      </text>
    </comment>
    <comment authorId="0" ref="L8">
      <text>
        <t xml:space="preserve">Eliminar el botón de editar de los gerentes
	-Leo Luna
Nos puso que nos falta una regla de negocio, pero no me estaría acordando/enterando de cuál. Tenemos la de que no se permite editar gerentes
	-Leo Luna</t>
      </text>
    </comment>
    <comment authorId="0" ref="A29">
      <text>
        <t xml:space="preserve">Eliminación en cascada
	-Leo Luna</t>
      </text>
    </comment>
    <comment authorId="0" ref="A12">
      <text>
        <t xml:space="preserve">Eliminación en cascada
	-Leo Luna</t>
      </text>
    </comment>
    <comment authorId="0" ref="A46">
      <text>
        <t xml:space="preserve">No se puede eliminar una sucursal que tiene máquinas asignadas
	-Leo Luna</t>
      </text>
    </comment>
    <comment authorId="0" ref="A78">
      <text>
        <t xml:space="preserve">TENER EN CUENTA QUE ADEMÁS DE ELIMINAR UN USUARIO LÓGICAMENTE, SE DEBEN OPERAR SOBRE SUS RESERVAS, DEBEN ELIMINARSE ESTAS.
	-Leo Luna</t>
      </text>
    </comment>
    <comment authorId="0" ref="J20">
      <text>
        <t xml:space="preserve">ESTA HU NO ES PARTE DE LA CÁTEDRA SINO PEDIDO DE CACHO Y ARITZ. PUEDE ESTAR COMO NO (INCLUSO EN EL DESARROLLO "GENERAL")
	-Leo Luna</t>
      </text>
    </comment>
    <comment authorId="0" ref="J1">
      <text>
        <t xml:space="preserve">Naranja = Opcional/Podría estar
	-Leo Luna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6">
      <text>
        <t xml:space="preserve">@santimarcos440@gmail.com @santimarcos440@gmail.com @chico.comp0@gmail.com  lo finalizado lo dejamos adentro de los alquileres o de las reservas?
Santi me dijo de dejarlo en reservas, la verdad a este punto ya no sé qué es qué o quién es quién
	-Leo Luna</t>
      </text>
    </comment>
    <comment authorId="0" ref="J46">
      <text>
        <t xml:space="preserve">mirar donde esta la hu de entregar
	-Santiago Marcos</t>
      </text>
    </comment>
  </commentList>
</comments>
</file>

<file path=xl/sharedStrings.xml><?xml version="1.0" encoding="utf-8"?>
<sst xmlns="http://schemas.openxmlformats.org/spreadsheetml/2006/main" count="700" uniqueCount="240">
  <si>
    <t>HU</t>
  </si>
  <si>
    <t>Valen</t>
  </si>
  <si>
    <t>Mati</t>
  </si>
  <si>
    <t>Santi</t>
  </si>
  <si>
    <t>Leo</t>
  </si>
  <si>
    <t>Epica</t>
  </si>
  <si>
    <t>Peso promedio</t>
  </si>
  <si>
    <t>Peso redondeado</t>
  </si>
  <si>
    <t>Peso final</t>
  </si>
  <si>
    <t>1er sprint</t>
  </si>
  <si>
    <t>2do sprint</t>
  </si>
  <si>
    <t>Aprobadas 1er sprint</t>
  </si>
  <si>
    <t>Aprobadas 2do sprint</t>
  </si>
  <si>
    <t>Valores posibles &gt; 1, 2, 3, 5 y 8</t>
  </si>
  <si>
    <t>Iniciar Sesión</t>
  </si>
  <si>
    <t>Usuario</t>
  </si>
  <si>
    <t>Completaron</t>
  </si>
  <si>
    <t>Iniciar Sesión como Gerente</t>
  </si>
  <si>
    <t>Comprobar Token 2FA</t>
  </si>
  <si>
    <t>Cerrar Sesión</t>
  </si>
  <si>
    <t>Recuperar Contraseña</t>
  </si>
  <si>
    <t>Cambiar Contraseña</t>
  </si>
  <si>
    <t>Editar perfil</t>
  </si>
  <si>
    <t xml:space="preserve">Editar Usuario </t>
  </si>
  <si>
    <t>Visualizar Usuario</t>
  </si>
  <si>
    <t>Listar Usuarios</t>
  </si>
  <si>
    <t>Eliminar Usuario</t>
  </si>
  <si>
    <t>Cantidad por peso</t>
  </si>
  <si>
    <t>Registrar Cliente</t>
  </si>
  <si>
    <t>Registrar Empleado</t>
  </si>
  <si>
    <t>Reservar máquina como administrador</t>
  </si>
  <si>
    <t>Pagos</t>
  </si>
  <si>
    <t>Confirmar Reserva Online</t>
  </si>
  <si>
    <t>Confirmar Reserva Presencial</t>
  </si>
  <si>
    <t>Aplicar Cupón</t>
  </si>
  <si>
    <t>Pagar con Mercado Pago</t>
  </si>
  <si>
    <t>Pagar con Binance Pay</t>
  </si>
  <si>
    <t>Generar QR MercadoPago</t>
  </si>
  <si>
    <t>Cancelar Reserva Online</t>
  </si>
  <si>
    <t>Reservas</t>
  </si>
  <si>
    <t>Listar Reservas Propias</t>
  </si>
  <si>
    <t>Reservar Maquinaria</t>
  </si>
  <si>
    <t>Entregar Maquinaria</t>
  </si>
  <si>
    <t>Cancelar Reserva Presencial</t>
  </si>
  <si>
    <t xml:space="preserve">Listar Reservas </t>
  </si>
  <si>
    <t>Cancelar Reserva Presencial por Máquina no disponible</t>
  </si>
  <si>
    <t>Eliminar Máquina</t>
  </si>
  <si>
    <t>Maquinaria</t>
  </si>
  <si>
    <t>Editar Máquina</t>
  </si>
  <si>
    <t>Ver Catálogo</t>
  </si>
  <si>
    <t>Listar Maquinaria (global)</t>
  </si>
  <si>
    <t>Ver Catálogo con filtro de Tipo</t>
  </si>
  <si>
    <t>Ver Catálogo con filtro de Sucursal</t>
  </si>
  <si>
    <t>Ver Catálogo con filtro de Nombre, Marca y Descripción</t>
  </si>
  <si>
    <t>Limpiar Filtros</t>
  </si>
  <si>
    <t>Cargar Máquina</t>
  </si>
  <si>
    <t>Visualizar Máquina</t>
  </si>
  <si>
    <t>Establecer máquina "Disponible"</t>
  </si>
  <si>
    <t>Establecer máquina "En Reparación"</t>
  </si>
  <si>
    <t>Devolver Maquinaria</t>
  </si>
  <si>
    <t>Alquiler</t>
  </si>
  <si>
    <t>Listar Alquileres Histórico</t>
  </si>
  <si>
    <t>Valorar Alquiler</t>
  </si>
  <si>
    <t>Listar Alquileres Propios</t>
  </si>
  <si>
    <t>Cargar Sucursal</t>
  </si>
  <si>
    <t>Sucursal</t>
  </si>
  <si>
    <t>🤠</t>
  </si>
  <si>
    <t>Total Epica</t>
  </si>
  <si>
    <t>Aprobadas 1er</t>
  </si>
  <si>
    <t>Aprobadas 2do</t>
  </si>
  <si>
    <t>Total</t>
  </si>
  <si>
    <t>Eliminar Sucursal</t>
  </si>
  <si>
    <t>Listar Sucursales</t>
  </si>
  <si>
    <t>Visualizar Sucursal</t>
  </si>
  <si>
    <t>Modificar Sucursal</t>
  </si>
  <si>
    <t>Ver Reporte de Maquinarias más Alquiladas</t>
  </si>
  <si>
    <t>Gerencia</t>
  </si>
  <si>
    <t>Ver Reporte de Sucursales más Concurridas</t>
  </si>
  <si>
    <t>Ver Reporte de Finanzas</t>
  </si>
  <si>
    <t>Ver Reporte de Clientes con más Reservas</t>
  </si>
  <si>
    <t>Totales</t>
  </si>
  <si>
    <t>Restantes</t>
  </si>
  <si>
    <t>Ver Listado de Reportes</t>
  </si>
  <si>
    <t>Listar Funciones de Administrador</t>
  </si>
  <si>
    <t>Total rechazadas</t>
  </si>
  <si>
    <t>Listar Funciones sobre Alquileres y Reservas</t>
  </si>
  <si>
    <t>Listar Funciones sobre Usuarios</t>
  </si>
  <si>
    <t>Listar Funciones sobre Sucursales</t>
  </si>
  <si>
    <t>Listar Funciones sobre Maquinaria</t>
  </si>
  <si>
    <t>Peso total</t>
  </si>
  <si>
    <t>Aprobación:</t>
  </si>
  <si>
    <t>Historias de Usuario Primer Sprint</t>
  </si>
  <si>
    <t>Peso</t>
  </si>
  <si>
    <t>Responsable</t>
  </si>
  <si>
    <t>Completada</t>
  </si>
  <si>
    <t>Testeada</t>
  </si>
  <si>
    <t>Comentarios</t>
  </si>
  <si>
    <t>SCRUM Masters: Valen y Leo || ¿Qué hicimos en la semana? y ¿Qué problemas tuvimos? ¿Qué vamos a hacer la semana que viene?</t>
  </si>
  <si>
    <t xml:space="preserve">falta testear el mail </t>
  </si>
  <si>
    <r>
      <rPr>
        <rFont val="Arial"/>
        <b/>
        <color theme="1"/>
      </rPr>
      <t xml:space="preserve">NOTA: </t>
    </r>
    <r>
      <rPr>
        <rFont val="Arial"/>
        <b val="0"/>
        <color theme="1"/>
      </rPr>
      <t>Las historias de usuario resaltadas en naranja significa que pueden estar como no en el primer sprint, nosotros decidimos que podían ser parte, pero se puede patear al segundo.</t>
    </r>
  </si>
  <si>
    <t>Completion per person 🤓☝️</t>
  </si>
  <si>
    <t>Hechas</t>
  </si>
  <si>
    <t>Column 2</t>
  </si>
  <si>
    <t>Para las HU del 2do sprint incluí las que nos quedaron + las que nos rechazaron, por más que sea solo agregar una regla de negocio, hay que volver a presentarla. Así no se nos pasa.</t>
  </si>
  <si>
    <t>Historias de Usuario Segundo Sprint</t>
  </si>
  <si>
    <t>SCRUM Masters: Mati y Santi || ¿Qué hicimos en la semana? y ¿Qué problemas tuvimos? ¿Qué vamos a hacer la semana que viene?</t>
  </si>
  <si>
    <t>Tengo que ver como queda con el qr</t>
  </si>
  <si>
    <t>Ni idea de quién la hizo, nunca se agregó a la planilla esa HU</t>
  </si>
  <si>
    <t>Testee todos los casos que se me ocurrieron, pero no viene mal una 2da vez</t>
  </si>
  <si>
    <t>Solo tengan en cuenta de testearlas desde antes si van a subir fotos</t>
  </si>
  <si>
    <t>Comentario de Leito: Cuando se devuelva una máquina ponele la reserva en estado Finalizado find(EstadoReserva::FINALIZADO)</t>
  </si>
  <si>
    <t>Corregido lo que pidió Aritz</t>
  </si>
  <si>
    <r>
      <rPr>
        <rFont val="Arial"/>
        <b/>
        <color theme="1"/>
      </rPr>
      <t xml:space="preserve">NOTA: </t>
    </r>
    <r>
      <rPr>
        <rFont val="Arial"/>
        <b val="0"/>
        <color theme="1"/>
      </rPr>
      <t>Las historias de usuario resaltadas en amarilla son las que nos rechazaron en el primer sprint. Las celestes son las que nos queda modificar/agregar en Taiga</t>
    </r>
  </si>
  <si>
    <t>TAREAS PRE PRIMERA DEMO</t>
  </si>
  <si>
    <t>ESTADO</t>
  </si>
  <si>
    <t>RESPONSABLE</t>
  </si>
  <si>
    <t>Comentarios adicionales (o pedidos de auxilio)</t>
  </si>
  <si>
    <t>flow valen</t>
  </si>
  <si>
    <t>flow leo</t>
  </si>
  <si>
    <t>Revisar todas las HU (que estén bien escritas)</t>
  </si>
  <si>
    <t>Terminado</t>
  </si>
  <si>
    <t>Todos</t>
  </si>
  <si>
    <t>Ver Catálogo &gt; Arrancamos desde la cuenta del cliente que Valen creó a lo último</t>
  </si>
  <si>
    <t>Acomodar los botones y mensajes para que matcheen con las HU</t>
  </si>
  <si>
    <t>Testear todo el sistema con valores de borde</t>
  </si>
  <si>
    <t>Comprobar que todas las funcionalidades den el resultado esperado en base a la HU</t>
  </si>
  <si>
    <t>Acomodar el frontend donde sea necesario</t>
  </si>
  <si>
    <t>Eliminar endpoints que quedaron inutilizados (ej. /test/mapa)</t>
  </si>
  <si>
    <t>Leito</t>
  </si>
  <si>
    <t>Editar Usuario</t>
  </si>
  <si>
    <t>Revisar las rutas que todas estén protegidas en security.yaml</t>
  </si>
  <si>
    <t>Crear nuevos Fixtures y actualizar los que tenemos</t>
  </si>
  <si>
    <t>Verificar que los % extra en base a valoraciones funcionen correctamente</t>
  </si>
  <si>
    <r>
      <rPr>
        <rFont val="Arial"/>
        <color theme="1"/>
      </rPr>
      <t xml:space="preserve">En Taiga, acomodar los pesos de las HU y el estado (Listo para entregar) (solo </t>
    </r>
    <r>
      <rPr>
        <rFont val="Arial"/>
        <b/>
        <color theme="1"/>
      </rPr>
      <t>SCRUM MASTERS</t>
    </r>
    <r>
      <rPr>
        <rFont val="Arial"/>
        <color theme="1"/>
      </rPr>
      <t>)</t>
    </r>
  </si>
  <si>
    <t>A saber si los pesos quedaron bien, vi que estaban y no los corroboré jjj</t>
  </si>
  <si>
    <t>En Taiga, acomodar las HU dentro del sprint para que sigan el flujo que vamos a mostrar</t>
  </si>
  <si>
    <t>En Taiga, escribir la HU de cancelación de reserva presencial a pedido del cliente (?)</t>
  </si>
  <si>
    <t>Sin hacer</t>
  </si>
  <si>
    <t>Una vez hechos los fixtures, armar una hoja con todas las credenciales y datos para la demo</t>
  </si>
  <si>
    <t>Preparar una carpeta con imágenes de maquinaria para cargar en la demo</t>
  </si>
  <si>
    <t>Filtros en el catálogo</t>
  </si>
  <si>
    <t>Si la disponibilidad es entre fechas, faltaría eso :D</t>
  </si>
  <si>
    <t>Que la reserva  inpaga desaparezca cuando se cierra la pestaña</t>
  </si>
  <si>
    <t>Funciona. ALGUIEN POR FAVOR REVISE QUE TODAVIA ANDE EL PAGO | YA LO REVISÉ Y ANDA (leo)</t>
  </si>
  <si>
    <t>Que la reserva  inpaga desaparezca a los 15 min</t>
  </si>
  <si>
    <t>Listar Reservas</t>
  </si>
  <si>
    <t>Comprobación de email en registrar usuario</t>
  </si>
  <si>
    <t>aparentemente ya estaba (?)</t>
  </si>
  <si>
    <t>Agregar el campo que pide la fecha de nacimiento (debe ser mayor de edad) al crear una cuenta</t>
  </si>
  <si>
    <t>Flow: Por consecuencia de la página lo primero que hace es listar las sucursales. Después inicia sesión como gerente, comprueba el token, lista los usuarios, visualiza uno, ese mismo lo edita, elimina y registra otro.</t>
  </si>
  <si>
    <t>Acomodar botones cuando se terminen todas las HU (rutas que quedaron sin setear ej. editar usuario)</t>
  </si>
  <si>
    <t>Después de haberlo registrado, cierra la sesión de gerente, intenta iniciar con la cuenta recién registrada, pero en lugar de usar la contraseña generada automáticamente, la cambia y utiliza esa</t>
  </si>
  <si>
    <t>Entrar en crisis</t>
  </si>
  <si>
    <t>Acomodar mensajes default de HTML al español</t>
  </si>
  <si>
    <t>Una vez logueado en el nuevo cliente, se va al catálogo, aplican los filtros existentes, se limpian y se visualiza la máquina a alquilar, reserva, paga, confirma y después lista los alquileres propios. Desde ahí cancela el alquiler y lista las reservas</t>
  </si>
  <si>
    <t>En Taiga, acomodar los nombres de las HU de cancelación de reserva (que queden como en la planilla)</t>
  </si>
  <si>
    <t>Quedaron HUs sueltas, entonces carga una máquina, una sucursal, la visualiza, la modifica y finalmente lista reservas</t>
  </si>
  <si>
    <t>En Taiga, acomodar la HU de cancelación presencial porque creo que quedó mal</t>
  </si>
  <si>
    <t>Cambiar el timeout del token 2FA de 5 a 2 minutos (lo pongo para no olvidarme)</t>
  </si>
  <si>
    <t>Cambiar el mensaje de credenciales incorrectas (dice "Credenciales no válidas")</t>
  </si>
  <si>
    <t>TAREAS PRE SEGUNDA DEMO</t>
  </si>
  <si>
    <t>flow santi</t>
  </si>
  <si>
    <t>flow mati</t>
  </si>
  <si>
    <t>Arrastrado del primer sprint</t>
  </si>
  <si>
    <t>Como gerente:</t>
  </si>
  <si>
    <t>Como empleado:</t>
  </si>
  <si>
    <t>Editar Usuario como Gerente</t>
  </si>
  <si>
    <t>Establecer máquina disponible</t>
  </si>
  <si>
    <t>En Taiga, escribir la HU de edición de usuario como gerente</t>
  </si>
  <si>
    <t>Establecer máquina en reparción</t>
  </si>
  <si>
    <r>
      <rPr>
        <rFont val="Arial"/>
        <color theme="1"/>
      </rPr>
      <t xml:space="preserve">Pasar las HU de Taiga a Listo para Entregar (solo </t>
    </r>
    <r>
      <rPr>
        <rFont val="Arial"/>
        <b/>
        <color theme="1"/>
      </rPr>
      <t>SCRUM MASTERS</t>
    </r>
    <r>
      <rPr>
        <rFont val="Arial"/>
        <color theme="1"/>
      </rPr>
      <t>)</t>
    </r>
  </si>
  <si>
    <t>En progreso</t>
  </si>
  <si>
    <t>Acomodar la HU de Eliminar Maquina (Taiga), no cubría todos los casos y me olvidé de hacerlo</t>
  </si>
  <si>
    <t>Reservar maquinaria administracion</t>
  </si>
  <si>
    <t>Paginar todos los listados (y catálogo)</t>
  </si>
  <si>
    <t>jaja como no</t>
  </si>
  <si>
    <t>Lo hará Aritz, fue el de la idea</t>
  </si>
  <si>
    <t>Te borre el bundle porque me estreso :)</t>
  </si>
  <si>
    <t>Agregar la HU a Taiga sobre el cambio de estados para empleados (en reparación &lt;-&gt; disponible)</t>
  </si>
  <si>
    <t>Confirmar reserva presencial</t>
  </si>
  <si>
    <t>Entrar en crisis 2</t>
  </si>
  <si>
    <t>Revisar las Historias de Usuario en Taiga. Que se correspondan con la funcionalidad y estén bien</t>
  </si>
  <si>
    <t>Revisar las rutas de front para que en la demo no redirija a nada erroneo</t>
  </si>
  <si>
    <t>Listo para revisar</t>
  </si>
  <si>
    <t>Las revisé y modifiqué 3 que no estaban implementadas. Lo dejo en listo para revisar así alguien lo revisa, a lo mejor me saltee alguna</t>
  </si>
  <si>
    <t>Agregar la HU a Taiga sobre liberación de máquina</t>
  </si>
  <si>
    <t>No estoy seguro de a qué se refiere "Liberación de máquina", a qué HU real se corresponde?</t>
  </si>
  <si>
    <t>Acomodar la funcionalidad de Elminar Máquina para que se corresponda con la HU</t>
  </si>
  <si>
    <t>Cuando esté hecho, agregar el listado total de máquinas a la topbar (empleados) y menú de gerentes</t>
  </si>
  <si>
    <t>Revisar el listado de reservas. En el Controller hace un findAll en lugar de filrar por estado</t>
  </si>
  <si>
    <t>Modificar para que figuren las reservas canceladas y las finalizadas (ya no se contarían como alquileres porque finalizaron)</t>
  </si>
  <si>
    <t>Testear el sistema siguiendo el flow para la demo (fallidos + exitosos) así evitamos sorpresas</t>
  </si>
  <si>
    <t>Probar si se puede hacer una reserva por la misma cantida de días que el mínmo especificado</t>
  </si>
  <si>
    <t>Chequear precio al crear reserva, puede que esté calculando un día menos</t>
  </si>
  <si>
    <t>Confirmado que cuenta un día menos, problema resuelto</t>
  </si>
  <si>
    <t>Hacer HU de editar máquina (funcionalidad)</t>
  </si>
  <si>
    <t xml:space="preserve">
</t>
  </si>
  <si>
    <t>Comprobar que funcione el pagar con QR (funciona generarlos, falta probar el pago)</t>
  </si>
  <si>
    <t>Verificar si al finalizar un alquiler se muestra un flash con el éxito del alquiler</t>
  </si>
  <si>
    <t>No lo hace, no redirecciona</t>
  </si>
  <si>
    <t>Verificar la HU que se relaciona con el pagar con QR (la de alquiler presencial) (TAIGA)</t>
  </si>
  <si>
    <t>Verificar que al aplicar un cupón se actualice el precio del QR (pago)</t>
  </si>
  <si>
    <t>Comprobado que no se actualiza el monto del QR</t>
  </si>
  <si>
    <t>Revisar la escritura de las HU en Taiga</t>
  </si>
  <si>
    <t>Alguien que revise la HU de Registrar Empleado y Confirmar Reserva Presencial</t>
  </si>
  <si>
    <t>Ver Reporte de maquinaria más alquilada</t>
  </si>
  <si>
    <t>Acomodar la query de reporte de finanzas para que tome en curso</t>
  </si>
  <si>
    <t>TABLAS DEL 1ER SPRINT</t>
  </si>
  <si>
    <t>SEMANA 1</t>
  </si>
  <si>
    <t>Hecho</t>
  </si>
  <si>
    <t>- Historia de Usuario "Iniciar Sesión" terminada</t>
  </si>
  <si>
    <t>- Historia de Usuario "Iniciar Sesión como Gerente" terminada</t>
  </si>
  <si>
    <t>- Historia de Usuario "Cerrar Sesión" terminada
- Modificación sobre la plantilla base
- Modificación sobre la topbar y footer
- Modificaciones específicas sobre el CSS y HTML del sistema</t>
  </si>
  <si>
    <t>- Adaptación de la planilla para primer sprint
- Creación de la plantilla base
- Creación de la topbar y footer
- Creación del sistema de roles (y su fixture)
- Historia de Usuario "Registrar Cliente" terminada
- Creación de las cuentas de gerente (fixture)
- Creación del servicio para emailing
- Creación del servicio para la creación de códigos y contraseñas
- Conexión con el servidor SMTP de MailTrap para realizar envíos de correo reales
- Historia de Usuario "Comprobar Token 2FA" terminada</t>
  </si>
  <si>
    <t>SEMANA 2</t>
  </si>
  <si>
    <t>-Creacion entidad Maquina
-Creacion entidad reserva</t>
  </si>
  <si>
    <t>-Historia de Usuario "cargar maquina"</t>
  </si>
  <si>
    <t>- Historia de Usuario "Cambiar Contraseña" terminada
- Historia de Usuario "Recuperar Contraseña" terminada</t>
  </si>
  <si>
    <t>- Historia de Usuario "Listar Reservas" terminada
- Creación de Servicio para manejo de mapas
- Integración de Leaflet
- Integración de Nominatim OpenStreetMap
- Integración con MercadoPago (Checkout API)</t>
  </si>
  <si>
    <t>SEMANA 3</t>
  </si>
  <si>
    <t>-Actualizada entidad reserva
-Historia de usuario listar maquinaria terminada
-Historia de usuario cargar reserva terminada
-Implementado el calendario de seleccion de fechas para reserva
-Historia de usuario visualizar sucursal terminada
-HIstoria de usuario visualizar usuario terminada</t>
  </si>
  <si>
    <t>- Fix de problema con accesos  - historia de usuario confirmar reserva terminada -incorporacion de valoracion al usuario
- Historia de usuario visualizar maquina terminada 
- fix maquina multiples imagenes  
- Creacion entidad sucursal</t>
  </si>
  <si>
    <t>- Creación de Fixture para Máquinas
- Creación de Fixture para Sucursales
- Historia de Usuario "Listar Reservas" terminada
- Historia de Usuario "Listar Reservas Propias" terminada
- Historia de Usuario "Listar Sucursales" terminada
- Sección "Mi perfil" (temporal &gt; reempalzar por resultado de Visualizar Usuario)
- Sección "Gerencia" (temporal)
- CSS en fechas
- Entidad "EstadosReserva"
- Fixture para EstadosReserva</t>
  </si>
  <si>
    <t xml:space="preserve">TABLAS PARA EL 2DO SPRINT </t>
  </si>
  <si>
    <t xml:space="preserve">- Incorporacion de reglas de negocio faltante en:
     Registrar cliente
     Cargar sucursal
     Modificar Sucursal
- Historia de usuario Registrar empleado
- Permisos del rol empleado en las diferentes páginas </t>
  </si>
  <si>
    <t>- Listar Funciones de Administrador
- Listar Funciones sobre Alquileres y Reserva
- Listar Funciones sobre Usuario
- Listar Funciones sobre Sucursales
- Listar Funciones sobre Maquinaria</t>
  </si>
  <si>
    <t>- Modifcaciones sobe todas las HU de la épica "Funciones Vinculadas a la Gerencia"
- Integración con Symfony UX: Chart JS
- Prueba de gráficos con Chart JS
- Historia de Usuario "Ver Listado de Reportes" terminada
- Historia de Usuario "Ver Reporte de Clientes con más Reservas"
- Historia de Usuario "Ver Reporte de Sucursales más Concurridas"
- Cambios en menú de gerente
- Ajuste de permisos
- Cambios en fixture de reservas</t>
  </si>
  <si>
    <t>- Nuevo estado "Finalizado" para alquileres
- Fixes en reportes post consulta
- Historia de Usuario "Ver Reportes de Máquinas más alquiladas" terminada
- Acomodada la Historia de Usuario "Ver Listado de Reportes", ahora se maneja con una redirección
- Footer fixeado, ahora es un footer de verdad
- Navbar fixeada, el contenido ahora sale a la izquierda para que no se rompa el falso centrado
- Pasaje de CSS a Bootstrap en templates varias
- Fix en la imagen del catálogo que no se veia
- Cambios en rutas &gt; ahora se distinguie administracion de gerencia. Hay acciones solo realizables por gerentes
- Historia de Usuario "Listar Alquileres Histórico" terminada
- Historia de Usuario "Eliminar Maquinaria" terminada
- Ajustes en Taiga (HUs de Reportes), se le agrega escenario de listado vacío</t>
  </si>
  <si>
    <t>- Aplicar cupón terminada
- Devolver maquinaria terminada
- Nuevo estado de reserva En curso</t>
  </si>
  <si>
    <t>- Historia de usuario "valorar alquiler" completa.
- Historia de usuario "Eliminar sucursal" completa.
- Incorporación de un empleado para testear.
- Corrección "Eliminar usuario" en taiga.
- CSS y manejo de estrellas.</t>
  </si>
  <si>
    <t>- Editar usuario como gerente finalizada
- Editar usuario finalizada.</t>
  </si>
  <si>
    <t>- Historia de Usuario "Ver Reportes de Finanzas" terminada
- Cambios en Reserva para incluir fecha de creación y agregado al respectivo fixture</t>
  </si>
  <si>
    <t>Puntaje redondeado</t>
  </si>
  <si>
    <t>Puntaje final</t>
  </si>
  <si>
    <t>TBD</t>
  </si>
  <si>
    <t>Pagar</t>
  </si>
  <si>
    <t>Cancelar Reserva de Alquiler Online</t>
  </si>
  <si>
    <t>Cancelar Reserva de Alquiler</t>
  </si>
  <si>
    <t>Listar Maquinaria Disponible</t>
  </si>
  <si>
    <t>Ver Reportes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</si>
</sst>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1">
    <font>
      <sz val="10.0"/>
      <color rgb="FF000000"/>
      <name val="Arial"/>
      <scheme val="minor"/>
    </font>
    <font>
      <color rgb="FFFFFFFF"/>
      <name val="Arial"/>
      <scheme val="minor"/>
    </font>
    <font>
      <color theme="1"/>
      <name val="Arial"/>
      <scheme val="minor"/>
    </font>
    <font>
      <sz val="4.0"/>
      <color rgb="FF0000FF"/>
      <name val="Arial"/>
      <scheme val="minor"/>
    </font>
    <font>
      <color theme="1"/>
      <name val="Arial"/>
    </font>
    <font>
      <sz val="4.0"/>
      <color rgb="FFFFFF00"/>
      <name val="Arial"/>
      <scheme val="minor"/>
    </font>
    <font>
      <sz val="4.0"/>
      <color rgb="FFFF0000"/>
      <name val="Arial"/>
      <scheme val="minor"/>
    </font>
    <font>
      <sz val="4.0"/>
      <color rgb="FF00FF00"/>
      <name val="Arial"/>
      <scheme val="minor"/>
    </font>
    <font>
      <sz val="4.0"/>
      <color rgb="FF999999"/>
      <name val="Arial"/>
      <scheme val="minor"/>
    </font>
    <font>
      <sz val="4.0"/>
      <color rgb="FF9900FF"/>
      <name val="Arial"/>
      <scheme val="minor"/>
    </font>
    <font>
      <sz val="4.0"/>
      <color rgb="FFFF9900"/>
      <name val="Arial"/>
      <scheme val="minor"/>
    </font>
    <font>
      <sz val="9.0"/>
      <color theme="1"/>
      <name val="Arial"/>
      <scheme val="minor"/>
    </font>
    <font>
      <b/>
      <color rgb="FFFFFFFF"/>
      <name val="Arial"/>
      <scheme val="minor"/>
    </font>
    <font>
      <color rgb="FF000000"/>
      <name val="Arial"/>
      <scheme val="minor"/>
    </font>
    <font>
      <b/>
      <color theme="1"/>
      <name val="Arial"/>
      <scheme val="minor"/>
    </font>
    <font>
      <u/>
      <color theme="1"/>
      <name val="Arial"/>
      <scheme val="minor"/>
    </font>
    <font>
      <i/>
      <u/>
      <color theme="1"/>
      <name val="Arial"/>
      <scheme val="minor"/>
    </font>
    <font>
      <b/>
      <u/>
      <color theme="1"/>
      <name val="Arial"/>
      <scheme val="minor"/>
    </font>
    <font>
      <b/>
      <u/>
      <color rgb="FF000000"/>
      <name val="Arial"/>
      <scheme val="minor"/>
    </font>
    <font>
      <b/>
      <u/>
      <color theme="1"/>
      <name val="Arial"/>
      <scheme val="minor"/>
    </font>
    <font>
      <b/>
      <u/>
      <color theme="1"/>
      <name val="Arial"/>
      <scheme val="minor"/>
    </font>
  </fonts>
  <fills count="17">
    <fill>
      <patternFill patternType="none"/>
    </fill>
    <fill>
      <patternFill patternType="lightGray"/>
    </fill>
    <fill>
      <patternFill patternType="solid">
        <fgColor theme="7"/>
        <bgColor theme="7"/>
      </patternFill>
    </fill>
    <fill>
      <patternFill patternType="solid">
        <fgColor rgb="FF0000FF"/>
        <bgColor rgb="FF0000FF"/>
      </patternFill>
    </fill>
    <fill>
      <patternFill patternType="solid">
        <fgColor rgb="FFFF9900"/>
        <bgColor rgb="FFFF9900"/>
      </patternFill>
    </fill>
    <fill>
      <patternFill patternType="solid">
        <fgColor rgb="FFFFFF00"/>
        <bgColor rgb="FFFFFF00"/>
      </patternFill>
    </fill>
    <fill>
      <patternFill patternType="solid">
        <fgColor rgb="FF9900FF"/>
        <bgColor rgb="FF9900FF"/>
      </patternFill>
    </fill>
    <fill>
      <patternFill patternType="solid">
        <fgColor rgb="FFFF0000"/>
        <bgColor rgb="FFFF0000"/>
      </patternFill>
    </fill>
    <fill>
      <patternFill patternType="solid">
        <fgColor rgb="FF00FF00"/>
        <bgColor rgb="FF00FF00"/>
      </patternFill>
    </fill>
    <fill>
      <patternFill patternType="solid">
        <fgColor rgb="FF999999"/>
        <bgColor rgb="FF999999"/>
      </patternFill>
    </fill>
    <fill>
      <patternFill patternType="solid">
        <fgColor rgb="FF9FC5E8"/>
        <bgColor rgb="FF9FC5E8"/>
      </patternFill>
    </fill>
    <fill>
      <patternFill patternType="solid">
        <fgColor rgb="FFE06666"/>
        <bgColor rgb="FFE06666"/>
      </patternFill>
    </fill>
    <fill>
      <patternFill patternType="solid">
        <fgColor rgb="FFFFE599"/>
        <bgColor rgb="FFFFE599"/>
      </patternFill>
    </fill>
    <fill>
      <patternFill patternType="solid">
        <fgColor rgb="FFB4A7D6"/>
        <bgColor rgb="FFB4A7D6"/>
      </patternFill>
    </fill>
    <fill>
      <patternFill patternType="solid">
        <fgColor rgb="FFFFFFFF"/>
        <bgColor rgb="FFFFFFFF"/>
      </patternFill>
    </fill>
    <fill>
      <patternFill patternType="solid">
        <fgColor rgb="FF00FFFF"/>
        <bgColor rgb="FF00FFFF"/>
      </patternFill>
    </fill>
    <fill>
      <patternFill patternType="solid">
        <fgColor rgb="FFF6B26B"/>
        <bgColor rgb="FFF6B26B"/>
      </patternFill>
    </fill>
  </fills>
  <borders count="30">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3" numFmtId="0" xfId="0" applyAlignment="1" applyFill="1" applyFont="1">
      <alignment readingOrder="0"/>
    </xf>
    <xf borderId="0" fillId="0" fontId="2" numFmtId="0" xfId="0" applyFont="1"/>
    <xf borderId="0" fillId="0" fontId="2" numFmtId="0" xfId="0" applyAlignment="1" applyFont="1">
      <alignment horizontal="right" readingOrder="0"/>
    </xf>
    <xf borderId="0" fillId="4" fontId="2" numFmtId="0" xfId="0" applyAlignment="1" applyFill="1" applyFont="1">
      <alignment readingOrder="0"/>
    </xf>
    <xf borderId="0" fillId="0" fontId="4" numFmtId="0" xfId="0" applyAlignment="1" applyFont="1">
      <alignment horizontal="right" vertical="bottom"/>
    </xf>
    <xf borderId="0" fillId="5" fontId="2" numFmtId="0" xfId="0" applyAlignment="1" applyFill="1" applyFont="1">
      <alignment readingOrder="0"/>
    </xf>
    <xf borderId="1" fillId="0" fontId="2"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0" fillId="5" fontId="5" numFmtId="0" xfId="0" applyAlignment="1" applyFont="1">
      <alignment readingOrder="0"/>
    </xf>
    <xf borderId="10" fillId="0" fontId="2" numFmtId="0" xfId="0" applyAlignment="1" applyBorder="1" applyFont="1">
      <alignment readingOrder="0" shrinkToFit="0" vertical="center" wrapText="0"/>
    </xf>
    <xf borderId="11" fillId="0" fontId="2" numFmtId="0" xfId="0" applyAlignment="1" applyBorder="1" applyFont="1">
      <alignment shrinkToFit="0" vertical="center" wrapText="0"/>
    </xf>
    <xf borderId="12" fillId="0" fontId="2" numFmtId="0" xfId="0" applyAlignment="1" applyBorder="1" applyFont="1">
      <alignment shrinkToFit="0" vertical="center" wrapText="0"/>
    </xf>
    <xf borderId="0" fillId="6" fontId="2" numFmtId="0" xfId="0" applyAlignment="1" applyFill="1" applyFont="1">
      <alignment readingOrder="0"/>
    </xf>
    <xf borderId="0" fillId="7" fontId="6" numFmtId="0" xfId="0" applyAlignment="1" applyFill="1" applyFont="1">
      <alignment readingOrder="0"/>
    </xf>
    <xf borderId="0" fillId="8" fontId="7" numFmtId="0" xfId="0" applyAlignment="1" applyFill="1" applyFont="1">
      <alignment readingOrder="0"/>
    </xf>
    <xf borderId="0" fillId="9" fontId="8" numFmtId="0" xfId="0" applyAlignment="1" applyFill="1" applyFont="1">
      <alignment readingOrder="0"/>
    </xf>
    <xf borderId="0" fillId="6" fontId="9" numFmtId="0" xfId="0" applyAlignment="1" applyFont="1">
      <alignment readingOrder="0"/>
    </xf>
    <xf borderId="13" fillId="0" fontId="2" numFmtId="0" xfId="0" applyAlignment="1" applyBorder="1" applyFont="1">
      <alignment horizontal="center" readingOrder="0"/>
    </xf>
    <xf borderId="14" fillId="10" fontId="2" numFmtId="0" xfId="0" applyAlignment="1" applyBorder="1" applyFill="1" applyFont="1">
      <alignment readingOrder="0"/>
    </xf>
    <xf borderId="14" fillId="11" fontId="2" numFmtId="0" xfId="0" applyAlignment="1" applyBorder="1" applyFill="1" applyFont="1">
      <alignment readingOrder="0"/>
    </xf>
    <xf borderId="14" fillId="12" fontId="2" numFmtId="0" xfId="0" applyAlignment="1" applyBorder="1" applyFill="1" applyFont="1">
      <alignment readingOrder="0"/>
    </xf>
    <xf borderId="15" fillId="13" fontId="2" numFmtId="0" xfId="0" applyAlignment="1" applyBorder="1" applyFill="1" applyFont="1">
      <alignment readingOrder="0"/>
    </xf>
    <xf borderId="16" fillId="0" fontId="2" numFmtId="0" xfId="0" applyBorder="1" applyFont="1"/>
    <xf borderId="17" fillId="10" fontId="2" numFmtId="0" xfId="0" applyBorder="1" applyFont="1"/>
    <xf borderId="17" fillId="11" fontId="2" numFmtId="0" xfId="0" applyBorder="1" applyFont="1"/>
    <xf borderId="17" fillId="12" fontId="2" numFmtId="0" xfId="0" applyBorder="1" applyFont="1"/>
    <xf borderId="18" fillId="13" fontId="2" numFmtId="0" xfId="0" applyBorder="1" applyFont="1"/>
    <xf borderId="0" fillId="10" fontId="2" numFmtId="0" xfId="0" applyFont="1"/>
    <xf borderId="0" fillId="11" fontId="2" numFmtId="0" xfId="0" applyFont="1"/>
    <xf borderId="0" fillId="4" fontId="10" numFmtId="0" xfId="0" applyAlignment="1" applyFont="1">
      <alignment readingOrder="0"/>
    </xf>
    <xf borderId="16" fillId="0" fontId="2" numFmtId="0" xfId="0" applyAlignment="1" applyBorder="1" applyFont="1">
      <alignment readingOrder="0"/>
    </xf>
    <xf borderId="19" fillId="10" fontId="2" numFmtId="0" xfId="0" applyBorder="1" applyFont="1"/>
    <xf borderId="19" fillId="11" fontId="2" numFmtId="0" xfId="0" applyBorder="1" applyFont="1"/>
    <xf borderId="13" fillId="14" fontId="2" numFmtId="0" xfId="0" applyAlignment="1" applyBorder="1" applyFill="1" applyFont="1">
      <alignment readingOrder="0"/>
    </xf>
    <xf borderId="20" fillId="14" fontId="2" numFmtId="0" xfId="0" applyBorder="1" applyFont="1"/>
    <xf borderId="16" fillId="15" fontId="11" numFmtId="0" xfId="0" applyAlignment="1" applyBorder="1" applyFill="1" applyFont="1">
      <alignment readingOrder="0"/>
    </xf>
    <xf borderId="15" fillId="15" fontId="2" numFmtId="0" xfId="0" applyBorder="1" applyFont="1"/>
    <xf borderId="0" fillId="2" fontId="1" numFmtId="0" xfId="0" applyFont="1"/>
    <xf borderId="0" fillId="2" fontId="12" numFmtId="0" xfId="0" applyFont="1"/>
    <xf borderId="0" fillId="2" fontId="12" numFmtId="0" xfId="0" applyAlignment="1" applyFont="1">
      <alignment readingOrder="0"/>
    </xf>
    <xf borderId="0" fillId="2" fontId="12" numFmtId="10" xfId="0" applyAlignment="1" applyFont="1" applyNumberFormat="1">
      <alignment horizontal="left" readingOrder="0"/>
    </xf>
    <xf borderId="0" fillId="0" fontId="13" numFmtId="0" xfId="0" applyAlignment="1" applyFont="1">
      <alignment readingOrder="0"/>
    </xf>
    <xf borderId="0" fillId="14" fontId="2" numFmtId="0" xfId="0" applyFont="1"/>
    <xf borderId="0" fillId="0" fontId="2" numFmtId="0" xfId="0" applyFont="1"/>
    <xf borderId="0" fillId="0" fontId="13" numFmtId="0" xfId="0" applyFont="1"/>
    <xf borderId="0" fillId="0" fontId="1" numFmtId="0" xfId="0" applyFont="1"/>
    <xf borderId="0" fillId="0" fontId="14" numFmtId="0" xfId="0" applyAlignment="1" applyFont="1">
      <alignment readingOrder="0"/>
    </xf>
    <xf borderId="3" fillId="0" fontId="2" numFmtId="0" xfId="0" applyAlignment="1" applyBorder="1" applyFont="1">
      <alignment horizontal="left" readingOrder="0" shrinkToFit="0" vertical="center" wrapText="0"/>
    </xf>
    <xf borderId="6" fillId="0" fontId="2" numFmtId="0" xfId="0" applyAlignment="1" applyBorder="1" applyFont="1">
      <alignment shrinkToFit="0" vertical="center" wrapText="0"/>
    </xf>
    <xf borderId="0" fillId="0" fontId="15" numFmtId="0" xfId="0" applyFont="1"/>
    <xf borderId="9" fillId="0" fontId="2" numFmtId="0" xfId="0" applyAlignment="1" applyBorder="1" applyFont="1">
      <alignment shrinkToFit="0" vertical="center" wrapText="0"/>
    </xf>
    <xf borderId="12" fillId="0" fontId="2" numFmtId="0" xfId="0" applyAlignment="1" applyBorder="1" applyFont="1">
      <alignment shrinkToFit="0" vertical="center" wrapText="0"/>
    </xf>
    <xf borderId="0" fillId="0" fontId="16" numFmtId="0" xfId="0" applyAlignment="1" applyFont="1">
      <alignment readingOrder="0"/>
    </xf>
    <xf borderId="0" fillId="5" fontId="2" numFmtId="0" xfId="0" applyFont="1"/>
    <xf borderId="0" fillId="15" fontId="2" numFmtId="0" xfId="0" applyFont="1"/>
    <xf borderId="0" fillId="0" fontId="1" numFmtId="0" xfId="0" applyAlignment="1" applyFont="1">
      <alignment readingOrder="0"/>
    </xf>
    <xf borderId="0" fillId="0" fontId="2" numFmtId="164" xfId="0" applyAlignment="1" applyFont="1" applyNumberFormat="1">
      <alignment readingOrder="0"/>
    </xf>
    <xf borderId="0" fillId="15" fontId="14" numFmtId="0" xfId="0" applyAlignment="1" applyFont="1">
      <alignment horizontal="center" readingOrder="0"/>
    </xf>
    <xf borderId="21" fillId="15" fontId="14" numFmtId="0" xfId="0" applyAlignment="1" applyBorder="1" applyFont="1">
      <alignment readingOrder="0"/>
    </xf>
    <xf borderId="22" fillId="15" fontId="14" numFmtId="0" xfId="0" applyBorder="1" applyFont="1"/>
    <xf borderId="23" fillId="15" fontId="14" numFmtId="0" xfId="0" applyAlignment="1" applyBorder="1" applyFont="1">
      <alignment readingOrder="0"/>
    </xf>
    <xf borderId="24" fillId="0" fontId="2" numFmtId="0" xfId="0" applyAlignment="1" applyBorder="1" applyFont="1">
      <alignment readingOrder="0"/>
    </xf>
    <xf borderId="25" fillId="0" fontId="2" numFmtId="0" xfId="0" applyAlignment="1" applyBorder="1" applyFont="1">
      <alignment readingOrder="0"/>
    </xf>
    <xf borderId="24" fillId="0" fontId="2" numFmtId="0" xfId="0" applyBorder="1" applyFont="1"/>
    <xf borderId="26" fillId="0" fontId="2" numFmtId="0" xfId="0" applyBorder="1" applyFont="1"/>
    <xf borderId="19" fillId="0" fontId="2" numFmtId="0" xfId="0" applyBorder="1" applyFont="1"/>
    <xf borderId="18" fillId="0" fontId="2" numFmtId="0" xfId="0" applyAlignment="1" applyBorder="1" applyFont="1">
      <alignment readingOrder="0"/>
    </xf>
    <xf borderId="22" fillId="0" fontId="2" numFmtId="0" xfId="0" applyBorder="1" applyFont="1"/>
    <xf borderId="24" fillId="5" fontId="2" numFmtId="0" xfId="0" applyBorder="1" applyFont="1"/>
    <xf borderId="25" fillId="0" fontId="2" numFmtId="0" xfId="0" applyBorder="1" applyFont="1"/>
    <xf borderId="0" fillId="0" fontId="2" numFmtId="0" xfId="0" applyAlignment="1" applyFont="1">
      <alignment readingOrder="0"/>
    </xf>
    <xf borderId="0" fillId="5" fontId="14" numFmtId="0" xfId="0" applyAlignment="1" applyFont="1">
      <alignment readingOrder="0"/>
    </xf>
    <xf borderId="0" fillId="5" fontId="17" numFmtId="0" xfId="0" applyAlignment="1" applyFont="1">
      <alignment readingOrder="0"/>
    </xf>
    <xf borderId="18" fillId="0" fontId="2" numFmtId="0" xfId="0" applyBorder="1" applyFont="1"/>
    <xf borderId="0" fillId="0" fontId="18" numFmtId="0" xfId="0" applyAlignment="1" applyFont="1">
      <alignment readingOrder="0" shrinkToFit="0" wrapText="0"/>
    </xf>
    <xf borderId="0" fillId="0" fontId="1" numFmtId="0" xfId="0" applyAlignment="1" applyFont="1">
      <alignment readingOrder="0" shrinkToFit="0" wrapText="0"/>
    </xf>
    <xf borderId="0" fillId="2" fontId="1" numFmtId="0" xfId="0" applyAlignment="1" applyFont="1">
      <alignment readingOrder="0" shrinkToFit="0" wrapText="0"/>
    </xf>
    <xf borderId="0" fillId="0" fontId="2" numFmtId="0" xfId="0" applyAlignment="1" applyFont="1">
      <alignment readingOrder="0" shrinkToFit="0" wrapText="0"/>
    </xf>
    <xf borderId="0" fillId="0" fontId="19" numFmtId="0" xfId="0" applyAlignment="1" applyFont="1">
      <alignment readingOrder="0"/>
    </xf>
    <xf borderId="0" fillId="0" fontId="20" numFmtId="0" xfId="0" applyFont="1"/>
    <xf borderId="0" fillId="16" fontId="2" numFmtId="0" xfId="0" applyAlignment="1" applyFill="1" applyFont="1">
      <alignment readingOrder="0"/>
    </xf>
    <xf borderId="27" fillId="0" fontId="2" numFmtId="0" xfId="0" applyAlignment="1" applyBorder="1" applyFont="1">
      <alignment readingOrder="0" shrinkToFit="0" vertical="center" wrapText="0"/>
    </xf>
    <xf borderId="28" fillId="0" fontId="2" numFmtId="0" xfId="0" applyAlignment="1" applyBorder="1" applyFont="1">
      <alignment shrinkToFit="0" vertical="center" wrapText="0"/>
    </xf>
    <xf borderId="29" fillId="0" fontId="2" numFmtId="0" xfId="0" applyAlignment="1" applyBorder="1" applyFont="1">
      <alignment shrinkToFit="0" vertical="center" wrapText="0"/>
    </xf>
  </cellXfs>
  <cellStyles count="1">
    <cellStyle xfId="0" name="Normal" builtinId="0"/>
  </cellStyles>
  <dxfs count="6">
    <dxf>
      <font/>
      <fill>
        <patternFill patternType="solid">
          <fgColor rgb="FFF4C7C3"/>
          <bgColor rgb="FFF4C7C3"/>
        </patternFill>
      </fill>
      <border/>
    </dxf>
    <dxf>
      <font/>
      <fill>
        <patternFill patternType="solid">
          <fgColor rgb="FFB7E1CD"/>
          <bgColor rgb="FFB7E1CD"/>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6">
    <tableStyle count="3" pivot="0" name="Global-style">
      <tableStyleElement dxfId="3" type="headerRow"/>
      <tableStyleElement dxfId="4" type="firstRowStripe"/>
      <tableStyleElement dxfId="5" type="secondRowStripe"/>
    </tableStyle>
    <tableStyle count="3" pivot="0" name="Global-style 2">
      <tableStyleElement dxfId="3" type="headerRow"/>
      <tableStyleElement dxfId="4" type="firstRowStripe"/>
      <tableStyleElement dxfId="5" type="secondRowStripe"/>
    </tableStyle>
    <tableStyle count="3" pivot="0" name="Global-style 3">
      <tableStyleElement dxfId="3" type="headerRow"/>
      <tableStyleElement dxfId="4" type="firstRowStripe"/>
      <tableStyleElement dxfId="5" type="secondRowStripe"/>
    </tableStyle>
    <tableStyle count="3" pivot="0" name="Global-style 4">
      <tableStyleElement dxfId="3" type="headerRow"/>
      <tableStyleElement dxfId="4" type="firstRowStripe"/>
      <tableStyleElement dxfId="5" type="secondRowStripe"/>
    </tableStyle>
    <tableStyle count="3" pivot="0" name="Global-style 5">
      <tableStyleElement dxfId="3" type="headerRow"/>
      <tableStyleElement dxfId="4" type="firstRowStripe"/>
      <tableStyleElement dxfId="5" type="secondRowStripe"/>
    </tableStyle>
    <tableStyle count="3" pivot="0" name="Copy of Global-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Peso por persona</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Global!$E$104:$E$107</c:f>
            </c:strRef>
          </c:cat>
          <c:val>
            <c:numRef>
              <c:f>Global!$F$104:$F$107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Peso por persona</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Global!$E$153:$E$156</c:f>
            </c:strRef>
          </c:cat>
          <c:val>
            <c:numRef>
              <c:f>Global!$F$153:$F$156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114300</xdr:colOff>
      <xdr:row>86</xdr:row>
      <xdr:rowOff>28575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16</xdr:col>
      <xdr:colOff>114300</xdr:colOff>
      <xdr:row>129</xdr:row>
      <xdr:rowOff>19050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Z12:AD18" displayName="Table1" name="Table1" id="1">
  <tableColumns count="5">
    <tableColumn name="Cantidad por peso" id="1"/>
    <tableColumn name="Valen" id="2"/>
    <tableColumn name="Mati" id="3"/>
    <tableColumn name="Santi" id="4"/>
    <tableColumn name="Leo" id="5"/>
  </tableColumns>
  <tableStyleInfo name="Global-style" showColumnStripes="0" showFirstColumn="1" showLastColumn="1" showRowStripes="1"/>
</table>
</file>

<file path=xl/tables/table2.xml><?xml version="1.0" encoding="utf-8"?>
<table xmlns="http://schemas.openxmlformats.org/spreadsheetml/2006/main" ref="A103:C107" displayName="Completion_per_person" name="Completion_per_person" id="2">
  <tableColumns count="3">
    <tableColumn name="Completion per person 🤓☝️" id="1"/>
    <tableColumn name="Hechas" id="2"/>
    <tableColumn name="Restantes" id="3"/>
  </tableColumns>
  <tableStyleInfo name="Global-style 2" showColumnStripes="0" showFirstColumn="1" showLastColumn="1" showRowStripes="1"/>
</table>
</file>

<file path=xl/tables/table3.xml><?xml version="1.0" encoding="utf-8"?>
<table xmlns="http://schemas.openxmlformats.org/spreadsheetml/2006/main" ref="E103:F107" displayName="Peso_por_persona_S1" name="Peso_por_persona_S1" id="3">
  <tableColumns count="2">
    <tableColumn name="Peso total" id="1"/>
    <tableColumn name="Column 2" id="2"/>
  </tableColumns>
  <tableStyleInfo name="Global-style 3" showColumnStripes="0" showFirstColumn="1" showLastColumn="1" showRowStripes="1"/>
</table>
</file>

<file path=xl/tables/table4.xml><?xml version="1.0" encoding="utf-8"?>
<table xmlns="http://schemas.openxmlformats.org/spreadsheetml/2006/main" ref="A152:C156" displayName="Table3" name="Table3" id="4">
  <tableColumns count="3">
    <tableColumn name="Completion per person 🤓☝️" id="1"/>
    <tableColumn name="Hechas" id="2"/>
    <tableColumn name="Restantes" id="3"/>
  </tableColumns>
  <tableStyleInfo name="Global-style 4" showColumnStripes="0" showFirstColumn="1" showLastColumn="1" showRowStripes="1"/>
</table>
</file>

<file path=xl/tables/table5.xml><?xml version="1.0" encoding="utf-8"?>
<table xmlns="http://schemas.openxmlformats.org/spreadsheetml/2006/main" ref="E152:F156" displayName="Table2" name="Table2" id="5">
  <tableColumns count="2">
    <tableColumn name="Peso total" id="1"/>
    <tableColumn name="Column 2" id="2"/>
  </tableColumns>
  <tableStyleInfo name="Global-style 5" showColumnStripes="0" showFirstColumn="1" showLastColumn="1" showRowStripes="1"/>
</table>
</file>

<file path=xl/tables/table6.xml><?xml version="1.0" encoding="utf-8"?>
<table xmlns="http://schemas.openxmlformats.org/spreadsheetml/2006/main" ref="K41:O46" displayName="Table1_2" name="Table1_2" id="6">
  <tableColumns count="5">
    <tableColumn name="Cantidad por peso" id="1"/>
    <tableColumn name="Valen" id="2"/>
    <tableColumn name="Mati" id="3"/>
    <tableColumn name="Santi" id="4"/>
    <tableColumn name="Leo" id="5"/>
  </tableColumns>
  <tableStyleInfo name="Copy of Globa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88"/>
    <col customWidth="1" min="2" max="2" width="12.63"/>
    <col customWidth="1" min="3" max="3" width="15.0"/>
    <col customWidth="1" min="6" max="6" width="10.75"/>
    <col customWidth="1" min="7" max="7" width="13.5"/>
    <col customWidth="1" min="8" max="8" width="14.5"/>
    <col customWidth="1" min="9" max="9" width="9.13"/>
    <col customWidth="1" min="10" max="10" width="10.5"/>
    <col customWidth="1" min="11" max="11" width="12.63"/>
    <col customWidth="1" min="12" max="13" width="17.0"/>
    <col customWidth="1" min="14" max="14" width="19.13"/>
    <col customWidth="1" min="24" max="24" width="12.63"/>
    <col customWidth="1" min="26" max="26" width="36.88"/>
  </cols>
  <sheetData>
    <row r="1">
      <c r="A1" s="1" t="s">
        <v>0</v>
      </c>
      <c r="B1" s="1" t="s">
        <v>1</v>
      </c>
      <c r="C1" s="1" t="s">
        <v>2</v>
      </c>
      <c r="D1" s="1" t="s">
        <v>3</v>
      </c>
      <c r="E1" s="1" t="s">
        <v>4</v>
      </c>
      <c r="F1" s="1" t="s">
        <v>5</v>
      </c>
      <c r="G1" s="1" t="s">
        <v>6</v>
      </c>
      <c r="H1" s="1" t="s">
        <v>7</v>
      </c>
      <c r="I1" s="1" t="s">
        <v>8</v>
      </c>
      <c r="J1" s="1" t="s">
        <v>9</v>
      </c>
      <c r="K1" s="1" t="s">
        <v>10</v>
      </c>
      <c r="L1" s="1" t="s">
        <v>11</v>
      </c>
      <c r="M1" s="1" t="s">
        <v>12</v>
      </c>
      <c r="N1" s="2" t="s">
        <v>13</v>
      </c>
    </row>
    <row r="2">
      <c r="A2" s="2" t="s">
        <v>14</v>
      </c>
      <c r="B2" s="2">
        <v>1.0</v>
      </c>
      <c r="C2" s="2">
        <v>1.0</v>
      </c>
      <c r="D2" s="2">
        <v>1.0</v>
      </c>
      <c r="E2" s="2">
        <v>1.0</v>
      </c>
      <c r="F2" s="3" t="s">
        <v>15</v>
      </c>
      <c r="G2" s="4">
        <f t="shared" ref="G2:G59" si="1">IF((B2+C2+D2+E2)/$O$2&gt;0,(B2+C2+D2+E2)/$O$2,"No calculable")</f>
        <v>1</v>
      </c>
      <c r="H2" s="4">
        <f t="shared" ref="H2:H23" si="2">INDEX({1,2,3,5,8}, MATCH(MIN(ABS({1,2,3,5,8} - (B2+C2+D2+E2)/$O$2)), ABS({1,2,3,5,8} - (B2+C2+D2+E2)/$O$2), 0))</f>
        <v>1</v>
      </c>
      <c r="I2" s="5">
        <v>2.0</v>
      </c>
      <c r="J2" s="2" t="b">
        <v>1</v>
      </c>
      <c r="K2" s="4" t="b">
        <v>0</v>
      </c>
      <c r="L2" s="2" t="b">
        <v>1</v>
      </c>
      <c r="M2" s="2" t="b">
        <v>0</v>
      </c>
      <c r="N2" s="2" t="s">
        <v>16</v>
      </c>
      <c r="O2" s="2">
        <f>(COUNTIF(B59:E59, "&gt;0"))</f>
        <v>4</v>
      </c>
    </row>
    <row r="3">
      <c r="A3" s="2" t="s">
        <v>17</v>
      </c>
      <c r="B3" s="2">
        <v>2.0</v>
      </c>
      <c r="C3" s="2">
        <v>1.0</v>
      </c>
      <c r="D3" s="2">
        <v>2.0</v>
      </c>
      <c r="E3" s="2">
        <v>2.0</v>
      </c>
      <c r="F3" s="3" t="s">
        <v>15</v>
      </c>
      <c r="G3" s="4">
        <f t="shared" si="1"/>
        <v>1.75</v>
      </c>
      <c r="H3" s="4">
        <f t="shared" si="2"/>
        <v>2</v>
      </c>
      <c r="I3" s="5">
        <v>2.0</v>
      </c>
      <c r="J3" s="2" t="b">
        <v>1</v>
      </c>
      <c r="K3" s="4" t="b">
        <v>0</v>
      </c>
      <c r="L3" s="2" t="b">
        <v>1</v>
      </c>
      <c r="M3" s="2" t="b">
        <v>0</v>
      </c>
      <c r="Z3" s="4" t="str">
        <f>IF(COUNTIF(F2:F14, "&lt;&gt; 0") &gt; 10, "La Épica de Usuario está al límite (Supera 10)", "La Épica de Usuarios está en orden")</f>
        <v>La Épica de Usuario está al límite (Supera 10)</v>
      </c>
    </row>
    <row r="4">
      <c r="A4" s="2" t="s">
        <v>18</v>
      </c>
      <c r="B4" s="2">
        <v>2.0</v>
      </c>
      <c r="C4" s="2">
        <v>2.0</v>
      </c>
      <c r="D4" s="2">
        <v>2.0</v>
      </c>
      <c r="E4" s="2">
        <v>2.0</v>
      </c>
      <c r="F4" s="3" t="s">
        <v>15</v>
      </c>
      <c r="G4" s="4">
        <f t="shared" si="1"/>
        <v>2</v>
      </c>
      <c r="H4" s="4">
        <f t="shared" si="2"/>
        <v>2</v>
      </c>
      <c r="I4" s="5">
        <v>3.0</v>
      </c>
      <c r="J4" s="2" t="b">
        <v>1</v>
      </c>
      <c r="K4" s="4" t="b">
        <v>0</v>
      </c>
      <c r="L4" s="2" t="b">
        <v>1</v>
      </c>
      <c r="M4" s="2" t="b">
        <v>0</v>
      </c>
      <c r="Z4" s="4" t="str">
        <f>IF(COUNTIF(F15:F21, "&lt;&gt; 0") &gt; 10, "La Épica de Pagos está al límite (Supera 10)", "La Épica de Pagos está en orden")</f>
        <v>La Épica de Pagos está en orden</v>
      </c>
    </row>
    <row r="5">
      <c r="A5" s="2" t="s">
        <v>19</v>
      </c>
      <c r="B5" s="2">
        <v>1.0</v>
      </c>
      <c r="C5" s="2">
        <v>1.0</v>
      </c>
      <c r="D5" s="2">
        <v>1.0</v>
      </c>
      <c r="E5" s="2">
        <v>1.0</v>
      </c>
      <c r="F5" s="3" t="s">
        <v>15</v>
      </c>
      <c r="G5" s="4">
        <f t="shared" si="1"/>
        <v>1</v>
      </c>
      <c r="H5" s="4">
        <f t="shared" si="2"/>
        <v>1</v>
      </c>
      <c r="I5" s="5">
        <v>1.0</v>
      </c>
      <c r="J5" s="2" t="b">
        <v>1</v>
      </c>
      <c r="K5" s="4" t="b">
        <v>0</v>
      </c>
      <c r="L5" s="2" t="b">
        <v>1</v>
      </c>
      <c r="M5" s="2" t="b">
        <v>0</v>
      </c>
      <c r="Z5" s="4" t="str">
        <f>IF(COUNTIF(F22:F28, "&lt;&gt; 0") &gt; 10, "La Épica de Reservas está al límite (Supera 10)", "La Épica de Reservas está en orden")</f>
        <v>La Épica de Reservas está en orden</v>
      </c>
    </row>
    <row r="6">
      <c r="A6" s="2" t="s">
        <v>20</v>
      </c>
      <c r="B6" s="2">
        <v>2.0</v>
      </c>
      <c r="C6" s="2">
        <v>2.0</v>
      </c>
      <c r="D6" s="2">
        <v>3.0</v>
      </c>
      <c r="E6" s="2">
        <v>2.0</v>
      </c>
      <c r="F6" s="3" t="s">
        <v>15</v>
      </c>
      <c r="G6" s="4">
        <f t="shared" si="1"/>
        <v>2.25</v>
      </c>
      <c r="H6" s="4">
        <f t="shared" si="2"/>
        <v>2</v>
      </c>
      <c r="I6" s="5">
        <v>3.0</v>
      </c>
      <c r="J6" s="6" t="b">
        <v>1</v>
      </c>
      <c r="K6" s="4" t="b">
        <v>0</v>
      </c>
      <c r="L6" s="2" t="b">
        <v>1</v>
      </c>
      <c r="M6" s="2" t="b">
        <v>0</v>
      </c>
      <c r="Z6" s="4" t="str">
        <f>IF(COUNTIF(F29:F39, "&lt;&gt; 0") &gt; 10, "La Épica de Maquinaria está al límite (Supera 10)", "La Épica de Maquinaria está en orden")</f>
        <v>La Épica de Maquinaria está al límite (Supera 10)</v>
      </c>
    </row>
    <row r="7">
      <c r="A7" s="2" t="s">
        <v>21</v>
      </c>
      <c r="B7" s="2">
        <v>2.0</v>
      </c>
      <c r="C7" s="2">
        <v>2.0</v>
      </c>
      <c r="D7" s="2">
        <v>1.0</v>
      </c>
      <c r="E7" s="2">
        <v>1.0</v>
      </c>
      <c r="F7" s="3" t="s">
        <v>15</v>
      </c>
      <c r="G7" s="4">
        <f t="shared" si="1"/>
        <v>1.5</v>
      </c>
      <c r="H7" s="4">
        <f t="shared" si="2"/>
        <v>1</v>
      </c>
      <c r="I7" s="5">
        <v>2.0</v>
      </c>
      <c r="J7" s="6" t="b">
        <v>1</v>
      </c>
      <c r="K7" s="4" t="b">
        <v>0</v>
      </c>
      <c r="L7" s="2" t="b">
        <v>1</v>
      </c>
      <c r="M7" s="2" t="b">
        <v>0</v>
      </c>
      <c r="Z7" s="4" t="str">
        <f>IF(COUNTIF(F41:F44, "&lt;&gt; 0") &gt; 10, "La Épica de Alquileres está al límite (Supera 10)", "La Épica de Alquileres está en orden")</f>
        <v>La Épica de Alquileres está en orden</v>
      </c>
    </row>
    <row r="8">
      <c r="A8" s="2" t="s">
        <v>22</v>
      </c>
      <c r="B8" s="2">
        <v>1.0</v>
      </c>
      <c r="C8" s="2">
        <v>1.0</v>
      </c>
      <c r="D8" s="2">
        <v>1.0</v>
      </c>
      <c r="E8" s="2">
        <v>1.0</v>
      </c>
      <c r="F8" s="3" t="s">
        <v>15</v>
      </c>
      <c r="G8" s="4">
        <f t="shared" si="1"/>
        <v>1</v>
      </c>
      <c r="H8" s="4">
        <f t="shared" si="2"/>
        <v>1</v>
      </c>
      <c r="I8" s="5">
        <v>1.0</v>
      </c>
      <c r="J8" s="2" t="b">
        <v>1</v>
      </c>
      <c r="K8" s="2" t="b">
        <v>1</v>
      </c>
      <c r="L8" s="4" t="b">
        <v>0</v>
      </c>
      <c r="M8" s="4" t="b">
        <v>0</v>
      </c>
      <c r="Z8" s="4" t="str">
        <f>IF(COUNTIF(F45:F49, "&lt;&gt; 0") &gt; 10, "La Épica de Sucursales está al límite (Supera 10)", "La Épica de Sucursales está al límite")</f>
        <v>La Épica de Sucursales está al límite</v>
      </c>
    </row>
    <row r="9">
      <c r="A9" s="2" t="s">
        <v>23</v>
      </c>
      <c r="B9" s="7">
        <v>1.0</v>
      </c>
      <c r="C9" s="7">
        <v>1.0</v>
      </c>
      <c r="D9" s="7">
        <v>1.0</v>
      </c>
      <c r="E9" s="7">
        <v>1.0</v>
      </c>
      <c r="F9" s="3" t="s">
        <v>15</v>
      </c>
      <c r="G9" s="4">
        <f t="shared" si="1"/>
        <v>1</v>
      </c>
      <c r="H9" s="4">
        <f t="shared" si="2"/>
        <v>1</v>
      </c>
      <c r="I9" s="5">
        <v>1.0</v>
      </c>
      <c r="J9" s="2" t="b">
        <v>0</v>
      </c>
      <c r="K9" s="2" t="b">
        <v>1</v>
      </c>
      <c r="L9" s="2" t="b">
        <v>0</v>
      </c>
      <c r="M9" s="4" t="b">
        <v>0</v>
      </c>
      <c r="Z9" s="4" t="str">
        <f>IF(COUNTIF(F50:F59, "&lt;&gt; 0") &gt; 10, "La Épica de Gerencia está al límite (Supera 10)", "La Épica de Gerencia está en orden")</f>
        <v>La Épica de Gerencia está en orden</v>
      </c>
    </row>
    <row r="10">
      <c r="A10" s="2" t="s">
        <v>24</v>
      </c>
      <c r="B10" s="2">
        <v>1.0</v>
      </c>
      <c r="C10" s="2">
        <v>1.0</v>
      </c>
      <c r="D10" s="2">
        <v>1.0</v>
      </c>
      <c r="E10" s="2">
        <v>1.0</v>
      </c>
      <c r="F10" s="3" t="s">
        <v>15</v>
      </c>
      <c r="G10" s="4">
        <f t="shared" si="1"/>
        <v>1</v>
      </c>
      <c r="H10" s="4">
        <f t="shared" si="2"/>
        <v>1</v>
      </c>
      <c r="I10" s="5">
        <v>1.0</v>
      </c>
      <c r="J10" s="2" t="b">
        <v>1</v>
      </c>
      <c r="K10" s="4" t="b">
        <v>0</v>
      </c>
      <c r="L10" s="2" t="b">
        <v>1</v>
      </c>
      <c r="M10" s="2" t="b">
        <v>0</v>
      </c>
    </row>
    <row r="11" ht="15.75" customHeight="1">
      <c r="A11" s="2" t="s">
        <v>25</v>
      </c>
      <c r="B11" s="2">
        <v>1.0</v>
      </c>
      <c r="C11" s="2">
        <v>1.0</v>
      </c>
      <c r="D11" s="2">
        <v>1.0</v>
      </c>
      <c r="E11" s="2">
        <v>1.0</v>
      </c>
      <c r="F11" s="3" t="s">
        <v>15</v>
      </c>
      <c r="G11" s="4">
        <f t="shared" si="1"/>
        <v>1</v>
      </c>
      <c r="H11" s="4">
        <f t="shared" si="2"/>
        <v>1</v>
      </c>
      <c r="I11" s="5">
        <v>1.0</v>
      </c>
      <c r="J11" s="2" t="b">
        <v>1</v>
      </c>
      <c r="K11" s="4" t="b">
        <v>0</v>
      </c>
      <c r="L11" s="2" t="b">
        <v>1</v>
      </c>
      <c r="M11" s="2" t="b">
        <v>0</v>
      </c>
    </row>
    <row r="12" ht="15.75" customHeight="1">
      <c r="A12" s="8" t="s">
        <v>26</v>
      </c>
      <c r="B12" s="2">
        <v>1.0</v>
      </c>
      <c r="C12" s="2">
        <v>1.0</v>
      </c>
      <c r="D12" s="2">
        <v>1.0</v>
      </c>
      <c r="E12" s="2">
        <v>1.0</v>
      </c>
      <c r="F12" s="3" t="s">
        <v>15</v>
      </c>
      <c r="G12" s="4">
        <f t="shared" si="1"/>
        <v>1</v>
      </c>
      <c r="H12" s="4">
        <f t="shared" si="2"/>
        <v>1</v>
      </c>
      <c r="I12" s="5">
        <v>3.0</v>
      </c>
      <c r="J12" s="2" t="b">
        <v>1</v>
      </c>
      <c r="K12" s="2" t="b">
        <v>1</v>
      </c>
      <c r="L12" s="4" t="b">
        <v>0</v>
      </c>
      <c r="M12" s="2" t="b">
        <v>1</v>
      </c>
      <c r="Z12" s="9" t="s">
        <v>27</v>
      </c>
      <c r="AA12" s="10" t="s">
        <v>1</v>
      </c>
      <c r="AB12" s="10" t="s">
        <v>2</v>
      </c>
      <c r="AC12" s="10" t="s">
        <v>3</v>
      </c>
      <c r="AD12" s="11" t="s">
        <v>4</v>
      </c>
    </row>
    <row r="13" ht="15.75" customHeight="1">
      <c r="A13" s="2" t="s">
        <v>28</v>
      </c>
      <c r="B13" s="2">
        <v>2.0</v>
      </c>
      <c r="C13" s="2">
        <v>2.0</v>
      </c>
      <c r="D13" s="2">
        <v>2.0</v>
      </c>
      <c r="E13" s="2">
        <v>2.0</v>
      </c>
      <c r="F13" s="3" t="s">
        <v>15</v>
      </c>
      <c r="G13" s="4">
        <f t="shared" si="1"/>
        <v>2</v>
      </c>
      <c r="H13" s="4">
        <f t="shared" si="2"/>
        <v>2</v>
      </c>
      <c r="I13" s="5">
        <v>2.0</v>
      </c>
      <c r="J13" s="2" t="b">
        <v>1</v>
      </c>
      <c r="K13" s="2" t="b">
        <v>1</v>
      </c>
      <c r="L13" s="4" t="b">
        <v>0</v>
      </c>
      <c r="M13" s="2" t="b">
        <v>1</v>
      </c>
      <c r="Z13" s="12">
        <v>1.0</v>
      </c>
      <c r="AA13" s="13">
        <f t="shared" ref="AA13:AD13" si="3">COUNTIF(B2:B59, "=1")</f>
        <v>27</v>
      </c>
      <c r="AB13" s="13">
        <f t="shared" si="3"/>
        <v>32</v>
      </c>
      <c r="AC13" s="13">
        <f t="shared" si="3"/>
        <v>34</v>
      </c>
      <c r="AD13" s="14">
        <f t="shared" si="3"/>
        <v>31</v>
      </c>
    </row>
    <row r="14" ht="15.75" customHeight="1">
      <c r="A14" s="2" t="s">
        <v>29</v>
      </c>
      <c r="B14" s="2">
        <v>2.0</v>
      </c>
      <c r="C14" s="2">
        <v>2.0</v>
      </c>
      <c r="D14" s="2">
        <v>2.0</v>
      </c>
      <c r="E14" s="2">
        <v>2.0</v>
      </c>
      <c r="F14" s="3" t="s">
        <v>15</v>
      </c>
      <c r="G14" s="4">
        <f t="shared" si="1"/>
        <v>2</v>
      </c>
      <c r="H14" s="4">
        <f t="shared" si="2"/>
        <v>2</v>
      </c>
      <c r="I14" s="5">
        <v>2.0</v>
      </c>
      <c r="J14" s="4" t="b">
        <v>0</v>
      </c>
      <c r="K14" s="2" t="b">
        <v>1</v>
      </c>
      <c r="L14" s="4" t="b">
        <v>0</v>
      </c>
      <c r="M14" s="2" t="b">
        <v>1</v>
      </c>
      <c r="Z14" s="15">
        <v>2.0</v>
      </c>
      <c r="AA14" s="16">
        <f t="shared" ref="AA14:AD14" si="4">COUNTIF(B2:B59, "=2")</f>
        <v>17</v>
      </c>
      <c r="AB14" s="16">
        <f t="shared" si="4"/>
        <v>14</v>
      </c>
      <c r="AC14" s="16">
        <f t="shared" si="4"/>
        <v>12</v>
      </c>
      <c r="AD14" s="17">
        <f t="shared" si="4"/>
        <v>13</v>
      </c>
    </row>
    <row r="15" ht="15.75" customHeight="1">
      <c r="A15" s="2" t="s">
        <v>30</v>
      </c>
      <c r="B15" s="2">
        <v>3.0</v>
      </c>
      <c r="C15" s="2">
        <v>5.0</v>
      </c>
      <c r="D15" s="2">
        <v>2.0</v>
      </c>
      <c r="E15" s="2">
        <v>5.0</v>
      </c>
      <c r="F15" s="18" t="s">
        <v>31</v>
      </c>
      <c r="G15" s="4">
        <f t="shared" si="1"/>
        <v>3.75</v>
      </c>
      <c r="H15" s="4">
        <f t="shared" si="2"/>
        <v>3</v>
      </c>
      <c r="I15" s="5">
        <v>3.0</v>
      </c>
      <c r="J15" s="4" t="b">
        <v>0</v>
      </c>
      <c r="K15" s="2" t="b">
        <v>1</v>
      </c>
      <c r="L15" s="4" t="b">
        <v>0</v>
      </c>
      <c r="M15" s="2" t="b">
        <v>1</v>
      </c>
      <c r="Z15" s="12">
        <v>3.0</v>
      </c>
      <c r="AA15" s="13">
        <f t="shared" ref="AA15:AD15" si="5">COUNTIF(B2:B59, "=3")</f>
        <v>8</v>
      </c>
      <c r="AB15" s="13">
        <f t="shared" si="5"/>
        <v>6</v>
      </c>
      <c r="AC15" s="13">
        <f t="shared" si="5"/>
        <v>2</v>
      </c>
      <c r="AD15" s="14">
        <f t="shared" si="5"/>
        <v>6</v>
      </c>
    </row>
    <row r="16" ht="15.75" customHeight="1">
      <c r="A16" s="2" t="s">
        <v>32</v>
      </c>
      <c r="B16" s="2">
        <v>3.0</v>
      </c>
      <c r="C16" s="2">
        <v>3.0</v>
      </c>
      <c r="D16" s="2">
        <v>5.0</v>
      </c>
      <c r="E16" s="2">
        <v>5.0</v>
      </c>
      <c r="F16" s="18" t="s">
        <v>31</v>
      </c>
      <c r="G16" s="4">
        <f t="shared" si="1"/>
        <v>4</v>
      </c>
      <c r="H16" s="4">
        <f t="shared" si="2"/>
        <v>3</v>
      </c>
      <c r="I16" s="5">
        <v>5.0</v>
      </c>
      <c r="J16" s="2" t="b">
        <v>1</v>
      </c>
      <c r="K16" s="4" t="b">
        <v>0</v>
      </c>
      <c r="L16" s="2" t="b">
        <v>1</v>
      </c>
      <c r="M16" s="2" t="b">
        <v>0</v>
      </c>
      <c r="Z16" s="15">
        <v>5.0</v>
      </c>
      <c r="AA16" s="16">
        <f t="shared" ref="AA16:AD16" si="6">COUNTIF(B2:B59, "=5")</f>
        <v>4</v>
      </c>
      <c r="AB16" s="16">
        <f t="shared" si="6"/>
        <v>4</v>
      </c>
      <c r="AC16" s="16">
        <f t="shared" si="6"/>
        <v>8</v>
      </c>
      <c r="AD16" s="17">
        <f t="shared" si="6"/>
        <v>6</v>
      </c>
    </row>
    <row r="17" ht="15.75" customHeight="1">
      <c r="A17" s="2" t="s">
        <v>33</v>
      </c>
      <c r="B17" s="2">
        <v>3.0</v>
      </c>
      <c r="C17" s="2">
        <v>3.0</v>
      </c>
      <c r="D17" s="2">
        <v>5.0</v>
      </c>
      <c r="E17" s="2">
        <v>5.0</v>
      </c>
      <c r="F17" s="18" t="s">
        <v>31</v>
      </c>
      <c r="G17" s="4">
        <f t="shared" si="1"/>
        <v>4</v>
      </c>
      <c r="H17" s="4">
        <f t="shared" si="2"/>
        <v>3</v>
      </c>
      <c r="I17" s="5">
        <v>5.0</v>
      </c>
      <c r="J17" s="2" t="b">
        <v>0</v>
      </c>
      <c r="K17" s="2" t="b">
        <v>1</v>
      </c>
      <c r="L17" s="2" t="b">
        <v>0</v>
      </c>
      <c r="M17" s="2" t="b">
        <v>1</v>
      </c>
      <c r="Z17" s="12"/>
      <c r="AA17" s="13">
        <f t="shared" ref="AA17:AD17" si="7">COUNTIF(B3:B60, "=5")</f>
        <v>4</v>
      </c>
      <c r="AB17" s="13">
        <f t="shared" si="7"/>
        <v>4</v>
      </c>
      <c r="AC17" s="13">
        <f t="shared" si="7"/>
        <v>8</v>
      </c>
      <c r="AD17" s="14">
        <f t="shared" si="7"/>
        <v>6</v>
      </c>
    </row>
    <row r="18" ht="15.75" customHeight="1">
      <c r="A18" s="2" t="s">
        <v>34</v>
      </c>
      <c r="B18" s="2">
        <v>2.0</v>
      </c>
      <c r="C18" s="2">
        <v>2.0</v>
      </c>
      <c r="D18" s="2">
        <v>3.0</v>
      </c>
      <c r="E18" s="2">
        <v>2.0</v>
      </c>
      <c r="F18" s="18" t="s">
        <v>31</v>
      </c>
      <c r="G18" s="4">
        <f t="shared" si="1"/>
        <v>2.25</v>
      </c>
      <c r="H18" s="4">
        <f t="shared" si="2"/>
        <v>2</v>
      </c>
      <c r="I18" s="5">
        <v>2.0</v>
      </c>
      <c r="J18" s="4" t="b">
        <v>0</v>
      </c>
      <c r="K18" s="2" t="b">
        <v>1</v>
      </c>
      <c r="L18" s="4" t="b">
        <v>0</v>
      </c>
      <c r="M18" s="2" t="b">
        <v>1</v>
      </c>
      <c r="Z18" s="19">
        <v>8.0</v>
      </c>
      <c r="AA18" s="20">
        <f t="shared" ref="AA18:AD18" si="8">COUNTIF(B2:B59, "=8")</f>
        <v>2</v>
      </c>
      <c r="AB18" s="20">
        <f t="shared" si="8"/>
        <v>2</v>
      </c>
      <c r="AC18" s="20">
        <f t="shared" si="8"/>
        <v>2</v>
      </c>
      <c r="AD18" s="21">
        <f t="shared" si="8"/>
        <v>2</v>
      </c>
    </row>
    <row r="19">
      <c r="A19" s="2" t="s">
        <v>35</v>
      </c>
      <c r="B19" s="2">
        <v>8.0</v>
      </c>
      <c r="C19" s="2">
        <v>8.0</v>
      </c>
      <c r="D19" s="2">
        <v>8.0</v>
      </c>
      <c r="E19" s="2">
        <v>8.0</v>
      </c>
      <c r="F19" s="18" t="s">
        <v>31</v>
      </c>
      <c r="G19" s="4">
        <f t="shared" si="1"/>
        <v>8</v>
      </c>
      <c r="H19" s="4">
        <f t="shared" si="2"/>
        <v>8</v>
      </c>
      <c r="I19" s="5">
        <v>5.0</v>
      </c>
      <c r="J19" s="6" t="b">
        <v>1</v>
      </c>
      <c r="K19" s="2" t="b">
        <v>1</v>
      </c>
      <c r="L19" s="4" t="b">
        <v>0</v>
      </c>
      <c r="M19" s="2" t="b">
        <v>1</v>
      </c>
    </row>
    <row r="20">
      <c r="A20" s="2" t="s">
        <v>36</v>
      </c>
      <c r="B20" s="2">
        <v>8.0</v>
      </c>
      <c r="C20" s="2">
        <v>8.0</v>
      </c>
      <c r="D20" s="2">
        <v>8.0</v>
      </c>
      <c r="E20" s="2">
        <v>8.0</v>
      </c>
      <c r="F20" s="18" t="s">
        <v>31</v>
      </c>
      <c r="G20" s="4">
        <f t="shared" si="1"/>
        <v>8</v>
      </c>
      <c r="H20" s="4">
        <f t="shared" si="2"/>
        <v>8</v>
      </c>
      <c r="I20" s="5">
        <v>8.0</v>
      </c>
      <c r="J20" s="22" t="b">
        <v>0</v>
      </c>
      <c r="K20" s="4" t="b">
        <v>0</v>
      </c>
      <c r="L20" s="4" t="b">
        <v>0</v>
      </c>
      <c r="M20" s="4" t="b">
        <v>0</v>
      </c>
    </row>
    <row r="21">
      <c r="A21" s="2" t="s">
        <v>37</v>
      </c>
      <c r="B21" s="2">
        <v>5.0</v>
      </c>
      <c r="C21" s="2">
        <v>5.0</v>
      </c>
      <c r="D21" s="2">
        <v>5.0</v>
      </c>
      <c r="E21" s="2">
        <v>5.0</v>
      </c>
      <c r="F21" s="18" t="s">
        <v>31</v>
      </c>
      <c r="G21" s="4">
        <f t="shared" si="1"/>
        <v>5</v>
      </c>
      <c r="H21" s="4">
        <f t="shared" si="2"/>
        <v>5</v>
      </c>
      <c r="I21" s="5">
        <v>5.0</v>
      </c>
      <c r="J21" s="2" t="b">
        <v>0</v>
      </c>
      <c r="K21" s="2" t="b">
        <v>1</v>
      </c>
      <c r="L21" s="4" t="b">
        <v>0</v>
      </c>
      <c r="M21" s="4" t="b">
        <v>0</v>
      </c>
    </row>
    <row r="22">
      <c r="A22" s="2" t="s">
        <v>38</v>
      </c>
      <c r="B22" s="2">
        <v>3.0</v>
      </c>
      <c r="C22" s="2">
        <v>3.0</v>
      </c>
      <c r="D22" s="2">
        <v>5.0</v>
      </c>
      <c r="E22" s="2">
        <v>3.0</v>
      </c>
      <c r="F22" s="23" t="s">
        <v>39</v>
      </c>
      <c r="G22" s="4">
        <f t="shared" si="1"/>
        <v>3.5</v>
      </c>
      <c r="H22" s="4">
        <f t="shared" si="2"/>
        <v>3</v>
      </c>
      <c r="I22" s="5">
        <v>3.0</v>
      </c>
      <c r="J22" s="2" t="b">
        <v>1</v>
      </c>
      <c r="K22" s="4" t="b">
        <v>0</v>
      </c>
      <c r="L22" s="2" t="b">
        <v>1</v>
      </c>
      <c r="M22" s="2" t="b">
        <v>0</v>
      </c>
    </row>
    <row r="23">
      <c r="A23" s="2" t="s">
        <v>40</v>
      </c>
      <c r="B23" s="2">
        <v>1.0</v>
      </c>
      <c r="C23" s="2">
        <v>1.0</v>
      </c>
      <c r="D23" s="2">
        <v>1.0</v>
      </c>
      <c r="E23" s="2">
        <v>1.0</v>
      </c>
      <c r="F23" s="23" t="s">
        <v>39</v>
      </c>
      <c r="G23" s="4">
        <f t="shared" si="1"/>
        <v>1</v>
      </c>
      <c r="H23" s="4">
        <f t="shared" si="2"/>
        <v>1</v>
      </c>
      <c r="I23" s="5">
        <v>1.0</v>
      </c>
      <c r="J23" s="2" t="b">
        <v>1</v>
      </c>
      <c r="K23" s="4" t="b">
        <v>0</v>
      </c>
      <c r="L23" s="2" t="b">
        <v>1</v>
      </c>
      <c r="M23" s="2" t="b">
        <v>0</v>
      </c>
    </row>
    <row r="24">
      <c r="A24" s="2" t="s">
        <v>41</v>
      </c>
      <c r="B24" s="2">
        <v>3.0</v>
      </c>
      <c r="C24" s="2">
        <v>5.0</v>
      </c>
      <c r="D24" s="2">
        <v>5.0</v>
      </c>
      <c r="E24" s="2">
        <v>2.0</v>
      </c>
      <c r="F24" s="23" t="s">
        <v>39</v>
      </c>
      <c r="G24" s="4">
        <f t="shared" si="1"/>
        <v>3.75</v>
      </c>
      <c r="H24" s="2">
        <v>2.0</v>
      </c>
      <c r="I24" s="5">
        <v>3.0</v>
      </c>
      <c r="J24" s="2" t="b">
        <v>1</v>
      </c>
      <c r="K24" s="2" t="b">
        <v>1</v>
      </c>
      <c r="L24" s="4" t="b">
        <v>0</v>
      </c>
      <c r="M24" s="2" t="b">
        <v>1</v>
      </c>
    </row>
    <row r="25">
      <c r="A25" s="2" t="s">
        <v>42</v>
      </c>
      <c r="B25" s="2">
        <v>1.0</v>
      </c>
      <c r="C25" s="2">
        <v>1.0</v>
      </c>
      <c r="D25" s="2">
        <v>1.0</v>
      </c>
      <c r="E25" s="2">
        <v>1.0</v>
      </c>
      <c r="F25" s="23" t="s">
        <v>39</v>
      </c>
      <c r="G25" s="4">
        <f t="shared" si="1"/>
        <v>1</v>
      </c>
      <c r="H25" s="2">
        <v>2.0</v>
      </c>
      <c r="I25" s="5">
        <v>1.0</v>
      </c>
      <c r="J25" s="2" t="b">
        <v>0</v>
      </c>
      <c r="K25" s="2" t="b">
        <v>1</v>
      </c>
      <c r="L25" s="4" t="b">
        <v>0</v>
      </c>
      <c r="M25" s="4" t="b">
        <v>0</v>
      </c>
    </row>
    <row r="26">
      <c r="A26" s="2" t="s">
        <v>43</v>
      </c>
      <c r="B26" s="2">
        <v>3.0</v>
      </c>
      <c r="C26" s="2">
        <v>3.0</v>
      </c>
      <c r="D26" s="2">
        <v>5.0</v>
      </c>
      <c r="E26" s="2">
        <v>3.0</v>
      </c>
      <c r="F26" s="23" t="s">
        <v>39</v>
      </c>
      <c r="G26" s="4">
        <f t="shared" si="1"/>
        <v>3.5</v>
      </c>
      <c r="H26" s="4">
        <f t="shared" ref="H26:H27" si="9">INDEX({1,2,3,5,8}, MATCH(MIN(ABS({1,2,3,5,8} - (B26+C26+D26+E26)/$O$2)), ABS({1,2,3,5,8} - (B26+C26+D26+E26)/$O$2), 0))</f>
        <v>3</v>
      </c>
      <c r="I26" s="5">
        <v>3.0</v>
      </c>
      <c r="J26" s="4" t="b">
        <v>0</v>
      </c>
      <c r="K26" s="2" t="b">
        <v>1</v>
      </c>
      <c r="L26" s="4" t="b">
        <v>0</v>
      </c>
      <c r="M26" s="4" t="b">
        <v>0</v>
      </c>
    </row>
    <row r="27">
      <c r="A27" s="2" t="s">
        <v>44</v>
      </c>
      <c r="B27" s="2">
        <v>2.0</v>
      </c>
      <c r="C27" s="2">
        <v>1.0</v>
      </c>
      <c r="D27" s="2">
        <v>1.0</v>
      </c>
      <c r="E27" s="2">
        <v>1.0</v>
      </c>
      <c r="F27" s="23" t="s">
        <v>39</v>
      </c>
      <c r="G27" s="4">
        <f t="shared" si="1"/>
        <v>1.25</v>
      </c>
      <c r="H27" s="4">
        <f t="shared" si="9"/>
        <v>1</v>
      </c>
      <c r="I27" s="5">
        <v>1.0</v>
      </c>
      <c r="J27" s="2" t="b">
        <v>1</v>
      </c>
      <c r="K27" s="4" t="b">
        <v>0</v>
      </c>
      <c r="L27" s="2" t="b">
        <v>1</v>
      </c>
      <c r="M27" s="2" t="b">
        <v>0</v>
      </c>
    </row>
    <row r="28">
      <c r="A28" s="2" t="s">
        <v>45</v>
      </c>
      <c r="B28" s="2">
        <v>2.0</v>
      </c>
      <c r="C28" s="2">
        <v>2.0</v>
      </c>
      <c r="D28" s="2">
        <v>2.0</v>
      </c>
      <c r="E28" s="2">
        <v>5.0</v>
      </c>
      <c r="F28" s="23" t="s">
        <v>39</v>
      </c>
      <c r="G28" s="4">
        <f t="shared" si="1"/>
        <v>2.75</v>
      </c>
      <c r="H28" s="2">
        <v>3.0</v>
      </c>
      <c r="I28" s="5">
        <v>3.0</v>
      </c>
      <c r="J28" s="4" t="b">
        <v>0</v>
      </c>
      <c r="K28" s="2" t="b">
        <v>1</v>
      </c>
      <c r="L28" s="4" t="b">
        <v>0</v>
      </c>
      <c r="M28" s="4" t="b">
        <v>0</v>
      </c>
    </row>
    <row r="29">
      <c r="A29" s="8" t="s">
        <v>46</v>
      </c>
      <c r="B29" s="2">
        <v>5.0</v>
      </c>
      <c r="C29" s="2">
        <v>3.0</v>
      </c>
      <c r="D29" s="2">
        <v>2.0</v>
      </c>
      <c r="E29" s="2">
        <v>3.0</v>
      </c>
      <c r="F29" s="24" t="s">
        <v>47</v>
      </c>
      <c r="G29" s="4">
        <f t="shared" si="1"/>
        <v>3.25</v>
      </c>
      <c r="H29" s="4">
        <f t="shared" ref="H29:H59" si="10">INDEX({1,2,3,5,8}, MATCH(MIN(ABS({1,2,3,5,8} - (B29+C29+D29+E29)/$O$2)), ABS({1,2,3,5,8} - (B29+C29+D29+E29)/$O$2), 0))</f>
        <v>3</v>
      </c>
      <c r="I29" s="5">
        <v>3.0</v>
      </c>
      <c r="J29" s="4" t="b">
        <v>0</v>
      </c>
      <c r="K29" s="2" t="b">
        <v>1</v>
      </c>
      <c r="L29" s="4" t="b">
        <v>0</v>
      </c>
      <c r="M29" s="4" t="b">
        <v>0</v>
      </c>
    </row>
    <row r="30">
      <c r="A30" s="2" t="s">
        <v>48</v>
      </c>
      <c r="B30" s="2">
        <v>2.0</v>
      </c>
      <c r="C30" s="2">
        <v>1.0</v>
      </c>
      <c r="D30" s="2">
        <v>2.0</v>
      </c>
      <c r="E30" s="2">
        <v>3.0</v>
      </c>
      <c r="F30" s="24" t="s">
        <v>47</v>
      </c>
      <c r="G30" s="4">
        <f t="shared" si="1"/>
        <v>2</v>
      </c>
      <c r="H30" s="4">
        <f t="shared" si="10"/>
        <v>2</v>
      </c>
      <c r="I30" s="5">
        <v>2.0</v>
      </c>
      <c r="J30" s="4" t="b">
        <v>0</v>
      </c>
      <c r="K30" s="2" t="b">
        <v>1</v>
      </c>
      <c r="L30" s="4" t="b">
        <v>0</v>
      </c>
      <c r="M30" s="4" t="b">
        <v>0</v>
      </c>
    </row>
    <row r="31">
      <c r="A31" s="2" t="s">
        <v>49</v>
      </c>
      <c r="B31" s="2">
        <v>1.0</v>
      </c>
      <c r="C31" s="2">
        <v>1.0</v>
      </c>
      <c r="D31" s="2">
        <v>1.0</v>
      </c>
      <c r="E31" s="2">
        <v>1.0</v>
      </c>
      <c r="F31" s="24" t="s">
        <v>47</v>
      </c>
      <c r="G31" s="4">
        <f t="shared" si="1"/>
        <v>1</v>
      </c>
      <c r="H31" s="4">
        <f t="shared" si="10"/>
        <v>1</v>
      </c>
      <c r="I31" s="5">
        <v>1.0</v>
      </c>
      <c r="J31" s="2" t="b">
        <v>1</v>
      </c>
      <c r="K31" s="4" t="b">
        <v>0</v>
      </c>
      <c r="L31" s="2" t="b">
        <v>1</v>
      </c>
      <c r="M31" s="2" t="b">
        <v>0</v>
      </c>
    </row>
    <row r="32">
      <c r="A32" s="2" t="s">
        <v>50</v>
      </c>
      <c r="B32" s="2">
        <v>1.0</v>
      </c>
      <c r="C32" s="2">
        <v>1.0</v>
      </c>
      <c r="D32" s="2">
        <v>1.0</v>
      </c>
      <c r="E32" s="2">
        <v>1.0</v>
      </c>
      <c r="F32" s="24" t="s">
        <v>47</v>
      </c>
      <c r="G32" s="4">
        <f t="shared" si="1"/>
        <v>1</v>
      </c>
      <c r="H32" s="4">
        <f t="shared" si="10"/>
        <v>1</v>
      </c>
      <c r="I32" s="5">
        <v>1.0</v>
      </c>
      <c r="J32" s="4" t="b">
        <v>0</v>
      </c>
      <c r="K32" s="2" t="b">
        <v>1</v>
      </c>
      <c r="L32" s="4" t="b">
        <v>0</v>
      </c>
      <c r="M32" s="2" t="b">
        <v>0</v>
      </c>
    </row>
    <row r="33">
      <c r="A33" s="2" t="s">
        <v>51</v>
      </c>
      <c r="B33" s="2">
        <v>1.0</v>
      </c>
      <c r="C33" s="2">
        <v>1.0</v>
      </c>
      <c r="D33" s="2">
        <v>1.0</v>
      </c>
      <c r="E33" s="2">
        <v>1.0</v>
      </c>
      <c r="F33" s="24" t="s">
        <v>47</v>
      </c>
      <c r="G33" s="4">
        <f t="shared" si="1"/>
        <v>1</v>
      </c>
      <c r="H33" s="4">
        <f t="shared" si="10"/>
        <v>1</v>
      </c>
      <c r="I33" s="5">
        <v>1.0</v>
      </c>
      <c r="J33" s="2" t="b">
        <v>1</v>
      </c>
      <c r="K33" s="4" t="b">
        <v>0</v>
      </c>
      <c r="L33" s="2" t="b">
        <v>1</v>
      </c>
      <c r="M33" s="2" t="b">
        <v>0</v>
      </c>
    </row>
    <row r="34">
      <c r="A34" s="2" t="s">
        <v>52</v>
      </c>
      <c r="B34" s="2">
        <v>1.0</v>
      </c>
      <c r="C34" s="2">
        <v>1.0</v>
      </c>
      <c r="D34" s="2">
        <v>1.0</v>
      </c>
      <c r="E34" s="2">
        <v>1.0</v>
      </c>
      <c r="F34" s="24" t="s">
        <v>47</v>
      </c>
      <c r="G34" s="4">
        <f t="shared" si="1"/>
        <v>1</v>
      </c>
      <c r="H34" s="4">
        <f t="shared" si="10"/>
        <v>1</v>
      </c>
      <c r="I34" s="5">
        <v>1.0</v>
      </c>
      <c r="J34" s="2" t="b">
        <v>1</v>
      </c>
      <c r="K34" s="4" t="b">
        <v>0</v>
      </c>
      <c r="L34" s="2" t="b">
        <v>1</v>
      </c>
      <c r="M34" s="2" t="b">
        <v>0</v>
      </c>
    </row>
    <row r="35">
      <c r="A35" s="2" t="s">
        <v>53</v>
      </c>
      <c r="B35" s="2">
        <v>1.0</v>
      </c>
      <c r="C35" s="2">
        <v>1.0</v>
      </c>
      <c r="D35" s="2">
        <v>1.0</v>
      </c>
      <c r="E35" s="2">
        <v>1.0</v>
      </c>
      <c r="F35" s="24" t="s">
        <v>47</v>
      </c>
      <c r="G35" s="4">
        <f t="shared" si="1"/>
        <v>1</v>
      </c>
      <c r="H35" s="4">
        <f t="shared" si="10"/>
        <v>1</v>
      </c>
      <c r="I35" s="5">
        <v>1.0</v>
      </c>
      <c r="J35" s="2" t="b">
        <v>1</v>
      </c>
      <c r="K35" s="4" t="b">
        <v>0</v>
      </c>
      <c r="L35" s="2" t="b">
        <v>1</v>
      </c>
      <c r="M35" s="2" t="b">
        <v>0</v>
      </c>
    </row>
    <row r="36">
      <c r="A36" s="2" t="s">
        <v>54</v>
      </c>
      <c r="B36" s="2">
        <v>1.0</v>
      </c>
      <c r="C36" s="2">
        <v>1.0</v>
      </c>
      <c r="D36" s="2">
        <v>1.0</v>
      </c>
      <c r="E36" s="2">
        <v>1.0</v>
      </c>
      <c r="F36" s="24" t="s">
        <v>47</v>
      </c>
      <c r="G36" s="4">
        <f t="shared" si="1"/>
        <v>1</v>
      </c>
      <c r="H36" s="4">
        <f t="shared" si="10"/>
        <v>1</v>
      </c>
      <c r="I36" s="5">
        <v>1.0</v>
      </c>
      <c r="J36" s="2" t="b">
        <v>1</v>
      </c>
      <c r="K36" s="4" t="b">
        <v>0</v>
      </c>
      <c r="L36" s="2" t="b">
        <v>1</v>
      </c>
      <c r="M36" s="2" t="b">
        <v>0</v>
      </c>
    </row>
    <row r="37">
      <c r="A37" s="2" t="s">
        <v>55</v>
      </c>
      <c r="B37" s="2">
        <v>1.0</v>
      </c>
      <c r="C37" s="2">
        <v>2.0</v>
      </c>
      <c r="D37" s="2">
        <v>1.0</v>
      </c>
      <c r="E37" s="2">
        <v>1.0</v>
      </c>
      <c r="F37" s="24" t="s">
        <v>47</v>
      </c>
      <c r="G37" s="4">
        <f t="shared" si="1"/>
        <v>1.25</v>
      </c>
      <c r="H37" s="4">
        <f t="shared" si="10"/>
        <v>1</v>
      </c>
      <c r="I37" s="5">
        <v>2.0</v>
      </c>
      <c r="J37" s="2" t="b">
        <v>1</v>
      </c>
      <c r="K37" s="4" t="b">
        <v>0</v>
      </c>
      <c r="L37" s="2" t="b">
        <v>1</v>
      </c>
      <c r="M37" s="2" t="b">
        <v>0</v>
      </c>
    </row>
    <row r="38">
      <c r="A38" s="2" t="s">
        <v>56</v>
      </c>
      <c r="B38" s="2">
        <v>1.0</v>
      </c>
      <c r="C38" s="2">
        <v>1.0</v>
      </c>
      <c r="D38" s="2">
        <v>1.0</v>
      </c>
      <c r="E38" s="2">
        <v>1.0</v>
      </c>
      <c r="F38" s="24" t="s">
        <v>47</v>
      </c>
      <c r="G38" s="4">
        <f t="shared" si="1"/>
        <v>1</v>
      </c>
      <c r="H38" s="4">
        <f t="shared" si="10"/>
        <v>1</v>
      </c>
      <c r="I38" s="5">
        <v>1.0</v>
      </c>
      <c r="J38" s="2" t="b">
        <v>1</v>
      </c>
      <c r="K38" s="4" t="b">
        <v>0</v>
      </c>
      <c r="L38" s="2" t="b">
        <v>1</v>
      </c>
      <c r="M38" s="2" t="b">
        <v>0</v>
      </c>
    </row>
    <row r="39">
      <c r="A39" s="2" t="s">
        <v>57</v>
      </c>
      <c r="B39" s="2">
        <v>1.0</v>
      </c>
      <c r="C39" s="2">
        <v>1.0</v>
      </c>
      <c r="D39" s="2">
        <v>1.0</v>
      </c>
      <c r="E39" s="2">
        <v>1.0</v>
      </c>
      <c r="F39" s="24" t="s">
        <v>47</v>
      </c>
      <c r="G39" s="4">
        <f t="shared" si="1"/>
        <v>1</v>
      </c>
      <c r="H39" s="4">
        <f t="shared" si="10"/>
        <v>1</v>
      </c>
      <c r="I39" s="5">
        <v>1.0</v>
      </c>
      <c r="J39" s="2" t="b">
        <v>0</v>
      </c>
      <c r="K39" s="2" t="b">
        <v>1</v>
      </c>
      <c r="L39" s="2" t="b">
        <v>0</v>
      </c>
      <c r="M39" s="2" t="b">
        <v>1</v>
      </c>
    </row>
    <row r="40">
      <c r="A40" s="2" t="s">
        <v>58</v>
      </c>
      <c r="B40" s="2">
        <v>1.0</v>
      </c>
      <c r="C40" s="2">
        <v>1.0</v>
      </c>
      <c r="D40" s="2">
        <v>1.0</v>
      </c>
      <c r="E40" s="2">
        <v>1.0</v>
      </c>
      <c r="F40" s="24" t="s">
        <v>47</v>
      </c>
      <c r="G40" s="4">
        <f t="shared" si="1"/>
        <v>1</v>
      </c>
      <c r="H40" s="4">
        <f t="shared" si="10"/>
        <v>1</v>
      </c>
      <c r="I40" s="5">
        <v>1.0</v>
      </c>
      <c r="J40" s="2" t="b">
        <v>0</v>
      </c>
      <c r="K40" s="2" t="b">
        <v>1</v>
      </c>
      <c r="L40" s="2" t="b">
        <v>0</v>
      </c>
      <c r="M40" s="2" t="b">
        <v>1</v>
      </c>
    </row>
    <row r="41">
      <c r="A41" s="2" t="s">
        <v>59</v>
      </c>
      <c r="B41" s="2">
        <v>3.0</v>
      </c>
      <c r="C41" s="2">
        <v>5.0</v>
      </c>
      <c r="D41" s="2">
        <v>5.0</v>
      </c>
      <c r="E41" s="2">
        <v>3.0</v>
      </c>
      <c r="F41" s="25" t="s">
        <v>60</v>
      </c>
      <c r="G41" s="4">
        <f t="shared" si="1"/>
        <v>4</v>
      </c>
      <c r="H41" s="4">
        <f t="shared" si="10"/>
        <v>3</v>
      </c>
      <c r="I41" s="5">
        <v>3.0</v>
      </c>
      <c r="J41" s="4" t="b">
        <v>0</v>
      </c>
      <c r="K41" s="2" t="b">
        <v>1</v>
      </c>
      <c r="L41" s="4" t="b">
        <v>0</v>
      </c>
      <c r="M41" s="2" t="b">
        <v>1</v>
      </c>
    </row>
    <row r="42">
      <c r="A42" s="2" t="s">
        <v>61</v>
      </c>
      <c r="B42" s="2">
        <v>1.0</v>
      </c>
      <c r="C42" s="2">
        <v>1.0</v>
      </c>
      <c r="D42" s="2">
        <v>1.0</v>
      </c>
      <c r="E42" s="2">
        <v>1.0</v>
      </c>
      <c r="F42" s="25" t="s">
        <v>60</v>
      </c>
      <c r="G42" s="4">
        <f t="shared" si="1"/>
        <v>1</v>
      </c>
      <c r="H42" s="4">
        <f t="shared" si="10"/>
        <v>1</v>
      </c>
      <c r="I42" s="5">
        <v>1.0</v>
      </c>
      <c r="J42" s="4" t="b">
        <v>0</v>
      </c>
      <c r="K42" s="2" t="b">
        <v>1</v>
      </c>
      <c r="L42" s="4" t="b">
        <v>0</v>
      </c>
      <c r="M42" s="2" t="b">
        <v>1</v>
      </c>
    </row>
    <row r="43">
      <c r="A43" s="2" t="s">
        <v>62</v>
      </c>
      <c r="B43" s="2">
        <v>3.0</v>
      </c>
      <c r="C43" s="2">
        <v>3.0</v>
      </c>
      <c r="D43" s="2">
        <v>5.0</v>
      </c>
      <c r="E43" s="2">
        <v>5.0</v>
      </c>
      <c r="F43" s="25" t="s">
        <v>60</v>
      </c>
      <c r="G43" s="4">
        <f t="shared" si="1"/>
        <v>4</v>
      </c>
      <c r="H43" s="4">
        <f t="shared" si="10"/>
        <v>3</v>
      </c>
      <c r="I43" s="5">
        <v>3.0</v>
      </c>
      <c r="J43" s="4" t="b">
        <v>0</v>
      </c>
      <c r="K43" s="2" t="b">
        <v>1</v>
      </c>
      <c r="L43" s="4" t="b">
        <v>0</v>
      </c>
      <c r="M43" s="2" t="b">
        <v>1</v>
      </c>
    </row>
    <row r="44">
      <c r="A44" s="2" t="s">
        <v>63</v>
      </c>
      <c r="B44" s="2">
        <v>1.0</v>
      </c>
      <c r="C44" s="2">
        <v>1.0</v>
      </c>
      <c r="D44" s="2">
        <v>1.0</v>
      </c>
      <c r="E44" s="2">
        <v>1.0</v>
      </c>
      <c r="F44" s="25" t="s">
        <v>60</v>
      </c>
      <c r="G44" s="4">
        <f t="shared" si="1"/>
        <v>1</v>
      </c>
      <c r="H44" s="4">
        <f t="shared" si="10"/>
        <v>1</v>
      </c>
      <c r="I44" s="5">
        <v>1.0</v>
      </c>
      <c r="J44" s="2" t="b">
        <v>1</v>
      </c>
      <c r="K44" s="4" t="b">
        <v>0</v>
      </c>
      <c r="L44" s="2" t="b">
        <v>1</v>
      </c>
      <c r="M44" s="2" t="b">
        <v>0</v>
      </c>
    </row>
    <row r="45">
      <c r="A45" s="2" t="s">
        <v>64</v>
      </c>
      <c r="B45" s="2">
        <v>2.0</v>
      </c>
      <c r="C45" s="2">
        <v>2.0</v>
      </c>
      <c r="D45" s="2">
        <v>1.0</v>
      </c>
      <c r="E45" s="2">
        <v>2.0</v>
      </c>
      <c r="F45" s="26" t="s">
        <v>65</v>
      </c>
      <c r="G45" s="4">
        <f t="shared" si="1"/>
        <v>1.75</v>
      </c>
      <c r="H45" s="4">
        <f t="shared" si="10"/>
        <v>2</v>
      </c>
      <c r="I45" s="5">
        <v>1.0</v>
      </c>
      <c r="J45" s="6" t="b">
        <v>1</v>
      </c>
      <c r="K45" s="2" t="b">
        <v>1</v>
      </c>
      <c r="L45" s="4" t="b">
        <v>0</v>
      </c>
      <c r="M45" s="2" t="b">
        <v>1</v>
      </c>
      <c r="N45" s="27" t="s">
        <v>66</v>
      </c>
      <c r="O45" s="28" t="s">
        <v>67</v>
      </c>
      <c r="P45" s="29" t="s">
        <v>68</v>
      </c>
      <c r="Q45" s="30" t="s">
        <v>69</v>
      </c>
      <c r="R45" s="31" t="s">
        <v>70</v>
      </c>
    </row>
    <row r="46">
      <c r="A46" s="8" t="s">
        <v>71</v>
      </c>
      <c r="B46" s="2">
        <v>1.0</v>
      </c>
      <c r="C46" s="2">
        <v>2.0</v>
      </c>
      <c r="D46" s="2">
        <v>1.0</v>
      </c>
      <c r="E46" s="2">
        <v>1.0</v>
      </c>
      <c r="F46" s="26" t="s">
        <v>65</v>
      </c>
      <c r="G46" s="4">
        <f t="shared" si="1"/>
        <v>1.25</v>
      </c>
      <c r="H46" s="4">
        <f t="shared" si="10"/>
        <v>1</v>
      </c>
      <c r="I46" s="5">
        <v>3.0</v>
      </c>
      <c r="J46" s="4" t="b">
        <v>0</v>
      </c>
      <c r="K46" s="2" t="b">
        <v>1</v>
      </c>
      <c r="L46" s="4" t="b">
        <v>0</v>
      </c>
      <c r="M46" s="2" t="b">
        <v>1</v>
      </c>
      <c r="N46" s="32" t="str">
        <f t="array" ref="N46:N52">UNIQUE(F2:F59)</f>
        <v>Usuario</v>
      </c>
      <c r="O46" s="33">
        <f t="shared" ref="O46:O52" si="11">COUNTIF($F2:$F59, $N46)</f>
        <v>13</v>
      </c>
      <c r="P46" s="34">
        <f t="shared" ref="P46:P52" si="12">SUMPRODUCT(($L2:$L59=TRUE)*($F2:$F59=$N46))
</f>
        <v>8</v>
      </c>
      <c r="Q46" s="35">
        <f t="shared" ref="Q46:Q52" si="13">SUMPRODUCT(($M2:$M59=TRUE)*($F2:$F59=$N46))
</f>
        <v>3</v>
      </c>
      <c r="R46" s="36">
        <f t="shared" ref="R46:R53" si="14">$P46+$Q46</f>
        <v>11</v>
      </c>
    </row>
    <row r="47" ht="15.75" customHeight="1">
      <c r="A47" s="2" t="s">
        <v>72</v>
      </c>
      <c r="B47" s="2">
        <v>5.0</v>
      </c>
      <c r="C47" s="2">
        <v>1.0</v>
      </c>
      <c r="D47" s="2">
        <v>1.0</v>
      </c>
      <c r="E47" s="2">
        <v>3.0</v>
      </c>
      <c r="F47" s="26" t="s">
        <v>65</v>
      </c>
      <c r="G47" s="4">
        <f t="shared" si="1"/>
        <v>2.5</v>
      </c>
      <c r="H47" s="4">
        <f t="shared" si="10"/>
        <v>2</v>
      </c>
      <c r="I47" s="5">
        <v>1.0</v>
      </c>
      <c r="J47" s="2" t="b">
        <v>1</v>
      </c>
      <c r="K47" s="4" t="b">
        <v>0</v>
      </c>
      <c r="L47" s="2" t="b">
        <v>1</v>
      </c>
      <c r="M47" s="2" t="b">
        <v>0</v>
      </c>
      <c r="N47" s="32" t="s">
        <v>31</v>
      </c>
      <c r="O47" s="37">
        <f t="shared" si="11"/>
        <v>7</v>
      </c>
      <c r="P47" s="38">
        <f t="shared" si="12"/>
        <v>1</v>
      </c>
      <c r="Q47" s="35">
        <f t="shared" si="13"/>
        <v>4</v>
      </c>
      <c r="R47" s="36">
        <f t="shared" si="14"/>
        <v>5</v>
      </c>
    </row>
    <row r="48" ht="15.75" customHeight="1">
      <c r="A48" s="2" t="s">
        <v>73</v>
      </c>
      <c r="B48" s="2">
        <v>5.0</v>
      </c>
      <c r="C48" s="2">
        <v>1.0</v>
      </c>
      <c r="D48" s="2">
        <v>1.0</v>
      </c>
      <c r="E48" s="2">
        <v>2.0</v>
      </c>
      <c r="F48" s="26" t="s">
        <v>65</v>
      </c>
      <c r="G48" s="4">
        <f t="shared" si="1"/>
        <v>2.25</v>
      </c>
      <c r="H48" s="4">
        <f t="shared" si="10"/>
        <v>2</v>
      </c>
      <c r="I48" s="5">
        <v>1.0</v>
      </c>
      <c r="J48" s="2" t="b">
        <v>1</v>
      </c>
      <c r="K48" s="4" t="b">
        <v>0</v>
      </c>
      <c r="L48" s="2" t="b">
        <v>1</v>
      </c>
      <c r="M48" s="2" t="b">
        <v>0</v>
      </c>
      <c r="N48" s="32" t="s">
        <v>39</v>
      </c>
      <c r="O48" s="33">
        <f t="shared" si="11"/>
        <v>7</v>
      </c>
      <c r="P48" s="34">
        <f t="shared" si="12"/>
        <v>3</v>
      </c>
      <c r="Q48" s="35">
        <f t="shared" si="13"/>
        <v>1</v>
      </c>
      <c r="R48" s="36">
        <f t="shared" si="14"/>
        <v>4</v>
      </c>
    </row>
    <row r="49" ht="15.75" customHeight="1">
      <c r="A49" s="2" t="s">
        <v>74</v>
      </c>
      <c r="B49" s="2">
        <v>2.0</v>
      </c>
      <c r="C49" s="2">
        <v>1.0</v>
      </c>
      <c r="D49" s="2">
        <v>1.0</v>
      </c>
      <c r="E49" s="2">
        <v>1.0</v>
      </c>
      <c r="F49" s="26" t="s">
        <v>65</v>
      </c>
      <c r="G49" s="4">
        <f t="shared" si="1"/>
        <v>1.25</v>
      </c>
      <c r="H49" s="4">
        <f t="shared" si="10"/>
        <v>1</v>
      </c>
      <c r="I49" s="5">
        <v>1.0</v>
      </c>
      <c r="J49" s="6" t="b">
        <v>1</v>
      </c>
      <c r="K49" s="2" t="b">
        <v>1</v>
      </c>
      <c r="L49" s="4" t="b">
        <v>0</v>
      </c>
      <c r="M49" s="2" t="b">
        <v>1</v>
      </c>
      <c r="N49" s="32" t="s">
        <v>47</v>
      </c>
      <c r="O49" s="37">
        <f t="shared" si="11"/>
        <v>12</v>
      </c>
      <c r="P49" s="38">
        <f t="shared" si="12"/>
        <v>7</v>
      </c>
      <c r="Q49" s="35">
        <f t="shared" si="13"/>
        <v>2</v>
      </c>
      <c r="R49" s="36">
        <f t="shared" si="14"/>
        <v>9</v>
      </c>
    </row>
    <row r="50" ht="15.75" customHeight="1">
      <c r="A50" s="2" t="s">
        <v>75</v>
      </c>
      <c r="B50" s="2">
        <v>2.0</v>
      </c>
      <c r="C50" s="2">
        <v>2.0</v>
      </c>
      <c r="D50" s="2">
        <v>2.0</v>
      </c>
      <c r="E50" s="2">
        <v>2.0</v>
      </c>
      <c r="F50" s="39" t="s">
        <v>76</v>
      </c>
      <c r="G50" s="4">
        <f t="shared" si="1"/>
        <v>2</v>
      </c>
      <c r="H50" s="4">
        <f t="shared" si="10"/>
        <v>2</v>
      </c>
      <c r="I50" s="5">
        <v>2.0</v>
      </c>
      <c r="J50" s="4" t="b">
        <v>0</v>
      </c>
      <c r="K50" s="2" t="b">
        <v>1</v>
      </c>
      <c r="L50" s="4" t="b">
        <v>0</v>
      </c>
      <c r="M50" s="2" t="b">
        <v>0</v>
      </c>
      <c r="N50" s="32" t="s">
        <v>60</v>
      </c>
      <c r="O50" s="33">
        <f t="shared" si="11"/>
        <v>4</v>
      </c>
      <c r="P50" s="34">
        <f t="shared" si="12"/>
        <v>1</v>
      </c>
      <c r="Q50" s="35">
        <f t="shared" si="13"/>
        <v>3</v>
      </c>
      <c r="R50" s="36">
        <f t="shared" si="14"/>
        <v>4</v>
      </c>
    </row>
    <row r="51" ht="15.75" customHeight="1">
      <c r="A51" s="2" t="s">
        <v>77</v>
      </c>
      <c r="B51" s="2">
        <v>2.0</v>
      </c>
      <c r="C51" s="2">
        <v>2.0</v>
      </c>
      <c r="D51" s="2">
        <v>2.0</v>
      </c>
      <c r="E51" s="2">
        <v>2.0</v>
      </c>
      <c r="F51" s="39" t="s">
        <v>76</v>
      </c>
      <c r="G51" s="4">
        <f t="shared" si="1"/>
        <v>2</v>
      </c>
      <c r="H51" s="4">
        <f t="shared" si="10"/>
        <v>2</v>
      </c>
      <c r="I51" s="5">
        <v>2.0</v>
      </c>
      <c r="J51" s="4" t="b">
        <v>0</v>
      </c>
      <c r="K51" s="2" t="b">
        <v>1</v>
      </c>
      <c r="L51" s="4" t="b">
        <v>0</v>
      </c>
      <c r="M51" s="2" t="b">
        <v>0</v>
      </c>
      <c r="N51" s="32" t="s">
        <v>65</v>
      </c>
      <c r="O51" s="37">
        <f t="shared" si="11"/>
        <v>5</v>
      </c>
      <c r="P51" s="38">
        <f t="shared" si="12"/>
        <v>2</v>
      </c>
      <c r="Q51" s="35">
        <f t="shared" si="13"/>
        <v>3</v>
      </c>
      <c r="R51" s="36">
        <f t="shared" si="14"/>
        <v>5</v>
      </c>
    </row>
    <row r="52" ht="15.75" customHeight="1">
      <c r="A52" s="2" t="s">
        <v>78</v>
      </c>
      <c r="B52" s="2">
        <v>2.0</v>
      </c>
      <c r="C52" s="2">
        <v>2.0</v>
      </c>
      <c r="D52" s="2">
        <v>2.0</v>
      </c>
      <c r="E52" s="2">
        <v>2.0</v>
      </c>
      <c r="F52" s="39" t="s">
        <v>76</v>
      </c>
      <c r="G52" s="4">
        <f t="shared" si="1"/>
        <v>2</v>
      </c>
      <c r="H52" s="4">
        <f t="shared" si="10"/>
        <v>2</v>
      </c>
      <c r="I52" s="5">
        <v>2.0</v>
      </c>
      <c r="J52" s="4" t="b">
        <v>0</v>
      </c>
      <c r="K52" s="2" t="b">
        <v>1</v>
      </c>
      <c r="L52" s="4" t="b">
        <v>0</v>
      </c>
      <c r="M52" s="2" t="b">
        <v>0</v>
      </c>
      <c r="N52" s="32" t="s">
        <v>76</v>
      </c>
      <c r="O52" s="33">
        <f t="shared" si="11"/>
        <v>10</v>
      </c>
      <c r="P52" s="34">
        <f t="shared" si="12"/>
        <v>0</v>
      </c>
      <c r="Q52" s="35">
        <f t="shared" si="13"/>
        <v>6</v>
      </c>
      <c r="R52" s="36">
        <f t="shared" si="14"/>
        <v>6</v>
      </c>
    </row>
    <row r="53" ht="15.75" customHeight="1">
      <c r="A53" s="2" t="s">
        <v>79</v>
      </c>
      <c r="B53" s="2">
        <v>2.0</v>
      </c>
      <c r="C53" s="2">
        <v>2.0</v>
      </c>
      <c r="D53" s="2">
        <v>2.0</v>
      </c>
      <c r="E53" s="2">
        <v>2.0</v>
      </c>
      <c r="F53" s="39" t="s">
        <v>76</v>
      </c>
      <c r="G53" s="4">
        <f t="shared" si="1"/>
        <v>2</v>
      </c>
      <c r="H53" s="4">
        <f t="shared" si="10"/>
        <v>2</v>
      </c>
      <c r="I53" s="5">
        <v>2.0</v>
      </c>
      <c r="J53" s="4" t="b">
        <v>0</v>
      </c>
      <c r="K53" s="2" t="b">
        <v>1</v>
      </c>
      <c r="L53" s="4" t="b">
        <v>0</v>
      </c>
      <c r="M53" s="2" t="b">
        <v>0</v>
      </c>
      <c r="N53" s="40" t="s">
        <v>80</v>
      </c>
      <c r="O53" s="41">
        <f t="shared" ref="O53:Q53" si="15">SUM(O46:O52)</f>
        <v>58</v>
      </c>
      <c r="P53" s="42">
        <f t="shared" si="15"/>
        <v>22</v>
      </c>
      <c r="Q53" s="35">
        <f t="shared" si="15"/>
        <v>22</v>
      </c>
      <c r="R53" s="36">
        <f t="shared" si="14"/>
        <v>44</v>
      </c>
      <c r="V53" s="43" t="s">
        <v>81</v>
      </c>
    </row>
    <row r="54" ht="15.75" customHeight="1">
      <c r="A54" s="2" t="s">
        <v>82</v>
      </c>
      <c r="B54" s="2">
        <v>2.0</v>
      </c>
      <c r="C54" s="2">
        <v>1.0</v>
      </c>
      <c r="D54" s="2">
        <v>1.0</v>
      </c>
      <c r="E54" s="2">
        <v>1.0</v>
      </c>
      <c r="F54" s="39" t="s">
        <v>76</v>
      </c>
      <c r="G54" s="4">
        <f t="shared" si="1"/>
        <v>1.25</v>
      </c>
      <c r="H54" s="4">
        <f t="shared" si="10"/>
        <v>1</v>
      </c>
      <c r="I54" s="5">
        <v>1.0</v>
      </c>
      <c r="J54" s="4" t="b">
        <v>0</v>
      </c>
      <c r="K54" s="2" t="b">
        <v>1</v>
      </c>
      <c r="L54" s="4" t="b">
        <v>0</v>
      </c>
      <c r="M54" s="2" t="b">
        <v>1</v>
      </c>
      <c r="V54" s="44">
        <f t="shared" ref="V54:V60" si="16">$O46-$P46-$Q46</f>
        <v>2</v>
      </c>
    </row>
    <row r="55" ht="15.75" customHeight="1">
      <c r="A55" s="2" t="s">
        <v>83</v>
      </c>
      <c r="B55" s="2">
        <v>1.0</v>
      </c>
      <c r="C55" s="2">
        <v>1.0</v>
      </c>
      <c r="D55" s="2">
        <v>1.0</v>
      </c>
      <c r="E55" s="2">
        <v>1.0</v>
      </c>
      <c r="F55" s="39" t="s">
        <v>76</v>
      </c>
      <c r="G55" s="4">
        <f t="shared" si="1"/>
        <v>1</v>
      </c>
      <c r="H55" s="4">
        <f t="shared" si="10"/>
        <v>1</v>
      </c>
      <c r="I55" s="5">
        <v>1.0</v>
      </c>
      <c r="J55" s="4" t="b">
        <v>0</v>
      </c>
      <c r="K55" s="2" t="b">
        <v>1</v>
      </c>
      <c r="L55" s="4" t="b">
        <v>0</v>
      </c>
      <c r="M55" s="2" t="b">
        <v>1</v>
      </c>
      <c r="Q55" s="45" t="s">
        <v>84</v>
      </c>
      <c r="R55" s="46">
        <f>$O53-$P53-$Q53</f>
        <v>14</v>
      </c>
      <c r="V55" s="44">
        <f t="shared" si="16"/>
        <v>2</v>
      </c>
    </row>
    <row r="56" ht="15.75" customHeight="1">
      <c r="A56" s="2" t="s">
        <v>85</v>
      </c>
      <c r="B56" s="2">
        <v>1.0</v>
      </c>
      <c r="C56" s="2">
        <v>1.0</v>
      </c>
      <c r="D56" s="2">
        <v>1.0</v>
      </c>
      <c r="E56" s="2">
        <v>1.0</v>
      </c>
      <c r="F56" s="39" t="s">
        <v>76</v>
      </c>
      <c r="G56" s="4">
        <f t="shared" si="1"/>
        <v>1</v>
      </c>
      <c r="H56" s="4">
        <f t="shared" si="10"/>
        <v>1</v>
      </c>
      <c r="I56" s="5">
        <v>1.0</v>
      </c>
      <c r="J56" s="4" t="b">
        <v>0</v>
      </c>
      <c r="K56" s="2" t="b">
        <v>1</v>
      </c>
      <c r="L56" s="4" t="b">
        <v>0</v>
      </c>
      <c r="M56" s="2" t="b">
        <v>1</v>
      </c>
      <c r="V56" s="44">
        <f t="shared" si="16"/>
        <v>3</v>
      </c>
    </row>
    <row r="57" ht="15.75" customHeight="1">
      <c r="A57" s="2" t="s">
        <v>86</v>
      </c>
      <c r="B57" s="2">
        <v>1.0</v>
      </c>
      <c r="C57" s="2">
        <v>1.0</v>
      </c>
      <c r="D57" s="2">
        <v>1.0</v>
      </c>
      <c r="E57" s="2">
        <v>1.0</v>
      </c>
      <c r="F57" s="39" t="s">
        <v>76</v>
      </c>
      <c r="G57" s="4">
        <f t="shared" si="1"/>
        <v>1</v>
      </c>
      <c r="H57" s="4">
        <f t="shared" si="10"/>
        <v>1</v>
      </c>
      <c r="I57" s="5">
        <v>1.0</v>
      </c>
      <c r="J57" s="4" t="b">
        <v>0</v>
      </c>
      <c r="K57" s="2" t="b">
        <v>1</v>
      </c>
      <c r="L57" s="4" t="b">
        <v>0</v>
      </c>
      <c r="M57" s="2" t="b">
        <v>1</v>
      </c>
      <c r="V57" s="44">
        <f t="shared" si="16"/>
        <v>3</v>
      </c>
    </row>
    <row r="58" ht="15.75" customHeight="1">
      <c r="A58" s="2" t="s">
        <v>87</v>
      </c>
      <c r="B58" s="2">
        <v>1.0</v>
      </c>
      <c r="C58" s="2">
        <v>1.0</v>
      </c>
      <c r="D58" s="2">
        <v>1.0</v>
      </c>
      <c r="E58" s="2">
        <v>1.0</v>
      </c>
      <c r="F58" s="39" t="s">
        <v>76</v>
      </c>
      <c r="G58" s="4">
        <f t="shared" si="1"/>
        <v>1</v>
      </c>
      <c r="H58" s="4">
        <f t="shared" si="10"/>
        <v>1</v>
      </c>
      <c r="I58" s="5">
        <v>1.0</v>
      </c>
      <c r="J58" s="4" t="b">
        <v>0</v>
      </c>
      <c r="K58" s="2" t="b">
        <v>1</v>
      </c>
      <c r="L58" s="4" t="b">
        <v>0</v>
      </c>
      <c r="M58" s="2" t="b">
        <v>1</v>
      </c>
      <c r="V58" s="44">
        <f t="shared" si="16"/>
        <v>0</v>
      </c>
    </row>
    <row r="59" ht="15.75" customHeight="1">
      <c r="A59" s="2" t="s">
        <v>88</v>
      </c>
      <c r="B59" s="2">
        <v>1.0</v>
      </c>
      <c r="C59" s="2">
        <v>1.0</v>
      </c>
      <c r="D59" s="2">
        <v>1.0</v>
      </c>
      <c r="E59" s="2">
        <v>1.0</v>
      </c>
      <c r="F59" s="39" t="s">
        <v>76</v>
      </c>
      <c r="G59" s="4">
        <f t="shared" si="1"/>
        <v>1</v>
      </c>
      <c r="H59" s="4">
        <f t="shared" si="10"/>
        <v>1</v>
      </c>
      <c r="I59" s="5">
        <v>1.0</v>
      </c>
      <c r="J59" s="4" t="b">
        <v>0</v>
      </c>
      <c r="K59" s="2" t="b">
        <v>1</v>
      </c>
      <c r="L59" s="4" t="b">
        <v>0</v>
      </c>
      <c r="M59" s="2" t="b">
        <v>1</v>
      </c>
      <c r="V59" s="44">
        <f t="shared" si="16"/>
        <v>0</v>
      </c>
    </row>
    <row r="60" ht="15.75" customHeight="1">
      <c r="A60" s="1" t="s">
        <v>89</v>
      </c>
      <c r="B60" s="47">
        <f t="shared" ref="B60:E60" si="17">SUM(B2:B59)</f>
        <v>121</v>
      </c>
      <c r="C60" s="47">
        <f t="shared" si="17"/>
        <v>114</v>
      </c>
      <c r="D60" s="47">
        <f t="shared" si="17"/>
        <v>120</v>
      </c>
      <c r="E60" s="47">
        <f t="shared" si="17"/>
        <v>121</v>
      </c>
      <c r="F60" s="48" t="str">
        <f>COUNTIF(F2:F59, "&lt;&gt; 0") &amp; " HUs"</f>
        <v>58 HUs</v>
      </c>
      <c r="G60" s="47">
        <f t="shared" ref="G60:I60" si="18">SUM(G2:G59)</f>
        <v>119</v>
      </c>
      <c r="H60" s="47">
        <f t="shared" si="18"/>
        <v>110</v>
      </c>
      <c r="I60" s="47">
        <f t="shared" si="18"/>
        <v>117</v>
      </c>
      <c r="J60" s="48" t="str">
        <f t="shared" ref="J60:K60" si="19">"Pedidas " &amp; COUNTIF(J2:J59, "=TRUE")</f>
        <v>Pedidas 29</v>
      </c>
      <c r="K60" s="48" t="str">
        <f t="shared" si="19"/>
        <v>Pedidas 35</v>
      </c>
      <c r="L60" s="48" t="str">
        <f t="shared" ref="L60:M60" si="20">"Aprobadas " &amp; COUNTIF(L2:L59, "=TRUE")</f>
        <v>Aprobadas 22</v>
      </c>
      <c r="M60" s="48" t="str">
        <f t="shared" si="20"/>
        <v>Aprobadas 22</v>
      </c>
      <c r="V60" s="44">
        <f t="shared" si="16"/>
        <v>4</v>
      </c>
    </row>
    <row r="61" ht="15.75" customHeight="1">
      <c r="L61" s="49" t="s">
        <v>90</v>
      </c>
      <c r="M61" s="49" t="s">
        <v>90</v>
      </c>
    </row>
    <row r="62" ht="15.75" customHeight="1">
      <c r="L62" s="50">
        <f t="shared" ref="L62:M62" si="21">IFERROR(COUNTIF(L2:L59, "=TRUE")/COUNTIF(J2:J59, "=TRUE"), "Todavía no llegamos tan lejos")</f>
        <v>0.7586206897</v>
      </c>
      <c r="M62" s="50">
        <f t="shared" si="21"/>
        <v>0.6285714286</v>
      </c>
    </row>
    <row r="63" ht="15.75" customHeight="1"/>
    <row r="64" ht="15.75" customHeight="1"/>
    <row r="65" ht="15.75" customHeight="1"/>
    <row r="66" ht="15.75" customHeight="1">
      <c r="A66" s="2"/>
    </row>
    <row r="68">
      <c r="A68" s="1" t="s">
        <v>91</v>
      </c>
      <c r="B68" s="1" t="s">
        <v>92</v>
      </c>
      <c r="C68" s="1" t="s">
        <v>93</v>
      </c>
      <c r="D68" s="1" t="s">
        <v>94</v>
      </c>
      <c r="E68" s="1" t="s">
        <v>95</v>
      </c>
      <c r="F68" s="1" t="s">
        <v>96</v>
      </c>
      <c r="G68" s="51" t="s">
        <v>97</v>
      </c>
    </row>
    <row r="69">
      <c r="A69" s="2" t="str">
        <f>IFERROR(__xludf.DUMMYFUNCTION("FILTER(A2:A59, J2:J59=TRUE)"),"Iniciar Sesión")</f>
        <v>Iniciar Sesión</v>
      </c>
      <c r="B69" s="2">
        <f>IFERROR(__xludf.DUMMYFUNCTION("FILTER(I2:I59, J2:J59=TRUE)"),2.0)</f>
        <v>2</v>
      </c>
      <c r="C69" s="2" t="s">
        <v>2</v>
      </c>
      <c r="D69" s="2" t="b">
        <v>1</v>
      </c>
      <c r="E69" s="2" t="b">
        <v>0</v>
      </c>
    </row>
    <row r="70">
      <c r="A70" s="4" t="str">
        <f>IFERROR(__xludf.DUMMYFUNCTION("""COMPUTED_VALUE"""),"Iniciar Sesión como Gerente")</f>
        <v>Iniciar Sesión como Gerente</v>
      </c>
      <c r="B70" s="4">
        <f>IFERROR(__xludf.DUMMYFUNCTION("""COMPUTED_VALUE"""),2.0)</f>
        <v>2</v>
      </c>
      <c r="C70" s="2" t="s">
        <v>3</v>
      </c>
      <c r="D70" s="2" t="b">
        <v>1</v>
      </c>
      <c r="E70" s="2" t="b">
        <v>1</v>
      </c>
    </row>
    <row r="71">
      <c r="A71" s="4" t="str">
        <f>IFERROR(__xludf.DUMMYFUNCTION("""COMPUTED_VALUE"""),"Comprobar Token 2FA")</f>
        <v>Comprobar Token 2FA</v>
      </c>
      <c r="B71" s="4">
        <f>IFERROR(__xludf.DUMMYFUNCTION("""COMPUTED_VALUE"""),3.0)</f>
        <v>3</v>
      </c>
      <c r="C71" s="2" t="s">
        <v>4</v>
      </c>
      <c r="D71" s="2" t="b">
        <v>1</v>
      </c>
      <c r="E71" s="2" t="b">
        <v>1</v>
      </c>
    </row>
    <row r="72">
      <c r="A72" s="4" t="str">
        <f>IFERROR(__xludf.DUMMYFUNCTION("""COMPUTED_VALUE"""),"Cerrar Sesión")</f>
        <v>Cerrar Sesión</v>
      </c>
      <c r="B72" s="4">
        <f>IFERROR(__xludf.DUMMYFUNCTION("""COMPUTED_VALUE"""),1.0)</f>
        <v>1</v>
      </c>
      <c r="C72" s="2" t="s">
        <v>1</v>
      </c>
      <c r="D72" s="2" t="b">
        <v>1</v>
      </c>
      <c r="E72" s="2" t="b">
        <v>0</v>
      </c>
    </row>
    <row r="73">
      <c r="A73" s="4" t="str">
        <f>IFERROR(__xludf.DUMMYFUNCTION("""COMPUTED_VALUE"""),"Recuperar Contraseña")</f>
        <v>Recuperar Contraseña</v>
      </c>
      <c r="B73" s="4">
        <f>IFERROR(__xludf.DUMMYFUNCTION("""COMPUTED_VALUE"""),3.0)</f>
        <v>3</v>
      </c>
      <c r="C73" s="2" t="s">
        <v>1</v>
      </c>
      <c r="D73" s="2" t="b">
        <v>1</v>
      </c>
      <c r="E73" s="2" t="b">
        <v>0</v>
      </c>
    </row>
    <row r="74">
      <c r="A74" s="52" t="str">
        <f>IFERROR(__xludf.DUMMYFUNCTION("""COMPUTED_VALUE"""),"Cambiar Contraseña")</f>
        <v>Cambiar Contraseña</v>
      </c>
      <c r="B74" s="4">
        <f>IFERROR(__xludf.DUMMYFUNCTION("""COMPUTED_VALUE"""),2.0)</f>
        <v>2</v>
      </c>
      <c r="C74" s="2" t="s">
        <v>1</v>
      </c>
      <c r="D74" s="2" t="b">
        <v>1</v>
      </c>
      <c r="E74" s="2" t="b">
        <v>0</v>
      </c>
    </row>
    <row r="75">
      <c r="A75" s="4" t="str">
        <f>IFERROR(__xludf.DUMMYFUNCTION("""COMPUTED_VALUE"""),"Editar perfil")</f>
        <v>Editar perfil</v>
      </c>
      <c r="B75" s="4">
        <f>IFERROR(__xludf.DUMMYFUNCTION("""COMPUTED_VALUE"""),1.0)</f>
        <v>1</v>
      </c>
      <c r="C75" s="2" t="s">
        <v>1</v>
      </c>
      <c r="D75" s="2" t="b">
        <v>1</v>
      </c>
      <c r="E75" s="2" t="b">
        <v>0</v>
      </c>
    </row>
    <row r="76">
      <c r="A76" s="4" t="str">
        <f>IFERROR(__xludf.DUMMYFUNCTION("""COMPUTED_VALUE"""),"Visualizar Usuario")</f>
        <v>Visualizar Usuario</v>
      </c>
      <c r="B76" s="4">
        <f>IFERROR(__xludf.DUMMYFUNCTION("""COMPUTED_VALUE"""),1.0)</f>
        <v>1</v>
      </c>
      <c r="C76" s="2" t="s">
        <v>2</v>
      </c>
      <c r="D76" s="2" t="b">
        <v>1</v>
      </c>
      <c r="E76" s="2" t="b">
        <v>0</v>
      </c>
    </row>
    <row r="77">
      <c r="A77" s="4" t="str">
        <f>IFERROR(__xludf.DUMMYFUNCTION("""COMPUTED_VALUE"""),"Listar Usuarios")</f>
        <v>Listar Usuarios</v>
      </c>
      <c r="B77" s="4">
        <f>IFERROR(__xludf.DUMMYFUNCTION("""COMPUTED_VALUE"""),1.0)</f>
        <v>1</v>
      </c>
      <c r="C77" s="2" t="s">
        <v>3</v>
      </c>
      <c r="D77" s="2" t="b">
        <v>1</v>
      </c>
      <c r="E77" s="2" t="b">
        <v>1</v>
      </c>
    </row>
    <row r="78" ht="15.75" customHeight="1">
      <c r="A78" s="4" t="str">
        <f>IFERROR(__xludf.DUMMYFUNCTION("""COMPUTED_VALUE"""),"Eliminar Usuario")</f>
        <v>Eliminar Usuario</v>
      </c>
      <c r="B78" s="4">
        <f>IFERROR(__xludf.DUMMYFUNCTION("""COMPUTED_VALUE"""),3.0)</f>
        <v>3</v>
      </c>
      <c r="C78" s="2" t="s">
        <v>4</v>
      </c>
      <c r="D78" s="2" t="b">
        <v>1</v>
      </c>
      <c r="E78" s="2" t="b">
        <v>1</v>
      </c>
    </row>
    <row r="79" ht="15.75" customHeight="1">
      <c r="A79" s="4" t="str">
        <f>IFERROR(__xludf.DUMMYFUNCTION("""COMPUTED_VALUE"""),"Registrar Cliente")</f>
        <v>Registrar Cliente</v>
      </c>
      <c r="B79" s="4">
        <f>IFERROR(__xludf.DUMMYFUNCTION("""COMPUTED_VALUE"""),2.0)</f>
        <v>2</v>
      </c>
      <c r="C79" s="2" t="s">
        <v>4</v>
      </c>
      <c r="D79" s="2" t="b">
        <v>1</v>
      </c>
      <c r="E79" s="2" t="b">
        <v>1</v>
      </c>
    </row>
    <row r="80" ht="15.75" customHeight="1">
      <c r="A80" s="4" t="str">
        <f>IFERROR(__xludf.DUMMYFUNCTION("""COMPUTED_VALUE"""),"Confirmar Reserva Online")</f>
        <v>Confirmar Reserva Online</v>
      </c>
      <c r="B80" s="4">
        <f>IFERROR(__xludf.DUMMYFUNCTION("""COMPUTED_VALUE"""),5.0)</f>
        <v>5</v>
      </c>
      <c r="C80" s="2" t="s">
        <v>3</v>
      </c>
      <c r="D80" s="2" t="b">
        <v>1</v>
      </c>
      <c r="E80" s="2" t="b">
        <v>0</v>
      </c>
      <c r="F80" s="2" t="s">
        <v>98</v>
      </c>
    </row>
    <row r="81" ht="15.75" customHeight="1">
      <c r="A81" s="52" t="str">
        <f>IFERROR(__xludf.DUMMYFUNCTION("""COMPUTED_VALUE"""),"Pagar con Mercado Pago")</f>
        <v>Pagar con Mercado Pago</v>
      </c>
      <c r="B81" s="4">
        <f>IFERROR(__xludf.DUMMYFUNCTION("""COMPUTED_VALUE"""),5.0)</f>
        <v>5</v>
      </c>
      <c r="C81" s="2" t="s">
        <v>1</v>
      </c>
      <c r="D81" s="2" t="b">
        <v>1</v>
      </c>
      <c r="E81" s="2" t="b">
        <v>0</v>
      </c>
    </row>
    <row r="82" ht="15.75" customHeight="1">
      <c r="A82" s="4" t="str">
        <f>IFERROR(__xludf.DUMMYFUNCTION("""COMPUTED_VALUE"""),"Cancelar Reserva Online")</f>
        <v>Cancelar Reserva Online</v>
      </c>
      <c r="B82" s="4">
        <f>IFERROR(__xludf.DUMMYFUNCTION("""COMPUTED_VALUE"""),3.0)</f>
        <v>3</v>
      </c>
      <c r="C82" s="2" t="s">
        <v>2</v>
      </c>
      <c r="D82" s="2" t="b">
        <v>1</v>
      </c>
      <c r="E82" s="2" t="b">
        <v>0</v>
      </c>
    </row>
    <row r="83" ht="15.75" customHeight="1">
      <c r="A83" s="4" t="str">
        <f>IFERROR(__xludf.DUMMYFUNCTION("""COMPUTED_VALUE"""),"Listar Reservas Propias")</f>
        <v>Listar Reservas Propias</v>
      </c>
      <c r="B83" s="4">
        <f>IFERROR(__xludf.DUMMYFUNCTION("""COMPUTED_VALUE"""),1.0)</f>
        <v>1</v>
      </c>
      <c r="C83" s="2" t="s">
        <v>4</v>
      </c>
      <c r="D83" s="2" t="b">
        <v>1</v>
      </c>
      <c r="E83" s="2" t="b">
        <v>1</v>
      </c>
    </row>
    <row r="84" ht="15.75" customHeight="1">
      <c r="A84" s="4" t="str">
        <f>IFERROR(__xludf.DUMMYFUNCTION("""COMPUTED_VALUE"""),"Reservar Maquinaria")</f>
        <v>Reservar Maquinaria</v>
      </c>
      <c r="B84" s="4">
        <f>IFERROR(__xludf.DUMMYFUNCTION("""COMPUTED_VALUE"""),3.0)</f>
        <v>3</v>
      </c>
      <c r="C84" s="2" t="s">
        <v>2</v>
      </c>
      <c r="D84" s="2" t="b">
        <v>1</v>
      </c>
      <c r="E84" s="2" t="b">
        <v>0</v>
      </c>
    </row>
    <row r="85" ht="15.75" customHeight="1">
      <c r="A85" s="4" t="str">
        <f>IFERROR(__xludf.DUMMYFUNCTION("""COMPUTED_VALUE"""),"Listar Reservas ")</f>
        <v>Listar Reservas </v>
      </c>
      <c r="B85" s="4">
        <f>IFERROR(__xludf.DUMMYFUNCTION("""COMPUTED_VALUE"""),1.0)</f>
        <v>1</v>
      </c>
      <c r="C85" s="2" t="s">
        <v>4</v>
      </c>
      <c r="D85" s="2" t="b">
        <v>1</v>
      </c>
      <c r="E85" s="2" t="b">
        <v>1</v>
      </c>
    </row>
    <row r="86" ht="15.75" customHeight="1">
      <c r="A86" s="4" t="str">
        <f>IFERROR(__xludf.DUMMYFUNCTION("""COMPUTED_VALUE"""),"Ver Catálogo")</f>
        <v>Ver Catálogo</v>
      </c>
      <c r="B86" s="4">
        <f>IFERROR(__xludf.DUMMYFUNCTION("""COMPUTED_VALUE"""),1.0)</f>
        <v>1</v>
      </c>
      <c r="C86" s="2" t="s">
        <v>2</v>
      </c>
      <c r="D86" s="2" t="b">
        <v>1</v>
      </c>
      <c r="E86" s="2" t="b">
        <v>0</v>
      </c>
    </row>
    <row r="87" ht="15.75" customHeight="1">
      <c r="A87" s="4" t="str">
        <f>IFERROR(__xludf.DUMMYFUNCTION("""COMPUTED_VALUE"""),"Ver Catálogo con filtro de Tipo")</f>
        <v>Ver Catálogo con filtro de Tipo</v>
      </c>
      <c r="B87" s="4">
        <f>IFERROR(__xludf.DUMMYFUNCTION("""COMPUTED_VALUE"""),1.0)</f>
        <v>1</v>
      </c>
      <c r="C87" s="2" t="s">
        <v>4</v>
      </c>
      <c r="D87" s="2" t="b">
        <v>1</v>
      </c>
      <c r="E87" s="2" t="b">
        <v>1</v>
      </c>
      <c r="N87" s="53"/>
      <c r="O87" s="53"/>
      <c r="P87" s="53"/>
      <c r="Q87" s="53"/>
    </row>
    <row r="88" ht="15.75" customHeight="1">
      <c r="A88" s="4" t="str">
        <f>IFERROR(__xludf.DUMMYFUNCTION("""COMPUTED_VALUE"""),"Ver Catálogo con filtro de Sucursal")</f>
        <v>Ver Catálogo con filtro de Sucursal</v>
      </c>
      <c r="B88" s="4">
        <f>IFERROR(__xludf.DUMMYFUNCTION("""COMPUTED_VALUE"""),1.0)</f>
        <v>1</v>
      </c>
      <c r="C88" s="2" t="s">
        <v>4</v>
      </c>
      <c r="D88" s="2" t="b">
        <v>1</v>
      </c>
      <c r="E88" s="2" t="b">
        <v>1</v>
      </c>
      <c r="N88" s="53"/>
      <c r="O88" s="53"/>
      <c r="P88" s="53"/>
      <c r="Q88" s="53"/>
      <c r="S88" s="2"/>
    </row>
    <row r="89" ht="15.75" customHeight="1">
      <c r="A89" s="4" t="str">
        <f>IFERROR(__xludf.DUMMYFUNCTION("""COMPUTED_VALUE"""),"Ver Catálogo con filtro de Nombre, Marca y Descripción")</f>
        <v>Ver Catálogo con filtro de Nombre, Marca y Descripción</v>
      </c>
      <c r="B89" s="4">
        <f>IFERROR(__xludf.DUMMYFUNCTION("""COMPUTED_VALUE"""),1.0)</f>
        <v>1</v>
      </c>
      <c r="C89" s="2" t="s">
        <v>4</v>
      </c>
      <c r="D89" s="2" t="b">
        <v>1</v>
      </c>
      <c r="E89" s="2" t="b">
        <v>1</v>
      </c>
      <c r="I89" s="54"/>
      <c r="N89" s="53"/>
      <c r="O89" s="53"/>
      <c r="P89" s="53"/>
      <c r="Q89" s="53"/>
    </row>
    <row r="90" ht="15.75" customHeight="1">
      <c r="A90" s="52" t="str">
        <f>IFERROR(__xludf.DUMMYFUNCTION("""COMPUTED_VALUE"""),"Limpiar Filtros")</f>
        <v>Limpiar Filtros</v>
      </c>
      <c r="B90" s="4">
        <f>IFERROR(__xludf.DUMMYFUNCTION("""COMPUTED_VALUE"""),1.0)</f>
        <v>1</v>
      </c>
      <c r="C90" s="2" t="s">
        <v>4</v>
      </c>
      <c r="D90" s="2" t="b">
        <v>1</v>
      </c>
      <c r="E90" s="2" t="b">
        <v>1</v>
      </c>
      <c r="N90" s="53"/>
      <c r="O90" s="53"/>
      <c r="P90" s="53"/>
      <c r="Q90" s="53"/>
    </row>
    <row r="91" ht="15.75" customHeight="1">
      <c r="A91" s="4" t="str">
        <f>IFERROR(__xludf.DUMMYFUNCTION("""COMPUTED_VALUE"""),"Cargar Máquina")</f>
        <v>Cargar Máquina</v>
      </c>
      <c r="B91" s="4">
        <f>IFERROR(__xludf.DUMMYFUNCTION("""COMPUTED_VALUE"""),2.0)</f>
        <v>2</v>
      </c>
      <c r="C91" s="2" t="s">
        <v>3</v>
      </c>
      <c r="D91" s="2" t="b">
        <v>1</v>
      </c>
      <c r="E91" s="2" t="b">
        <v>1</v>
      </c>
      <c r="N91" s="53"/>
      <c r="O91" s="53"/>
      <c r="P91" s="53"/>
      <c r="Q91" s="53"/>
    </row>
    <row r="92" ht="15.75" customHeight="1">
      <c r="A92" s="4" t="str">
        <f>IFERROR(__xludf.DUMMYFUNCTION("""COMPUTED_VALUE"""),"Visualizar Máquina")</f>
        <v>Visualizar Máquina</v>
      </c>
      <c r="B92" s="4">
        <f>IFERROR(__xludf.DUMMYFUNCTION("""COMPUTED_VALUE"""),1.0)</f>
        <v>1</v>
      </c>
      <c r="C92" s="2" t="s">
        <v>3</v>
      </c>
      <c r="D92" s="2" t="b">
        <v>1</v>
      </c>
      <c r="E92" s="2" t="b">
        <v>1</v>
      </c>
      <c r="N92" s="53"/>
      <c r="O92" s="53"/>
      <c r="P92" s="53"/>
      <c r="Q92" s="53"/>
    </row>
    <row r="93" ht="15.75" customHeight="1">
      <c r="A93" s="4" t="str">
        <f>IFERROR(__xludf.DUMMYFUNCTION("""COMPUTED_VALUE"""),"Listar Alquileres Propios")</f>
        <v>Listar Alquileres Propios</v>
      </c>
      <c r="B93" s="4">
        <f>IFERROR(__xludf.DUMMYFUNCTION("""COMPUTED_VALUE"""),1.0)</f>
        <v>1</v>
      </c>
      <c r="C93" s="2" t="s">
        <v>4</v>
      </c>
      <c r="D93" s="2" t="b">
        <v>1</v>
      </c>
      <c r="E93" s="2" t="b">
        <v>1</v>
      </c>
      <c r="N93" s="53"/>
      <c r="O93" s="53"/>
      <c r="P93" s="53"/>
      <c r="Q93" s="53"/>
    </row>
    <row r="94" ht="15.75" customHeight="1">
      <c r="A94" s="52" t="str">
        <f>IFERROR(__xludf.DUMMYFUNCTION("""COMPUTED_VALUE"""),"Cargar Sucursal")</f>
        <v>Cargar Sucursal</v>
      </c>
      <c r="B94" s="4">
        <f>IFERROR(__xludf.DUMMYFUNCTION("""COMPUTED_VALUE"""),1.0)</f>
        <v>1</v>
      </c>
      <c r="C94" s="2" t="s">
        <v>2</v>
      </c>
      <c r="D94" s="2" t="b">
        <v>1</v>
      </c>
      <c r="E94" s="2" t="b">
        <v>0</v>
      </c>
      <c r="N94" s="53"/>
      <c r="O94" s="53"/>
      <c r="P94" s="53"/>
      <c r="Q94" s="53"/>
    </row>
    <row r="95" ht="15.75" customHeight="1">
      <c r="A95" s="4" t="str">
        <f>IFERROR(__xludf.DUMMYFUNCTION("""COMPUTED_VALUE"""),"Listar Sucursales")</f>
        <v>Listar Sucursales</v>
      </c>
      <c r="B95" s="4">
        <f>IFERROR(__xludf.DUMMYFUNCTION("""COMPUTED_VALUE"""),1.0)</f>
        <v>1</v>
      </c>
      <c r="C95" s="2" t="s">
        <v>4</v>
      </c>
      <c r="D95" s="2" t="b">
        <v>1</v>
      </c>
      <c r="E95" s="2" t="b">
        <v>1</v>
      </c>
      <c r="N95" s="53"/>
      <c r="O95" s="53"/>
      <c r="P95" s="53"/>
      <c r="Q95" s="53"/>
    </row>
    <row r="96" ht="15.75" customHeight="1">
      <c r="A96" s="4" t="str">
        <f>IFERROR(__xludf.DUMMYFUNCTION("""COMPUTED_VALUE"""),"Visualizar Sucursal")</f>
        <v>Visualizar Sucursal</v>
      </c>
      <c r="B96" s="4">
        <f>IFERROR(__xludf.DUMMYFUNCTION("""COMPUTED_VALUE"""),1.0)</f>
        <v>1</v>
      </c>
      <c r="C96" s="2" t="s">
        <v>2</v>
      </c>
      <c r="D96" s="2" t="b">
        <v>1</v>
      </c>
      <c r="E96" s="2" t="b">
        <v>0</v>
      </c>
      <c r="N96" s="53"/>
      <c r="O96" s="53"/>
      <c r="P96" s="53"/>
      <c r="Q96" s="53"/>
    </row>
    <row r="97" ht="15.75" customHeight="1">
      <c r="A97" s="52" t="str">
        <f>IFERROR(__xludf.DUMMYFUNCTION("""COMPUTED_VALUE"""),"Modificar Sucursal")</f>
        <v>Modificar Sucursal</v>
      </c>
      <c r="B97" s="4">
        <f>IFERROR(__xludf.DUMMYFUNCTION("""COMPUTED_VALUE"""),1.0)</f>
        <v>1</v>
      </c>
      <c r="C97" s="2" t="s">
        <v>3</v>
      </c>
      <c r="D97" s="2" t="b">
        <v>1</v>
      </c>
      <c r="E97" s="2" t="b">
        <v>1</v>
      </c>
    </row>
    <row r="98" ht="15.75" customHeight="1">
      <c r="A98" s="1" t="str">
        <f> "Total HUs: " &amp; COUNTIF(A69:A97, "&lt;&gt; 0")</f>
        <v>Total HUs: 29</v>
      </c>
      <c r="B98" s="1" t="str">
        <f> "Peso total: " &amp; SUM(B69:B97)</f>
        <v>Peso total: 52</v>
      </c>
      <c r="C98" s="47"/>
      <c r="D98" s="1" t="str">
        <f> "Restantes: " &amp; COUNTIF(D69:D97, "=FALSE")</f>
        <v>Restantes: 0</v>
      </c>
      <c r="E98" s="47"/>
      <c r="F98" s="55"/>
      <c r="G98" s="55"/>
      <c r="H98" s="55"/>
      <c r="I98" s="55"/>
      <c r="K98" s="53"/>
      <c r="L98" s="53"/>
      <c r="M98" s="53"/>
    </row>
    <row r="99" ht="15.75" customHeight="1"/>
    <row r="100" ht="15.75" customHeight="1">
      <c r="A100" s="56" t="s">
        <v>99</v>
      </c>
      <c r="J100" s="2"/>
    </row>
    <row r="101" ht="15.75" customHeight="1"/>
    <row r="102" ht="15.75" customHeight="1">
      <c r="O102" s="54"/>
    </row>
    <row r="103" ht="15.75" customHeight="1">
      <c r="A103" s="9" t="s">
        <v>100</v>
      </c>
      <c r="B103" s="10" t="s">
        <v>101</v>
      </c>
      <c r="C103" s="11" t="s">
        <v>81</v>
      </c>
      <c r="E103" s="9" t="s">
        <v>89</v>
      </c>
      <c r="F103" s="57" t="s">
        <v>102</v>
      </c>
    </row>
    <row r="104" ht="15.75" customHeight="1">
      <c r="A104" s="12" t="s">
        <v>1</v>
      </c>
      <c r="B104" s="13">
        <f>IFERROR(__xludf.DUMMYFUNCTION("COUNTIFS(FILTER($D$69:$D$97, $C$69:$C$97=A104), ""=TRUE"")"),5.0)</f>
        <v>5</v>
      </c>
      <c r="C104" s="14">
        <f>IFERROR(__xludf.DUMMYFUNCTION("COUNTIFS(FILTER($D$69:$D$97, $C$69:$C$97=A104), ""=FALSE"")"),0.0)</f>
        <v>0</v>
      </c>
      <c r="E104" s="12" t="s">
        <v>1</v>
      </c>
      <c r="F104" s="58">
        <f>IFERROR(__xludf.DUMMYFUNCTION("SUM(FILTER($B$69:$B$97, $C$69:$C$97=E104))"),12.0)</f>
        <v>12</v>
      </c>
      <c r="H104" s="59"/>
    </row>
    <row r="105" ht="15.75" customHeight="1">
      <c r="A105" s="15" t="s">
        <v>2</v>
      </c>
      <c r="B105" s="16">
        <f>IFERROR(__xludf.DUMMYFUNCTION("COUNTIFS(FILTER($D$69:$D$97, $C$69:$C$97=A105), ""=TRUE"")"),7.0)</f>
        <v>7</v>
      </c>
      <c r="C105" s="17">
        <f>IFERROR(__xludf.DUMMYFUNCTION("COUNTIFS(FILTER($D$69:$D$97, $C$69:$C$97=A105), ""=FALSE"")"),0.0)</f>
        <v>0</v>
      </c>
      <c r="E105" s="15" t="s">
        <v>2</v>
      </c>
      <c r="F105" s="60">
        <f>IFERROR(__xludf.DUMMYFUNCTION("SUM(FILTER($B$69:$B$97, $C$69:$C$97=E105))"),12.0)</f>
        <v>12</v>
      </c>
    </row>
    <row r="106" ht="15.75" customHeight="1">
      <c r="A106" s="12" t="s">
        <v>3</v>
      </c>
      <c r="B106" s="13">
        <f>IFERROR(__xludf.DUMMYFUNCTION("COUNTIFS(FILTER($D$69:$D$97, $C$69:$C$97=A106), ""=TRUE"")"),6.0)</f>
        <v>6</v>
      </c>
      <c r="C106" s="14">
        <f>IFERROR(__xludf.DUMMYFUNCTION("COUNTIFS(FILTER($D$69:$D$97, $C$69:$C$97=A106), ""=FALSE"")"),0.0)</f>
        <v>0</v>
      </c>
      <c r="E106" s="12" t="s">
        <v>3</v>
      </c>
      <c r="F106" s="58">
        <f>IFERROR(__xludf.DUMMYFUNCTION("SUM(FILTER($B$69:$B$97, $C$69:$C$97=E106))"),12.0)</f>
        <v>12</v>
      </c>
    </row>
    <row r="107" ht="15.75" customHeight="1">
      <c r="A107" s="19" t="s">
        <v>4</v>
      </c>
      <c r="B107" s="20">
        <f>IFERROR(__xludf.DUMMYFUNCTION("COUNTIFS(FILTER($D$69:$D$97, $C$69:$C$97=A107), ""=TRUE"")"),11.0)</f>
        <v>11</v>
      </c>
      <c r="C107" s="21">
        <f>IFERROR(__xludf.DUMMYFUNCTION("COUNTIFS(FILTER($D$69:$D$97, $C$69:$C$97=A107), ""=FALSE"")"),0.0)</f>
        <v>0</v>
      </c>
      <c r="E107" s="19" t="s">
        <v>4</v>
      </c>
      <c r="F107" s="61">
        <f>IFERROR(__xludf.DUMMYFUNCTION("SUM(FILTER($B$69:$B$97, $C$69:$C$97=E107))"),16.0)</f>
        <v>16</v>
      </c>
    </row>
    <row r="108" ht="15.75" customHeight="1"/>
    <row r="109" ht="15.75" customHeight="1"/>
    <row r="110" ht="15.75" customHeight="1">
      <c r="A110" s="62" t="s">
        <v>103</v>
      </c>
    </row>
    <row r="111" ht="15.75" customHeight="1">
      <c r="A111" s="1" t="s">
        <v>104</v>
      </c>
      <c r="B111" s="1" t="s">
        <v>92</v>
      </c>
      <c r="C111" s="1" t="s">
        <v>93</v>
      </c>
      <c r="D111" s="1" t="s">
        <v>94</v>
      </c>
      <c r="E111" s="1" t="s">
        <v>95</v>
      </c>
      <c r="F111" s="1" t="s">
        <v>96</v>
      </c>
      <c r="G111" s="51" t="s">
        <v>105</v>
      </c>
    </row>
    <row r="112" ht="15.75" customHeight="1">
      <c r="A112" s="2" t="str">
        <f>IFERROR(__xludf.DUMMYFUNCTION("FILTER(A2:A59, K2:K59=TRUE)"),"Editar perfil")</f>
        <v>Editar perfil</v>
      </c>
      <c r="B112" s="2">
        <f>IFERROR(__xludf.DUMMYFUNCTION("FILTER(I2:I59, K2:K59=TRUE)"),1.0)</f>
        <v>1</v>
      </c>
      <c r="C112" s="2" t="s">
        <v>1</v>
      </c>
      <c r="D112" s="2" t="b">
        <v>1</v>
      </c>
      <c r="E112" s="2" t="b">
        <v>1</v>
      </c>
    </row>
    <row r="113" ht="15.75" customHeight="1">
      <c r="A113" s="63" t="str">
        <f>IFERROR(__xludf.DUMMYFUNCTION("""COMPUTED_VALUE"""),"Editar Usuario ")</f>
        <v>Editar Usuario </v>
      </c>
      <c r="B113" s="4">
        <f>IFERROR(__xludf.DUMMYFUNCTION("""COMPUTED_VALUE"""),1.0)</f>
        <v>1</v>
      </c>
      <c r="C113" s="2"/>
      <c r="D113" s="2" t="b">
        <v>1</v>
      </c>
      <c r="E113" s="2" t="b">
        <v>1</v>
      </c>
      <c r="F113" s="2"/>
      <c r="G113" s="2"/>
      <c r="H113" s="2"/>
    </row>
    <row r="114" ht="15.75" customHeight="1">
      <c r="A114" s="63" t="str">
        <f>IFERROR(__xludf.DUMMYFUNCTION("""COMPUTED_VALUE"""),"Eliminar Usuario")</f>
        <v>Eliminar Usuario</v>
      </c>
      <c r="B114" s="4">
        <f>IFERROR(__xludf.DUMMYFUNCTION("""COMPUTED_VALUE"""),3.0)</f>
        <v>3</v>
      </c>
      <c r="C114" s="2"/>
      <c r="D114" s="2" t="b">
        <v>1</v>
      </c>
      <c r="E114" s="2" t="b">
        <v>0</v>
      </c>
    </row>
    <row r="115" ht="15.75" customHeight="1">
      <c r="A115" s="63" t="str">
        <f>IFERROR(__xludf.DUMMYFUNCTION("""COMPUTED_VALUE"""),"Registrar Cliente")</f>
        <v>Registrar Cliente</v>
      </c>
      <c r="B115" s="4">
        <f>IFERROR(__xludf.DUMMYFUNCTION("""COMPUTED_VALUE"""),2.0)</f>
        <v>2</v>
      </c>
      <c r="C115" s="2"/>
      <c r="D115" s="2" t="b">
        <v>1</v>
      </c>
      <c r="E115" s="2" t="b">
        <v>0</v>
      </c>
    </row>
    <row r="116" ht="15.75" customHeight="1">
      <c r="A116" s="4" t="str">
        <f>IFERROR(__xludf.DUMMYFUNCTION("""COMPUTED_VALUE"""),"Registrar Empleado")</f>
        <v>Registrar Empleado</v>
      </c>
      <c r="B116" s="4">
        <f>IFERROR(__xludf.DUMMYFUNCTION("""COMPUTED_VALUE"""),2.0)</f>
        <v>2</v>
      </c>
      <c r="C116" s="2" t="s">
        <v>3</v>
      </c>
      <c r="D116" s="2" t="b">
        <v>1</v>
      </c>
      <c r="E116" s="2" t="b">
        <v>1</v>
      </c>
    </row>
    <row r="117" ht="15.75" customHeight="1">
      <c r="A117" s="4" t="str">
        <f>IFERROR(__xludf.DUMMYFUNCTION("""COMPUTED_VALUE"""),"Reservar máquina como administrador")</f>
        <v>Reservar máquina como administrador</v>
      </c>
      <c r="B117" s="4">
        <f>IFERROR(__xludf.DUMMYFUNCTION("""COMPUTED_VALUE"""),3.0)</f>
        <v>3</v>
      </c>
      <c r="C117" s="2" t="s">
        <v>3</v>
      </c>
      <c r="D117" s="2" t="b">
        <v>1</v>
      </c>
      <c r="E117" s="2" t="b">
        <v>1</v>
      </c>
      <c r="F117" s="2" t="s">
        <v>106</v>
      </c>
    </row>
    <row r="118" ht="15.75" customHeight="1">
      <c r="A118" s="4" t="str">
        <f>IFERROR(__xludf.DUMMYFUNCTION("""COMPUTED_VALUE"""),"Confirmar Reserva Presencial")</f>
        <v>Confirmar Reserva Presencial</v>
      </c>
      <c r="B118" s="4">
        <f>IFERROR(__xludf.DUMMYFUNCTION("""COMPUTED_VALUE"""),5.0)</f>
        <v>5</v>
      </c>
      <c r="C118" s="4"/>
      <c r="D118" s="2" t="b">
        <v>1</v>
      </c>
      <c r="E118" s="2" t="b">
        <v>0</v>
      </c>
      <c r="F118" s="2" t="s">
        <v>107</v>
      </c>
    </row>
    <row r="119" ht="15.75" customHeight="1">
      <c r="A119" s="63" t="str">
        <f>IFERROR(__xludf.DUMMYFUNCTION("""COMPUTED_VALUE"""),"Aplicar Cupón")</f>
        <v>Aplicar Cupón</v>
      </c>
      <c r="B119" s="4">
        <f>IFERROR(__xludf.DUMMYFUNCTION("""COMPUTED_VALUE"""),2.0)</f>
        <v>2</v>
      </c>
      <c r="C119" s="2" t="s">
        <v>2</v>
      </c>
      <c r="D119" s="2" t="b">
        <v>1</v>
      </c>
      <c r="E119" s="2" t="b">
        <v>0</v>
      </c>
    </row>
    <row r="120" ht="15.75" customHeight="1">
      <c r="A120" s="64" t="str">
        <f>IFERROR(__xludf.DUMMYFUNCTION("""COMPUTED_VALUE"""),"Pagar con Mercado Pago")</f>
        <v>Pagar con Mercado Pago</v>
      </c>
      <c r="B120" s="4">
        <f>IFERROR(__xludf.DUMMYFUNCTION("""COMPUTED_VALUE"""),5.0)</f>
        <v>5</v>
      </c>
      <c r="C120" s="2"/>
      <c r="D120" s="2" t="b">
        <v>1</v>
      </c>
      <c r="E120" s="2" t="b">
        <v>1</v>
      </c>
      <c r="H120" s="2"/>
    </row>
    <row r="121" ht="15.75" customHeight="1">
      <c r="A121" s="63" t="str">
        <f>IFERROR(__xludf.DUMMYFUNCTION("""COMPUTED_VALUE"""),"Generar QR MercadoPago")</f>
        <v>Generar QR MercadoPago</v>
      </c>
      <c r="B121" s="4">
        <f>IFERROR(__xludf.DUMMYFUNCTION("""COMPUTED_VALUE"""),5.0)</f>
        <v>5</v>
      </c>
      <c r="C121" s="2" t="s">
        <v>1</v>
      </c>
      <c r="D121" s="2" t="b">
        <v>1</v>
      </c>
      <c r="E121" s="2" t="b">
        <v>1</v>
      </c>
      <c r="H121" s="2"/>
      <c r="N121" s="54"/>
    </row>
    <row r="122" ht="15.75" customHeight="1">
      <c r="A122" s="64" t="str">
        <f>IFERROR(__xludf.DUMMYFUNCTION("""COMPUTED_VALUE"""),"Reservar Maquinaria")</f>
        <v>Reservar Maquinaria</v>
      </c>
      <c r="B122" s="4">
        <f>IFERROR(__xludf.DUMMYFUNCTION("""COMPUTED_VALUE"""),3.0)</f>
        <v>3</v>
      </c>
      <c r="C122" s="2"/>
      <c r="D122" s="2" t="b">
        <v>1</v>
      </c>
      <c r="E122" s="2" t="b">
        <v>0</v>
      </c>
    </row>
    <row r="123" ht="15.75" customHeight="1">
      <c r="A123" s="64" t="str">
        <f>IFERROR(__xludf.DUMMYFUNCTION("""COMPUTED_VALUE"""),"Entregar Maquinaria")</f>
        <v>Entregar Maquinaria</v>
      </c>
      <c r="B123" s="4">
        <f>IFERROR(__xludf.DUMMYFUNCTION("""COMPUTED_VALUE"""),1.0)</f>
        <v>1</v>
      </c>
      <c r="C123" s="2" t="s">
        <v>2</v>
      </c>
      <c r="D123" s="2" t="b">
        <v>1</v>
      </c>
      <c r="E123" s="2" t="b">
        <v>0</v>
      </c>
      <c r="K123" s="51"/>
      <c r="L123" s="54"/>
      <c r="M123" s="54"/>
    </row>
    <row r="124" ht="15.75" customHeight="1">
      <c r="A124" s="4" t="str">
        <f>IFERROR(__xludf.DUMMYFUNCTION("""COMPUTED_VALUE"""),"Cancelar Reserva Presencial")</f>
        <v>Cancelar Reserva Presencial</v>
      </c>
      <c r="B124" s="4">
        <f>IFERROR(__xludf.DUMMYFUNCTION("""COMPUTED_VALUE"""),3.0)</f>
        <v>3</v>
      </c>
      <c r="C124" s="2" t="s">
        <v>2</v>
      </c>
      <c r="D124" s="2" t="b">
        <v>1</v>
      </c>
      <c r="E124" s="2" t="b">
        <v>0</v>
      </c>
    </row>
    <row r="125" ht="15.75" customHeight="1">
      <c r="A125" s="4" t="str">
        <f>IFERROR(__xludf.DUMMYFUNCTION("""COMPUTED_VALUE"""),"Cancelar Reserva Presencial por Máquina no disponible")</f>
        <v>Cancelar Reserva Presencial por Máquina no disponible</v>
      </c>
      <c r="B125" s="4">
        <f>IFERROR(__xludf.DUMMYFUNCTION("""COMPUTED_VALUE"""),3.0)</f>
        <v>3</v>
      </c>
      <c r="C125" s="2" t="s">
        <v>2</v>
      </c>
      <c r="D125" s="2" t="b">
        <v>1</v>
      </c>
      <c r="E125" s="2" t="b">
        <v>0</v>
      </c>
    </row>
    <row r="126" ht="15.75" customHeight="1">
      <c r="A126" s="4" t="str">
        <f>IFERROR(__xludf.DUMMYFUNCTION("""COMPUTED_VALUE"""),"Eliminar Máquina")</f>
        <v>Eliminar Máquina</v>
      </c>
      <c r="B126" s="4">
        <f>IFERROR(__xludf.DUMMYFUNCTION("""COMPUTED_VALUE"""),3.0)</f>
        <v>3</v>
      </c>
      <c r="C126" s="2" t="s">
        <v>4</v>
      </c>
      <c r="D126" s="2" t="b">
        <v>1</v>
      </c>
      <c r="E126" s="2" t="b">
        <v>1</v>
      </c>
      <c r="F126" s="2" t="s">
        <v>108</v>
      </c>
      <c r="H126" s="65"/>
      <c r="I126" s="55"/>
    </row>
    <row r="127" ht="15.75" customHeight="1">
      <c r="A127" s="64" t="str">
        <f>IFERROR(__xludf.DUMMYFUNCTION("""COMPUTED_VALUE"""),"Editar Máquina")</f>
        <v>Editar Máquina</v>
      </c>
      <c r="B127" s="4">
        <f>IFERROR(__xludf.DUMMYFUNCTION("""COMPUTED_VALUE"""),2.0)</f>
        <v>2</v>
      </c>
      <c r="C127" s="2" t="s">
        <v>1</v>
      </c>
      <c r="D127" s="2" t="b">
        <v>1</v>
      </c>
      <c r="E127" s="2" t="b">
        <v>1</v>
      </c>
      <c r="F127" s="2" t="s">
        <v>109</v>
      </c>
    </row>
    <row r="128" ht="15.75" customHeight="1">
      <c r="A128" s="4" t="str">
        <f>IFERROR(__xludf.DUMMYFUNCTION("""COMPUTED_VALUE"""),"Listar Maquinaria (global)")</f>
        <v>Listar Maquinaria (global)</v>
      </c>
      <c r="B128" s="4">
        <f>IFERROR(__xludf.DUMMYFUNCTION("""COMPUTED_VALUE"""),1.0)</f>
        <v>1</v>
      </c>
      <c r="C128" s="2" t="s">
        <v>1</v>
      </c>
      <c r="D128" s="2" t="b">
        <v>1</v>
      </c>
      <c r="E128" s="2" t="b">
        <v>1</v>
      </c>
    </row>
    <row r="129" ht="15.75" customHeight="1">
      <c r="A129" s="4" t="str">
        <f>IFERROR(__xludf.DUMMYFUNCTION("""COMPUTED_VALUE"""),"Establecer máquina ""Disponible""")</f>
        <v>Establecer máquina "Disponible"</v>
      </c>
      <c r="B129" s="4">
        <f>IFERROR(__xludf.DUMMYFUNCTION("""COMPUTED_VALUE"""),1.0)</f>
        <v>1</v>
      </c>
      <c r="C129" s="2" t="s">
        <v>2</v>
      </c>
      <c r="D129" s="2" t="b">
        <v>1</v>
      </c>
      <c r="E129" s="2" t="b">
        <v>1</v>
      </c>
    </row>
    <row r="130" ht="15.75" customHeight="1">
      <c r="A130" s="4" t="str">
        <f>IFERROR(__xludf.DUMMYFUNCTION("""COMPUTED_VALUE"""),"Establecer máquina ""En Reparación""")</f>
        <v>Establecer máquina "En Reparación"</v>
      </c>
      <c r="B130" s="4">
        <f>IFERROR(__xludf.DUMMYFUNCTION("""COMPUTED_VALUE"""),1.0)</f>
        <v>1</v>
      </c>
      <c r="C130" s="2" t="s">
        <v>2</v>
      </c>
      <c r="D130" s="2" t="b">
        <v>1</v>
      </c>
      <c r="E130" s="2" t="b">
        <v>1</v>
      </c>
    </row>
    <row r="131" ht="15.75" customHeight="1">
      <c r="A131" s="4" t="str">
        <f>IFERROR(__xludf.DUMMYFUNCTION("""COMPUTED_VALUE"""),"Devolver Maquinaria")</f>
        <v>Devolver Maquinaria</v>
      </c>
      <c r="B131" s="4">
        <f>IFERROR(__xludf.DUMMYFUNCTION("""COMPUTED_VALUE"""),3.0)</f>
        <v>3</v>
      </c>
      <c r="C131" s="2" t="s">
        <v>2</v>
      </c>
      <c r="D131" s="2" t="b">
        <v>1</v>
      </c>
      <c r="E131" s="2" t="b">
        <v>0</v>
      </c>
      <c r="F131" s="2" t="s">
        <v>110</v>
      </c>
      <c r="G131" s="66"/>
    </row>
    <row r="132" ht="15.75" customHeight="1">
      <c r="A132" s="4" t="str">
        <f>IFERROR(__xludf.DUMMYFUNCTION("""COMPUTED_VALUE"""),"Listar Alquileres Histórico")</f>
        <v>Listar Alquileres Histórico</v>
      </c>
      <c r="B132" s="4">
        <f>IFERROR(__xludf.DUMMYFUNCTION("""COMPUTED_VALUE"""),1.0)</f>
        <v>1</v>
      </c>
      <c r="C132" s="2" t="s">
        <v>4</v>
      </c>
      <c r="D132" s="2" t="b">
        <v>1</v>
      </c>
      <c r="E132" s="2" t="b">
        <v>1</v>
      </c>
      <c r="K132" s="53"/>
      <c r="L132" s="53"/>
      <c r="M132" s="53"/>
    </row>
    <row r="133" ht="15.75" customHeight="1">
      <c r="A133" s="63" t="str">
        <f>IFERROR(__xludf.DUMMYFUNCTION("""COMPUTED_VALUE"""),"Valorar Alquiler")</f>
        <v>Valorar Alquiler</v>
      </c>
      <c r="B133" s="4">
        <f>IFERROR(__xludf.DUMMYFUNCTION("""COMPUTED_VALUE"""),3.0)</f>
        <v>3</v>
      </c>
      <c r="C133" s="2" t="s">
        <v>3</v>
      </c>
      <c r="D133" s="2" t="b">
        <v>1</v>
      </c>
      <c r="E133" s="2" t="b">
        <v>1</v>
      </c>
      <c r="K133" s="53"/>
      <c r="L133" s="53"/>
      <c r="M133" s="53"/>
    </row>
    <row r="134" ht="15.75" customHeight="1">
      <c r="A134" s="4" t="str">
        <f>IFERROR(__xludf.DUMMYFUNCTION("""COMPUTED_VALUE"""),"Cargar Sucursal")</f>
        <v>Cargar Sucursal</v>
      </c>
      <c r="B134" s="4">
        <f>IFERROR(__xludf.DUMMYFUNCTION("""COMPUTED_VALUE"""),1.0)</f>
        <v>1</v>
      </c>
      <c r="C134" s="2"/>
      <c r="D134" s="2" t="b">
        <v>1</v>
      </c>
      <c r="E134" s="2" t="b">
        <v>0</v>
      </c>
      <c r="G134" s="55"/>
      <c r="K134" s="53"/>
      <c r="L134" s="53"/>
      <c r="M134" s="53"/>
    </row>
    <row r="135" ht="15.75" customHeight="1">
      <c r="A135" s="63" t="str">
        <f>IFERROR(__xludf.DUMMYFUNCTION("""COMPUTED_VALUE"""),"Eliminar Sucursal")</f>
        <v>Eliminar Sucursal</v>
      </c>
      <c r="B135" s="4">
        <f>IFERROR(__xludf.DUMMYFUNCTION("""COMPUTED_VALUE"""),3.0)</f>
        <v>3</v>
      </c>
      <c r="C135" s="2" t="s">
        <v>3</v>
      </c>
      <c r="D135" s="2" t="b">
        <v>1</v>
      </c>
      <c r="E135" s="2" t="b">
        <v>1</v>
      </c>
      <c r="K135" s="53"/>
      <c r="L135" s="53"/>
      <c r="M135" s="53"/>
    </row>
    <row r="136" ht="15.75" customHeight="1">
      <c r="A136" s="4" t="str">
        <f>IFERROR(__xludf.DUMMYFUNCTION("""COMPUTED_VALUE"""),"Modificar Sucursal")</f>
        <v>Modificar Sucursal</v>
      </c>
      <c r="B136" s="4">
        <f>IFERROR(__xludf.DUMMYFUNCTION("""COMPUTED_VALUE"""),1.0)</f>
        <v>1</v>
      </c>
      <c r="C136" s="2"/>
      <c r="D136" s="2" t="b">
        <v>1</v>
      </c>
      <c r="E136" s="2" t="b">
        <v>0</v>
      </c>
      <c r="K136" s="53"/>
      <c r="L136" s="53"/>
      <c r="M136" s="53"/>
    </row>
    <row r="137" ht="15.75" customHeight="1">
      <c r="A137" s="4" t="str">
        <f>IFERROR(__xludf.DUMMYFUNCTION("""COMPUTED_VALUE"""),"Ver Reporte de Maquinarias más Alquiladas")</f>
        <v>Ver Reporte de Maquinarias más Alquiladas</v>
      </c>
      <c r="B137" s="4">
        <f>IFERROR(__xludf.DUMMYFUNCTION("""COMPUTED_VALUE"""),2.0)</f>
        <v>2</v>
      </c>
      <c r="C137" s="2" t="s">
        <v>4</v>
      </c>
      <c r="D137" s="2" t="b">
        <v>1</v>
      </c>
      <c r="E137" s="2" t="b">
        <v>1</v>
      </c>
      <c r="K137" s="53"/>
      <c r="L137" s="53"/>
      <c r="M137" s="53"/>
    </row>
    <row r="138" ht="15.75" customHeight="1">
      <c r="A138" s="4" t="str">
        <f>IFERROR(__xludf.DUMMYFUNCTION("""COMPUTED_VALUE"""),"Ver Reporte de Sucursales más Concurridas")</f>
        <v>Ver Reporte de Sucursales más Concurridas</v>
      </c>
      <c r="B138" s="4">
        <f>IFERROR(__xludf.DUMMYFUNCTION("""COMPUTED_VALUE"""),2.0)</f>
        <v>2</v>
      </c>
      <c r="C138" s="2" t="s">
        <v>4</v>
      </c>
      <c r="D138" s="2" t="b">
        <v>1</v>
      </c>
      <c r="E138" s="2" t="b">
        <v>1</v>
      </c>
    </row>
    <row r="139" ht="15.75" customHeight="1">
      <c r="A139" s="4" t="str">
        <f>IFERROR(__xludf.DUMMYFUNCTION("""COMPUTED_VALUE"""),"Ver Reporte de Finanzas")</f>
        <v>Ver Reporte de Finanzas</v>
      </c>
      <c r="B139" s="4">
        <f>IFERROR(__xludf.DUMMYFUNCTION("""COMPUTED_VALUE"""),2.0)</f>
        <v>2</v>
      </c>
      <c r="C139" s="2" t="s">
        <v>4</v>
      </c>
      <c r="D139" s="2" t="b">
        <v>1</v>
      </c>
      <c r="E139" s="2" t="b">
        <v>1</v>
      </c>
      <c r="F139" s="2" t="s">
        <v>111</v>
      </c>
    </row>
    <row r="140" ht="15.75" customHeight="1">
      <c r="A140" s="4" t="str">
        <f>IFERROR(__xludf.DUMMYFUNCTION("""COMPUTED_VALUE"""),"Ver Reporte de Clientes con más Reservas")</f>
        <v>Ver Reporte de Clientes con más Reservas</v>
      </c>
      <c r="B140" s="4">
        <f>IFERROR(__xludf.DUMMYFUNCTION("""COMPUTED_VALUE"""),2.0)</f>
        <v>2</v>
      </c>
      <c r="C140" s="2" t="s">
        <v>4</v>
      </c>
      <c r="D140" s="2" t="b">
        <v>1</v>
      </c>
      <c r="E140" s="2" t="b">
        <v>1</v>
      </c>
    </row>
    <row r="141" ht="15.75" customHeight="1">
      <c r="A141" s="4" t="str">
        <f>IFERROR(__xludf.DUMMYFUNCTION("""COMPUTED_VALUE"""),"Ver Listado de Reportes")</f>
        <v>Ver Listado de Reportes</v>
      </c>
      <c r="B141" s="4">
        <f>IFERROR(__xludf.DUMMYFUNCTION("""COMPUTED_VALUE"""),1.0)</f>
        <v>1</v>
      </c>
      <c r="C141" s="2" t="s">
        <v>4</v>
      </c>
      <c r="D141" s="2" t="b">
        <v>1</v>
      </c>
      <c r="E141" s="2" t="b">
        <v>1</v>
      </c>
    </row>
    <row r="142" ht="15.75" customHeight="1">
      <c r="A142" s="4" t="str">
        <f>IFERROR(__xludf.DUMMYFUNCTION("""COMPUTED_VALUE"""),"Listar Funciones de Administrador")</f>
        <v>Listar Funciones de Administrador</v>
      </c>
      <c r="B142" s="4">
        <f>IFERROR(__xludf.DUMMYFUNCTION("""COMPUTED_VALUE"""),1.0)</f>
        <v>1</v>
      </c>
      <c r="C142" s="2" t="s">
        <v>1</v>
      </c>
      <c r="D142" s="2" t="b">
        <v>1</v>
      </c>
      <c r="E142" s="2" t="b">
        <v>1</v>
      </c>
    </row>
    <row r="143" ht="15.75" customHeight="1">
      <c r="A143" s="4" t="str">
        <f>IFERROR(__xludf.DUMMYFUNCTION("""COMPUTED_VALUE"""),"Listar Funciones sobre Alquileres y Reservas")</f>
        <v>Listar Funciones sobre Alquileres y Reservas</v>
      </c>
      <c r="B143" s="4">
        <f>IFERROR(__xludf.DUMMYFUNCTION("""COMPUTED_VALUE"""),1.0)</f>
        <v>1</v>
      </c>
      <c r="C143" s="2" t="s">
        <v>1</v>
      </c>
      <c r="D143" s="2" t="b">
        <v>1</v>
      </c>
      <c r="E143" s="2" t="b">
        <v>1</v>
      </c>
    </row>
    <row r="144" ht="15.75" customHeight="1">
      <c r="A144" s="4" t="str">
        <f>IFERROR(__xludf.DUMMYFUNCTION("""COMPUTED_VALUE"""),"Listar Funciones sobre Usuarios")</f>
        <v>Listar Funciones sobre Usuarios</v>
      </c>
      <c r="B144" s="4">
        <f>IFERROR(__xludf.DUMMYFUNCTION("""COMPUTED_VALUE"""),1.0)</f>
        <v>1</v>
      </c>
      <c r="C144" s="2" t="s">
        <v>1</v>
      </c>
      <c r="D144" s="2" t="b">
        <v>1</v>
      </c>
      <c r="E144" s="2" t="b">
        <v>1</v>
      </c>
    </row>
    <row r="145" ht="15.75" customHeight="1">
      <c r="A145" s="4" t="str">
        <f>IFERROR(__xludf.DUMMYFUNCTION("""COMPUTED_VALUE"""),"Listar Funciones sobre Sucursales")</f>
        <v>Listar Funciones sobre Sucursales</v>
      </c>
      <c r="B145" s="4">
        <f>IFERROR(__xludf.DUMMYFUNCTION("""COMPUTED_VALUE"""),1.0)</f>
        <v>1</v>
      </c>
      <c r="C145" s="2" t="s">
        <v>1</v>
      </c>
      <c r="D145" s="2" t="b">
        <v>1</v>
      </c>
      <c r="E145" s="2" t="b">
        <v>1</v>
      </c>
    </row>
    <row r="146" ht="15.75" customHeight="1">
      <c r="A146" s="4" t="str">
        <f>IFERROR(__xludf.DUMMYFUNCTION("""COMPUTED_VALUE"""),"Listar Funciones sobre Maquinaria")</f>
        <v>Listar Funciones sobre Maquinaria</v>
      </c>
      <c r="B146" s="4">
        <f>IFERROR(__xludf.DUMMYFUNCTION("""COMPUTED_VALUE"""),1.0)</f>
        <v>1</v>
      </c>
      <c r="C146" s="2" t="s">
        <v>1</v>
      </c>
      <c r="D146" s="2" t="b">
        <v>1</v>
      </c>
      <c r="E146" s="2" t="b">
        <v>1</v>
      </c>
    </row>
    <row r="147" ht="15.75" customHeight="1">
      <c r="A147" s="1" t="str">
        <f> "Total HUs: " &amp; COUNTIF(A112:A145, "&lt;&gt; 0")</f>
        <v>Total HUs: 34</v>
      </c>
      <c r="B147" s="1" t="str">
        <f> "Peso total: " &amp; SUM(B112:B146)</f>
        <v>Peso total: 73</v>
      </c>
      <c r="C147" s="47"/>
      <c r="D147" s="1" t="str">
        <f> "Restantes: " &amp; COUNTIF(D112:D146, "=FALSE")</f>
        <v>Restantes: 0</v>
      </c>
      <c r="E147" s="47"/>
      <c r="F147" s="47"/>
    </row>
    <row r="148" ht="15.75" customHeight="1"/>
    <row r="149" ht="15.75" customHeight="1">
      <c r="A149" s="56" t="s">
        <v>112</v>
      </c>
    </row>
    <row r="150" ht="15.75" customHeight="1"/>
    <row r="151" ht="15.75" customHeight="1"/>
    <row r="152" ht="15.75" customHeight="1">
      <c r="A152" s="9" t="s">
        <v>100</v>
      </c>
      <c r="B152" s="10" t="s">
        <v>101</v>
      </c>
      <c r="C152" s="11" t="s">
        <v>81</v>
      </c>
      <c r="E152" s="9" t="s">
        <v>89</v>
      </c>
      <c r="F152" s="57" t="s">
        <v>102</v>
      </c>
    </row>
    <row r="153" ht="15.75" customHeight="1">
      <c r="A153" s="12" t="s">
        <v>1</v>
      </c>
      <c r="B153" s="13">
        <f>IFERROR(__xludf.DUMMYFUNCTION("COUNTIFS(FILTER($D$112:$D$146, $C$112:$C$146=A153), ""=TRUE"")"),9.0)</f>
        <v>9</v>
      </c>
      <c r="C153" s="14">
        <f>IFERROR(__xludf.DUMMYFUNCTION("COUNTIFS(FILTER($D$112:$D$146, $C$112:$C$146=A153), ""=FALSE"")"),0.0)</f>
        <v>0</v>
      </c>
      <c r="E153" s="12" t="s">
        <v>1</v>
      </c>
      <c r="F153" s="58">
        <f>IFERROR(__xludf.DUMMYFUNCTION("SUM(FILTER($B$112:$B$146, $C$112:$C$146=E153))"),14.0)</f>
        <v>14</v>
      </c>
    </row>
    <row r="154" ht="15.75" customHeight="1">
      <c r="A154" s="15" t="s">
        <v>2</v>
      </c>
      <c r="B154" s="16">
        <f>IFERROR(__xludf.DUMMYFUNCTION("COUNTIFS(FILTER($D$112:$D$146, $C$112:$C$146=A154), ""=TRUE"")"),7.0)</f>
        <v>7</v>
      </c>
      <c r="C154" s="17">
        <f>IFERROR(__xludf.DUMMYFUNCTION("COUNTIFS(FILTER($D$112:$D$146, $C$112:$C$146=A154), ""=FALSE"")"),0.0)</f>
        <v>0</v>
      </c>
      <c r="E154" s="15" t="s">
        <v>2</v>
      </c>
      <c r="F154" s="60">
        <f>IFERROR(__xludf.DUMMYFUNCTION("SUM(FILTER($B$112:$B$146, $C$112:$C$146=E154))"),14.0)</f>
        <v>14</v>
      </c>
    </row>
    <row r="155" ht="15.75" customHeight="1">
      <c r="A155" s="12" t="s">
        <v>3</v>
      </c>
      <c r="B155" s="13">
        <f>IFERROR(__xludf.DUMMYFUNCTION("COUNTIFS(FILTER($D$112:$D$146, $C$112:$C$146=A155), ""=TRUE"")"),4.0)</f>
        <v>4</v>
      </c>
      <c r="C155" s="14">
        <f>IFERROR(__xludf.DUMMYFUNCTION("COUNTIFS(FILTER($D$112:$D$146, $C$112:$C$146=A155), ""=FALSE"")"),0.0)</f>
        <v>0</v>
      </c>
      <c r="E155" s="12" t="s">
        <v>3</v>
      </c>
      <c r="F155" s="58">
        <f>IFERROR(__xludf.DUMMYFUNCTION("SUM(FILTER($B$112:$B$146, $C$112:$C$146=E155))"),11.0)</f>
        <v>11</v>
      </c>
    </row>
    <row r="156" ht="15.75" customHeight="1">
      <c r="A156" s="19" t="s">
        <v>4</v>
      </c>
      <c r="B156" s="20">
        <f>IFERROR(__xludf.DUMMYFUNCTION("COUNTIFS(FILTER($D$112:$D$146, $C$112:$C$146=A156), ""=TRUE"")"),7.0)</f>
        <v>7</v>
      </c>
      <c r="C156" s="21">
        <f>IFERROR(__xludf.DUMMYFUNCTION("COUNTIFS(FILTER($D$112:$D$146, $C$112:$C$146=A156), ""=FALSE"")"),0.0)</f>
        <v>0</v>
      </c>
      <c r="E156" s="19" t="s">
        <v>4</v>
      </c>
      <c r="F156" s="61">
        <f>IFERROR(__xludf.DUMMYFUNCTION("SUM(FILTER($B$112:$B$146, $C$112:$C$146=E156))"),13.0)</f>
        <v>13</v>
      </c>
    </row>
    <row r="157" ht="15.75" customHeight="1"/>
    <row r="158" ht="15.75" customHeight="1"/>
  </sheetData>
  <conditionalFormatting sqref="Z3">
    <cfRule type="expression" dxfId="0" priority="1">
      <formula>COUNTIF(F2:F14, "&lt;&gt; 0") &gt; 10</formula>
    </cfRule>
  </conditionalFormatting>
  <conditionalFormatting sqref="Z4">
    <cfRule type="expression" dxfId="0" priority="2">
      <formula>COUNTIF(F15:F21, "&lt;&gt; 0") &gt; 10</formula>
    </cfRule>
  </conditionalFormatting>
  <conditionalFormatting sqref="Z4">
    <cfRule type="expression" dxfId="1" priority="3">
      <formula>COUNTIF(F15:F21, "&lt;&gt; 0") &lt;= 10</formula>
    </cfRule>
  </conditionalFormatting>
  <conditionalFormatting sqref="Z5">
    <cfRule type="expression" dxfId="0" priority="4">
      <formula>COUNTIF(F22:F28, "&lt;&gt; 0") &gt; 10</formula>
    </cfRule>
  </conditionalFormatting>
  <conditionalFormatting sqref="Z5">
    <cfRule type="expression" dxfId="1" priority="5">
      <formula>COUNTIF(F22:F28, "&lt;&gt; 0") &lt;= 10</formula>
    </cfRule>
  </conditionalFormatting>
  <conditionalFormatting sqref="Z6">
    <cfRule type="expression" dxfId="1" priority="6">
      <formula>COUNTIF(F29:F39, "&lt;&gt; 0") &lt;= 10</formula>
    </cfRule>
  </conditionalFormatting>
  <conditionalFormatting sqref="Z6">
    <cfRule type="expression" dxfId="0" priority="7">
      <formula>COUNTIF(F29:F39, "&lt;&gt; 0") &gt; 10</formula>
    </cfRule>
  </conditionalFormatting>
  <conditionalFormatting sqref="Z7">
    <cfRule type="expression" dxfId="1" priority="8">
      <formula>COUNTIF(F41:F44, "&lt;&gt; 0") &lt;= 10</formula>
    </cfRule>
  </conditionalFormatting>
  <conditionalFormatting sqref="Z7">
    <cfRule type="expression" dxfId="0" priority="9">
      <formula>COUNTIF(F41:F44, "&lt;&gt; 0") &gt; 10</formula>
    </cfRule>
  </conditionalFormatting>
  <conditionalFormatting sqref="Z9">
    <cfRule type="expression" dxfId="1" priority="10">
      <formula>COUNTIF(F50:F59, "&lt;&gt; 0") &lt;= 10</formula>
    </cfRule>
  </conditionalFormatting>
  <conditionalFormatting sqref="Z9">
    <cfRule type="expression" dxfId="0" priority="11">
      <formula>COUNTIF(F50:F59, "&lt;&gt; 0") &gt; 10</formula>
    </cfRule>
  </conditionalFormatting>
  <conditionalFormatting sqref="Z3">
    <cfRule type="expression" dxfId="1" priority="12">
      <formula>COUNTIF(F2:F14, "&lt;&gt; 0") &lt;= 10</formula>
    </cfRule>
  </conditionalFormatting>
  <conditionalFormatting sqref="Z8">
    <cfRule type="expression" dxfId="0" priority="13">
      <formula>COUNTIF(F45:F49, "&lt;&gt; 0") &gt; 10</formula>
    </cfRule>
  </conditionalFormatting>
  <conditionalFormatting sqref="Z8">
    <cfRule type="expression" dxfId="1" priority="14">
      <formula>COUNTIF(F45:F49, "&lt;&gt; 0") &lt;= 10</formula>
    </cfRule>
  </conditionalFormatting>
  <dataValidations>
    <dataValidation type="list" allowBlank="1" showErrorMessage="1" sqref="C84">
      <formula1>"Valen,Mati,Santi,Leo,Mati y Santi"</formula1>
    </dataValidation>
    <dataValidation type="list" allowBlank="1" showErrorMessage="1" sqref="B2:E59 B69:B97 B112:B146">
      <formula1>"1,2,3,5,8"</formula1>
    </dataValidation>
    <dataValidation type="list" allowBlank="1" showErrorMessage="1" sqref="C69:C83 C85:C97 C112:C146">
      <formula1>"Valen,Mati,Santi,Leo"</formula1>
    </dataValidation>
  </dataValidations>
  <drawing r:id="rId2"/>
  <legacyDrawing r:id="rId3"/>
  <tableParts count="5">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63"/>
    <col customWidth="1" min="2" max="2" width="18.63"/>
    <col customWidth="1" min="3" max="3" width="28.88"/>
    <col customWidth="1" min="4" max="4" width="80.38"/>
  </cols>
  <sheetData>
    <row r="1">
      <c r="A1" s="67" t="s">
        <v>113</v>
      </c>
      <c r="B1" s="67" t="s">
        <v>114</v>
      </c>
      <c r="C1" s="67" t="s">
        <v>115</v>
      </c>
      <c r="D1" s="67" t="s">
        <v>116</v>
      </c>
      <c r="F1" s="68" t="s">
        <v>117</v>
      </c>
      <c r="G1" s="69"/>
      <c r="H1" s="70" t="s">
        <v>118</v>
      </c>
    </row>
    <row r="2">
      <c r="A2" s="2" t="s">
        <v>119</v>
      </c>
      <c r="B2" s="2" t="s">
        <v>120</v>
      </c>
      <c r="C2" s="2" t="s">
        <v>121</v>
      </c>
      <c r="F2" s="71" t="s">
        <v>72</v>
      </c>
      <c r="H2" s="72" t="s">
        <v>122</v>
      </c>
    </row>
    <row r="3">
      <c r="A3" s="2" t="s">
        <v>123</v>
      </c>
      <c r="B3" s="2" t="s">
        <v>120</v>
      </c>
      <c r="C3" s="2" t="s">
        <v>121</v>
      </c>
      <c r="F3" s="71" t="s">
        <v>17</v>
      </c>
      <c r="H3" s="72" t="s">
        <v>51</v>
      </c>
    </row>
    <row r="4">
      <c r="A4" s="2" t="s">
        <v>124</v>
      </c>
      <c r="B4" s="2" t="s">
        <v>120</v>
      </c>
      <c r="C4" s="2" t="s">
        <v>121</v>
      </c>
      <c r="F4" s="71" t="s">
        <v>18</v>
      </c>
      <c r="H4" s="72" t="s">
        <v>52</v>
      </c>
    </row>
    <row r="5">
      <c r="A5" s="2" t="s">
        <v>125</v>
      </c>
      <c r="B5" s="2" t="s">
        <v>120</v>
      </c>
      <c r="C5" s="2" t="s">
        <v>121</v>
      </c>
      <c r="F5" s="71" t="s">
        <v>25</v>
      </c>
      <c r="H5" s="72" t="s">
        <v>53</v>
      </c>
    </row>
    <row r="6">
      <c r="A6" s="2" t="s">
        <v>126</v>
      </c>
      <c r="B6" s="2" t="s">
        <v>120</v>
      </c>
      <c r="C6" s="2" t="s">
        <v>121</v>
      </c>
      <c r="F6" s="71" t="s">
        <v>24</v>
      </c>
      <c r="H6" s="72" t="s">
        <v>54</v>
      </c>
    </row>
    <row r="7">
      <c r="A7" s="2" t="s">
        <v>127</v>
      </c>
      <c r="B7" s="2" t="s">
        <v>120</v>
      </c>
      <c r="C7" s="2" t="s">
        <v>128</v>
      </c>
      <c r="F7" s="71" t="s">
        <v>129</v>
      </c>
      <c r="H7" s="72" t="s">
        <v>56</v>
      </c>
    </row>
    <row r="8">
      <c r="A8" s="2" t="s">
        <v>130</v>
      </c>
      <c r="B8" s="2" t="s">
        <v>120</v>
      </c>
      <c r="C8" s="2" t="s">
        <v>128</v>
      </c>
      <c r="F8" s="71" t="s">
        <v>26</v>
      </c>
      <c r="H8" s="72" t="s">
        <v>41</v>
      </c>
    </row>
    <row r="9">
      <c r="A9" s="2" t="s">
        <v>131</v>
      </c>
      <c r="B9" s="2" t="s">
        <v>120</v>
      </c>
      <c r="C9" s="2" t="s">
        <v>128</v>
      </c>
      <c r="F9" s="71" t="s">
        <v>28</v>
      </c>
      <c r="H9" s="72" t="s">
        <v>35</v>
      </c>
    </row>
    <row r="10">
      <c r="A10" s="2" t="s">
        <v>132</v>
      </c>
      <c r="B10" s="2" t="s">
        <v>120</v>
      </c>
      <c r="C10" s="2" t="s">
        <v>128</v>
      </c>
      <c r="F10" s="71" t="s">
        <v>19</v>
      </c>
      <c r="H10" s="72" t="s">
        <v>32</v>
      </c>
    </row>
    <row r="11">
      <c r="A11" s="2" t="s">
        <v>133</v>
      </c>
      <c r="B11" s="2" t="s">
        <v>120</v>
      </c>
      <c r="C11" s="2" t="s">
        <v>128</v>
      </c>
      <c r="D11" s="2" t="s">
        <v>134</v>
      </c>
      <c r="F11" s="71" t="s">
        <v>14</v>
      </c>
      <c r="H11" s="72" t="s">
        <v>63</v>
      </c>
    </row>
    <row r="12">
      <c r="A12" s="2" t="s">
        <v>135</v>
      </c>
      <c r="B12" s="2" t="s">
        <v>120</v>
      </c>
      <c r="C12" s="2" t="s">
        <v>128</v>
      </c>
      <c r="F12" s="71" t="s">
        <v>20</v>
      </c>
      <c r="H12" s="72" t="s">
        <v>38</v>
      </c>
    </row>
    <row r="13">
      <c r="A13" s="2" t="s">
        <v>136</v>
      </c>
      <c r="B13" s="2" t="s">
        <v>137</v>
      </c>
      <c r="C13" s="4"/>
      <c r="F13" s="71" t="s">
        <v>21</v>
      </c>
      <c r="H13" s="72" t="s">
        <v>40</v>
      </c>
    </row>
    <row r="14">
      <c r="A14" s="2" t="s">
        <v>138</v>
      </c>
      <c r="B14" s="2" t="s">
        <v>120</v>
      </c>
      <c r="C14" s="2" t="s">
        <v>128</v>
      </c>
      <c r="F14" s="73"/>
      <c r="H14" s="72" t="s">
        <v>55</v>
      </c>
    </row>
    <row r="15">
      <c r="A15" s="2" t="s">
        <v>139</v>
      </c>
      <c r="B15" s="2" t="s">
        <v>120</v>
      </c>
      <c r="C15" s="2" t="s">
        <v>128</v>
      </c>
      <c r="F15" s="73"/>
      <c r="H15" s="72" t="s">
        <v>64</v>
      </c>
    </row>
    <row r="16">
      <c r="A16" s="2" t="s">
        <v>140</v>
      </c>
      <c r="B16" s="2" t="s">
        <v>120</v>
      </c>
      <c r="C16" s="2" t="s">
        <v>128</v>
      </c>
      <c r="D16" s="2" t="s">
        <v>141</v>
      </c>
      <c r="F16" s="73"/>
      <c r="H16" s="72" t="s">
        <v>73</v>
      </c>
    </row>
    <row r="17">
      <c r="A17" s="2" t="s">
        <v>142</v>
      </c>
      <c r="B17" s="2" t="s">
        <v>120</v>
      </c>
      <c r="C17" s="2" t="s">
        <v>2</v>
      </c>
      <c r="D17" s="2" t="s">
        <v>143</v>
      </c>
      <c r="F17" s="73"/>
      <c r="H17" s="72" t="s">
        <v>74</v>
      </c>
    </row>
    <row r="18">
      <c r="A18" s="2" t="s">
        <v>144</v>
      </c>
      <c r="B18" s="2" t="s">
        <v>137</v>
      </c>
      <c r="C18" s="4"/>
      <c r="F18" s="74"/>
      <c r="G18" s="75"/>
      <c r="H18" s="76" t="s">
        <v>145</v>
      </c>
    </row>
    <row r="19">
      <c r="A19" s="2" t="s">
        <v>146</v>
      </c>
      <c r="B19" s="2" t="s">
        <v>120</v>
      </c>
      <c r="C19" s="2" t="s">
        <v>128</v>
      </c>
      <c r="D19" s="2" t="s">
        <v>147</v>
      </c>
    </row>
    <row r="20">
      <c r="A20" s="2" t="s">
        <v>148</v>
      </c>
      <c r="B20" s="2" t="s">
        <v>120</v>
      </c>
      <c r="C20" s="2" t="s">
        <v>128</v>
      </c>
      <c r="F20" s="2" t="s">
        <v>149</v>
      </c>
    </row>
    <row r="21">
      <c r="A21" s="2" t="s">
        <v>150</v>
      </c>
      <c r="B21" s="2" t="s">
        <v>120</v>
      </c>
      <c r="C21" s="2" t="s">
        <v>121</v>
      </c>
      <c r="F21" s="2" t="s">
        <v>151</v>
      </c>
    </row>
    <row r="22">
      <c r="A22" s="2" t="s">
        <v>152</v>
      </c>
      <c r="B22" s="2" t="s">
        <v>120</v>
      </c>
      <c r="C22" s="2" t="s">
        <v>128</v>
      </c>
    </row>
    <row r="23">
      <c r="A23" s="2" t="s">
        <v>153</v>
      </c>
      <c r="B23" s="2" t="s">
        <v>120</v>
      </c>
      <c r="C23" s="2" t="s">
        <v>3</v>
      </c>
      <c r="F23" s="2" t="s">
        <v>154</v>
      </c>
    </row>
    <row r="24">
      <c r="A24" s="2" t="s">
        <v>155</v>
      </c>
      <c r="B24" s="2" t="s">
        <v>120</v>
      </c>
      <c r="C24" s="2" t="s">
        <v>128</v>
      </c>
      <c r="F24" s="2" t="s">
        <v>156</v>
      </c>
    </row>
    <row r="25">
      <c r="A25" s="2" t="s">
        <v>157</v>
      </c>
      <c r="B25" s="2" t="s">
        <v>137</v>
      </c>
      <c r="C25" s="4"/>
    </row>
    <row r="26">
      <c r="A26" s="2" t="s">
        <v>158</v>
      </c>
      <c r="B26" s="2" t="s">
        <v>120</v>
      </c>
      <c r="C26" s="2" t="s">
        <v>128</v>
      </c>
    </row>
    <row r="27">
      <c r="A27" s="2" t="s">
        <v>159</v>
      </c>
      <c r="B27" s="2" t="s">
        <v>120</v>
      </c>
      <c r="C27" s="2" t="s">
        <v>128</v>
      </c>
    </row>
    <row r="28" ht="15.75" customHeight="1"/>
    <row r="30">
      <c r="A30" s="67" t="s">
        <v>160</v>
      </c>
      <c r="B30" s="67" t="s">
        <v>114</v>
      </c>
      <c r="C30" s="67" t="s">
        <v>115</v>
      </c>
      <c r="D30" s="67" t="s">
        <v>116</v>
      </c>
      <c r="F30" s="68" t="s">
        <v>161</v>
      </c>
      <c r="G30" s="77"/>
      <c r="H30" s="77"/>
      <c r="I30" s="77"/>
      <c r="J30" s="70" t="s">
        <v>162</v>
      </c>
    </row>
    <row r="31">
      <c r="A31" s="2" t="s">
        <v>157</v>
      </c>
      <c r="B31" s="2" t="s">
        <v>120</v>
      </c>
      <c r="C31" s="4"/>
      <c r="D31" s="2" t="s">
        <v>163</v>
      </c>
      <c r="F31" s="71" t="s">
        <v>164</v>
      </c>
      <c r="J31" s="72" t="s">
        <v>165</v>
      </c>
    </row>
    <row r="32">
      <c r="A32" s="2" t="s">
        <v>136</v>
      </c>
      <c r="B32" s="2" t="s">
        <v>120</v>
      </c>
      <c r="C32" s="4"/>
      <c r="D32" s="2" t="s">
        <v>163</v>
      </c>
      <c r="F32" s="78" t="s">
        <v>166</v>
      </c>
      <c r="J32" s="79" t="s">
        <v>29</v>
      </c>
    </row>
    <row r="33">
      <c r="A33" s="2"/>
      <c r="B33" s="2"/>
      <c r="C33" s="2"/>
      <c r="F33" s="78"/>
      <c r="J33" s="72" t="s">
        <v>167</v>
      </c>
    </row>
    <row r="34">
      <c r="A34" s="2" t="s">
        <v>168</v>
      </c>
      <c r="B34" s="2" t="s">
        <v>120</v>
      </c>
      <c r="C34" s="2" t="s">
        <v>3</v>
      </c>
      <c r="F34" s="78" t="s">
        <v>26</v>
      </c>
      <c r="J34" s="72" t="s">
        <v>169</v>
      </c>
    </row>
    <row r="35">
      <c r="A35" s="2" t="s">
        <v>170</v>
      </c>
      <c r="B35" s="2" t="s">
        <v>171</v>
      </c>
      <c r="C35" s="4"/>
      <c r="F35" s="78" t="s">
        <v>41</v>
      </c>
      <c r="J35" s="72" t="s">
        <v>129</v>
      </c>
    </row>
    <row r="36">
      <c r="A36" s="2" t="s">
        <v>172</v>
      </c>
      <c r="B36" s="2" t="s">
        <v>120</v>
      </c>
      <c r="C36" s="2" t="s">
        <v>128</v>
      </c>
      <c r="D36" s="2"/>
      <c r="F36" s="78" t="s">
        <v>35</v>
      </c>
      <c r="J36" s="79" t="s">
        <v>173</v>
      </c>
    </row>
    <row r="37">
      <c r="A37" s="2" t="s">
        <v>174</v>
      </c>
      <c r="B37" s="2" t="s">
        <v>175</v>
      </c>
      <c r="C37" s="2" t="s">
        <v>176</v>
      </c>
      <c r="D37" s="80" t="s">
        <v>177</v>
      </c>
      <c r="F37" s="78" t="s">
        <v>64</v>
      </c>
      <c r="J37" s="79" t="s">
        <v>34</v>
      </c>
    </row>
    <row r="38">
      <c r="A38" s="2" t="s">
        <v>178</v>
      </c>
      <c r="B38" s="2" t="s">
        <v>120</v>
      </c>
      <c r="C38" s="4"/>
      <c r="F38" s="78" t="s">
        <v>74</v>
      </c>
      <c r="J38" s="72" t="s">
        <v>179</v>
      </c>
    </row>
    <row r="39">
      <c r="A39" s="2" t="s">
        <v>180</v>
      </c>
      <c r="B39" s="2" t="s">
        <v>120</v>
      </c>
      <c r="C39" s="2" t="s">
        <v>128</v>
      </c>
      <c r="F39" s="78" t="s">
        <v>28</v>
      </c>
      <c r="J39" s="79" t="s">
        <v>43</v>
      </c>
    </row>
    <row r="40">
      <c r="A40" s="2" t="s">
        <v>181</v>
      </c>
      <c r="B40" s="2" t="s">
        <v>137</v>
      </c>
      <c r="C40" s="4"/>
      <c r="F40" s="73" t="s">
        <v>83</v>
      </c>
      <c r="J40" s="79" t="s">
        <v>45</v>
      </c>
    </row>
    <row r="41">
      <c r="A41" s="2"/>
      <c r="B41" s="2"/>
      <c r="C41" s="2"/>
      <c r="D41" s="2"/>
      <c r="F41" s="73"/>
      <c r="J41" s="72" t="s">
        <v>59</v>
      </c>
    </row>
    <row r="42">
      <c r="A42" s="2" t="s">
        <v>182</v>
      </c>
      <c r="B42" s="2" t="s">
        <v>183</v>
      </c>
      <c r="C42" s="2" t="s">
        <v>128</v>
      </c>
      <c r="D42" s="2" t="s">
        <v>184</v>
      </c>
      <c r="F42" s="73" t="s">
        <v>88</v>
      </c>
      <c r="J42" s="79" t="s">
        <v>62</v>
      </c>
    </row>
    <row r="43">
      <c r="A43" s="2" t="s">
        <v>185</v>
      </c>
      <c r="B43" s="2" t="s">
        <v>120</v>
      </c>
      <c r="C43" s="4"/>
      <c r="D43" s="2" t="s">
        <v>186</v>
      </c>
      <c r="F43" s="73" t="s">
        <v>50</v>
      </c>
      <c r="J43" s="79"/>
    </row>
    <row r="44">
      <c r="A44" s="2" t="s">
        <v>187</v>
      </c>
      <c r="B44" s="2" t="s">
        <v>120</v>
      </c>
      <c r="C44" s="2" t="s">
        <v>128</v>
      </c>
      <c r="F44" s="73"/>
      <c r="J44" s="79"/>
    </row>
    <row r="45">
      <c r="A45" s="2" t="s">
        <v>188</v>
      </c>
      <c r="B45" s="2" t="s">
        <v>120</v>
      </c>
      <c r="C45" s="4"/>
      <c r="F45" s="73" t="s">
        <v>48</v>
      </c>
      <c r="J45" s="79"/>
    </row>
    <row r="46">
      <c r="A46" s="2" t="s">
        <v>189</v>
      </c>
      <c r="B46" s="2" t="s">
        <v>183</v>
      </c>
      <c r="C46" s="2" t="s">
        <v>128</v>
      </c>
      <c r="D46" s="81" t="s">
        <v>190</v>
      </c>
      <c r="F46" s="73" t="s">
        <v>46</v>
      </c>
      <c r="J46" s="79"/>
    </row>
    <row r="47">
      <c r="A47" s="2" t="s">
        <v>191</v>
      </c>
      <c r="B47" s="2" t="s">
        <v>137</v>
      </c>
      <c r="C47" s="4"/>
      <c r="F47" s="73" t="s">
        <v>87</v>
      </c>
      <c r="J47" s="79"/>
    </row>
    <row r="48">
      <c r="A48" s="2" t="s">
        <v>192</v>
      </c>
      <c r="B48" s="2" t="s">
        <v>120</v>
      </c>
      <c r="C48" s="2" t="s">
        <v>128</v>
      </c>
      <c r="F48" s="73" t="s">
        <v>71</v>
      </c>
      <c r="J48" s="72"/>
    </row>
    <row r="49">
      <c r="A49" s="2" t="s">
        <v>193</v>
      </c>
      <c r="B49" s="2" t="s">
        <v>120</v>
      </c>
      <c r="C49" s="2" t="s">
        <v>128</v>
      </c>
      <c r="D49" s="2" t="s">
        <v>194</v>
      </c>
      <c r="F49" s="73" t="s">
        <v>86</v>
      </c>
      <c r="J49" s="79"/>
    </row>
    <row r="50" ht="15.75" customHeight="1">
      <c r="A50" s="2" t="s">
        <v>195</v>
      </c>
      <c r="B50" s="2" t="s">
        <v>120</v>
      </c>
      <c r="C50" s="2" t="s">
        <v>1</v>
      </c>
      <c r="D50" s="2" t="s">
        <v>196</v>
      </c>
      <c r="F50" s="73" t="s">
        <v>61</v>
      </c>
      <c r="J50" s="79"/>
    </row>
    <row r="51">
      <c r="A51" s="2" t="s">
        <v>197</v>
      </c>
      <c r="B51" s="2" t="s">
        <v>120</v>
      </c>
      <c r="C51" s="2" t="s">
        <v>1</v>
      </c>
      <c r="F51" s="73" t="s">
        <v>82</v>
      </c>
      <c r="J51" s="79"/>
    </row>
    <row r="52">
      <c r="A52" s="2" t="s">
        <v>198</v>
      </c>
      <c r="B52" s="2" t="s">
        <v>137</v>
      </c>
      <c r="C52" s="4"/>
      <c r="D52" s="2" t="s">
        <v>199</v>
      </c>
      <c r="F52" s="73" t="s">
        <v>78</v>
      </c>
      <c r="J52" s="79"/>
    </row>
    <row r="53">
      <c r="A53" s="2" t="s">
        <v>200</v>
      </c>
      <c r="B53" s="2" t="s">
        <v>137</v>
      </c>
      <c r="C53" s="4"/>
      <c r="F53" s="73" t="s">
        <v>77</v>
      </c>
      <c r="J53" s="79"/>
    </row>
    <row r="54">
      <c r="A54" s="2" t="s">
        <v>201</v>
      </c>
      <c r="B54" s="2" t="s">
        <v>120</v>
      </c>
      <c r="C54" s="2" t="s">
        <v>3</v>
      </c>
      <c r="D54" s="2" t="s">
        <v>202</v>
      </c>
      <c r="F54" s="73" t="s">
        <v>79</v>
      </c>
      <c r="J54" s="79"/>
    </row>
    <row r="55">
      <c r="A55" s="2" t="s">
        <v>203</v>
      </c>
      <c r="B55" s="2" t="s">
        <v>183</v>
      </c>
      <c r="C55" s="2" t="s">
        <v>128</v>
      </c>
      <c r="D55" s="82" t="s">
        <v>204</v>
      </c>
      <c r="F55" s="71" t="s">
        <v>205</v>
      </c>
      <c r="J55" s="79"/>
    </row>
    <row r="56">
      <c r="A56" s="2" t="s">
        <v>206</v>
      </c>
      <c r="B56" s="2" t="s">
        <v>183</v>
      </c>
      <c r="C56" s="2" t="s">
        <v>128</v>
      </c>
      <c r="F56" s="73"/>
      <c r="J56" s="79"/>
    </row>
    <row r="57">
      <c r="F57" s="74" t="s">
        <v>85</v>
      </c>
      <c r="G57" s="75"/>
      <c r="H57" s="75"/>
      <c r="I57" s="75"/>
      <c r="J57" s="83"/>
    </row>
  </sheetData>
  <dataValidations>
    <dataValidation type="list" allowBlank="1" showErrorMessage="1" sqref="C2:C27 C31:C36 C38:C56">
      <formula1>"Mati,Santi,Valen,Leito,El que implemento la HU,Todos"</formula1>
    </dataValidation>
    <dataValidation type="list" allowBlank="1" showErrorMessage="1" sqref="B2:B27 B31:B56">
      <formula1>"Sin hacer,En progreso,Listo para revisar,Terminado,jaja como no"</formula1>
    </dataValidation>
    <dataValidation type="list" allowBlank="1" showErrorMessage="1" sqref="C37">
      <formula1>"Mati,Santi,Valen,Leito,El que implemento la HU,Lo hará Aritz, fue el de la idea"</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221.38"/>
  </cols>
  <sheetData>
    <row r="1">
      <c r="A1" s="84" t="s">
        <v>207</v>
      </c>
      <c r="B1" s="85"/>
    </row>
    <row r="2">
      <c r="A2" s="85"/>
      <c r="B2" s="85"/>
    </row>
    <row r="3">
      <c r="A3" s="86" t="s">
        <v>208</v>
      </c>
      <c r="B3" s="86" t="s">
        <v>209</v>
      </c>
    </row>
    <row r="4">
      <c r="A4" s="87" t="s">
        <v>2</v>
      </c>
      <c r="B4" s="87" t="s">
        <v>210</v>
      </c>
    </row>
    <row r="5">
      <c r="A5" s="87" t="s">
        <v>3</v>
      </c>
      <c r="B5" s="87" t="s">
        <v>211</v>
      </c>
    </row>
    <row r="6">
      <c r="A6" s="87" t="s">
        <v>1</v>
      </c>
      <c r="B6" s="87" t="s">
        <v>212</v>
      </c>
    </row>
    <row r="7">
      <c r="A7" s="87" t="s">
        <v>4</v>
      </c>
      <c r="B7" s="87" t="s">
        <v>213</v>
      </c>
    </row>
    <row r="9">
      <c r="A9" s="1" t="s">
        <v>214</v>
      </c>
      <c r="B9" s="86" t="s">
        <v>209</v>
      </c>
    </row>
    <row r="10">
      <c r="A10" s="2" t="s">
        <v>2</v>
      </c>
      <c r="B10" s="2" t="s">
        <v>215</v>
      </c>
    </row>
    <row r="11">
      <c r="A11" s="53" t="s">
        <v>3</v>
      </c>
      <c r="B11" s="2" t="s">
        <v>216</v>
      </c>
    </row>
    <row r="12">
      <c r="A12" s="2" t="s">
        <v>1</v>
      </c>
      <c r="B12" s="2" t="s">
        <v>217</v>
      </c>
    </row>
    <row r="13">
      <c r="A13" s="2" t="s">
        <v>4</v>
      </c>
      <c r="B13" s="2" t="s">
        <v>218</v>
      </c>
    </row>
    <row r="15">
      <c r="A15" s="1" t="s">
        <v>219</v>
      </c>
      <c r="B15" s="86" t="s">
        <v>209</v>
      </c>
    </row>
    <row r="16">
      <c r="A16" s="2" t="s">
        <v>2</v>
      </c>
      <c r="B16" s="2" t="s">
        <v>220</v>
      </c>
    </row>
    <row r="17">
      <c r="A17" s="2" t="s">
        <v>3</v>
      </c>
      <c r="B17" s="2" t="s">
        <v>221</v>
      </c>
    </row>
    <row r="18">
      <c r="A18" s="2" t="s">
        <v>1</v>
      </c>
    </row>
    <row r="19">
      <c r="A19" s="2" t="s">
        <v>4</v>
      </c>
      <c r="B19" s="2" t="s">
        <v>222</v>
      </c>
    </row>
    <row r="21">
      <c r="A21" s="88" t="s">
        <v>223</v>
      </c>
      <c r="B21" s="89"/>
    </row>
    <row r="23">
      <c r="A23" s="1" t="s">
        <v>208</v>
      </c>
      <c r="B23" s="86" t="s">
        <v>209</v>
      </c>
    </row>
    <row r="24">
      <c r="A24" s="2" t="s">
        <v>2</v>
      </c>
    </row>
    <row r="25">
      <c r="A25" s="2" t="s">
        <v>3</v>
      </c>
      <c r="B25" s="2" t="s">
        <v>224</v>
      </c>
    </row>
    <row r="26">
      <c r="A26" s="2" t="s">
        <v>1</v>
      </c>
      <c r="B26" s="2" t="s">
        <v>225</v>
      </c>
    </row>
    <row r="27">
      <c r="A27" s="2" t="s">
        <v>4</v>
      </c>
      <c r="B27" s="2" t="s">
        <v>226</v>
      </c>
    </row>
    <row r="29">
      <c r="A29" s="1" t="s">
        <v>214</v>
      </c>
      <c r="B29" s="86" t="s">
        <v>209</v>
      </c>
    </row>
    <row r="30">
      <c r="A30" s="2" t="s">
        <v>2</v>
      </c>
    </row>
    <row r="31">
      <c r="A31" s="2" t="s">
        <v>3</v>
      </c>
    </row>
    <row r="32">
      <c r="A32" s="2" t="s">
        <v>1</v>
      </c>
    </row>
    <row r="33">
      <c r="A33" s="2" t="s">
        <v>4</v>
      </c>
      <c r="B33" s="2" t="s">
        <v>227</v>
      </c>
    </row>
    <row r="35">
      <c r="A35" s="1" t="s">
        <v>219</v>
      </c>
      <c r="B35" s="86" t="s">
        <v>209</v>
      </c>
    </row>
    <row r="36">
      <c r="A36" s="2" t="s">
        <v>2</v>
      </c>
      <c r="B36" s="2" t="s">
        <v>228</v>
      </c>
    </row>
    <row r="37">
      <c r="A37" s="2" t="s">
        <v>3</v>
      </c>
      <c r="B37" s="2" t="s">
        <v>229</v>
      </c>
    </row>
    <row r="38">
      <c r="A38" s="2" t="s">
        <v>1</v>
      </c>
      <c r="B38" s="2" t="s">
        <v>230</v>
      </c>
    </row>
    <row r="39">
      <c r="A39" s="2" t="s">
        <v>4</v>
      </c>
      <c r="B39" s="2" t="s">
        <v>231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12.63"/>
    <col customWidth="1" min="6" max="6" width="5.38"/>
    <col customWidth="1" min="8" max="8" width="12.63"/>
    <col customWidth="1" min="9" max="9" width="11.63"/>
    <col customWidth="1" min="11" max="11" width="18.13"/>
    <col customWidth="1" min="12" max="12" width="12.63"/>
    <col customWidth="1" min="23" max="23" width="36.38"/>
  </cols>
  <sheetData>
    <row r="1">
      <c r="A1" s="1" t="s">
        <v>0</v>
      </c>
      <c r="B1" s="1" t="s">
        <v>1</v>
      </c>
      <c r="C1" s="1" t="s">
        <v>2</v>
      </c>
      <c r="D1" s="1" t="s">
        <v>3</v>
      </c>
      <c r="E1" s="1" t="s">
        <v>4</v>
      </c>
      <c r="F1" s="1" t="s">
        <v>5</v>
      </c>
      <c r="G1" s="1" t="s">
        <v>6</v>
      </c>
      <c r="H1" s="1" t="s">
        <v>232</v>
      </c>
      <c r="I1" s="1" t="s">
        <v>233</v>
      </c>
      <c r="K1" s="2" t="s">
        <v>13</v>
      </c>
    </row>
    <row r="2">
      <c r="A2" s="2" t="s">
        <v>14</v>
      </c>
      <c r="B2" s="2">
        <v>1.0</v>
      </c>
      <c r="C2" s="4"/>
      <c r="D2" s="2">
        <v>1.0</v>
      </c>
      <c r="E2" s="2">
        <v>1.0</v>
      </c>
      <c r="F2" s="3" t="s">
        <v>15</v>
      </c>
      <c r="G2" s="4">
        <f t="shared" ref="G2:G46" si="1">IF((B2+C2+D2+E2)/$L$2&gt;0,(B2+C2+D2+E2)/$L$2,"No calculable")</f>
        <v>1</v>
      </c>
      <c r="H2" s="4">
        <f t="shared" ref="H2:H46" si="2">INDEX({1,2,3,5,8}, MATCH(MIN(ABS({1,2,3,5,8} - (B2+C2+D2+E2)/$L$2)), ABS({1,2,3,5,8} - (B2+C2+D2+E2)/$L$2), 0))</f>
        <v>1</v>
      </c>
      <c r="I2" s="5" t="s">
        <v>234</v>
      </c>
      <c r="K2" s="2" t="s">
        <v>16</v>
      </c>
      <c r="L2" s="2">
        <f>(COUNTIF(B46:E46, "&gt;0"))</f>
        <v>3</v>
      </c>
    </row>
    <row r="3">
      <c r="A3" s="2" t="s">
        <v>17</v>
      </c>
      <c r="B3" s="2">
        <v>2.0</v>
      </c>
      <c r="C3" s="4"/>
      <c r="D3" s="2">
        <v>2.0</v>
      </c>
      <c r="E3" s="2">
        <v>2.0</v>
      </c>
      <c r="F3" s="3" t="s">
        <v>15</v>
      </c>
      <c r="G3" s="4">
        <f t="shared" si="1"/>
        <v>2</v>
      </c>
      <c r="H3" s="4">
        <f t="shared" si="2"/>
        <v>2</v>
      </c>
      <c r="I3" s="5" t="s">
        <v>234</v>
      </c>
    </row>
    <row r="4">
      <c r="A4" s="2" t="s">
        <v>18</v>
      </c>
      <c r="B4" s="2">
        <v>2.0</v>
      </c>
      <c r="C4" s="4"/>
      <c r="D4" s="2">
        <v>2.0</v>
      </c>
      <c r="E4" s="2">
        <v>2.0</v>
      </c>
      <c r="F4" s="3" t="s">
        <v>15</v>
      </c>
      <c r="G4" s="4">
        <f t="shared" si="1"/>
        <v>2</v>
      </c>
      <c r="H4" s="4">
        <f t="shared" si="2"/>
        <v>2</v>
      </c>
      <c r="I4" s="5" t="s">
        <v>234</v>
      </c>
      <c r="W4" s="4" t="str">
        <f>IF(COUNTIF(F2:F13, "&lt;&gt; 0") &gt; 10, "La Épica de Usuario está al límite (Supera 10)", "La Épica de Usuarios está en orden")</f>
        <v>La Épica de Usuario está al límite (Supera 10)</v>
      </c>
    </row>
    <row r="5">
      <c r="A5" s="2" t="s">
        <v>19</v>
      </c>
      <c r="B5" s="2">
        <v>1.0</v>
      </c>
      <c r="C5" s="4"/>
      <c r="D5" s="2">
        <v>1.0</v>
      </c>
      <c r="E5" s="2">
        <v>1.0</v>
      </c>
      <c r="F5" s="3" t="s">
        <v>15</v>
      </c>
      <c r="G5" s="4">
        <f t="shared" si="1"/>
        <v>1</v>
      </c>
      <c r="H5" s="4">
        <f t="shared" si="2"/>
        <v>1</v>
      </c>
      <c r="I5" s="5" t="s">
        <v>234</v>
      </c>
      <c r="W5" s="4" t="str">
        <f>IF(COUNTIF(F14:F17, "&lt;&gt; 0") &gt; 10, "La Épica de Pagos está al límite (Supera 10)", "La Épica de Pagos está en orden")</f>
        <v>La Épica de Pagos está en orden</v>
      </c>
    </row>
    <row r="6">
      <c r="A6" s="2" t="s">
        <v>20</v>
      </c>
      <c r="B6" s="2">
        <v>2.0</v>
      </c>
      <c r="C6" s="4"/>
      <c r="D6" s="2">
        <v>3.0</v>
      </c>
      <c r="E6" s="2">
        <v>2.0</v>
      </c>
      <c r="F6" s="3" t="s">
        <v>15</v>
      </c>
      <c r="G6" s="4">
        <f t="shared" si="1"/>
        <v>2.333333333</v>
      </c>
      <c r="H6" s="4">
        <f t="shared" si="2"/>
        <v>2</v>
      </c>
      <c r="I6" s="5" t="s">
        <v>234</v>
      </c>
      <c r="W6" s="4" t="str">
        <f>IF(COUNTIF(F18:F22, "&lt;&gt; 0") &gt; 10, "La Épica de Reservas está al límite (Supera 10)", "La Épica de Reservas está en orden")</f>
        <v>La Épica de Reservas está en orden</v>
      </c>
    </row>
    <row r="7">
      <c r="A7" s="2" t="s">
        <v>21</v>
      </c>
      <c r="B7" s="2">
        <v>2.0</v>
      </c>
      <c r="C7" s="4"/>
      <c r="D7" s="2">
        <v>1.0</v>
      </c>
      <c r="E7" s="2">
        <v>1.0</v>
      </c>
      <c r="F7" s="3" t="s">
        <v>15</v>
      </c>
      <c r="G7" s="4">
        <f t="shared" si="1"/>
        <v>1.333333333</v>
      </c>
      <c r="H7" s="4">
        <f t="shared" si="2"/>
        <v>1</v>
      </c>
      <c r="I7" s="5" t="s">
        <v>234</v>
      </c>
      <c r="W7" s="4" t="str">
        <f>IF(COUNTIF(F23:F28, "&lt;&gt; 0") &gt; 10, "La Épica de Maquinaria está al límite (Supera 10)", "La Épica de Maquinaria está en orden")</f>
        <v>La Épica de Maquinaria está en orden</v>
      </c>
    </row>
    <row r="8">
      <c r="A8" s="2" t="s">
        <v>129</v>
      </c>
      <c r="B8" s="2">
        <v>1.0</v>
      </c>
      <c r="C8" s="4"/>
      <c r="D8" s="2">
        <v>1.0</v>
      </c>
      <c r="E8" s="2">
        <v>2.0</v>
      </c>
      <c r="F8" s="3" t="s">
        <v>15</v>
      </c>
      <c r="G8" s="4">
        <f t="shared" si="1"/>
        <v>1.333333333</v>
      </c>
      <c r="H8" s="4">
        <f t="shared" si="2"/>
        <v>1</v>
      </c>
      <c r="I8" s="5" t="s">
        <v>234</v>
      </c>
      <c r="W8" s="4" t="str">
        <f>IF(COUNTIF(F29:F32, "&lt;&gt; 0") &gt; 10, "La Épica de Alquileres está al límite (Supera 10)", "La Épica de Alquileres está en orden")</f>
        <v>La Épica de Alquileres está en orden</v>
      </c>
    </row>
    <row r="9">
      <c r="A9" s="2" t="s">
        <v>24</v>
      </c>
      <c r="B9" s="2">
        <v>1.0</v>
      </c>
      <c r="C9" s="4"/>
      <c r="D9" s="2">
        <v>1.0</v>
      </c>
      <c r="E9" s="2">
        <v>1.0</v>
      </c>
      <c r="F9" s="3" t="s">
        <v>15</v>
      </c>
      <c r="G9" s="4">
        <f t="shared" si="1"/>
        <v>1</v>
      </c>
      <c r="H9" s="4">
        <f t="shared" si="2"/>
        <v>1</v>
      </c>
      <c r="I9" s="5" t="s">
        <v>234</v>
      </c>
      <c r="W9" s="4" t="str">
        <f>IF(COUNTIF(F33:F37, "&lt;&gt; 0") &gt; 10, "La Épica de Sucursales está al límite (Supera 10)", "La Épica de Sucursales está al límite")</f>
        <v>La Épica de Sucursales está al límite</v>
      </c>
    </row>
    <row r="10">
      <c r="A10" s="2" t="s">
        <v>25</v>
      </c>
      <c r="B10" s="2">
        <v>1.0</v>
      </c>
      <c r="C10" s="4"/>
      <c r="D10" s="2">
        <v>1.0</v>
      </c>
      <c r="E10" s="2">
        <v>1.0</v>
      </c>
      <c r="F10" s="3" t="s">
        <v>15</v>
      </c>
      <c r="G10" s="4">
        <f t="shared" si="1"/>
        <v>1</v>
      </c>
      <c r="H10" s="4">
        <f t="shared" si="2"/>
        <v>1</v>
      </c>
      <c r="I10" s="5" t="s">
        <v>234</v>
      </c>
      <c r="W10" s="4" t="str">
        <f>IF(COUNTIF(F38:F46, "&lt;&gt; 0") &gt; 10, "La Épica de Gerencia está al límite (Supera 10)", "La Épica de Gerencia está en orden")</f>
        <v>La Épica de Gerencia está en orden</v>
      </c>
    </row>
    <row r="11">
      <c r="A11" s="2" t="s">
        <v>26</v>
      </c>
      <c r="B11" s="2">
        <v>1.0</v>
      </c>
      <c r="C11" s="4"/>
      <c r="D11" s="2">
        <v>1.0</v>
      </c>
      <c r="E11" s="2">
        <v>1.0</v>
      </c>
      <c r="F11" s="3" t="s">
        <v>15</v>
      </c>
      <c r="G11" s="4">
        <f t="shared" si="1"/>
        <v>1</v>
      </c>
      <c r="H11" s="4">
        <f t="shared" si="2"/>
        <v>1</v>
      </c>
      <c r="I11" s="5" t="s">
        <v>234</v>
      </c>
    </row>
    <row r="12">
      <c r="A12" s="90" t="s">
        <v>28</v>
      </c>
      <c r="B12" s="2">
        <v>2.0</v>
      </c>
      <c r="C12" s="4"/>
      <c r="D12" s="2">
        <v>2.0</v>
      </c>
      <c r="E12" s="2">
        <v>2.0</v>
      </c>
      <c r="F12" s="3" t="s">
        <v>15</v>
      </c>
      <c r="G12" s="4">
        <f t="shared" si="1"/>
        <v>2</v>
      </c>
      <c r="H12" s="4">
        <f t="shared" si="2"/>
        <v>2</v>
      </c>
      <c r="I12" s="5" t="s">
        <v>234</v>
      </c>
    </row>
    <row r="13">
      <c r="A13" s="90" t="s">
        <v>29</v>
      </c>
      <c r="B13" s="2">
        <v>2.0</v>
      </c>
      <c r="C13" s="4"/>
      <c r="D13" s="2">
        <v>2.0</v>
      </c>
      <c r="E13" s="2">
        <v>2.0</v>
      </c>
      <c r="F13" s="3" t="s">
        <v>15</v>
      </c>
      <c r="G13" s="4">
        <f t="shared" si="1"/>
        <v>2</v>
      </c>
      <c r="H13" s="4">
        <f t="shared" si="2"/>
        <v>2</v>
      </c>
      <c r="I13" s="5" t="s">
        <v>234</v>
      </c>
    </row>
    <row r="14">
      <c r="A14" s="2" t="s">
        <v>33</v>
      </c>
      <c r="B14" s="2">
        <v>3.0</v>
      </c>
      <c r="C14" s="4"/>
      <c r="D14" s="2">
        <v>5.0</v>
      </c>
      <c r="E14" s="2">
        <v>5.0</v>
      </c>
      <c r="F14" s="18" t="s">
        <v>31</v>
      </c>
      <c r="G14" s="4">
        <f t="shared" si="1"/>
        <v>4.333333333</v>
      </c>
      <c r="H14" s="4">
        <f t="shared" si="2"/>
        <v>5</v>
      </c>
      <c r="I14" s="5" t="s">
        <v>234</v>
      </c>
    </row>
    <row r="15">
      <c r="A15" s="2" t="s">
        <v>32</v>
      </c>
      <c r="B15" s="2">
        <v>3.0</v>
      </c>
      <c r="C15" s="4"/>
      <c r="D15" s="2">
        <v>5.0</v>
      </c>
      <c r="E15" s="2">
        <v>5.0</v>
      </c>
      <c r="F15" s="18" t="s">
        <v>31</v>
      </c>
      <c r="G15" s="4">
        <f t="shared" si="1"/>
        <v>4.333333333</v>
      </c>
      <c r="H15" s="4">
        <f t="shared" si="2"/>
        <v>5</v>
      </c>
      <c r="I15" s="5" t="s">
        <v>234</v>
      </c>
    </row>
    <row r="16">
      <c r="A16" s="2" t="s">
        <v>34</v>
      </c>
      <c r="B16" s="2">
        <v>2.0</v>
      </c>
      <c r="C16" s="4"/>
      <c r="D16" s="2">
        <v>3.0</v>
      </c>
      <c r="E16" s="2">
        <v>2.0</v>
      </c>
      <c r="F16" s="18" t="s">
        <v>31</v>
      </c>
      <c r="G16" s="4">
        <f t="shared" si="1"/>
        <v>2.333333333</v>
      </c>
      <c r="H16" s="4">
        <f t="shared" si="2"/>
        <v>2</v>
      </c>
      <c r="I16" s="5" t="s">
        <v>234</v>
      </c>
    </row>
    <row r="17">
      <c r="A17" s="2" t="s">
        <v>235</v>
      </c>
      <c r="B17" s="2">
        <v>8.0</v>
      </c>
      <c r="C17" s="4"/>
      <c r="D17" s="2">
        <v>8.0</v>
      </c>
      <c r="E17" s="2">
        <v>8.0</v>
      </c>
      <c r="F17" s="18" t="s">
        <v>31</v>
      </c>
      <c r="G17" s="4">
        <f t="shared" si="1"/>
        <v>8</v>
      </c>
      <c r="H17" s="4">
        <f t="shared" si="2"/>
        <v>8</v>
      </c>
      <c r="I17" s="5" t="s">
        <v>234</v>
      </c>
    </row>
    <row r="18">
      <c r="A18" s="2" t="s">
        <v>236</v>
      </c>
      <c r="B18" s="2">
        <v>3.0</v>
      </c>
      <c r="C18" s="4"/>
      <c r="D18" s="2">
        <v>5.0</v>
      </c>
      <c r="E18" s="2">
        <v>3.0</v>
      </c>
      <c r="F18" s="23" t="s">
        <v>39</v>
      </c>
      <c r="G18" s="4">
        <f t="shared" si="1"/>
        <v>3.666666667</v>
      </c>
      <c r="H18" s="4">
        <f t="shared" si="2"/>
        <v>3</v>
      </c>
      <c r="I18" s="5" t="s">
        <v>234</v>
      </c>
    </row>
    <row r="19">
      <c r="A19" s="2" t="s">
        <v>40</v>
      </c>
      <c r="B19" s="2">
        <v>1.0</v>
      </c>
      <c r="C19" s="4"/>
      <c r="D19" s="2">
        <v>1.0</v>
      </c>
      <c r="E19" s="2">
        <v>1.0</v>
      </c>
      <c r="F19" s="23" t="s">
        <v>39</v>
      </c>
      <c r="G19" s="4">
        <f t="shared" si="1"/>
        <v>1</v>
      </c>
      <c r="H19" s="4">
        <f t="shared" si="2"/>
        <v>1</v>
      </c>
      <c r="I19" s="5" t="s">
        <v>234</v>
      </c>
    </row>
    <row r="20">
      <c r="A20" s="2" t="s">
        <v>41</v>
      </c>
      <c r="B20" s="2">
        <v>3.0</v>
      </c>
      <c r="C20" s="4"/>
      <c r="D20" s="2">
        <v>5.0</v>
      </c>
      <c r="E20" s="2">
        <v>2.0</v>
      </c>
      <c r="F20" s="23" t="s">
        <v>39</v>
      </c>
      <c r="G20" s="4">
        <f t="shared" si="1"/>
        <v>3.333333333</v>
      </c>
      <c r="H20" s="4">
        <f t="shared" si="2"/>
        <v>3</v>
      </c>
      <c r="I20" s="5" t="s">
        <v>234</v>
      </c>
    </row>
    <row r="21">
      <c r="A21" s="2" t="s">
        <v>237</v>
      </c>
      <c r="B21" s="2">
        <v>5.0</v>
      </c>
      <c r="C21" s="4"/>
      <c r="D21" s="2">
        <v>8.0</v>
      </c>
      <c r="E21" s="2">
        <v>5.0</v>
      </c>
      <c r="F21" s="23" t="s">
        <v>39</v>
      </c>
      <c r="G21" s="4">
        <f t="shared" si="1"/>
        <v>6</v>
      </c>
      <c r="H21" s="4">
        <f t="shared" si="2"/>
        <v>5</v>
      </c>
      <c r="I21" s="5" t="s">
        <v>234</v>
      </c>
    </row>
    <row r="22">
      <c r="A22" s="2" t="s">
        <v>44</v>
      </c>
      <c r="B22" s="2">
        <v>2.0</v>
      </c>
      <c r="C22" s="4"/>
      <c r="D22" s="2">
        <v>1.0</v>
      </c>
      <c r="E22" s="2">
        <v>1.0</v>
      </c>
      <c r="F22" s="23" t="s">
        <v>39</v>
      </c>
      <c r="G22" s="4">
        <f t="shared" si="1"/>
        <v>1.333333333</v>
      </c>
      <c r="H22" s="4">
        <f t="shared" si="2"/>
        <v>1</v>
      </c>
      <c r="I22" s="5" t="s">
        <v>234</v>
      </c>
    </row>
    <row r="23">
      <c r="A23" s="90" t="s">
        <v>46</v>
      </c>
      <c r="B23" s="2">
        <v>5.0</v>
      </c>
      <c r="C23" s="4"/>
      <c r="D23" s="2">
        <v>2.0</v>
      </c>
      <c r="E23" s="2">
        <v>3.0</v>
      </c>
      <c r="F23" s="24" t="s">
        <v>47</v>
      </c>
      <c r="G23" s="4">
        <f t="shared" si="1"/>
        <v>3.333333333</v>
      </c>
      <c r="H23" s="4">
        <f t="shared" si="2"/>
        <v>3</v>
      </c>
      <c r="I23" s="5" t="s">
        <v>234</v>
      </c>
    </row>
    <row r="24">
      <c r="A24" s="90" t="s">
        <v>48</v>
      </c>
      <c r="B24" s="2">
        <v>2.0</v>
      </c>
      <c r="C24" s="4"/>
      <c r="D24" s="2">
        <v>2.0</v>
      </c>
      <c r="E24" s="2">
        <v>3.0</v>
      </c>
      <c r="F24" s="24" t="s">
        <v>47</v>
      </c>
      <c r="G24" s="4">
        <f t="shared" si="1"/>
        <v>2.333333333</v>
      </c>
      <c r="H24" s="4">
        <f t="shared" si="2"/>
        <v>2</v>
      </c>
      <c r="I24" s="5" t="s">
        <v>234</v>
      </c>
    </row>
    <row r="25">
      <c r="A25" s="2" t="s">
        <v>238</v>
      </c>
      <c r="B25" s="2">
        <v>1.0</v>
      </c>
      <c r="C25" s="4"/>
      <c r="D25" s="2">
        <v>1.0</v>
      </c>
      <c r="E25" s="2">
        <v>1.0</v>
      </c>
      <c r="F25" s="24" t="s">
        <v>47</v>
      </c>
      <c r="G25" s="4">
        <f t="shared" si="1"/>
        <v>1</v>
      </c>
      <c r="H25" s="4">
        <f t="shared" si="2"/>
        <v>1</v>
      </c>
      <c r="I25" s="5" t="s">
        <v>234</v>
      </c>
    </row>
    <row r="26">
      <c r="A26" s="2" t="s">
        <v>50</v>
      </c>
      <c r="B26" s="2">
        <v>1.0</v>
      </c>
      <c r="C26" s="4"/>
      <c r="D26" s="2">
        <v>1.0</v>
      </c>
      <c r="E26" s="2">
        <v>1.0</v>
      </c>
      <c r="F26" s="24" t="s">
        <v>47</v>
      </c>
      <c r="G26" s="4">
        <f t="shared" si="1"/>
        <v>1</v>
      </c>
      <c r="H26" s="4">
        <f t="shared" si="2"/>
        <v>1</v>
      </c>
      <c r="I26" s="5" t="s">
        <v>234</v>
      </c>
    </row>
    <row r="27">
      <c r="A27" s="2" t="s">
        <v>55</v>
      </c>
      <c r="B27" s="2">
        <v>1.0</v>
      </c>
      <c r="C27" s="4"/>
      <c r="D27" s="2">
        <v>1.0</v>
      </c>
      <c r="E27" s="2">
        <v>1.0</v>
      </c>
      <c r="F27" s="24" t="s">
        <v>47</v>
      </c>
      <c r="G27" s="4">
        <f t="shared" si="1"/>
        <v>1</v>
      </c>
      <c r="H27" s="4">
        <f t="shared" si="2"/>
        <v>1</v>
      </c>
      <c r="I27" s="5" t="s">
        <v>234</v>
      </c>
    </row>
    <row r="28">
      <c r="A28" s="2" t="s">
        <v>56</v>
      </c>
      <c r="B28" s="2">
        <v>1.0</v>
      </c>
      <c r="C28" s="4"/>
      <c r="D28" s="2">
        <v>1.0</v>
      </c>
      <c r="E28" s="2">
        <v>1.0</v>
      </c>
      <c r="F28" s="24" t="s">
        <v>47</v>
      </c>
      <c r="G28" s="4">
        <f t="shared" si="1"/>
        <v>1</v>
      </c>
      <c r="H28" s="4">
        <f t="shared" si="2"/>
        <v>1</v>
      </c>
      <c r="I28" s="5" t="s">
        <v>234</v>
      </c>
    </row>
    <row r="29">
      <c r="A29" s="2" t="s">
        <v>59</v>
      </c>
      <c r="B29" s="2">
        <v>3.0</v>
      </c>
      <c r="C29" s="4"/>
      <c r="D29" s="2">
        <v>5.0</v>
      </c>
      <c r="E29" s="2">
        <v>3.0</v>
      </c>
      <c r="F29" s="25" t="s">
        <v>60</v>
      </c>
      <c r="G29" s="4">
        <f t="shared" si="1"/>
        <v>3.666666667</v>
      </c>
      <c r="H29" s="4">
        <f t="shared" si="2"/>
        <v>3</v>
      </c>
      <c r="I29" s="5" t="s">
        <v>234</v>
      </c>
    </row>
    <row r="30">
      <c r="A30" s="2" t="s">
        <v>61</v>
      </c>
      <c r="B30" s="2">
        <v>1.0</v>
      </c>
      <c r="C30" s="4"/>
      <c r="D30" s="2">
        <v>1.0</v>
      </c>
      <c r="E30" s="2">
        <v>1.0</v>
      </c>
      <c r="F30" s="25" t="s">
        <v>60</v>
      </c>
      <c r="G30" s="4">
        <f t="shared" si="1"/>
        <v>1</v>
      </c>
      <c r="H30" s="4">
        <f t="shared" si="2"/>
        <v>1</v>
      </c>
      <c r="I30" s="5" t="s">
        <v>234</v>
      </c>
    </row>
    <row r="31">
      <c r="A31" s="2" t="s">
        <v>62</v>
      </c>
      <c r="B31" s="2">
        <v>3.0</v>
      </c>
      <c r="C31" s="4"/>
      <c r="D31" s="2">
        <v>5.0</v>
      </c>
      <c r="E31" s="2">
        <v>5.0</v>
      </c>
      <c r="F31" s="25" t="s">
        <v>60</v>
      </c>
      <c r="G31" s="4">
        <f t="shared" si="1"/>
        <v>4.333333333</v>
      </c>
      <c r="H31" s="4">
        <f t="shared" si="2"/>
        <v>5</v>
      </c>
      <c r="I31" s="5" t="s">
        <v>234</v>
      </c>
    </row>
    <row r="32">
      <c r="A32" s="2" t="s">
        <v>63</v>
      </c>
      <c r="B32" s="2">
        <v>1.0</v>
      </c>
      <c r="C32" s="4"/>
      <c r="D32" s="2">
        <v>1.0</v>
      </c>
      <c r="E32" s="2">
        <v>1.0</v>
      </c>
      <c r="F32" s="25" t="s">
        <v>60</v>
      </c>
      <c r="G32" s="4">
        <f t="shared" si="1"/>
        <v>1</v>
      </c>
      <c r="H32" s="4">
        <f t="shared" si="2"/>
        <v>1</v>
      </c>
      <c r="I32" s="5" t="s">
        <v>234</v>
      </c>
    </row>
    <row r="33">
      <c r="A33" s="2" t="s">
        <v>64</v>
      </c>
      <c r="B33" s="2">
        <v>2.0</v>
      </c>
      <c r="C33" s="4"/>
      <c r="D33" s="2">
        <v>1.0</v>
      </c>
      <c r="E33" s="2">
        <v>2.0</v>
      </c>
      <c r="F33" s="26" t="s">
        <v>65</v>
      </c>
      <c r="G33" s="4">
        <f t="shared" si="1"/>
        <v>1.666666667</v>
      </c>
      <c r="H33" s="4">
        <f t="shared" si="2"/>
        <v>2</v>
      </c>
      <c r="I33" s="5" t="s">
        <v>234</v>
      </c>
    </row>
    <row r="34">
      <c r="A34" s="2" t="s">
        <v>71</v>
      </c>
      <c r="B34" s="2">
        <v>1.0</v>
      </c>
      <c r="C34" s="4"/>
      <c r="D34" s="2">
        <v>1.0</v>
      </c>
      <c r="E34" s="2">
        <v>1.0</v>
      </c>
      <c r="F34" s="26" t="s">
        <v>65</v>
      </c>
      <c r="G34" s="4">
        <f t="shared" si="1"/>
        <v>1</v>
      </c>
      <c r="H34" s="4">
        <f t="shared" si="2"/>
        <v>1</v>
      </c>
      <c r="I34" s="5" t="s">
        <v>234</v>
      </c>
    </row>
    <row r="35">
      <c r="A35" s="90" t="s">
        <v>72</v>
      </c>
      <c r="B35" s="2">
        <v>5.0</v>
      </c>
      <c r="C35" s="4"/>
      <c r="D35" s="2">
        <v>1.0</v>
      </c>
      <c r="E35" s="2">
        <v>3.0</v>
      </c>
      <c r="F35" s="26" t="s">
        <v>65</v>
      </c>
      <c r="G35" s="4">
        <f t="shared" si="1"/>
        <v>3</v>
      </c>
      <c r="H35" s="4">
        <f t="shared" si="2"/>
        <v>3</v>
      </c>
      <c r="I35" s="5" t="s">
        <v>234</v>
      </c>
    </row>
    <row r="36">
      <c r="A36" s="90" t="s">
        <v>73</v>
      </c>
      <c r="B36" s="2">
        <v>5.0</v>
      </c>
      <c r="C36" s="4"/>
      <c r="D36" s="2">
        <v>1.0</v>
      </c>
      <c r="E36" s="2">
        <v>2.0</v>
      </c>
      <c r="F36" s="26" t="s">
        <v>65</v>
      </c>
      <c r="G36" s="4">
        <f t="shared" si="1"/>
        <v>2.666666667</v>
      </c>
      <c r="H36" s="4">
        <f t="shared" si="2"/>
        <v>3</v>
      </c>
      <c r="I36" s="5" t="s">
        <v>234</v>
      </c>
    </row>
    <row r="37">
      <c r="A37" s="2" t="s">
        <v>74</v>
      </c>
      <c r="B37" s="2">
        <v>2.0</v>
      </c>
      <c r="C37" s="4"/>
      <c r="D37" s="2">
        <v>1.0</v>
      </c>
      <c r="E37" s="2">
        <v>1.0</v>
      </c>
      <c r="F37" s="26" t="s">
        <v>65</v>
      </c>
      <c r="G37" s="4">
        <f t="shared" si="1"/>
        <v>1.333333333</v>
      </c>
      <c r="H37" s="4">
        <f t="shared" si="2"/>
        <v>1</v>
      </c>
      <c r="I37" s="5" t="s">
        <v>234</v>
      </c>
    </row>
    <row r="38">
      <c r="A38" s="2" t="s">
        <v>75</v>
      </c>
      <c r="B38" s="2">
        <v>2.0</v>
      </c>
      <c r="C38" s="4"/>
      <c r="D38" s="2">
        <v>2.0</v>
      </c>
      <c r="E38" s="2">
        <v>2.0</v>
      </c>
      <c r="F38" s="39" t="s">
        <v>76</v>
      </c>
      <c r="G38" s="4">
        <f t="shared" si="1"/>
        <v>2</v>
      </c>
      <c r="H38" s="4">
        <f t="shared" si="2"/>
        <v>2</v>
      </c>
      <c r="I38" s="5" t="s">
        <v>234</v>
      </c>
    </row>
    <row r="39">
      <c r="A39" s="2" t="s">
        <v>77</v>
      </c>
      <c r="B39" s="2">
        <v>2.0</v>
      </c>
      <c r="C39" s="4"/>
      <c r="D39" s="2">
        <v>2.0</v>
      </c>
      <c r="E39" s="2">
        <v>2.0</v>
      </c>
      <c r="F39" s="39" t="s">
        <v>76</v>
      </c>
      <c r="G39" s="4">
        <f t="shared" si="1"/>
        <v>2</v>
      </c>
      <c r="H39" s="4">
        <f t="shared" si="2"/>
        <v>2</v>
      </c>
      <c r="I39" s="5" t="s">
        <v>234</v>
      </c>
    </row>
    <row r="40" ht="15.75" customHeight="1">
      <c r="A40" s="2" t="s">
        <v>78</v>
      </c>
      <c r="B40" s="2">
        <v>2.0</v>
      </c>
      <c r="C40" s="4"/>
      <c r="D40" s="2">
        <v>2.0</v>
      </c>
      <c r="E40" s="2">
        <v>2.0</v>
      </c>
      <c r="F40" s="39" t="s">
        <v>76</v>
      </c>
      <c r="G40" s="4">
        <f t="shared" si="1"/>
        <v>2</v>
      </c>
      <c r="H40" s="4">
        <f t="shared" si="2"/>
        <v>2</v>
      </c>
      <c r="I40" s="5" t="s">
        <v>234</v>
      </c>
    </row>
    <row r="41" ht="15.75" customHeight="1">
      <c r="A41" s="2" t="s">
        <v>79</v>
      </c>
      <c r="B41" s="2">
        <v>2.0</v>
      </c>
      <c r="C41" s="4"/>
      <c r="D41" s="2">
        <v>2.0</v>
      </c>
      <c r="E41" s="2">
        <v>2.0</v>
      </c>
      <c r="F41" s="39" t="s">
        <v>76</v>
      </c>
      <c r="G41" s="4">
        <f t="shared" si="1"/>
        <v>2</v>
      </c>
      <c r="H41" s="4">
        <f t="shared" si="2"/>
        <v>2</v>
      </c>
      <c r="I41" s="5" t="s">
        <v>234</v>
      </c>
      <c r="K41" s="9" t="s">
        <v>27</v>
      </c>
      <c r="L41" s="10" t="s">
        <v>1</v>
      </c>
      <c r="M41" s="10" t="s">
        <v>2</v>
      </c>
      <c r="N41" s="10" t="s">
        <v>3</v>
      </c>
      <c r="O41" s="11" t="s">
        <v>4</v>
      </c>
    </row>
    <row r="42" ht="15.75" customHeight="1">
      <c r="A42" s="2" t="s">
        <v>239</v>
      </c>
      <c r="B42" s="2">
        <v>2.0</v>
      </c>
      <c r="C42" s="4"/>
      <c r="D42" s="2">
        <v>1.0</v>
      </c>
      <c r="E42" s="2">
        <v>1.0</v>
      </c>
      <c r="F42" s="39" t="s">
        <v>76</v>
      </c>
      <c r="G42" s="4">
        <f t="shared" si="1"/>
        <v>1.333333333</v>
      </c>
      <c r="H42" s="4">
        <f t="shared" si="2"/>
        <v>1</v>
      </c>
      <c r="I42" s="5" t="s">
        <v>234</v>
      </c>
      <c r="K42" s="12">
        <v>1.0</v>
      </c>
      <c r="L42" s="13">
        <f t="shared" ref="L42:O42" si="3">COUNTIF(B2:B46, "=1")</f>
        <v>18</v>
      </c>
      <c r="M42" s="13">
        <f t="shared" si="3"/>
        <v>0</v>
      </c>
      <c r="N42" s="13">
        <f t="shared" si="3"/>
        <v>25</v>
      </c>
      <c r="O42" s="14">
        <f t="shared" si="3"/>
        <v>21</v>
      </c>
    </row>
    <row r="43" ht="15.75" customHeight="1">
      <c r="A43" s="2" t="s">
        <v>83</v>
      </c>
      <c r="B43" s="2">
        <v>1.0</v>
      </c>
      <c r="C43" s="4"/>
      <c r="D43" s="2">
        <v>1.0</v>
      </c>
      <c r="E43" s="2">
        <v>1.0</v>
      </c>
      <c r="F43" s="39" t="s">
        <v>76</v>
      </c>
      <c r="G43" s="4">
        <f t="shared" si="1"/>
        <v>1</v>
      </c>
      <c r="H43" s="4">
        <f t="shared" si="2"/>
        <v>1</v>
      </c>
      <c r="I43" s="5" t="s">
        <v>234</v>
      </c>
      <c r="K43" s="15">
        <v>2.0</v>
      </c>
      <c r="L43" s="16">
        <f t="shared" ref="L43:O43" si="4">COUNTIF(B2:B46, "=2")</f>
        <v>16</v>
      </c>
      <c r="M43" s="16">
        <f t="shared" si="4"/>
        <v>0</v>
      </c>
      <c r="N43" s="16">
        <f t="shared" si="4"/>
        <v>10</v>
      </c>
      <c r="O43" s="17">
        <f t="shared" si="4"/>
        <v>14</v>
      </c>
    </row>
    <row r="44" ht="15.75" customHeight="1">
      <c r="A44" s="2" t="s">
        <v>86</v>
      </c>
      <c r="B44" s="2">
        <v>1.0</v>
      </c>
      <c r="C44" s="4"/>
      <c r="D44" s="2">
        <v>1.0</v>
      </c>
      <c r="E44" s="2">
        <v>1.0</v>
      </c>
      <c r="F44" s="39" t="s">
        <v>76</v>
      </c>
      <c r="G44" s="4">
        <f t="shared" si="1"/>
        <v>1</v>
      </c>
      <c r="H44" s="4">
        <f t="shared" si="2"/>
        <v>1</v>
      </c>
      <c r="I44" s="5" t="s">
        <v>234</v>
      </c>
      <c r="K44" s="12">
        <v>3.0</v>
      </c>
      <c r="L44" s="13">
        <f t="shared" ref="L44:O44" si="5">COUNTIF(B2:B46, "=3")</f>
        <v>6</v>
      </c>
      <c r="M44" s="13">
        <f t="shared" si="5"/>
        <v>0</v>
      </c>
      <c r="N44" s="13">
        <f t="shared" si="5"/>
        <v>2</v>
      </c>
      <c r="O44" s="14">
        <f t="shared" si="5"/>
        <v>5</v>
      </c>
    </row>
    <row r="45" ht="15.75" customHeight="1">
      <c r="A45" s="2" t="s">
        <v>87</v>
      </c>
      <c r="B45" s="2">
        <v>1.0</v>
      </c>
      <c r="C45" s="4"/>
      <c r="D45" s="2">
        <v>1.0</v>
      </c>
      <c r="E45" s="2">
        <v>1.0</v>
      </c>
      <c r="F45" s="39" t="s">
        <v>76</v>
      </c>
      <c r="G45" s="4">
        <f t="shared" si="1"/>
        <v>1</v>
      </c>
      <c r="H45" s="4">
        <f t="shared" si="2"/>
        <v>1</v>
      </c>
      <c r="I45" s="5" t="s">
        <v>234</v>
      </c>
      <c r="K45" s="15">
        <v>5.0</v>
      </c>
      <c r="L45" s="16">
        <f t="shared" ref="L45:O45" si="6">COUNTIF(B2:B46, "=5")</f>
        <v>4</v>
      </c>
      <c r="M45" s="16">
        <f t="shared" si="6"/>
        <v>0</v>
      </c>
      <c r="N45" s="16">
        <f t="shared" si="6"/>
        <v>6</v>
      </c>
      <c r="O45" s="17">
        <f t="shared" si="6"/>
        <v>4</v>
      </c>
    </row>
    <row r="46" ht="15.75" customHeight="1">
      <c r="A46" s="2" t="s">
        <v>88</v>
      </c>
      <c r="B46" s="2">
        <v>1.0</v>
      </c>
      <c r="C46" s="4"/>
      <c r="D46" s="2">
        <v>1.0</v>
      </c>
      <c r="E46" s="2">
        <v>1.0</v>
      </c>
      <c r="F46" s="39" t="s">
        <v>76</v>
      </c>
      <c r="G46" s="4">
        <f t="shared" si="1"/>
        <v>1</v>
      </c>
      <c r="H46" s="4">
        <f t="shared" si="2"/>
        <v>1</v>
      </c>
      <c r="I46" s="5" t="s">
        <v>234</v>
      </c>
      <c r="K46" s="91">
        <v>8.0</v>
      </c>
      <c r="L46" s="92">
        <f t="shared" ref="L46:O46" si="7">COUNTIF(B2:B46, "=8")</f>
        <v>1</v>
      </c>
      <c r="M46" s="92">
        <f t="shared" si="7"/>
        <v>0</v>
      </c>
      <c r="N46" s="92">
        <f t="shared" si="7"/>
        <v>2</v>
      </c>
      <c r="O46" s="93">
        <f t="shared" si="7"/>
        <v>1</v>
      </c>
    </row>
    <row r="47">
      <c r="A47" s="1" t="s">
        <v>89</v>
      </c>
      <c r="B47" s="47">
        <f t="shared" ref="B47:E47" si="8">SUM(B2:B46)</f>
        <v>96</v>
      </c>
      <c r="C47" s="47">
        <f t="shared" si="8"/>
        <v>0</v>
      </c>
      <c r="D47" s="47">
        <f t="shared" si="8"/>
        <v>97</v>
      </c>
      <c r="E47" s="47">
        <f t="shared" si="8"/>
        <v>92</v>
      </c>
      <c r="F47" s="47"/>
      <c r="G47" s="47">
        <f t="shared" ref="G47:I47" si="9">SUM(G2:G46)</f>
        <v>95</v>
      </c>
      <c r="H47" s="47">
        <f t="shared" si="9"/>
        <v>92</v>
      </c>
      <c r="I47" s="47">
        <f t="shared" si="9"/>
        <v>0</v>
      </c>
    </row>
    <row r="51">
      <c r="A51" s="2"/>
    </row>
  </sheetData>
  <conditionalFormatting sqref="W4">
    <cfRule type="expression" dxfId="0" priority="1">
      <formula>COUNTIF(F2:F13, "&lt;&gt; 0") &gt; 10</formula>
    </cfRule>
  </conditionalFormatting>
  <conditionalFormatting sqref="W5">
    <cfRule type="expression" dxfId="0" priority="2">
      <formula>COUNTIF(F14:F17, "&lt;&gt; 0") &gt; 10</formula>
    </cfRule>
  </conditionalFormatting>
  <conditionalFormatting sqref="W5">
    <cfRule type="expression" dxfId="1" priority="3">
      <formula>COUNTIF(F14:F17, "&lt;&gt; 0") &lt;= 10</formula>
    </cfRule>
  </conditionalFormatting>
  <conditionalFormatting sqref="W6">
    <cfRule type="expression" dxfId="0" priority="4">
      <formula>COUNTIF(F18:F22, "&lt;&gt; 0") &gt; 10</formula>
    </cfRule>
  </conditionalFormatting>
  <conditionalFormatting sqref="W6">
    <cfRule type="expression" dxfId="1" priority="5">
      <formula>COUNTIF(F18:F22, "&lt;&gt; 0") &lt;= 10</formula>
    </cfRule>
  </conditionalFormatting>
  <conditionalFormatting sqref="W7">
    <cfRule type="expression" dxfId="1" priority="6">
      <formula>COUNTIF(F23:F28, "&lt;&gt; 0") &lt;= 10</formula>
    </cfRule>
  </conditionalFormatting>
  <conditionalFormatting sqref="W7">
    <cfRule type="expression" dxfId="0" priority="7">
      <formula>COUNTIF(F23:F28, "&lt;&gt; 0") &gt; 10</formula>
    </cfRule>
  </conditionalFormatting>
  <conditionalFormatting sqref="W8">
    <cfRule type="expression" dxfId="1" priority="8">
      <formula>COUNTIF(F29:F32, "&lt;&gt; 0") &lt;= 10</formula>
    </cfRule>
  </conditionalFormatting>
  <conditionalFormatting sqref="W8">
    <cfRule type="expression" dxfId="0" priority="9">
      <formula>COUNTIF(F29:F32, "&lt;&gt; 0") &gt; 10</formula>
    </cfRule>
  </conditionalFormatting>
  <conditionalFormatting sqref="W10">
    <cfRule type="expression" dxfId="1" priority="10">
      <formula>COUNTIF(F38:F46, "&lt;&gt; 0") &lt;= 10</formula>
    </cfRule>
  </conditionalFormatting>
  <conditionalFormatting sqref="W10">
    <cfRule type="expression" dxfId="0" priority="11">
      <formula>COUNTIF(F38:F46, "&lt;&gt; 0") &gt; 10</formula>
    </cfRule>
  </conditionalFormatting>
  <conditionalFormatting sqref="W4">
    <cfRule type="expression" dxfId="1" priority="12">
      <formula>COUNTIF(F2:F13, "&lt;&gt; 0") &lt;= 10</formula>
    </cfRule>
  </conditionalFormatting>
  <conditionalFormatting sqref="W9">
    <cfRule type="expression" dxfId="0" priority="13">
      <formula>COUNTIF(F33:F37, "&lt;&gt; 0") &gt; 10</formula>
    </cfRule>
  </conditionalFormatting>
  <conditionalFormatting sqref="W9">
    <cfRule type="expression" dxfId="1" priority="14">
      <formula>COUNTIF(F33:F37, "&lt;&gt; 0") &lt;= 10</formula>
    </cfRule>
  </conditionalFormatting>
  <dataValidations>
    <dataValidation type="list" allowBlank="1" showErrorMessage="1" sqref="B2:E46">
      <formula1>"1,2,3,5,8"</formula1>
    </dataValidation>
  </dataValidations>
  <drawing r:id="rId1"/>
  <tableParts count="1">
    <tablePart r:id="rId3"/>
  </tableParts>
</worksheet>
</file>