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ragon\Desktop\"/>
    </mc:Choice>
  </mc:AlternateContent>
  <bookViews>
    <workbookView xWindow="0" yWindow="60" windowWidth="20730" windowHeight="11010" tabRatio="819" activeTab="7"/>
  </bookViews>
  <sheets>
    <sheet name="1-A Agricultura Pac. Central" sheetId="23" r:id="rId1"/>
    <sheet name="1-B Agricultura Pac. Norte" sheetId="27" r:id="rId2"/>
    <sheet name="1-C Pecuario Pac. Central" sheetId="24" r:id="rId3"/>
    <sheet name="1-D Pecuario Pac. Norte" sheetId="28" r:id="rId4"/>
    <sheet name="2-A Edificios Ministerio Salud" sheetId="26" r:id="rId5"/>
    <sheet name="2-B Edificios CCSS" sheetId="25" r:id="rId6"/>
    <sheet name="3-A Sistemas AYA" sheetId="29" r:id="rId7"/>
    <sheet name="3-B SISTEMAS ASADAS" sheetId="30" r:id="rId8"/>
  </sheets>
  <externalReferences>
    <externalReference r:id="rId9"/>
    <externalReference r:id="rId10"/>
    <externalReference r:id="rId11"/>
  </externalReferences>
  <definedNames>
    <definedName name="_xlnm.Print_Titles" localSheetId="0">'1-A Agricultura Pac. Central'!$1:$5</definedName>
    <definedName name="_xlnm.Print_Titles" localSheetId="1">'1-B Agricultura Pac. Norte'!$1:$5</definedName>
    <definedName name="_xlnm.Print_Titles" localSheetId="2">'1-C Pecuario Pac. Central'!$1:$5</definedName>
    <definedName name="_xlnm.Print_Titles" localSheetId="3">'1-D Pecuario Pac. Norte'!$A:$N,'1-D Pecuario Pac. Norte'!$1:$5</definedName>
    <definedName name="_xlnm.Print_Titles" localSheetId="4">'2-A Edificios Ministerio Salud'!$1:$6</definedName>
    <definedName name="_xlnm.Print_Titles" localSheetId="5">'2-B Edificios CCSS'!$1:$6</definedName>
    <definedName name="_xlnm.Print_Titles" localSheetId="6">'3-A Sistemas AYA'!$1:$6</definedName>
    <definedName name="_xlnm.Print_Titles" localSheetId="7">'3-B SISTEMAS ASADAS'!$1:$6</definedName>
  </definedNames>
  <calcPr calcId="152511"/>
</workbook>
</file>

<file path=xl/calcChain.xml><?xml version="1.0" encoding="utf-8"?>
<calcChain xmlns="http://schemas.openxmlformats.org/spreadsheetml/2006/main">
  <c r="J44" i="23" l="1"/>
  <c r="N43" i="23"/>
  <c r="N44" i="23" s="1"/>
  <c r="N37" i="23"/>
  <c r="N32" i="23"/>
  <c r="N27" i="23"/>
  <c r="N16" i="23"/>
  <c r="N9" i="23"/>
  <c r="D177" i="26"/>
  <c r="I37" i="30"/>
  <c r="F37" i="30"/>
  <c r="I13" i="30"/>
  <c r="I10" i="30"/>
  <c r="F10" i="30"/>
  <c r="I25" i="29"/>
  <c r="H58" i="25"/>
  <c r="M57" i="25"/>
  <c r="N55" i="25"/>
  <c r="N58" i="25" s="1"/>
  <c r="M55" i="25"/>
  <c r="M58" i="25" s="1"/>
  <c r="L55" i="25"/>
  <c r="H55" i="25"/>
  <c r="G55" i="25"/>
  <c r="N53" i="25"/>
  <c r="M53" i="25"/>
  <c r="L53" i="25"/>
  <c r="L58" i="25" s="1"/>
  <c r="H53" i="25"/>
  <c r="G53" i="25"/>
  <c r="G58" i="25" s="1"/>
  <c r="N49" i="25"/>
  <c r="M49" i="25"/>
  <c r="L49" i="25"/>
  <c r="H49" i="25"/>
  <c r="G49" i="25"/>
  <c r="E39" i="28"/>
  <c r="I39" i="28" s="1"/>
  <c r="K39" i="28" s="1"/>
  <c r="D39" i="28"/>
  <c r="E38" i="28"/>
  <c r="I38" i="28" s="1"/>
  <c r="K38" i="28" s="1"/>
  <c r="D38" i="28"/>
  <c r="E37" i="28"/>
  <c r="I37" i="28" s="1"/>
  <c r="K37" i="28" s="1"/>
  <c r="D37" i="28"/>
  <c r="N35" i="28"/>
  <c r="E35" i="28"/>
  <c r="F35" i="28" s="1"/>
  <c r="I35" i="28" s="1"/>
  <c r="K35" i="28" s="1"/>
  <c r="D35" i="28"/>
  <c r="E33" i="28"/>
  <c r="I33" i="28"/>
  <c r="K33" i="28" s="1"/>
  <c r="D33" i="28"/>
  <c r="I32" i="28"/>
  <c r="K32" i="28" s="1"/>
  <c r="E32" i="28"/>
  <c r="D32" i="28"/>
  <c r="E31" i="28"/>
  <c r="I31" i="28"/>
  <c r="K31" i="28" s="1"/>
  <c r="D31" i="28"/>
  <c r="N30" i="28"/>
  <c r="K30" i="28"/>
  <c r="E30" i="28"/>
  <c r="D30" i="28"/>
  <c r="N28" i="28"/>
  <c r="N27" i="28"/>
  <c r="N26" i="28"/>
  <c r="N25" i="28"/>
  <c r="N24" i="28"/>
  <c r="N23" i="28"/>
  <c r="N22" i="28"/>
  <c r="N21" i="28"/>
  <c r="N20" i="28"/>
  <c r="N40" i="28" s="1"/>
  <c r="N19" i="28"/>
  <c r="E19" i="28"/>
  <c r="F19" i="28"/>
  <c r="I19" i="28" s="1"/>
  <c r="D19" i="28"/>
  <c r="D40" i="28" s="1"/>
  <c r="I17" i="28"/>
  <c r="E17" i="28"/>
  <c r="E40" i="28"/>
  <c r="E41" i="28" s="1"/>
  <c r="D17" i="28"/>
  <c r="J14" i="28"/>
  <c r="G13" i="28"/>
  <c r="F13" i="28"/>
  <c r="I13" i="28" s="1"/>
  <c r="K13" i="28"/>
  <c r="E13" i="28"/>
  <c r="D13" i="28"/>
  <c r="G12" i="28"/>
  <c r="F12" i="28"/>
  <c r="I12" i="28" s="1"/>
  <c r="E12" i="28"/>
  <c r="D12" i="28"/>
  <c r="N11" i="28"/>
  <c r="G11" i="28"/>
  <c r="F11" i="28"/>
  <c r="K11" i="28" s="1"/>
  <c r="E11" i="28"/>
  <c r="D11" i="28"/>
  <c r="N10" i="28"/>
  <c r="G10" i="28"/>
  <c r="I10" i="28"/>
  <c r="F10" i="28"/>
  <c r="K10" i="28" s="1"/>
  <c r="E10" i="28"/>
  <c r="D10" i="28"/>
  <c r="N9" i="28"/>
  <c r="N14" i="28" s="1"/>
  <c r="N41" i="28" s="1"/>
  <c r="G9" i="28"/>
  <c r="F9" i="28"/>
  <c r="I9" i="28"/>
  <c r="K9" i="28" s="1"/>
  <c r="E9" i="28"/>
  <c r="D9" i="28"/>
  <c r="D14" i="28"/>
  <c r="D41" i="28" s="1"/>
  <c r="N8" i="28"/>
  <c r="G8" i="28"/>
  <c r="G14" i="28" s="1"/>
  <c r="F8" i="28"/>
  <c r="E8" i="28"/>
  <c r="E14" i="28" s="1"/>
  <c r="D8" i="28"/>
  <c r="G78" i="27"/>
  <c r="I78" i="27"/>
  <c r="J78" i="27" s="1"/>
  <c r="F78" i="27"/>
  <c r="D78" i="27"/>
  <c r="G76" i="27"/>
  <c r="I76" i="27"/>
  <c r="K76" i="27" s="1"/>
  <c r="F76" i="27"/>
  <c r="D76" i="27"/>
  <c r="O74" i="27"/>
  <c r="G74" i="27"/>
  <c r="F74" i="27"/>
  <c r="I74" i="27" s="1"/>
  <c r="D74" i="27"/>
  <c r="G72" i="27"/>
  <c r="F72" i="27"/>
  <c r="I72" i="27" s="1"/>
  <c r="D72" i="27"/>
  <c r="G70" i="27"/>
  <c r="F70" i="27"/>
  <c r="I70" i="27"/>
  <c r="K70" i="27" s="1"/>
  <c r="D70" i="27"/>
  <c r="O68" i="27"/>
  <c r="G68" i="27"/>
  <c r="F68" i="27"/>
  <c r="I68" i="27" s="1"/>
  <c r="D68" i="27"/>
  <c r="G66" i="27"/>
  <c r="F66" i="27"/>
  <c r="I66" i="27" s="1"/>
  <c r="D66" i="27"/>
  <c r="G64" i="27"/>
  <c r="F64" i="27"/>
  <c r="I64" i="27" s="1"/>
  <c r="D64" i="27"/>
  <c r="G63" i="27"/>
  <c r="F63" i="27"/>
  <c r="I63" i="27" s="1"/>
  <c r="D63" i="27"/>
  <c r="O61" i="27"/>
  <c r="G61" i="27"/>
  <c r="F61" i="27"/>
  <c r="I61" i="27" s="1"/>
  <c r="D61" i="27"/>
  <c r="O59" i="27"/>
  <c r="G59" i="27"/>
  <c r="F59" i="27"/>
  <c r="I59" i="27"/>
  <c r="K59" i="27" s="1"/>
  <c r="D59" i="27"/>
  <c r="O57" i="27"/>
  <c r="G57" i="27"/>
  <c r="F57" i="27"/>
  <c r="I57" i="27" s="1"/>
  <c r="D57" i="27"/>
  <c r="G55" i="27"/>
  <c r="I55" i="27" s="1"/>
  <c r="F55" i="27"/>
  <c r="D55" i="27"/>
  <c r="O53" i="27"/>
  <c r="G53" i="27"/>
  <c r="I53" i="27" s="1"/>
  <c r="F53" i="27"/>
  <c r="D53" i="27"/>
  <c r="O51" i="27"/>
  <c r="G51" i="27"/>
  <c r="F51" i="27"/>
  <c r="I51" i="27" s="1"/>
  <c r="D51" i="27"/>
  <c r="O49" i="27"/>
  <c r="G49" i="27"/>
  <c r="F49" i="27"/>
  <c r="I49" i="27" s="1"/>
  <c r="D49" i="27"/>
  <c r="O47" i="27"/>
  <c r="G47" i="27"/>
  <c r="I47" i="27" s="1"/>
  <c r="F47" i="27"/>
  <c r="D47" i="27"/>
  <c r="G45" i="27"/>
  <c r="I45" i="27" s="1"/>
  <c r="F45" i="27"/>
  <c r="D45" i="27"/>
  <c r="G43" i="27"/>
  <c r="F43" i="27"/>
  <c r="I43" i="27" s="1"/>
  <c r="D43" i="27"/>
  <c r="G41" i="27"/>
  <c r="F41" i="27"/>
  <c r="I41" i="27" s="1"/>
  <c r="D41" i="27"/>
  <c r="G39" i="27"/>
  <c r="F39" i="27"/>
  <c r="I39" i="27" s="1"/>
  <c r="D39" i="27"/>
  <c r="O37" i="27"/>
  <c r="G37" i="27"/>
  <c r="F37" i="27"/>
  <c r="I37" i="27"/>
  <c r="J37" i="27" s="1"/>
  <c r="K37" i="27" s="1"/>
  <c r="D37" i="27"/>
  <c r="O35" i="27"/>
  <c r="G35" i="27"/>
  <c r="F35" i="27"/>
  <c r="I35" i="27" s="1"/>
  <c r="D35" i="27"/>
  <c r="G33" i="27"/>
  <c r="F33" i="27"/>
  <c r="I33" i="27" s="1"/>
  <c r="D33" i="27"/>
  <c r="O31" i="27"/>
  <c r="G31" i="27"/>
  <c r="F31" i="27"/>
  <c r="I31" i="27"/>
  <c r="K31" i="27" s="1"/>
  <c r="D31" i="27"/>
  <c r="O29" i="27"/>
  <c r="G29" i="27"/>
  <c r="I29" i="27" s="1"/>
  <c r="F29" i="27"/>
  <c r="D29" i="27"/>
  <c r="O27" i="27"/>
  <c r="G27" i="27"/>
  <c r="F27" i="27"/>
  <c r="I27" i="27" s="1"/>
  <c r="D27" i="27"/>
  <c r="O25" i="27"/>
  <c r="G25" i="27"/>
  <c r="F25" i="27"/>
  <c r="I25" i="27"/>
  <c r="K25" i="27" s="1"/>
  <c r="D25" i="27"/>
  <c r="O23" i="27"/>
  <c r="G23" i="27"/>
  <c r="F23" i="27"/>
  <c r="I23" i="27" s="1"/>
  <c r="D23" i="27"/>
  <c r="O21" i="27"/>
  <c r="G21" i="27"/>
  <c r="F21" i="27"/>
  <c r="I21" i="27" s="1"/>
  <c r="D21" i="27"/>
  <c r="O19" i="27"/>
  <c r="G19" i="27"/>
  <c r="F19" i="27"/>
  <c r="I19" i="27"/>
  <c r="J19" i="27" s="1"/>
  <c r="D19" i="27"/>
  <c r="O17" i="27"/>
  <c r="G17" i="27"/>
  <c r="F17" i="27"/>
  <c r="I17" i="27" s="1"/>
  <c r="D17" i="27"/>
  <c r="O15" i="27"/>
  <c r="G15" i="27"/>
  <c r="F15" i="27"/>
  <c r="I15" i="27" s="1"/>
  <c r="D15" i="27"/>
  <c r="O13" i="27"/>
  <c r="G13" i="27"/>
  <c r="F13" i="27"/>
  <c r="I13" i="27"/>
  <c r="J13" i="27" s="1"/>
  <c r="D13" i="27"/>
  <c r="G11" i="27"/>
  <c r="F11" i="27"/>
  <c r="I11" i="27" s="1"/>
  <c r="D11" i="27"/>
  <c r="O9" i="27"/>
  <c r="G9" i="27"/>
  <c r="F9" i="27"/>
  <c r="I9" i="27" s="1"/>
  <c r="D9" i="27"/>
  <c r="O7" i="27"/>
  <c r="O84" i="27" s="1"/>
  <c r="G7" i="27"/>
  <c r="G84" i="27" s="1"/>
  <c r="F7" i="27"/>
  <c r="D7" i="27"/>
  <c r="D84" i="27" s="1"/>
  <c r="H44" i="23"/>
  <c r="E44" i="23"/>
  <c r="D44" i="23"/>
  <c r="H33" i="24"/>
  <c r="D33" i="24"/>
  <c r="J33" i="24"/>
  <c r="E33" i="24"/>
  <c r="M12" i="24"/>
  <c r="M29" i="24"/>
  <c r="M30" i="24"/>
  <c r="M26" i="24"/>
  <c r="M33" i="24" s="1"/>
  <c r="M11" i="24"/>
  <c r="M7" i="23"/>
  <c r="M9" i="23"/>
  <c r="M44" i="23" s="1"/>
  <c r="M8" i="23"/>
  <c r="M24" i="23"/>
  <c r="M43" i="23"/>
  <c r="M40" i="23"/>
  <c r="M42" i="23"/>
  <c r="M39" i="23"/>
  <c r="M41" i="23"/>
  <c r="M20" i="23"/>
  <c r="M19" i="23"/>
  <c r="M18" i="23"/>
  <c r="M23" i="23"/>
  <c r="M22" i="23"/>
  <c r="M21" i="23"/>
  <c r="M30" i="23"/>
  <c r="M15" i="23"/>
  <c r="M14" i="23"/>
  <c r="M13" i="23"/>
  <c r="M12" i="23"/>
  <c r="M11" i="23"/>
  <c r="M17" i="23"/>
  <c r="K17" i="28"/>
  <c r="K78" i="27"/>
  <c r="J76" i="27"/>
  <c r="K13" i="27"/>
  <c r="I7" i="27"/>
  <c r="J7" i="27" s="1"/>
  <c r="I11" i="28"/>
  <c r="K23" i="27" l="1"/>
  <c r="J23" i="27"/>
  <c r="K43" i="27"/>
  <c r="J43" i="27"/>
  <c r="J66" i="27"/>
  <c r="K66" i="27"/>
  <c r="J64" i="27"/>
  <c r="K64" i="27"/>
  <c r="K29" i="27"/>
  <c r="J29" i="27"/>
  <c r="K33" i="27"/>
  <c r="J33" i="27"/>
  <c r="J39" i="27"/>
  <c r="K39" i="27"/>
  <c r="K49" i="27"/>
  <c r="J49" i="27"/>
  <c r="J51" i="27"/>
  <c r="K51" i="27"/>
  <c r="J61" i="27"/>
  <c r="K61" i="27"/>
  <c r="J63" i="27"/>
  <c r="K63" i="27"/>
  <c r="J74" i="27"/>
  <c r="K74" i="27"/>
  <c r="J21" i="27"/>
  <c r="K21" i="27"/>
  <c r="J45" i="27"/>
  <c r="K45" i="27"/>
  <c r="K27" i="27"/>
  <c r="J27" i="27"/>
  <c r="K35" i="27"/>
  <c r="J35" i="27"/>
  <c r="J41" i="27"/>
  <c r="K41" i="27"/>
  <c r="J57" i="27"/>
  <c r="K57" i="27"/>
  <c r="K7" i="27"/>
  <c r="K40" i="28"/>
  <c r="K9" i="27"/>
  <c r="I84" i="27"/>
  <c r="J9" i="27"/>
  <c r="J84" i="27" s="1"/>
  <c r="J11" i="27"/>
  <c r="K11" i="27"/>
  <c r="J15" i="27"/>
  <c r="K15" i="27"/>
  <c r="K17" i="27"/>
  <c r="J17" i="27"/>
  <c r="K47" i="27"/>
  <c r="J47" i="27"/>
  <c r="J53" i="27"/>
  <c r="K53" i="27"/>
  <c r="K55" i="27"/>
  <c r="J55" i="27"/>
  <c r="J68" i="27"/>
  <c r="K68" i="27"/>
  <c r="J72" i="27"/>
  <c r="K72" i="27"/>
  <c r="I40" i="28"/>
  <c r="F84" i="27"/>
  <c r="K12" i="28"/>
  <c r="J25" i="27"/>
  <c r="F40" i="28"/>
  <c r="F41" i="28" s="1"/>
  <c r="K8" i="28"/>
  <c r="K14" i="28" s="1"/>
  <c r="F14" i="28"/>
  <c r="K19" i="27"/>
  <c r="I8" i="28"/>
  <c r="I14" i="28" s="1"/>
  <c r="I41" i="28" s="1"/>
  <c r="J31" i="27"/>
  <c r="J59" i="27"/>
  <c r="K41" i="28" l="1"/>
  <c r="K84" i="27"/>
</calcChain>
</file>

<file path=xl/comments1.xml><?xml version="1.0" encoding="utf-8"?>
<comments xmlns="http://schemas.openxmlformats.org/spreadsheetml/2006/main">
  <authors>
    <author>mag</author>
  </authors>
  <commentList>
    <comment ref="D5" authorId="0" shapeId="0">
      <text>
        <r>
          <rPr>
            <b/>
            <sz val="9"/>
            <color indexed="81"/>
            <rFont val="Tahoma"/>
            <family val="2"/>
          </rPr>
          <t>mag:</t>
        </r>
        <r>
          <rPr>
            <sz val="9"/>
            <color indexed="81"/>
            <rFont val="Tahoma"/>
            <family val="2"/>
          </rPr>
          <t xml:space="preserve">
ANOTAR EL NÚMERO DE FINCAS AFECTADAS</t>
        </r>
      </text>
    </comment>
    <comment ref="G5" authorId="0" shapeId="0">
      <text>
        <r>
          <rPr>
            <b/>
            <sz val="9"/>
            <color indexed="81"/>
            <rFont val="Tahoma"/>
            <family val="2"/>
          </rPr>
          <t>mag:</t>
        </r>
        <r>
          <rPr>
            <sz val="9"/>
            <color indexed="81"/>
            <rFont val="Tahoma"/>
            <family val="2"/>
          </rPr>
          <t xml:space="preserve">
DEBE ANOTAR EL ÁREA CON ALGUN GRADO DE AFECTACIÓN</t>
        </r>
      </text>
    </comment>
    <comment ref="H5" authorId="0" shapeId="0">
      <text>
        <r>
          <rPr>
            <b/>
            <sz val="9"/>
            <color indexed="81"/>
            <rFont val="Tahoma"/>
            <family val="2"/>
          </rPr>
          <t>mag:</t>
        </r>
        <r>
          <rPr>
            <sz val="9"/>
            <color indexed="81"/>
            <rFont val="Tahoma"/>
            <family val="2"/>
          </rPr>
          <t xml:space="preserve">
INDICAR EL PORCENTAJE (%) DE AFECTACIÓN DEL ÁREA ANOTADA EN LA COLUMNA ANTERIOR.</t>
        </r>
      </text>
    </comment>
    <comment ref="L5" authorId="0" shapeId="0">
      <text>
        <r>
          <rPr>
            <b/>
            <sz val="9"/>
            <color indexed="81"/>
            <rFont val="Tahoma"/>
            <family val="2"/>
          </rPr>
          <t>mag:</t>
        </r>
        <r>
          <rPr>
            <sz val="9"/>
            <color indexed="81"/>
            <rFont val="Tahoma"/>
            <family val="2"/>
          </rPr>
          <t xml:space="preserve">
DE 1 A 3, DONDE 1 ES MAS IMPORTANTE</t>
        </r>
      </text>
    </comment>
    <comment ref="M5" authorId="0" shapeId="0">
      <text>
        <r>
          <rPr>
            <b/>
            <sz val="9"/>
            <color indexed="81"/>
            <rFont val="Tahoma"/>
            <family val="2"/>
          </rPr>
          <t>mag:</t>
        </r>
        <r>
          <rPr>
            <sz val="9"/>
            <color indexed="81"/>
            <rFont val="Tahoma"/>
            <family val="2"/>
          </rPr>
          <t xml:space="preserve">
RESPUESTA COMO UBICAR EN ALBERGUE
REHABILITACIÓN (RECUPERAR SIGNOS VITALES, REPARAR UN RIEGO) LLEVARLE ALIMENTO A LOS ANIMALES)
RECUPERACIÓN (INSTALAR NEVO RUEGO) SEMBRAR NUEVAS PASTURAS, SEMILLAS</t>
        </r>
      </text>
    </comment>
    <comment ref="N5" authorId="0" shapeId="0">
      <text>
        <r>
          <rPr>
            <b/>
            <sz val="9"/>
            <color indexed="81"/>
            <rFont val="Tahoma"/>
            <family val="2"/>
          </rPr>
          <t>mag:</t>
        </r>
        <r>
          <rPr>
            <sz val="9"/>
            <color indexed="81"/>
            <rFont val="Tahoma"/>
            <family val="2"/>
          </rPr>
          <t xml:space="preserve">
INDICAR LA RECOMENDACIÓN PARA ATENDER O SOLUCIONAR EL PROBLEMA O DAÑO</t>
        </r>
      </text>
    </comment>
    <comment ref="O5" authorId="0" shapeId="0">
      <text>
        <r>
          <rPr>
            <b/>
            <sz val="9"/>
            <color indexed="81"/>
            <rFont val="Tahoma"/>
            <family val="2"/>
          </rPr>
          <t>mag:</t>
        </r>
        <r>
          <rPr>
            <sz val="9"/>
            <color indexed="81"/>
            <rFont val="Tahoma"/>
            <family val="2"/>
          </rPr>
          <t xml:space="preserve">
INDICAR EL COSTO ESTIMADO PARA REALIZAR LA RECOMEDACIÓN INDICADA EN LA COLUMNA R.</t>
        </r>
      </text>
    </comment>
    <comment ref="J7" authorId="0" shapeId="0">
      <text>
        <r>
          <rPr>
            <b/>
            <sz val="9"/>
            <color indexed="81"/>
            <rFont val="Tahoma"/>
            <family val="2"/>
          </rPr>
          <t>mag:</t>
        </r>
        <r>
          <rPr>
            <sz val="9"/>
            <color indexed="81"/>
            <rFont val="Tahoma"/>
            <family val="2"/>
          </rPr>
          <t xml:space="preserve">
TM DE AZÚCAR</t>
        </r>
      </text>
    </comment>
    <comment ref="K7" authorId="0" shapeId="0">
      <text>
        <r>
          <rPr>
            <b/>
            <sz val="11"/>
            <color indexed="81"/>
            <rFont val="Tahoma"/>
            <family val="2"/>
          </rPr>
          <t>mag:</t>
        </r>
        <r>
          <rPr>
            <sz val="11"/>
            <color indexed="81"/>
            <rFont val="Tahoma"/>
            <family val="2"/>
          </rPr>
          <t xml:space="preserve">
Este dato corresponde a la reducción por efecto de la sequia, no a perdida total, ya que en caña si se presentan lluviar el cultivo podría lograr alguna producción. TOTAL DE ÁREA PERDIDA POR KG DE AZÚCAR PROYECTADO (1TM CAÑA : 0,1 TM AZÚCAR) A 100.000 COLONES POR TM, que el ingenio le paga al productor, cuando el ingenio cosecha y transporta la caña.</t>
        </r>
      </text>
    </comment>
    <comment ref="F9" authorId="0" shapeId="0">
      <text>
        <r>
          <rPr>
            <b/>
            <sz val="9"/>
            <color indexed="81"/>
            <rFont val="Tahoma"/>
            <family val="2"/>
          </rPr>
          <t>mag:</t>
        </r>
        <r>
          <rPr>
            <sz val="9"/>
            <color indexed="81"/>
            <rFont val="Tahoma"/>
            <family val="2"/>
          </rPr>
          <t xml:space="preserve">
SE INCLUYE ÁREAS DE PEQUEÑOS PRODUCTORES NO REGISTRADOS EN CONARROZ</t>
        </r>
      </text>
    </comment>
    <comment ref="K9" authorId="0" shapeId="0">
      <text>
        <r>
          <rPr>
            <b/>
            <sz val="12"/>
            <color indexed="81"/>
            <rFont val="Tahoma"/>
            <family val="2"/>
          </rPr>
          <t>mag:</t>
        </r>
        <r>
          <rPr>
            <sz val="12"/>
            <color indexed="81"/>
            <rFont val="Tahoma"/>
            <family val="2"/>
          </rPr>
          <t xml:space="preserve">
No se incluyen áreas que se dejó de sembrar.</t>
        </r>
      </text>
    </comment>
    <comment ref="J13" authorId="0" shapeId="0">
      <text>
        <r>
          <rPr>
            <b/>
            <sz val="9"/>
            <color indexed="81"/>
            <rFont val="Tahoma"/>
            <family val="2"/>
          </rPr>
          <t>mag:</t>
        </r>
        <r>
          <rPr>
            <sz val="9"/>
            <color indexed="81"/>
            <rFont val="Tahoma"/>
            <family val="2"/>
          </rPr>
          <t xml:space="preserve">
4 TM equivale a 16 fanegas promedio.
250 kg = 1 fanega = 46 kg café ORO</t>
        </r>
      </text>
    </comment>
  </commentList>
</comments>
</file>

<file path=xl/comments2.xml><?xml version="1.0" encoding="utf-8"?>
<comments xmlns="http://schemas.openxmlformats.org/spreadsheetml/2006/main">
  <authors>
    <author>mag</author>
  </authors>
  <commentList>
    <comment ref="L5" authorId="0" shapeId="0">
      <text>
        <r>
          <rPr>
            <b/>
            <sz val="9"/>
            <color indexed="81"/>
            <rFont val="Tahoma"/>
            <family val="2"/>
          </rPr>
          <t>mag:</t>
        </r>
        <r>
          <rPr>
            <sz val="9"/>
            <color indexed="81"/>
            <rFont val="Tahoma"/>
            <family val="2"/>
          </rPr>
          <t xml:space="preserve">
DE 1 A 3, DONDE 1 ES MAS IMPORTANTE</t>
        </r>
      </text>
    </comment>
    <comment ref="M5" authorId="0" shapeId="0">
      <text>
        <r>
          <rPr>
            <b/>
            <sz val="9"/>
            <color indexed="81"/>
            <rFont val="Tahoma"/>
            <family val="2"/>
          </rPr>
          <t>mag:</t>
        </r>
        <r>
          <rPr>
            <sz val="9"/>
            <color indexed="81"/>
            <rFont val="Tahoma"/>
            <family val="2"/>
          </rPr>
          <t xml:space="preserve">
INDICAR LA RECOMENDACIÓN PARA ATENDER O SOLUCIONAR EL PROBLEMA O DAÑO</t>
        </r>
      </text>
    </comment>
    <comment ref="K8" authorId="0" shapeId="0">
      <text>
        <r>
          <rPr>
            <b/>
            <sz val="9"/>
            <color indexed="81"/>
            <rFont val="Tahoma"/>
            <family val="2"/>
          </rPr>
          <t>mag:</t>
        </r>
        <r>
          <rPr>
            <sz val="9"/>
            <color indexed="81"/>
            <rFont val="Tahoma"/>
            <family val="2"/>
          </rPr>
          <t xml:space="preserve">
Este efecto no se incluye como pérdida, solo la producción de carne y leche, indicado en el cuadro inferior.</t>
        </r>
      </text>
    </comment>
    <comment ref="M8" authorId="0" shapeId="0">
      <text>
        <r>
          <rPr>
            <b/>
            <sz val="9"/>
            <color indexed="81"/>
            <rFont val="Tahoma"/>
            <family val="2"/>
          </rPr>
          <t>mag:</t>
        </r>
        <r>
          <rPr>
            <sz val="9"/>
            <color indexed="81"/>
            <rFont val="Tahoma"/>
            <family val="2"/>
          </rPr>
          <t xml:space="preserve">
Paquete de 2kg brachiaria  16000 y Guinea 21600</t>
        </r>
      </text>
    </comment>
    <comment ref="F17" authorId="0" shapeId="0">
      <text>
        <r>
          <rPr>
            <b/>
            <sz val="9"/>
            <color indexed="81"/>
            <rFont val="Tahoma"/>
            <family val="2"/>
          </rPr>
          <t>mag:</t>
        </r>
        <r>
          <rPr>
            <sz val="9"/>
            <color indexed="81"/>
            <rFont val="Tahoma"/>
            <family val="2"/>
          </rPr>
          <t xml:space="preserve">
Cantidad de leche por producción por vaca por día en 2 meses.</t>
        </r>
      </text>
    </comment>
    <comment ref="F19" authorId="0" shapeId="0">
      <text>
        <r>
          <rPr>
            <b/>
            <sz val="9"/>
            <color indexed="81"/>
            <rFont val="Tahoma"/>
            <family val="2"/>
          </rPr>
          <t>mag:</t>
        </r>
        <r>
          <rPr>
            <sz val="9"/>
            <color indexed="81"/>
            <rFont val="Tahoma"/>
            <family val="2"/>
          </rPr>
          <t xml:space="preserve">
Se deja de ganar 0,350 kg de peso/animal/día</t>
        </r>
      </text>
    </comment>
    <comment ref="M20" authorId="0" shapeId="0">
      <text>
        <r>
          <rPr>
            <b/>
            <sz val="9"/>
            <color indexed="81"/>
            <rFont val="Tahoma"/>
            <family val="2"/>
          </rPr>
          <t>mag:</t>
        </r>
        <r>
          <rPr>
            <sz val="9"/>
            <color indexed="81"/>
            <rFont val="Tahoma"/>
            <family val="2"/>
          </rPr>
          <t xml:space="preserve">
valor del quintal 8596, citro pulpa peletizada.</t>
        </r>
      </text>
    </comment>
    <comment ref="M22" authorId="0" shapeId="0">
      <text>
        <r>
          <rPr>
            <b/>
            <sz val="9"/>
            <color indexed="81"/>
            <rFont val="Tahoma"/>
            <family val="2"/>
          </rPr>
          <t>mag:</t>
        </r>
        <r>
          <rPr>
            <sz val="9"/>
            <color indexed="81"/>
            <rFont val="Tahoma"/>
            <family val="2"/>
          </rPr>
          <t xml:space="preserve">
valor del quintal 2825 sal cruda molida. 2650 cruda granulada</t>
        </r>
      </text>
    </comment>
    <comment ref="M23" authorId="0" shapeId="0">
      <text>
        <r>
          <rPr>
            <b/>
            <sz val="9"/>
            <color indexed="81"/>
            <rFont val="Tahoma"/>
            <family val="2"/>
          </rPr>
          <t>mag:</t>
        </r>
        <r>
          <rPr>
            <sz val="9"/>
            <color indexed="81"/>
            <rFont val="Tahoma"/>
            <family val="2"/>
          </rPr>
          <t xml:space="preserve">
Bolsa de minerales de nutriplex de viymisa con un valor de 18600.</t>
        </r>
      </text>
    </comment>
    <comment ref="M25" authorId="0" shapeId="0">
      <text>
        <r>
          <rPr>
            <b/>
            <sz val="9"/>
            <color indexed="81"/>
            <rFont val="Tahoma"/>
            <family val="2"/>
          </rPr>
          <t>mag:</t>
        </r>
        <r>
          <rPr>
            <sz val="9"/>
            <color indexed="81"/>
            <rFont val="Tahoma"/>
            <family val="2"/>
          </rPr>
          <t xml:space="preserve">
rollo de 100 bolsas volor de 38150 empresa olefina</t>
        </r>
      </text>
    </comment>
    <comment ref="E35" authorId="0" shapeId="0">
      <text>
        <r>
          <rPr>
            <b/>
            <sz val="9"/>
            <color indexed="81"/>
            <rFont val="Tahoma"/>
            <family val="2"/>
          </rPr>
          <t>mag:</t>
        </r>
        <r>
          <rPr>
            <sz val="9"/>
            <color indexed="81"/>
            <rFont val="Tahoma"/>
            <family val="2"/>
          </rPr>
          <t xml:space="preserve">
Número de colmenas</t>
        </r>
      </text>
    </comment>
    <comment ref="F35" authorId="0" shapeId="0">
      <text>
        <r>
          <rPr>
            <b/>
            <sz val="9"/>
            <color indexed="81"/>
            <rFont val="Tahoma"/>
            <family val="2"/>
          </rPr>
          <t>mag:</t>
        </r>
        <r>
          <rPr>
            <sz val="9"/>
            <color indexed="81"/>
            <rFont val="Tahoma"/>
            <family val="2"/>
          </rPr>
          <t xml:space="preserve">
10 colmenas producen un estaño, 300 kg miel. 1 colmena 30 kg.</t>
        </r>
      </text>
    </comment>
    <comment ref="M35" authorId="0" shapeId="0">
      <text>
        <r>
          <rPr>
            <b/>
            <sz val="9"/>
            <color indexed="81"/>
            <rFont val="Tahoma"/>
            <family val="2"/>
          </rPr>
          <t>mag:</t>
        </r>
        <r>
          <rPr>
            <sz val="9"/>
            <color indexed="81"/>
            <rFont val="Tahoma"/>
            <family val="2"/>
          </rPr>
          <t xml:space="preserve">
para 100 colmenas 1,5 kg por semana por colmena. 12 qq por mes
Timol 16 gr/colmena/cada 8 días. 3 veces el tratamiento</t>
        </r>
      </text>
    </comment>
  </commentList>
</comments>
</file>

<file path=xl/comments3.xml><?xml version="1.0" encoding="utf-8"?>
<comments xmlns="http://schemas.openxmlformats.org/spreadsheetml/2006/main">
  <authors>
    <author>Julio</author>
  </authors>
  <commentList>
    <comment ref="J5" authorId="0" shapeId="0">
      <text>
        <r>
          <rPr>
            <b/>
            <sz val="9"/>
            <color indexed="81"/>
            <rFont val="Tahoma"/>
            <family val="2"/>
          </rPr>
          <t>Julio:</t>
        </r>
        <r>
          <rPr>
            <sz val="9"/>
            <color indexed="81"/>
            <rFont val="Tahoma"/>
            <family val="2"/>
          </rPr>
          <t xml:space="preserve">
Numero de beneficiarios 
X 75 ltrs diarios X 3días de autonomía ; Volumen de agua  a proveer.</t>
        </r>
      </text>
    </comment>
    <comment ref="K5" authorId="0" shapeId="0">
      <text>
        <r>
          <rPr>
            <b/>
            <sz val="9"/>
            <color indexed="81"/>
            <rFont val="Tahoma"/>
            <family val="2"/>
          </rPr>
          <t>Julio:</t>
        </r>
        <r>
          <rPr>
            <sz val="9"/>
            <color indexed="81"/>
            <rFont val="Tahoma"/>
            <family val="2"/>
          </rPr>
          <t xml:space="preserve">
a: 22.000 L
b: 10.000 L
c: 4.200 L</t>
        </r>
      </text>
    </comment>
    <comment ref="N5" authorId="0" shapeId="0">
      <text>
        <r>
          <rPr>
            <b/>
            <sz val="9"/>
            <color indexed="81"/>
            <rFont val="Tahoma"/>
            <family val="2"/>
          </rPr>
          <t>Julio:</t>
        </r>
        <r>
          <rPr>
            <sz val="9"/>
            <color indexed="81"/>
            <rFont val="Tahoma"/>
            <family val="2"/>
          </rPr>
          <t xml:space="preserve">
a:  2.millones
b: 0,8 millones
c:  0.4 millones</t>
        </r>
      </text>
    </comment>
  </commentList>
</comments>
</file>

<file path=xl/comments4.xml><?xml version="1.0" encoding="utf-8"?>
<comments xmlns="http://schemas.openxmlformats.org/spreadsheetml/2006/main">
  <authors>
    <author>Julio</author>
  </authors>
  <commentList>
    <comment ref="H5" authorId="0" shapeId="0">
      <text>
        <r>
          <rPr>
            <b/>
            <sz val="9"/>
            <color indexed="81"/>
            <rFont val="Tahoma"/>
            <family val="2"/>
          </rPr>
          <t>Julio:</t>
        </r>
        <r>
          <rPr>
            <sz val="9"/>
            <color indexed="81"/>
            <rFont val="Tahoma"/>
            <family val="2"/>
          </rPr>
          <t xml:space="preserve">
Numero de beneficiarios 
X 75 ltrs diarios X 3días de autonomía ; Volumen de agua  a proveer.</t>
        </r>
      </text>
    </comment>
    <comment ref="I5" authorId="0" shapeId="0">
      <text>
        <r>
          <rPr>
            <b/>
            <sz val="9"/>
            <color indexed="81"/>
            <rFont val="Tahoma"/>
            <family val="2"/>
          </rPr>
          <t>Julio:</t>
        </r>
        <r>
          <rPr>
            <sz val="9"/>
            <color indexed="81"/>
            <rFont val="Tahoma"/>
            <family val="2"/>
          </rPr>
          <t xml:space="preserve">
a: 22.000 L
b: 10.000 L
c: 4.200 L</t>
        </r>
      </text>
    </comment>
    <comment ref="L5" authorId="0" shapeId="0">
      <text>
        <r>
          <rPr>
            <b/>
            <sz val="9"/>
            <color indexed="81"/>
            <rFont val="Tahoma"/>
            <family val="2"/>
          </rPr>
          <t>Julio:</t>
        </r>
        <r>
          <rPr>
            <sz val="9"/>
            <color indexed="81"/>
            <rFont val="Tahoma"/>
            <family val="2"/>
          </rPr>
          <t xml:space="preserve">
a:  2.millones
b: 0,8 millones
c:  0.4 millones</t>
        </r>
      </text>
    </comment>
  </commentList>
</comments>
</file>

<file path=xl/sharedStrings.xml><?xml version="1.0" encoding="utf-8"?>
<sst xmlns="http://schemas.openxmlformats.org/spreadsheetml/2006/main" count="1884" uniqueCount="710">
  <si>
    <t>DISTRITO</t>
  </si>
  <si>
    <t>AFECTACIÓN</t>
  </si>
  <si>
    <t>PROPUESTA</t>
  </si>
  <si>
    <t>Monto Estimado de Pérdidas</t>
  </si>
  <si>
    <t>Nivel de Prioridad</t>
  </si>
  <si>
    <t>DAÑOS, PÉRDIDAS Y PROPUESTAS DE ATENCIÓN</t>
  </si>
  <si>
    <t>POBLADO</t>
  </si>
  <si>
    <t>Monto Estimado</t>
  </si>
  <si>
    <t>Naturaleza de Daños</t>
  </si>
  <si>
    <t>Insumos</t>
  </si>
  <si>
    <t>N° de Fincas o Productores</t>
  </si>
  <si>
    <t>Programas, Proyectos,  Acciones, Obras</t>
  </si>
  <si>
    <t>Área Afectada (Ha.)</t>
  </si>
  <si>
    <t>Total</t>
  </si>
  <si>
    <t>Actividad o Productos</t>
  </si>
  <si>
    <t>Infraestructura Agrícola</t>
  </si>
  <si>
    <t>Cantidades Estimadas (Peso)</t>
  </si>
  <si>
    <t>Puntarenas</t>
  </si>
  <si>
    <t>Lepanto</t>
  </si>
  <si>
    <t>El Coto</t>
  </si>
  <si>
    <t>Arroz</t>
  </si>
  <si>
    <t>Sequía</t>
  </si>
  <si>
    <t>Disminuir tramites de aprovechamiento de agua</t>
  </si>
  <si>
    <t>El Golfo</t>
  </si>
  <si>
    <t>Pasturas</t>
  </si>
  <si>
    <t>Suministro e pacas y miel. Ayuda económica para hacer cosechas de agua</t>
  </si>
  <si>
    <t>Leche</t>
  </si>
  <si>
    <t>Todos los distritos</t>
  </si>
  <si>
    <t>Apicultura</t>
  </si>
  <si>
    <t>Suministro de azucar</t>
  </si>
  <si>
    <t>Ojo de Agua</t>
  </si>
  <si>
    <t>Sistema de riego Corazón de Jesus Aojo de mAgua</t>
  </si>
  <si>
    <t>San Rafael</t>
  </si>
  <si>
    <t>Montes de Oro</t>
  </si>
  <si>
    <t>La Unión</t>
  </si>
  <si>
    <t>Cedral</t>
  </si>
  <si>
    <t>Sistema de Riego Ventanas,Cedral,Pueblo Nuevo</t>
  </si>
  <si>
    <t>Miramar</t>
  </si>
  <si>
    <t>Zapotal</t>
  </si>
  <si>
    <t>Hortalizas</t>
  </si>
  <si>
    <t>Arancibia</t>
  </si>
  <si>
    <t>Ganadería</t>
  </si>
  <si>
    <t>Silo pacas, melaza y poliducto</t>
  </si>
  <si>
    <t>Corazón de Jesús</t>
  </si>
  <si>
    <t>Palmital- ventanas</t>
  </si>
  <si>
    <t xml:space="preserve">Miramar </t>
  </si>
  <si>
    <t>Orotina</t>
  </si>
  <si>
    <t>Papaya</t>
  </si>
  <si>
    <t>Sequia y viento</t>
  </si>
  <si>
    <t>Aguacate</t>
  </si>
  <si>
    <t>Sandía</t>
  </si>
  <si>
    <t>Semilla, A Q</t>
  </si>
  <si>
    <t>Melon</t>
  </si>
  <si>
    <t>Mango</t>
  </si>
  <si>
    <t>Bovina</t>
  </si>
  <si>
    <t>Potreros</t>
  </si>
  <si>
    <t>Semilla- Herb</t>
  </si>
  <si>
    <t>Sequia</t>
  </si>
  <si>
    <t>Esparza</t>
  </si>
  <si>
    <t>San Jerónimo</t>
  </si>
  <si>
    <t>Perdida frutas por viento</t>
  </si>
  <si>
    <t>San Juan Grande</t>
  </si>
  <si>
    <t>Salinas</t>
  </si>
  <si>
    <t>El Barón</t>
  </si>
  <si>
    <t>perdida floración por viento</t>
  </si>
  <si>
    <t>Caña</t>
  </si>
  <si>
    <t>Perdida por sequía</t>
  </si>
  <si>
    <t>Espiritu Santo</t>
  </si>
  <si>
    <t>Bovinos</t>
  </si>
  <si>
    <t>Semilla. Herbicidas</t>
  </si>
  <si>
    <t>Recuperación de pasturas</t>
  </si>
  <si>
    <t>Macacona</t>
  </si>
  <si>
    <t>Pacas</t>
  </si>
  <si>
    <t>Alimentación -mantenimiento</t>
  </si>
  <si>
    <t>Forrajes</t>
  </si>
  <si>
    <t>Barranca</t>
  </si>
  <si>
    <t>Zagala Nueva</t>
  </si>
  <si>
    <t>Recuperación de pastura</t>
  </si>
  <si>
    <t>Paquera</t>
  </si>
  <si>
    <t>Rio Grande</t>
  </si>
  <si>
    <t>Guayaba</t>
  </si>
  <si>
    <t>Plantación</t>
  </si>
  <si>
    <t xml:space="preserve"> Agroq- MO</t>
  </si>
  <si>
    <t>Obras para captar agua</t>
  </si>
  <si>
    <t>Maíz</t>
  </si>
  <si>
    <t>Naciente, Riego, pozos</t>
  </si>
  <si>
    <t>Semilla, fertilizante</t>
  </si>
  <si>
    <t>Suministro de Alimneto</t>
  </si>
  <si>
    <t>Garabito</t>
  </si>
  <si>
    <t>Semilla Aq</t>
  </si>
  <si>
    <t>Sequia, viento</t>
  </si>
  <si>
    <t>Semilla, Aq</t>
  </si>
  <si>
    <t>Tarcoles - Jaco</t>
  </si>
  <si>
    <t>Potrero</t>
  </si>
  <si>
    <t>Semilla Herbicida</t>
  </si>
  <si>
    <t>Monteverde</t>
  </si>
  <si>
    <t>MO, fertilizantes</t>
  </si>
  <si>
    <t>Suministro de forrajes . Melaza</t>
  </si>
  <si>
    <t>Café</t>
  </si>
  <si>
    <t>MO, A q</t>
  </si>
  <si>
    <t>Sequia/ problema fitosanitario</t>
  </si>
  <si>
    <t>San Mateo</t>
  </si>
  <si>
    <t>Labrador</t>
  </si>
  <si>
    <t>Oricuajo</t>
  </si>
  <si>
    <t>Maiz</t>
  </si>
  <si>
    <t>Centro</t>
  </si>
  <si>
    <t>Prevención roya</t>
  </si>
  <si>
    <t>Recuperación pasturas, Manteniento, Alimento</t>
  </si>
  <si>
    <t>Potreros, Alimentos</t>
  </si>
  <si>
    <t>Fertilizantes</t>
  </si>
  <si>
    <t>Semilla</t>
  </si>
  <si>
    <t>Miel sal Mine, pacas, semilla</t>
  </si>
  <si>
    <t>Baja recuperación de pastos de piso y corte, sequía, merma de peso.</t>
  </si>
  <si>
    <t>Ceiba-Coyolar-Mastate</t>
  </si>
  <si>
    <t>Recuperación pastos, mantenimiento alimentos, reservorios de agua</t>
  </si>
  <si>
    <t>Bovina y apícola</t>
  </si>
  <si>
    <t xml:space="preserve">Silo pacas, melaza, recuperación de pasturas </t>
  </si>
  <si>
    <t>Café,</t>
  </si>
  <si>
    <t>Tomate</t>
  </si>
  <si>
    <t>Vainica</t>
  </si>
  <si>
    <t>Cedral, Palmital, Ventanas</t>
  </si>
  <si>
    <t>Compra de Fertilizantes</t>
  </si>
  <si>
    <t>Compra de Semilla, Fertilizantes y herbicidas</t>
  </si>
  <si>
    <t>Obras para captar agua, Fertilizantes y semilla.</t>
  </si>
  <si>
    <t>Sistema de riego Corazón de Jesus Aojo de mAgua, compra de semilla y fertilizante</t>
  </si>
  <si>
    <t>Compra de Fertilizantes, semilla</t>
  </si>
  <si>
    <t>Compra de Fertilizantes y semilla</t>
  </si>
  <si>
    <t>N° de Fincas o Produc-tores</t>
  </si>
  <si>
    <t>Idem proyecto de riego.  Se requiere silo pacas, y algunas fincas poliducto para llevar agua</t>
  </si>
  <si>
    <t>Labrador, Jesús María, San Mateo</t>
  </si>
  <si>
    <t>Jesús María</t>
  </si>
  <si>
    <t>Jacó</t>
  </si>
  <si>
    <t>Tárcoles</t>
  </si>
  <si>
    <t>Pérdida de floración, aumento de enfermedades y plagas</t>
  </si>
  <si>
    <t>Pipian</t>
  </si>
  <si>
    <t>Declaratoria de Emergencia, Decreto  Ejecutivo N° 38642-MP-MAG</t>
  </si>
  <si>
    <t>Ojo de Agua, san Rafael, Corazón de Jesús</t>
  </si>
  <si>
    <t>PROPUESTAS</t>
  </si>
  <si>
    <t>Actividad o Producto</t>
  </si>
  <si>
    <t>Área total de Cultivo (ha)</t>
  </si>
  <si>
    <t xml:space="preserve">Área completamente perdida </t>
  </si>
  <si>
    <t>Área con alguna afectación</t>
  </si>
  <si>
    <t>% de daño sobre área con alguna afectación</t>
  </si>
  <si>
    <t>Área Total de Pérdida Ha (Pérdida total + % área afectada)</t>
  </si>
  <si>
    <t xml:space="preserve"> Cantidades Estimadas (volumen producido ton.)</t>
  </si>
  <si>
    <t>Nivel de Prio-ridad</t>
  </si>
  <si>
    <t>Fase 2</t>
  </si>
  <si>
    <t>Nicoya-Santa Cruz-Carrillo-Liberi-aBagaces-Cañas-Abangares</t>
  </si>
  <si>
    <t xml:space="preserve">San Antonio
Santa Cruz, Bolsón,  Diria. Filadelfia, Palmira, Belén, Sardinal
Cañas Dulces
San Miguel Bebedero
</t>
  </si>
  <si>
    <t>Talolinga, San Lazaro, B° Limón, Río Cañas, Bolsón, Ortega. 
La Guinea, Corrallillos, Ballena,  Canta Rana, Guanislama, Palo Blanco, Bambu, Los Jocotes, Paso Tempisque, Palmira,  Los Ángeles, Comunidad, Cachimbo, Rio Cañas, Asentamiento La Piragua, Monte Carmelo, Coyolito, Santa Ana, San Blas, Sardinal, Papagayo, Guadalupe, Lajas-La Palma-San Joaquín-Limonal-Barrio Jesús</t>
  </si>
  <si>
    <t>Caña de Azúcar</t>
  </si>
  <si>
    <t>Rehabilitación y Recuperación</t>
  </si>
  <si>
    <r>
      <t xml:space="preserve">Compra de 6.000 </t>
    </r>
    <r>
      <rPr>
        <b/>
        <sz val="8"/>
        <rFont val="Arial"/>
        <family val="2"/>
      </rPr>
      <t xml:space="preserve">TM </t>
    </r>
    <r>
      <rPr>
        <sz val="8"/>
        <rFont val="Arial"/>
        <family val="2"/>
      </rPr>
      <t>Semilla de caña, Compra de 2400 qq de fertilizante 10-30-10. Compra de 5000 qq de Nitrato de amonio
2400 lt Herbicida Terbutrina (Terbutrex) 50 SC. 1200 kg Herbicida Diuron (Karmex) 80 WP, 900 lt herbicida 2-4 D 6 lb</t>
    </r>
  </si>
  <si>
    <t>Nandayure-Hojancha-Nicoya-Santa Cruz-Carrillo-Liberia-La Cruz-Bagaces-Cañas-Tilarán-Abangares</t>
  </si>
  <si>
    <t>San Pablo, Santa Rita, Zapotal, Huacas, Nicoya, San Antonio
Qda Honda, Santa Cruz, 27 de Abril, Diriá.
Filadelfia, Palmira, Belén, Sardinal, Cañas Dulces. Liberia,  Mayorga, Santa Elena, Santa Cecilia, La Garita, la Cruz, San Miguel, Colorado</t>
  </si>
  <si>
    <t>Pavones, Canjelito, Pilas, Santa Rita, Cacao, Roxana, Chimurria, Tacani, Zapotal, Huacas, Caimital, San Joaquín
Guayabal, 27 de Abril, Talolinguita, Bernabela
Palo Blanco, Filadelfia, Los Jocotes, Paso Tempisque, Las Palmas, Hda Filadelfia, Belén, Rio Cañas, Asentamiento La Pipragua, El Escobio. El Cedro y Quebrada Grande. Cuajiniquil, Aguas calientes,Tempatal,Paso Bolaños, La Libertad,Las Brisas, San Dimas, San Fernando, Guapinol, La Garita, Animas, santa Elena, La Virgen, Los Palmares, Armenias, El Caoba, Piedras Azules, San Rafael, Argendora, La Lajoza, Finca Laberinto, Liberia, Guadaluoe, Guardia</t>
  </si>
  <si>
    <t>Recuperación</t>
  </si>
  <si>
    <t>Compra de 1.000 qq de Semilla de arroz
Compra de 1200 qq de fertilizante 10-30-10
Compra de 2400 qq de Nitrato de amonio</t>
  </si>
  <si>
    <t>Nandayure-Nicoya-Carrillo-Liberia</t>
  </si>
  <si>
    <t>Nicoya, San Antonio y Qda Honda, Filadelfia, Sardinal</t>
  </si>
  <si>
    <t>San Joaquín, Caimital, Dulce Nombre, Filadelfia, Sardinal</t>
  </si>
  <si>
    <t>Melón</t>
  </si>
  <si>
    <t>Nandayure-Hojancha-Nicoya-Santa Cruz-Tilarán-Abangares</t>
  </si>
  <si>
    <t>Huacas,  Monte Romo  Hojancha
Nicoya, Belen
La Sierra-Quebrada Grande-Libano</t>
  </si>
  <si>
    <t>Pita Rayada, Los Loros, San isidro, Huacas, El Socorro, Monte Romo, Maravilla, Colas de Gallo, Juan Días, Q. Bonita, Santa Elena, Los Angeles La Esperanza, El Dos-Candelaria-Marcelleza-Campos de Oro-San Rafael- Cebadilla-Los Tornos-San Ramón-Cabeceras-Solania-Las Nubes</t>
  </si>
  <si>
    <t>300 kg Semilla de café CR 95
Compra de 1.000 qq de 10-30-10. Compra de 1.000 qq de Nitrato de amonio
4150 qq de formula cafetalera 18-3-20-6-2</t>
  </si>
  <si>
    <t>San Pablo, Santa Rita, Zapotal, Huacas, Monte Romo, Pto Carrillo, Hojancha, Nicoya, San Antonio, La Mansiòn, Qda Honda, Santa Cruz Bolson 
 27 de Abril Tempate  Cartagena  Cuajiniquil  Diriá, Cabo Velas Tamarindo, Filadelfia, Palmira, Belén, Sardinal
Cañas Dulces, Curubandé, Mayorga, Nacascolo, Liberia, Santa Elena, Santa Cecilia  La Garita, la Cruz.
Bagaces Fortuna Mogotes 
San Miguel,  Bebedero, Palmira, Porosal, Cañas
Sta Rosa,Libano Las Juntas-Colorado</t>
  </si>
  <si>
    <t>Pavones, Canjelito, Santa Rita, Cacao, Roxana, Chimurria, Tacani, Zapotal, Tita Rayada,Avellana, Mercedes, San Isidro, Cuesta Roja, Socorro, Trinidad, La Loras, Guapinol, Sn Miguel, Lajas, Betania, Santa Marta, Santa María, Estrada, Rábago, Puerto Carrillo, Cerrillo, Hojancha Centro, San Rafael, Los Angeles,Arenas, Libertad, Pila Langosta, Matambú,  San Gerardo, Maravilla, San Juan Bosco, Quirimán, Juan Dìaz, C. de Gallo, La Virginia, C. Negro, Miramar, Gamalotal, D. Nombre, Santa Ana, Santa Cruz, Arado, San Juan, Barrio Limón, Rio Cañas, Bosón, Ortega, Santa Rosa, Matapalo, Portegolpe, El Llano, Villarreal, Guaitil, Sta. Barbara, Cartagena, Lorena, Chircó, San Pedro, Lagunilla, Hatillo, Cañafistola, 27 de Abril, Río Seco, San José de la Montaña, El Socorro, Bernabela, Oriente, Filadelfia, Palmira, Belén, Sardinal, Buena Vista,Santa Clara, Cañas Dulces, Quebrada Grande, Aguas Fria , El truinfo, Las Lilas, El Consuelo, Cuajiniquil, Aguas Clientes, Tempatal, Paso Bolaños, La Libertad,Las Brisas, San Dimas, San Fernando, Guapinol, La Garita, Animas, santa Elena, La Virgen, Los Palmares, Armenias, El Caoba, Piedras Azules, San Rafael, Argendora, La Lajoza, Montano Llanos del  Cortes Marañonal Pijije Cofradia San Bernardo El Torno Salitral El Arbolito La Cañita, Paso Lajas; Palmira; Bebedero; Higueron, la gotera, San Juan,  La Palma, Solania, Limonal-La Enrramada-Lajas-Barbudal-Colorado-La Concha-Piedra Verde</t>
  </si>
  <si>
    <t>Compra de 400 qq de Semilla de maíz (variedad)
Compra de 800 qq de fertilizante 10-30-10
Compra de 800 qq de Nitrato de amonio</t>
  </si>
  <si>
    <t>San Pablo, Santa Rita, Zapotal, Huacas, Monte Romo, Pto Carrillo, Hojancha, Santa Cruz
Cañas Dulces, Curubandé, Mayorga, Nacascolo, Liberia, Bagaces, Fortuna, Mogote , Rio Naranjo
San Miguel; Cañas; Palmira</t>
  </si>
  <si>
    <t>Pavones, Canjelito, Santa Rita, Cacao, Roxana, Chimurria, Tacani, Zapotal, Tita Rayada, Avellana, Mercedes, San Isidro, Cuesta Roja, Socorro, Trinidad, La Loras, Guapinol, San Miguel, Lajas, Betania, Santa Marta, Santa María, Estrada,Rábago, Puerto Carrillo, Cerrillo, Hojancha Centro, San Rafael, Los Angeles, Arenas, Libertad, Pila Langosta, Matambú, San Gerardo, Maravilla, San Juan Bosco, Los Angeles, La Esperanza, Buena Vista,Santa Clara, Cañas Dulces, Quebrada Grande, Aguas Fria, El truinfo, Las Lilas, El Consuelo, Bagaces Montano Llanos de Cortes Pijije Marañonal Las Mesas Corralillo Santa Fe Cofradia San Pedro San Bernardo San Isidro San Pedro Bagaces, San Juan; Higuerón; San Miguel</t>
  </si>
  <si>
    <t>Frijol</t>
  </si>
  <si>
    <t>Compra de 400 qq de Semilla de frijol (variedad)
Compra de 800 qq de fertilizante 10-30-10
Compra de 800 qq de Nitrato de amonio</t>
  </si>
  <si>
    <t>Nandayure-Bagaces</t>
  </si>
  <si>
    <t>Santa Rita, Santa Cruz,  Bagaces, Fortuna, Mogote, Rio Naranjo</t>
  </si>
  <si>
    <t xml:space="preserve">Santa Rita, Lagunilla, San Bernardo   </t>
  </si>
  <si>
    <t>Compra de 60 qq de fertilizante 10-30-10. Compra de 60 qq de Nitrato de amonio</t>
  </si>
  <si>
    <t>La Cruz, Liberia</t>
  </si>
  <si>
    <t>Cañas Dulces, Curubandé, Mayorga, Nacascolo, Liberia, Bagaces, Fortuna, Mogote , Rio Naranjo</t>
  </si>
  <si>
    <t>Santa Cecilia,Buena Vista,Santa Clara, Cañas Dulces, Quebrada Grande, Aguas Fria , El truinfo, Las Lilas, El Consuelo, Llanos del Cortes, Marañonal San Bernardo</t>
  </si>
  <si>
    <t>Plátano</t>
  </si>
  <si>
    <t>Compra de 60 qq de fertilizante 10-30-10
Compra de 60 qq de Nitrato de amonio</t>
  </si>
  <si>
    <t>Santa Cruz-Liberia-Bagaces</t>
  </si>
  <si>
    <t>Santa Cruz,Cañas Dulces, Bagaces, Fortuna, Mogote, Rio Naranjo, Colorado</t>
  </si>
  <si>
    <t>Canas Dulces, Las Torres, Lagunilla, Cañas Dulces, Las Torres, Bagaces, Salitral, Montano, San Bernardo, San Isidro, Llanos de Cortes, Marañonal, Higuerillas.</t>
  </si>
  <si>
    <t>Compra de semilla sandía Quetzali 100 lbr
Compra de 200 qq de fertilizante 10-30-10
Compra de 200 qq de Nitrato de amonio</t>
  </si>
  <si>
    <t>Nandayure-Nicoya-Liberia-Abangares</t>
  </si>
  <si>
    <t>San Pablo Santa Rita, Nicoya, Liberia, Abangares</t>
  </si>
  <si>
    <t>Pavones, Canjelito, Santa Rita, Casitas, Liberia</t>
  </si>
  <si>
    <t>Compra de 200 qq de fertilizante 10-30-10
Compra de 200 qq de Nitrato de amonio</t>
  </si>
  <si>
    <t>Nandayure-Hojancha-Nicoya-Santa Cruz-La Cruz-Tilarán-Abangares-Liberia</t>
  </si>
  <si>
    <t>Huacas, Nicoya, Belèn de Nosarita, Liberia, Curubande, Mayorga</t>
  </si>
  <si>
    <t>Huacas, Monteromo,Colas de Gallo, Juan Días, Q. Bonita, Santa Elena, Cerro Negro,El consuelo, Agua Fria,El  Escobio, Santa Cecilia</t>
  </si>
  <si>
    <t>Naranja</t>
  </si>
  <si>
    <t>Compra de 400 qq de fertilizante 10-30-10
Compra de 400 qq de Nitrato de amonio, 5120 Árboles de naranja</t>
  </si>
  <si>
    <t>Liberia</t>
  </si>
  <si>
    <t>Liberia,  El Escobio</t>
  </si>
  <si>
    <t>Limón mesina</t>
  </si>
  <si>
    <t>Rehabilitación</t>
  </si>
  <si>
    <t>Liberia, El Escobio</t>
  </si>
  <si>
    <t>Limón mandarina</t>
  </si>
  <si>
    <t>La Cruz</t>
  </si>
  <si>
    <t>Maracuya</t>
  </si>
  <si>
    <t>Tilarán</t>
  </si>
  <si>
    <t>Libano</t>
  </si>
  <si>
    <t>Solania,Cerro San José, Libano</t>
  </si>
  <si>
    <t>Nandayure</t>
  </si>
  <si>
    <t>San Pablo</t>
  </si>
  <si>
    <t>Canjelito</t>
  </si>
  <si>
    <t>Compra de 100 qq de fertilizante 10-30-10
Compra de 100 qq de Nitrato de amonio</t>
  </si>
  <si>
    <t>Macadamia</t>
  </si>
  <si>
    <t>Piña</t>
  </si>
  <si>
    <t>Pitahaya</t>
  </si>
  <si>
    <t>Bagaces</t>
  </si>
  <si>
    <t>Fortuna, Mogote, Bagaces</t>
  </si>
  <si>
    <t xml:space="preserve">Bagaces Fortuna Rio Blanco Salitral </t>
  </si>
  <si>
    <t>Cebolla</t>
  </si>
  <si>
    <t>Nicoya, Sétimo, Bagaces, Fortuna, Mogotes, Libano, Tronadora,Tierras Morenas</t>
  </si>
  <si>
    <t>Colas de Gallo, Juan Días, Q. Bonita, Santa Elena, Bagaces, Rio Chiquito Rio Naranjo San Bernardo San Isidro Rio Blanco,Solania,Cerro SanJose,Tierras  Morenas, Tronadora</t>
  </si>
  <si>
    <t>Semillas de tomate 100 paquetes de 1000 semillas (Vr Charger)</t>
  </si>
  <si>
    <t>Nicoya, 27 de Abril, Santa Cruz, Bagaces. Fortuna, Mogotes, Libano,Tierras morenas,Tronadora</t>
  </si>
  <si>
    <t>Colas de gallo, Juan días, Q. Bonita, Santa Elena
San Jose de la Montaña, Lagunilla, Bagaces Guayabo, Fortuna, San Bernardo, San Isidro, Llanos de Cortes Marañonal, Cuipilapa, Montano, Cofradia Pijije Arbolito Rio Blanco, Cerro San jose,Tierras Morenas Tronadora.</t>
  </si>
  <si>
    <t>Chile Dulce</t>
  </si>
  <si>
    <t xml:space="preserve">Chile dulce vr 4212
10 pqtes de 5000 semillas
Chile dulce vr Nataly
10 pqtes de 5000 semillas </t>
  </si>
  <si>
    <t>La Cruz-Bagaces-Tilarán</t>
  </si>
  <si>
    <t>Bagaces, Fortuna, Mogotes, Santa Cecilia
Tilarán</t>
  </si>
  <si>
    <t>Bagaces, San Bernardo, Santa Cecilia</t>
  </si>
  <si>
    <t>Chile Picante</t>
  </si>
  <si>
    <t>Compra de 100 qq de fertilizante 10-30-10, Compra de 100 qq de Nitrato de amonio</t>
  </si>
  <si>
    <t>Nicoya-Bagaces-La Cruz</t>
  </si>
  <si>
    <t>San Antonio, Bagaces Fortuna Mogotes, La Cruz</t>
  </si>
  <si>
    <t>Moracia, El Flor, Corralillo, Pozo de Agua, Talolinga, Florida, San Vicente, Bagaces Pijije Llanos de Cortes Montano San Bernardo  San Isidro Fortuna,La Cruz, Santa Cecilia</t>
  </si>
  <si>
    <t xml:space="preserve">Bagaces Fortuna Mogotes </t>
  </si>
  <si>
    <t>Pepino</t>
  </si>
  <si>
    <t>Nicoya-Tilarán</t>
  </si>
  <si>
    <t>Nicoya, Libano,  Tronadora Centro</t>
  </si>
  <si>
    <t>Juan Díaz,Maravilla, Tronadora Centro</t>
  </si>
  <si>
    <t>Lechuga</t>
  </si>
  <si>
    <t>Semilla de lechuga Vr Tropical Emperador 10  pqt de 25.000 semillas y 10 Vr Sargazo 25.000 semillas.</t>
  </si>
  <si>
    <t>Nicoya-Bagaces</t>
  </si>
  <si>
    <t>Nicoya, Fortuna,Mogote, Bagaces</t>
  </si>
  <si>
    <t xml:space="preserve">Juan Díaz,Fortuna, Rio Blanco </t>
  </si>
  <si>
    <t>Culantro</t>
  </si>
  <si>
    <t>20 bolsa 1 kg Semilla de culantro castilla</t>
  </si>
  <si>
    <t>Liberia-La Cruz</t>
  </si>
  <si>
    <t>Cañas Dulces, Curubandé, Mayorga, Nacascolo, Liberia, Santa Elena, Santa Cecilia, La Garita, La Cruz.</t>
  </si>
  <si>
    <t>El consuelo, Agua Frio, El  Escobio, Santa Elena, Santa Cecilia  La Garita, la Cruz.</t>
  </si>
  <si>
    <t>Tiquisque</t>
  </si>
  <si>
    <t>Compra de 200 qq de fertilizante 10-30-10, Compra de 200 qq de Nitrato de amonio</t>
  </si>
  <si>
    <t>Nandayure-La Cruz</t>
  </si>
  <si>
    <t>Santa Rita27 de Abril
Santa Elena, Santa Cecilia  La Garita, la Cruz.</t>
  </si>
  <si>
    <t>Chimurria, San José de la Montaña, Lagunilla, Santa Elena, Santa Cecilia  La Garita, la Cruz.</t>
  </si>
  <si>
    <t>Chamol</t>
  </si>
  <si>
    <t>Libería Cañas</t>
  </si>
  <si>
    <t>Cañas Dulces, Curubandé, Mayorga, Nacascolo, Liberia Santa Cecilia</t>
  </si>
  <si>
    <t>El consuelo Agua Fria,El  Escobio, Santa Cecilia</t>
  </si>
  <si>
    <t>Yuca</t>
  </si>
  <si>
    <t>Otras hortalizas</t>
  </si>
  <si>
    <t>Compra de 200 qq de fertilizante 10-30-10, Compra de 200 qq de Nitrato de amonio,Pequeños sistemas de riego con sus respectivos materiales y accesorios (Poliductos polietileno de alta densidad 12; 18; 25; 38 y 50 mm; filtros de anillo y de malla, cinta de goteo de diferentes descargas, inyectores de fertilizantes solubles, manómetro 60 psi; tubo PVC de 0,5, 1 y 1,5 pulgadas).
Plastico para invernadero o ambientes protegidos (6mX10 milX 100 mt), resistente a UV)</t>
  </si>
  <si>
    <t>Bagaces-Cañas-Liberia</t>
  </si>
  <si>
    <t>Algodón</t>
  </si>
  <si>
    <t>Santa Rita</t>
  </si>
  <si>
    <t>Maní</t>
  </si>
  <si>
    <t>Nicoya,La Mansión, San Antonio, Belén, Filadelfia, Bagaces, Fortuna, Mogotes</t>
  </si>
  <si>
    <t xml:space="preserve">Rio Cañas, Filadelfia, San Bernardo, Llanos del Cortez, Marañonal, San Isidro, San Bernardo, Cofradía, Montano, Salitral   </t>
  </si>
  <si>
    <t>Elote</t>
  </si>
  <si>
    <t xml:space="preserve">Santa Cecilia </t>
  </si>
  <si>
    <t>Otro Ñame</t>
  </si>
  <si>
    <t>Otro Gengibre</t>
  </si>
  <si>
    <t>Actividades de apoyo a la recuperación</t>
  </si>
  <si>
    <t>Materiales, insumos, equipos y otros para atender todas las actividades agropecuarias afectadas por el Fenómeno del Niño.</t>
  </si>
  <si>
    <t>Recurso humano espacializdo</t>
  </si>
  <si>
    <t>Subsidios para la compra de alimentos para sus familias.</t>
  </si>
  <si>
    <t xml:space="preserve"> Programa de Reconocimiento de Beneficios Ambientales para apoyar a los productores agropecuarios de la provincia de Guanacaste.</t>
  </si>
  <si>
    <t>Totales</t>
  </si>
  <si>
    <t xml:space="preserve">Actividad o Producto </t>
  </si>
  <si>
    <t>Cantidad (N° Animales)</t>
  </si>
  <si>
    <t>Área Total de Pérdida Ha  o Kgs . de Carne</t>
  </si>
  <si>
    <t>PRODUCCIÓN PARA LA ALIMENTACIÓN ANIMAL (Area de Pérdidas en Ha.)</t>
  </si>
  <si>
    <t>Santa Rita, San Pablo, Carmona, Porvenir, Bejuco, Zapotal. Huacas, Monte Romo, Puerto Carrillo, Hojancha, Nicoya, La Mansiòn, San Antonio y Quebrada Honda, Santa Cruz, Bolsón, 27 de Abril  Tempate Cartagena  Cuajiniquil  Diriá - Cabo Velas  Tamarindo, Sardinal, Filadelfia, Palmira, Belén, Liberia, Mayorga, Curubandé, Cañas Dulces, Nacascolo, La Cruz, Santa Elena, Bagaces, Fortuna, Mogote , Rio Naranjo
Cañas, Palmira, San Miguel Bebedero, Porozal, Libano,Tierras Morenas, Santa Rosa, Colorado, Las Juntas,San Juan</t>
  </si>
  <si>
    <t>Santa Rita, La Guaria, Pavones, San Pablo, Pilas de Canjel, Puerto Thiel, Canjelito, San Rafael, Vista del Mar, Bella Vista, Zapote (Moravia), Zapotal, Rio Ora, Rio Oro,Tita Rayada, Avellana, Mercedes, San Isidro, Cuesta Roja, Socorro, Trinidad, La Loras, Guapinol, Sn Miguel, Lajas, Betania, Santa Marta, Santa María, Estrada, Rábago, Puerto Carrillo, Cerrillo, Hojancha Centro, San Rafael. Los Angeles, Arenas, Libertad, Pila, Langosta, Matambú, San Gerardo, Maravilla. San Juan Bosco, Quiriman, Juan Dìaz, C. Gallo, L. Virginia, Cerro Negro, Miramar, Gamalotal, Dulce Nombre, Santa Ana, Pueblo Viejo, Barra Honda,, S. Joaquin, La Vigia, Acoyapa, Morote, E Flor, Corralillo, Cañal, Monte Galàn. Pozo de Agua, Puerto Humo, Rosario, moracia, Zapote, S. Làzaro, Talolinga, Pas pozas, S. Vicente, Florida, L. Montañita, San Juan, Pochote, Copal, Caballito, C. de piedra, Tortuguero, Loma Bonita, Zonzapote, Roblar, Puerto Humo, Santa Cruz, Arado, San Juan, Barrio Limón, Rio Cañas, Bosón, Ortega, Santa Rosa, Matapalo, Portegolpe, El Llano, Villarreal, Guaitil, Sta. Barbara, Cartagena, Lorena, Chircó, San Pedro, Lagunilla, Hatillo, Cañafistola, 27 de Abril, Río Seco, San José de la Montaña, El Socorro, Bernabela, Oriente, Nuevo Colón, Santa Rita, Tablaso, Zapal, Artolito, Artola, Playa Panamá, Obandito, La Pilas, Nancite Dulce, Nancital, La Carpintera, Bejuco, Libertad, Alto El Roble, San Antonio, San Blas, Los Playones, Guinea, Filadelfia Centro, Santo Domingo, Belen Centro, Hojochal, Palestina, Coyolito, Los Planes, Loma Bonita, Juanislama, Paso Tempisque, Palmira Centro, Santa Ana, Rio Cañas, Paraíso, Matina, Castillo de Oro, Corralillo, Puerto Ballena, Escobio, El salto, Guanislama, La Arena, Santa Maria, Rodeito,Camabalache,Quebrada Grande, Santa Clara, El Consuelo Las Lilas,Los Angeles, Agua Fria,Guadalupe,Panamacito, Buena Vista,Guayacan, El PochoteEl Cedro,Los Lotes,Guardia,San Miguel, El Triunfo,Monte Galan. Cuajiniquil, Agua Caliente, Tempatal, El Jobo Puerto Soley, Bagaces, Montano Llanos de Cortéz, Pijije, Marañonal,  Las Mesas Santa Fe, Cofradia, San Pedro, San Bernardo, San Isidro, Salitral, Fortuna,Cuipilapa, Guayabo, Río Naranjo, Naranjito, Río Chiquito, Cedros, Concepción, Corobicí, Hotel, Javilla Arriba y Javilla Abajo, Libertad,Montes de Oro, San Isidro, Santa Lucía, Bergel, Sandillal, Agua Caliente, Paraíso, Tenorio, El Coco, La Gotera, Higuerón, San Juan, Tabóga, Coopetabóga, Las Brisas, Escameca, Guapinol, Las Pozas, Puerto Alegre, Quesera, Santa Lucía, Tiquiruzas, Solania, Maravilla, Cerro San José, Libano, Tierras Morenas, Quebrada Azul, La Palma, San Joaquin, Agrolajas, San Buenaventura, Iguerilla, Santa Lucia, Limonal, Matapalo, La Marimba, Los Angeles, San Juan, Coyolar, Lourdes, Pozo Azul, Barbudal, Monte Potrero</t>
  </si>
  <si>
    <t>Pasto (ha)</t>
  </si>
  <si>
    <t>Por falta de agua el pasto ha reducido su capacidad de crecimiento en un 75%, aunque este porcentaje podrá ser mayor conforme avance los impactos del ENOS. Además, por falta de pasto se presenta el sobrepastoreo que causa perdida total de las pasturas.</t>
  </si>
  <si>
    <t>5000 kg de Semilla de pasto de piso (kg) (Brachiaria y Guineas). Paquete de 2 kg.</t>
  </si>
  <si>
    <t>Santa Rita, San Pablo. Santa Cruz- Bolson - 27 de Abril - Tempate - Cartagena - Cuajiniquil - Diriá - Cabo Velas - Tamarindo, Bagaces Fortuna Mogote, Rio Naranjo</t>
  </si>
  <si>
    <t>Santa Rita, La Guaria, Pavones, San Pablo, Pilas de Canjel, Puerto Thiel, Canjelito, Santa Cruz, San Juan, Santa Bárbara, Guaitil, Lagunilla, 27 de Abril, Cartagena, Tempate, San Pedro, Barrio Limón, Matapalo, Hatillo, Tamarindo, Bagaces Montano Llanos de Cortes, Pijije, Marañonal, Las Mesas Santa Fe Cofradia,  San Pedro, San Bernardo San Isidro Salitral, Fortuna Cuipilapa Guayabo , Río Naranjo Naranjito, Río Chiquito</t>
  </si>
  <si>
    <t>Pasto para Heno (ha)</t>
  </si>
  <si>
    <t>Se ha redujo el crecimiento del pasto por lo que la producción de paca se redujo hasta en un 60% y con esto la aferta de heno al mercado.
Mayor presencia de malezas y se hace imposible la aplicación de fertilizante por lo que el reduce la capacidad de producción.</t>
  </si>
  <si>
    <t>Compra de maquinaria agrícola para la producción de heno, (3 equipos) ensilaje y silopacas, para asignación a organización de ganaderos de la región para brindar el servicio a los productores.</t>
  </si>
  <si>
    <t>Santa Rita, San Pablo, Carmona, Zapotal. Nicoya, La Mansiòn, San Antonio y Quebrada Honda. Santa Cruz-  27 de Abril - Tempate - Cartagena -  Diriá. Liberia, Mayorga,Curubandé, Cañas Dulces, Nacascolo
Bagaces, Fortuna, Mogote,  Rio Naranjo, Libano, Tierras Morenas</t>
  </si>
  <si>
    <t>Santa Rita, La Guaria, Pavones, San Pablo, Pilas de Canjel, Puerto Thiel, Canjelito, San Rafael, Vista del Mar, Zapotal, Rio Ora, Rio Oro. P. Viejo, La Mansión, Nicoya,  Rio Grande, Florida, San Antonio, Monte Galàn. Acoyapa, La Vigia, La Montañita, Santa Cruz, Arado, San Juan, Barrio Limón, Bernabela, Guaitil, Sta. Barbara, Oriente,  Cartagena, Lorena, Chircó, San Pedro, Lagunilla, Hatillo, Cañafistola, 27 de Abril, Río Seco, Guanislama . El Salto, Liberia, La Arena, Guadalupe,Cañas Dulces, Los Lotes, Bagaces, Montano, Llanos de Cortes, Pijije, Marañonal, Las Mesas, Santa Fe, Cofradia, San Pedro, San Bernardo, San Isidro, Salitral Fortuna Cuipilapa Guayabo, Río Naranjo Naranjito,  Río Chiquito, Solania, Maravilla, Cerro San José, Libano,Tierras Morenas, Quebrada Azul, La Palma</t>
  </si>
  <si>
    <t>Pasto de corte (ha) Caña</t>
  </si>
  <si>
    <t>200 TM de semilla de caña de azúcar para alimentar bovinos</t>
  </si>
  <si>
    <t>Santa Rita, San Pablo, Carmona, Zapotal.Nicoya, La Mansiòn, San Antonio y Quebrada Honda, Bagaces, Fortuna, Mogote, Rio Naranjo, Santa  Rosa.</t>
  </si>
  <si>
    <t>Santa Rita, La Guaria, Pavones, San Pablo, Pilas de Canjel, Puerto Thiel, Canjelito, San Rafael, Vista del Mar, Zapotal, Rio Ora, Rio Oro, Bagaces, Montano, Llanos de Cortes, Pijije, Marañonal, Las Mesas, Santa Fe, Cofradia, San Pedro, San Bernardo, San Isidro, Salitral, Fortuna, Cuipilapa, Guayabo, Río Naranjo, Naranjito, Río Chiquito, Quebrada Azul,  La Palma</t>
  </si>
  <si>
    <t>Pasto de corte (ha) Tipo King grass</t>
  </si>
  <si>
    <t>100 qq de Semilla de sorgo forrajero para producción de forraje de corte (quintales)
200 Equipos para pequeños sistemas de riego con sus respectivos materiales y accesorios para riego de pastos de corte.
100 Picadoras de pasto: 50 a motor eléctrico 5hp y 50 a motor de combustible con una potencia de 5 hp.</t>
  </si>
  <si>
    <t>Pasto de corte (ha) Leguminosas</t>
  </si>
  <si>
    <t xml:space="preserve">Santa Rita </t>
  </si>
  <si>
    <t>Santa Rita, La Guaria.</t>
  </si>
  <si>
    <t>Otro (Maíz o Sorgo)</t>
  </si>
  <si>
    <t>SUBTOTAL</t>
  </si>
  <si>
    <t>PÉRDIDAS EN PRODUCCIÓN DE CARNE, LECHE, TILAPIA, COLMENAS Y MUERTE DE ANIMALES.</t>
  </si>
  <si>
    <t>Nandayure-Hojancha-Nicoya-Santa Cruz-Carrillo-Liberia-Bagaces-Cañas-Abangares</t>
  </si>
  <si>
    <t>Santa Rita, San Pablo, Carmona, Porvenir, Bejuco. Huacas, Monte Romo, Hojancha, Nicoya, La Mansión, San Antonio, Quebrada Honda, Santa Cruz, Bolsón,  27 de Abril, Cartagena, Diriá, Sardinal, Filadelfia, Palmira, Belén, Liberia, Mayorga,Curubandé, Cañas Dulces, Nacascolo, Fortuna, Mogote , Rio Naranjo, Cañas, Palmira, San Miguel Porozal, Bebedero, Colorado, Las Juntas, San Juan</t>
  </si>
  <si>
    <r>
      <t xml:space="preserve">Santa Rita, Pto San Pablo Porvenir, Pavones, San Pablo, Carmona, Canjelito,  Bajos de Mora. Juan de León.Tita Rayada, Avellana, Mercedes, San Isidro, Cuesta Roja, Socorro, Trinidad, La Loras, Guapinol, Sn Miguel, Cerrillo, hojancha Centro, San Rafael, Los Angeles, Arenas, Libertad, Pila Langosta, Matambú, San Gerardo, Maravilla, San Juan Bosco,Quiriman, Juan Dìaz, C. Gallo, L. Virginia, Cerro Negro, Miramar, Gamalotal, Dulce Nombre, Santa Ana, Pueblo Viejo, Barra Honda,, S. Joaquin, La Vigia, Acoyapa, Morote, E Flor, Corralillo, Cañal, Monte Galàn. Pozo de Agua, Puerto Humo, Rosario, moracia, Zapote, S. Làzaro, Talolinga, Pas pozas, S. Vicente, Florida, L. Montañita, San Juan, Pochote, Copal, Caballito, C. de piedra, Tortuguero, Loma Bonita, Zonzapote, Roblar, Puerto Humo., Santa Cruz, Arado, San Juan, Barrio Limón, Bernabela, Guaitil, Sta. Barbara, Cartagena, Lorena, Chircó, San Pedro, Lagunilla, Hatillo, Cañafistola, 27 de Abril, Río Seco, Nuevo Colón, Santa Rita, Tablaso, Zapal, Artolito. Artola, Playa Panamá, Obandito, La Pilas, Nancite Dulce, Nancital , La Carpintera, Bejuco, Libertad, Alto El Roble, San Antonio, San Blas, Los Playones, Guinea, Filadelfia Centro, Santo Domingo, Belen Centro, Hojochal, Palestina, Coyolito, Los Planes, Loma Bonita, Juanislama, Paso Tempisque, </t>
    </r>
    <r>
      <rPr>
        <sz val="7"/>
        <color indexed="10"/>
        <rFont val="Arial"/>
        <family val="2"/>
      </rPr>
      <t xml:space="preserve">Palmira Centro, Santa Ana, </t>
    </r>
    <r>
      <rPr>
        <sz val="7"/>
        <rFont val="Arial"/>
        <family val="2"/>
      </rPr>
      <t>Rio Cañas, Paraíso, Matina, Castillo de Oro, Corralillo, Puerto Ballena, Escobio, , La Arena ,Rodeito,Quebrada Grande , Santa Clara,El Consuelo Las Lilas, Agua Fria,,Panamacito, Buena Vista,Guayacan,El Cedro,Guardia, San Pedro, Pueblo Nuevo, Rincón de La Cruz, San Bernardo, La Giganta, Río Blanco, Fortuna, Cuipilapa, Guayabo, Río Naranjo, Naranjito, Río Chiquito, Ccedros, Concepción, Corobicí, Hotel, Javilla Arriba y Javilla Abajo, Libertad, Montes de Oro, San Isidro, Santa Lucía, Bergel, Sandillal, Agua Caliente,Paraíso, Tenorio, El Coco, La Gotera, Higuerón, San Juan,Tabóga, Coopetabóga, Las Brisas, Escameca, Guapinol, Las Pozas, Puerto Alegre, Quesera, Santa Lucía, Tiquiruzas, La Palma y San Joaquin, Agrolajas, San Buena,  Limonal</t>
    </r>
  </si>
  <si>
    <t>Leche (kg)</t>
  </si>
  <si>
    <t>La falta de pastos a consecuencia de la sequia causó disminución de la producción de leche hasta en un 50%, en un período de 2,5 meses.</t>
  </si>
  <si>
    <t>Igual a las acciones para la producción de carne.</t>
  </si>
  <si>
    <t>Hojancha-Nicoya-Santa Cruz-Carrillo-Liberia-Bagaces-Cañas-Abangares</t>
  </si>
  <si>
    <t xml:space="preserve"> </t>
  </si>
  <si>
    <t>Tita Rayada, Avellana, Mercedes, San Isidro, Cuesta Roja, Socorro, Trinidad, La Loras, Guapinol, Sn Miguel, Lajas, Betania, Santa Marta, Santa María, Estrada, Rábago, Puerto Carrillo, Cerrillo, Hojancha Centro, San Rafael, Los Angeles, Arenas, Libertad, Pila Langosta, Matambú, San Gerardo, Maravilla, San Juan Bosco, P. Viejo, La Mansiòn, Nicoya,  Rio Grande, Florida, San Antonio, Monte Galàn. Acoyapa, La Vigia, La Montañita, Santa Cruz, Arado, San Juan, Barrio Limón, Rio Cañas, Bosón, Ortega, Santa Rosa, Matapalo, Portegolpe, El Llano, Villarreal, Guaitil, Sta. Barbara, Cartagena, Lorena, Chircó, San Pedro, Lagunilla, Hatillo, Cañafistola, 27 de Abril, Río Seco, San José de la Montaña, El Socorro, Bernabela, Oriente, Sardinal, Filadelfia, Palmira, Belén, Escobio, El salto, Guanislama, La Arena , Santa Maria, Rodeito, Camabalache, Quebrada Grande, Santa Clara, El Consuelo, Las Lilas, Los Angeles, Agua Fría, Guadalupe, Panamacito, Buena Vista, Guayacan, El Pochote El Cedro,Los Lotes, Guardia, San Miguel, El Triunfo, Monte Galan. Bagaces, Montano, Llanos de Cortes, Pijije, Marañonal, Las Mesas, Santa Fe, Cofradia, San Pedro, San Bernardo, San Isidro, Salitral, Fortuna, Cuipilapa, Guayabo, Río Naranjo, Naranjito, Río Chiquito, Cedros, Concepción, Corobicí, Hotel, Javilla Arriba y Javilla Abajo, Libertad Montes de Oro,San Isidro, Santa Lucía, Bergel, Sandillal,  Agua Caliente, Paraíso, Tenorio, El Coco, La Gotera, Higuerón, San Juan, Tabóga, Coopetabóga, Las Brisas, Escameca, Guapinol, Las Pozas, Puerto Alegre, Quesera, Santa Lucía, Tiquiruzas, ,Barbudal,Monte potrero,Higuerillas,Agrolajas,Pozo Azul,Coyolito, Limonal, Matapalo,La Luz, Los Angeles,La Marimba,Coyolar,Santa Lucia</t>
  </si>
  <si>
    <t>Carne (kg)</t>
  </si>
  <si>
    <t>La falta de pastos a consecuencia de la sequia causó disminución de la producción de carne hasta en un 50%, en un período de 2,5 meses. Además en muchas fincas no se disponia de agua cerca de la finca, lo que obligó a los ganaderos trasladar los animales a distancia para que tomaran agua sus animales.</t>
  </si>
  <si>
    <t>1,5 millones de Pacas de heno de arroz, rectangular, de 16 kg peso, para alimentación de bovinos, o el equivalente en un porcentaje (50%) de pacas de heno de arroz, cilíndrica, de 250 kg peso, para alimentación de bovinos. (para un período de 6 meses, 250.000 pacas por mes).</t>
  </si>
  <si>
    <t>54348 sacos de Citrocom para la alimentación de bovinos (o citropulpa a partir de diciembre).</t>
  </si>
  <si>
    <t>1.934.340 kg Melaza para alimentación de bovinos</t>
  </si>
  <si>
    <t>96.717 kg de Sal para alimentación de bovinos.</t>
  </si>
  <si>
    <r>
      <t>77.374 kg de Bolsa de Minerales de 20kg para alimentación de bovinos.</t>
    </r>
    <r>
      <rPr>
        <sz val="8"/>
        <color indexed="8"/>
        <rFont val="Arial"/>
        <family val="2"/>
      </rPr>
      <t xml:space="preserve"> </t>
    </r>
  </si>
  <si>
    <t>967.170 kg de Harina de coquito de palma para alimentación de bovinos.</t>
  </si>
  <si>
    <t>50 rollos de 100 bolsas plásticas para ensilaje de 24" x 46" y 6 milésimas de espesor (1,2 millones).</t>
  </si>
  <si>
    <t>50 rollos de Plástico (rollos) para ensilaje 8mx100m en 9 milésimas de espesor.</t>
  </si>
  <si>
    <t>200 servicios de Transporte de alimentos para animales, equipos y otros.</t>
  </si>
  <si>
    <t>20 servicos de Alquiler de cisterna para transporte de Melaza (25.000 kg por cisterna)</t>
  </si>
  <si>
    <t>Agua Fria</t>
  </si>
  <si>
    <t>Tilapia y acuicultura</t>
  </si>
  <si>
    <t>2 Proyectos piloto de producción de peces, mariscos, y crustáceos en jaulas con cuatro módulos en dos diferentes zonas pesqueras (Puerto Jesús, Puerto Pochote) estas del cantón de Nicoya.</t>
  </si>
  <si>
    <t>Santa Clara, El Cedro</t>
  </si>
  <si>
    <t>Cerdos</t>
  </si>
  <si>
    <t>Cabras</t>
  </si>
  <si>
    <t>La Arena, El Escobio</t>
  </si>
  <si>
    <t>Ovejas</t>
  </si>
  <si>
    <t>Nandayure, Hojancha, Nicoya, Santa Cruz, Liberia, Abangares</t>
  </si>
  <si>
    <t>Santa Rita, San Pablo, Carmona, Porvenir, Bejuco, Zapotal, Huacas, Monte Romo, Puerto Carrillo, Hojancha, Nicoya, San Antonio, Santa Cruz  27 de Abril  Tempate, Cartagena, Cuajiniquil  Tamarindo, Las Juntas de Abangares, Colorado</t>
  </si>
  <si>
    <t>Santa Rita, San Pablo, Carmona, San Josesito, San Gabriel, Pueblo Nuevo, La Soledad, Tita Rayada, Avellana, Mercedes, San Isidro, Cuesta Roja, Socorro,Ttrinidad, La Loras, Guapinol, San Miguel , Lajas, Betania, Santa Marta, Santa María, Estrada, Rábago, Puerto Carrillo, Cerrillo, hojancha Centro, San Rafael, Los Angeles, Arenas, Libertad, Pila Langosta, Matambú, San Gerardo, Maravilla, San Juan Bosco, Nicoya, Pedernal,  Caimital, Corralillo, San Juan, Lagunilla, Arado, 27 de Abril, Las Delicias, Río Seco, Paraiso, Espavelar, San José de la Montaña, Río Tabaco, Florida, Tamarindo, Santa Rosa,Villarreal, Portegolpe, Agua Fria, San Juan, Barrio Jesús, Agrolajas, Monte Potrero.</t>
  </si>
  <si>
    <t>Apicultura (colmenas)</t>
  </si>
  <si>
    <t>3000 quintales de azúcar moreno para la alimentación de las abejas.
300 Kg Timol en sales (suplemento alimenticio para control de Barroa)</t>
  </si>
  <si>
    <t>Nandayure, Santa Cruz, Carrillo, Liberia, Bagaces</t>
  </si>
  <si>
    <t>Santa Rita, San Pablo, Carmona, Zapotal, Santa Cruz, Tempate, Diriá, Belen, Sardinal, Filadelfia, Bagaces, Fortuna</t>
  </si>
  <si>
    <t>Santa Rita, San Pablo, Carmona,  La Soledad, Caimito, El Llano, Santa Bárbara, Belén, Santa Ana, Hojochal, Sardinal, Filadelfia, Las Lilas, Pijije, San Bernardo.</t>
  </si>
  <si>
    <t>Bovinos muertos</t>
  </si>
  <si>
    <t xml:space="preserve"> ----------</t>
  </si>
  <si>
    <t>Agua Fria, Quebrada Grande</t>
  </si>
  <si>
    <t>Aves</t>
  </si>
  <si>
    <t>Aves muertas</t>
  </si>
  <si>
    <t>TOTAL</t>
  </si>
  <si>
    <t xml:space="preserve">Observaciones: </t>
  </si>
  <si>
    <t>Los cálculos corresponden a los meses de mayo al 30 Setiembre 2014.
No se incluye las proyecciones de siembras que se tenían previstas, ni el incremento del desempleo, al no poder las fincas desarrollar actividades que normalmente estarían desarrollando.
Tampoco se incluye las perdidas a futuro correspondiente a la disminución de la reproducción de las vacas, que pueden alcanzas 30%.
No se incluyen las perdidas a futuro de la recurperación o establecimiento nuevamente de las pasturas.</t>
  </si>
  <si>
    <t>DAÑOS, PERDIDAS Y PROPUESTAS DE ATENCIÓN</t>
  </si>
  <si>
    <t>Declaratoria de Emergencia, Decreto Ejecutivo N° 38642-MP-MAG</t>
  </si>
  <si>
    <t>Provincia</t>
  </si>
  <si>
    <t>UBICACIÓN</t>
  </si>
  <si>
    <t>Nº Edificios</t>
  </si>
  <si>
    <t>NATURALEZA DE USO</t>
  </si>
  <si>
    <t>Poblado</t>
  </si>
  <si>
    <t xml:space="preserve">Solución  </t>
  </si>
  <si>
    <t>Nº Benefi-ciarios</t>
  </si>
  <si>
    <t>Calculo volumen de agua necesario: Ltrs</t>
  </si>
  <si>
    <t>Capacidad volumétrica del reservorio</t>
  </si>
  <si>
    <t>Costo del reservorio (millón)</t>
  </si>
  <si>
    <t>Costo de instalado + accesorios: 1.1 millón</t>
  </si>
  <si>
    <t>Monto Estimado millón</t>
  </si>
  <si>
    <t>a</t>
  </si>
  <si>
    <t>b</t>
  </si>
  <si>
    <t>c</t>
  </si>
  <si>
    <t>Alajuela</t>
  </si>
  <si>
    <t>Región Central Norte</t>
  </si>
  <si>
    <t>Atenas</t>
  </si>
  <si>
    <t>Area Rectora</t>
  </si>
  <si>
    <t>El déficit hídrico provocará en la estación seca desabasticimiento de agua, que repercute en la funcionalidad de los edificios de salud.</t>
  </si>
  <si>
    <t>Dotación de tanques de almacena-miento de agua</t>
  </si>
  <si>
    <t>Santa Eulalia</t>
  </si>
  <si>
    <t xml:space="preserve">Región Pacífico Central </t>
  </si>
  <si>
    <t>El déficit hídrico provocará en la estación seca desabasticimiento de agua</t>
  </si>
  <si>
    <t>Central</t>
  </si>
  <si>
    <t>Coyolar</t>
  </si>
  <si>
    <t>Mastate</t>
  </si>
  <si>
    <t>Sede Regional</t>
  </si>
  <si>
    <t>Cinai</t>
  </si>
  <si>
    <t>Sardinal</t>
  </si>
  <si>
    <t>Chomes</t>
  </si>
  <si>
    <t>Jicaral</t>
  </si>
  <si>
    <t>Corozal</t>
  </si>
  <si>
    <t>La Fresca</t>
  </si>
  <si>
    <t>Dominicas</t>
  </si>
  <si>
    <t>Montaña Grande</t>
  </si>
  <si>
    <t xml:space="preserve"> Rio Grande</t>
  </si>
  <si>
    <t>Manzanillo</t>
  </si>
  <si>
    <t>Abangaritos</t>
  </si>
  <si>
    <t xml:space="preserve"> Costa Pajaros</t>
  </si>
  <si>
    <t>Almendros</t>
  </si>
  <si>
    <t>Baranca</t>
  </si>
  <si>
    <t>Cóbano</t>
  </si>
  <si>
    <t xml:space="preserve"> Cobano</t>
  </si>
  <si>
    <t>Chacarita</t>
  </si>
  <si>
    <t>20 de Noviembre</t>
  </si>
  <si>
    <t xml:space="preserve"> Fray Casiano</t>
  </si>
  <si>
    <t>Chira</t>
  </si>
  <si>
    <t>San Antonio de Chira</t>
  </si>
  <si>
    <t>El Roble</t>
  </si>
  <si>
    <t xml:space="preserve"> Cinco Estrellas</t>
  </si>
  <si>
    <t xml:space="preserve"> Roble</t>
  </si>
  <si>
    <t>Espirito Santo</t>
  </si>
  <si>
    <t xml:space="preserve"> Esparza</t>
  </si>
  <si>
    <t xml:space="preserve"> Mojón</t>
  </si>
  <si>
    <t>Aguirre</t>
  </si>
  <si>
    <t>Quepos</t>
  </si>
  <si>
    <t>Matapalo</t>
  </si>
  <si>
    <t>Cerros</t>
  </si>
  <si>
    <t>Savegre</t>
  </si>
  <si>
    <t>Silencio</t>
  </si>
  <si>
    <t>Naranjito</t>
  </si>
  <si>
    <t>Londres</t>
  </si>
  <si>
    <t>San Isisdro</t>
  </si>
  <si>
    <t>San Isidro</t>
  </si>
  <si>
    <t xml:space="preserve"> Quebrada Ganado</t>
  </si>
  <si>
    <t>Región Chorotega</t>
  </si>
  <si>
    <t>Upala</t>
  </si>
  <si>
    <t>El déficit hídrico provocará en la estación seca desabasticimiento de agua.</t>
  </si>
  <si>
    <t>Guanacaste</t>
  </si>
  <si>
    <t>Area Rectora y Sede Regional</t>
  </si>
  <si>
    <t>Nazareth</t>
  </si>
  <si>
    <t>San Roque</t>
  </si>
  <si>
    <t>Nacascolo</t>
  </si>
  <si>
    <t>Guardia</t>
  </si>
  <si>
    <t>Nicoya</t>
  </si>
  <si>
    <t xml:space="preserve"> Nicoya</t>
  </si>
  <si>
    <t>San Blas</t>
  </si>
  <si>
    <t xml:space="preserve"> La Virginia</t>
  </si>
  <si>
    <t>Cence</t>
  </si>
  <si>
    <t>Gamalotal</t>
  </si>
  <si>
    <t>Nambi</t>
  </si>
  <si>
    <t xml:space="preserve"> Curime</t>
  </si>
  <si>
    <t xml:space="preserve"> Caimital</t>
  </si>
  <si>
    <t xml:space="preserve"> San Martin</t>
  </si>
  <si>
    <t>Mansión</t>
  </si>
  <si>
    <t xml:space="preserve"> La Mansión</t>
  </si>
  <si>
    <t>Pueblo Viejo</t>
  </si>
  <si>
    <t>La Vigia</t>
  </si>
  <si>
    <t>Santa Ana</t>
  </si>
  <si>
    <t>San Antonio</t>
  </si>
  <si>
    <t>San Lazaro</t>
  </si>
  <si>
    <t>San Vicente</t>
  </si>
  <si>
    <t>Corralillo</t>
  </si>
  <si>
    <t xml:space="preserve"> Rosario</t>
  </si>
  <si>
    <t xml:space="preserve"> Moracia</t>
  </si>
  <si>
    <t>Quebrada Honda</t>
  </si>
  <si>
    <t>Copal</t>
  </si>
  <si>
    <t xml:space="preserve"> Quebrada Honda</t>
  </si>
  <si>
    <t>Nosara</t>
  </si>
  <si>
    <t>Bocas de Nosara</t>
  </si>
  <si>
    <t>Santa Cruz</t>
  </si>
  <si>
    <t xml:space="preserve"> Lagunilla</t>
  </si>
  <si>
    <t>Cen Santa Cruz</t>
  </si>
  <si>
    <t>Arado</t>
  </si>
  <si>
    <t>San Juan</t>
  </si>
  <si>
    <t>El Cacao</t>
  </si>
  <si>
    <t>Bolsón</t>
  </si>
  <si>
    <t>Bolson</t>
  </si>
  <si>
    <t xml:space="preserve"> Ortega</t>
  </si>
  <si>
    <t>27 de Abril</t>
  </si>
  <si>
    <t>Cen 27 de Abril</t>
  </si>
  <si>
    <t>Río Seco</t>
  </si>
  <si>
    <t xml:space="preserve"> Las Delicias</t>
  </si>
  <si>
    <t>Hatillo</t>
  </si>
  <si>
    <t>Tempate</t>
  </si>
  <si>
    <t xml:space="preserve"> Tempate</t>
  </si>
  <si>
    <t>Cen Portegolpe</t>
  </si>
  <si>
    <t xml:space="preserve"> Huacas</t>
  </si>
  <si>
    <t>El LLano</t>
  </si>
  <si>
    <t>Cartagena</t>
  </si>
  <si>
    <t>El Edén</t>
  </si>
  <si>
    <t>Cuajiniquil</t>
  </si>
  <si>
    <t>Ostional</t>
  </si>
  <si>
    <t>Diria</t>
  </si>
  <si>
    <t>Cen Sta Barbara</t>
  </si>
  <si>
    <t>Cabo Velas</t>
  </si>
  <si>
    <t xml:space="preserve"> Matapalo</t>
  </si>
  <si>
    <t>Tamarindo</t>
  </si>
  <si>
    <t>Villareal</t>
  </si>
  <si>
    <t>Sta Rosa</t>
  </si>
  <si>
    <t>San Jose Pinilla</t>
  </si>
  <si>
    <t xml:space="preserve"> La Garita</t>
  </si>
  <si>
    <t>Bacaces</t>
  </si>
  <si>
    <t>Fortuna</t>
  </si>
  <si>
    <t>Mogote</t>
  </si>
  <si>
    <t xml:space="preserve"> Guayabo</t>
  </si>
  <si>
    <t>Carrillo</t>
  </si>
  <si>
    <t>Filadelfia</t>
  </si>
  <si>
    <t xml:space="preserve"> Filadelfia</t>
  </si>
  <si>
    <t xml:space="preserve"> Playas del Coco</t>
  </si>
  <si>
    <t>Belén</t>
  </si>
  <si>
    <t xml:space="preserve"> Belen</t>
  </si>
  <si>
    <t xml:space="preserve"> Santa Ana</t>
  </si>
  <si>
    <t>Cañas</t>
  </si>
  <si>
    <t xml:space="preserve"> Cañas</t>
  </si>
  <si>
    <t>Bebedero</t>
  </si>
  <si>
    <t>Abangares</t>
  </si>
  <si>
    <t>Juntas</t>
  </si>
  <si>
    <t>La Juntas</t>
  </si>
  <si>
    <t>Colorado</t>
  </si>
  <si>
    <t>San Buena Aventura</t>
  </si>
  <si>
    <t>Quebrada Grande</t>
  </si>
  <si>
    <t>Tronadora</t>
  </si>
  <si>
    <t>Líbano</t>
  </si>
  <si>
    <t>Tierras Morenas</t>
  </si>
  <si>
    <t>Arenal</t>
  </si>
  <si>
    <t>Carmona</t>
  </si>
  <si>
    <t>Colonia Carmona</t>
  </si>
  <si>
    <t>Pilas de Canjel</t>
  </si>
  <si>
    <t>Bejuco</t>
  </si>
  <si>
    <t>San Francisco</t>
  </si>
  <si>
    <t>Pueblo Nuevo</t>
  </si>
  <si>
    <t>Pilas de Bejuco</t>
  </si>
  <si>
    <t>Garita</t>
  </si>
  <si>
    <t>La Garita</t>
  </si>
  <si>
    <t>Santa Cecilia</t>
  </si>
  <si>
    <t>Santa Elena</t>
  </si>
  <si>
    <t>Hojancha</t>
  </si>
  <si>
    <t xml:space="preserve"> Hojancha</t>
  </si>
  <si>
    <t>Matambú</t>
  </si>
  <si>
    <t>Monte Romo</t>
  </si>
  <si>
    <t>Huacas</t>
  </si>
  <si>
    <t>CEN</t>
  </si>
  <si>
    <t>DAÑOS, PÉRDIDAS Y PROPUESTAS DE SOLUCIÓN</t>
  </si>
  <si>
    <t>Central Norte</t>
  </si>
  <si>
    <t>Prestación servicios de salud</t>
  </si>
  <si>
    <t>Desabastecimiento de agua, que repercute en la funcionalidad de los edificios de salud.</t>
  </si>
  <si>
    <t>Dotación de tanques</t>
  </si>
  <si>
    <t>x</t>
  </si>
  <si>
    <t>Pacífico Central</t>
  </si>
  <si>
    <t>San Mateo - Orotina</t>
  </si>
  <si>
    <t>Desabastecimiento de agua</t>
  </si>
  <si>
    <t>X</t>
  </si>
  <si>
    <t>Desabasticimiento de agua</t>
  </si>
  <si>
    <t xml:space="preserve">EBAIS San Jerónimo: Prestación servicios de salud </t>
  </si>
  <si>
    <t>Parrita</t>
  </si>
  <si>
    <t>Libería</t>
  </si>
  <si>
    <t xml:space="preserve">Dotación de tanques </t>
  </si>
  <si>
    <t>RESUMEN</t>
  </si>
  <si>
    <t>Chorotega</t>
  </si>
  <si>
    <t>Prestacion servicios de salud</t>
  </si>
  <si>
    <t>Cálculo volumen de agua necesario: Ltrs</t>
  </si>
  <si>
    <t xml:space="preserve">Se deberá recurrir al abastecdimieto por medio de abastecimiento regulado mediate horarios </t>
  </si>
  <si>
    <t xml:space="preserve">Los pozos que abastecden el sistema bajaron el nivel de producción </t>
  </si>
  <si>
    <t xml:space="preserve">Colorado </t>
  </si>
  <si>
    <t xml:space="preserve">Flamingo </t>
  </si>
  <si>
    <t xml:space="preserve">Tamarindo </t>
  </si>
  <si>
    <r>
      <t xml:space="preserve">Se requiere la perforación de pozos, la adquisición de los terrenos. Para la adquisición de terrenos AyA deberá verificar si la producción del pozo es la requeridad por lo que una vez realizada la prueba de bombeo  se gestionará la adquisición del terreno y porteriormente se equipara el pozos ( caseta, electrificación, equipo de bombeo, tableros, tuberías de impulsión )   </t>
    </r>
    <r>
      <rPr>
        <b/>
        <sz val="8"/>
        <color indexed="8"/>
        <rFont val="Arial1"/>
      </rPr>
      <t>Observaciones:El avance en esta línea depende de los avances en la exploración de pozos según prioridades de atención de la Unidad de Construcción de pozos</t>
    </r>
  </si>
  <si>
    <t>Libería - Santa Cruz - La Cruz - Abangares</t>
  </si>
  <si>
    <r>
      <t>Reparar tanques de agua potable de Cañas para aumentar el volumen de almacenamiento, de esta forma aumentar la cantidad de agua potable disponible y mejorar continuidad del servicio. El impacto se vería en la continuidad y cantidad que se lleve a los usuarios a través de la red de distribución.</t>
    </r>
    <r>
      <rPr>
        <b/>
        <sz val="8"/>
        <color indexed="8"/>
        <rFont val="Arial1"/>
      </rPr>
      <t xml:space="preserve"> Observaciones:</t>
    </r>
    <r>
      <rPr>
        <sz val="8"/>
        <color indexed="8"/>
        <rFont val="Arial1"/>
      </rPr>
      <t xml:space="preserve"> Está adjudicado mediante Licitación Abreviada No. 2014LA-00057-PRI.  Se espera dar la orden de incio en enero 2015; esta obra se origino como necesidad con posterioridad al terremoto de Sámara.</t>
    </r>
  </si>
  <si>
    <t xml:space="preserve">el tanque se encuentrra afectado por corrosión y debe ser reparado </t>
  </si>
  <si>
    <t xml:space="preserve">Tanque de almacenamiento </t>
  </si>
  <si>
    <t xml:space="preserve">Cañas </t>
  </si>
  <si>
    <t>Por lo que se requiere equipar e interconectar el pozo No.2 a la red. Ello también incluirá la necesidad de obras de protección y electrificación. Junio 2015.</t>
  </si>
  <si>
    <t xml:space="preserve">Dependiendo de lo severo del verano se debará recurrir al abastecimiento regulado </t>
  </si>
  <si>
    <t>La demanda actual y la produccción a la baja de los pozos, sumado al crecimiento del sistema, genera la necesidad de aumentar la producción</t>
  </si>
  <si>
    <t>Sistema de Nicoya</t>
  </si>
  <si>
    <t xml:space="preserve">Nicoya </t>
  </si>
  <si>
    <t xml:space="preserve">Perforar y equipar pozo en Maquenco Nicoya y también equipamiento pozo existente.Se requiere negociación para adquisición de terreno y servidumbre. </t>
  </si>
  <si>
    <t>Presenta faltante de agua por baja producción del pozo existente, y requiere de una mayor producción para complementar el actual, ya que presenta una constante hacia la baja, reflejando con ello la necesidad de equipar, interconectar y habilitar el existente y perforar  un nuevo pozo en la zona.</t>
  </si>
  <si>
    <t xml:space="preserve">Maquenco </t>
  </si>
  <si>
    <r>
      <t xml:space="preserve">Construir tanque de agua potable y otras mejoras en sistema de Guardia de Liberia para aumentar el volumen de almacenamiento, aumentar la cantidad de disponibilidad de agua potable y mejorar continuidad del servicio. </t>
    </r>
    <r>
      <rPr>
        <b/>
        <sz val="8"/>
        <color indexed="8"/>
        <rFont val="Arial1"/>
      </rPr>
      <t>Observaciones:Este proyecto estará para el año 2016</t>
    </r>
  </si>
  <si>
    <t xml:space="preserve">El almacenamiento de esta comunidad es insuficiente por lo que se producen discontinuidad del servicio  </t>
  </si>
  <si>
    <t xml:space="preserve">Tanque de alñmacenamisnmto </t>
  </si>
  <si>
    <t xml:space="preserve">Guardia – Comunidad </t>
  </si>
  <si>
    <t xml:space="preserve">Liberia </t>
  </si>
  <si>
    <t>Una vez se cuente con el pozo, se procedería a equipar e interconectar a la red para aumentar el caudal y satisfacer la demanda requerida actualmente.  Agosto  2015</t>
  </si>
  <si>
    <t>Se requiere aumentar el caudal, para ello se encuentra en negociación la donación del pozo de la ASADA del lugar sin embargo por problemas legales de la asociación no se ha podido finiquitar la donación.</t>
  </si>
  <si>
    <t>Quebrada Grande de Liberia</t>
  </si>
  <si>
    <t>Habilitar, equipar e interconectar los pozos de El Incino, Guadalupe y El Real</t>
  </si>
  <si>
    <t xml:space="preserve">No se estan otorgando disponibilidades de agua para desarrollos habitacionales, dependiendo de lo severo de l verano se debará recurrir al abastecimiento regulado </t>
  </si>
  <si>
    <t>Debido al crecimiento tanto domiciliar así como comercial, se requiere mayor disponibilidad de agua potable, unido a esto tenemos disminución de producción y disponibilidades pendientes de aprobación.</t>
  </si>
  <si>
    <t xml:space="preserve">Sistema de Liberia, </t>
  </si>
  <si>
    <t>Construcción de pozo y líneas de interconexión a los tanques de almacenamiento de Zelaya</t>
  </si>
  <si>
    <t>Disminución de caudales</t>
  </si>
  <si>
    <t>Acueducto</t>
  </si>
  <si>
    <t>Naciente</t>
  </si>
  <si>
    <t>Zelaya</t>
  </si>
  <si>
    <t xml:space="preserve">Construcción de pozo en el aluvión del Río Aranjuez, líneas de interconexión a los tanque de almacenamiento. </t>
  </si>
  <si>
    <t>Pozo</t>
  </si>
  <si>
    <t>Manantiales y pozo</t>
  </si>
  <si>
    <t>Villa Brusellas y Queroga</t>
  </si>
  <si>
    <t>SISTEMAS DE AYA</t>
  </si>
  <si>
    <t>Monto Estimado de Costo de Obras y Labores</t>
  </si>
  <si>
    <t>Descripción de las Obras o Labores Requeridas</t>
  </si>
  <si>
    <t xml:space="preserve"> Descripción de los Daños</t>
  </si>
  <si>
    <t>Obra, Estructura o Componente Afectado</t>
  </si>
  <si>
    <t>Fuente: Presa, Naciente o Pozo</t>
  </si>
  <si>
    <t>CARACTERÍSTICAS DEL SISTEMA</t>
  </si>
  <si>
    <t>Declaratoria de Emergencia, Decreto N° 38642</t>
  </si>
  <si>
    <t>Declaratoria de Emergencia, Decreto N°: 38642</t>
  </si>
  <si>
    <t xml:space="preserve"> POBLADO (ENTE OPERADOR)</t>
  </si>
  <si>
    <t>SISTEMAS COMUNALES</t>
  </si>
  <si>
    <t>Alto Naranjo</t>
  </si>
  <si>
    <t>Tubería de conducción, bombeo y limpieza de fuentes</t>
  </si>
  <si>
    <t>Destrucción de la cada de protección de las fuentes, por caída de árboles</t>
  </si>
  <si>
    <t>Cambio de fuentes</t>
  </si>
  <si>
    <t>Caudal</t>
  </si>
  <si>
    <t>Tubería de conducción</t>
  </si>
  <si>
    <t>Disminución del caudal de agua en nacientes</t>
  </si>
  <si>
    <t>Cambio de tubería</t>
  </si>
  <si>
    <t>Subtotal</t>
  </si>
  <si>
    <t xml:space="preserve">Centro, El tigre, Villa los Reyes, Las Tres Marías, Barrio el Carmen, un sector de Barrio Nuevo, Barrio San Rafael, Barrio la Plaza, Calle Torres, Entrada vieja Orotina, El INVU, Barrio San Vicente, 
parte de Barrio Jesús, Kilómetro 1 y Kilómetro 2, Lotes Colombari, Barrio Hogar de Ancianos, Calle Rojas, Calle Colegio, Barrio Miraflores, Calle la Coyotera.
</t>
  </si>
  <si>
    <t xml:space="preserve">Nacientes </t>
  </si>
  <si>
    <t>Disminución del caudal de agua en Nacientes</t>
  </si>
  <si>
    <t>1</t>
  </si>
  <si>
    <r>
      <rPr>
        <b/>
        <sz val="8"/>
        <rFont val="Arial"/>
        <family val="2"/>
      </rPr>
      <t xml:space="preserve">1. </t>
    </r>
    <r>
      <rPr>
        <sz val="8"/>
        <rFont val="Arial"/>
        <family val="2"/>
      </rPr>
      <t>Tramitar ante MINAE la autorización para aumentar la  captación de las fuentes actuales.
2</t>
    </r>
    <r>
      <rPr>
        <b/>
        <sz val="8"/>
        <rFont val="Arial"/>
        <family val="2"/>
      </rPr>
      <t>.</t>
    </r>
    <r>
      <rPr>
        <sz val="8"/>
        <rFont val="Arial"/>
        <family val="2"/>
      </rPr>
      <t xml:space="preserve"> Construcción de tanques para captar recurso hídrico.
3</t>
    </r>
    <r>
      <rPr>
        <b/>
        <sz val="8"/>
        <rFont val="Arial"/>
        <family val="2"/>
      </rPr>
      <t>.</t>
    </r>
    <r>
      <rPr>
        <sz val="8"/>
        <rFont val="Arial"/>
        <family val="2"/>
      </rPr>
      <t xml:space="preserve"> Presupuesto para alquilar transporte de agua.
4</t>
    </r>
    <r>
      <rPr>
        <b/>
        <sz val="8"/>
        <rFont val="Arial"/>
        <family val="2"/>
      </rPr>
      <t>.</t>
    </r>
    <r>
      <rPr>
        <sz val="8"/>
        <rFont val="Arial"/>
        <family val="2"/>
      </rPr>
      <t xml:space="preserve"> Presupuesto para comprar agua.                                                                       5</t>
    </r>
    <r>
      <rPr>
        <b/>
        <sz val="8"/>
        <rFont val="Arial"/>
        <family val="2"/>
      </rPr>
      <t>.</t>
    </r>
    <r>
      <rPr>
        <sz val="8"/>
        <rFont val="Arial"/>
        <family val="2"/>
      </rPr>
      <t xml:space="preserve"> Presupuesto para comprar agua.                                         6</t>
    </r>
    <r>
      <rPr>
        <b/>
        <sz val="8"/>
        <rFont val="Arial"/>
        <family val="2"/>
      </rPr>
      <t>.</t>
    </r>
    <r>
      <rPr>
        <sz val="8"/>
        <rFont val="Arial"/>
        <family val="2"/>
      </rPr>
      <t xml:space="preserve"> Sustutución y ampliación del sistema  de cañerías.                        7. Mejoramiento del sistema de servicio de agua.                                                   
8</t>
    </r>
    <r>
      <rPr>
        <b/>
        <sz val="8"/>
        <rFont val="Arial"/>
        <family val="2"/>
      </rPr>
      <t>.</t>
    </r>
    <r>
      <rPr>
        <sz val="8"/>
        <rFont val="Arial"/>
        <family val="2"/>
      </rPr>
      <t xml:space="preserve"> Conformación de Brigadas de emergencia y proceso de capacitación                     </t>
    </r>
  </si>
  <si>
    <t xml:space="preserve"> Asadas Guarial</t>
  </si>
  <si>
    <t>Producción por descenso permanente del caudal</t>
  </si>
  <si>
    <t>Descenso permanente del caudal</t>
  </si>
  <si>
    <t>Estudio Técnico</t>
  </si>
  <si>
    <t>Asadas Bajo Negros</t>
  </si>
  <si>
    <t>Asadas Pueblo Nuevo</t>
  </si>
  <si>
    <t>Acapulco de Belén de Nosarita</t>
  </si>
  <si>
    <t xml:space="preserve"> Asada Coyolar de Acapulco</t>
  </si>
  <si>
    <t>Guacimal</t>
  </si>
  <si>
    <t>Asada Santa Rosa</t>
  </si>
  <si>
    <t>Asada Paquera</t>
  </si>
  <si>
    <t>Asada Lepanto</t>
  </si>
  <si>
    <t xml:space="preserve"> Asada Río Grande de Paquera</t>
  </si>
  <si>
    <t>Asada Concepción de Vainilla</t>
  </si>
  <si>
    <t>Monte Verde</t>
  </si>
  <si>
    <t>Asada Santa Elena</t>
  </si>
  <si>
    <t>Perdidas significativas en su caudal total</t>
  </si>
  <si>
    <t xml:space="preserve"> Asada Abangaritos de Manzanillo</t>
  </si>
  <si>
    <t>Asada San Pedro</t>
  </si>
  <si>
    <t>Asada Santa Cecilia y San Rafael</t>
  </si>
  <si>
    <t>Cobano</t>
  </si>
  <si>
    <t>Asada El Molino</t>
  </si>
  <si>
    <t>Asada Ojo de Agua</t>
  </si>
  <si>
    <t>Asada San Juan Grande y Chiquito de Esparza</t>
  </si>
  <si>
    <t>Espíritu  Santo</t>
  </si>
  <si>
    <t>Asada Mojón Espíritu Santo de Esparza</t>
  </si>
  <si>
    <r>
      <t>Lidio Blanco, Guapinol, El Jocote, EI IMAS, Las Huacas, Linda Vista,</t>
    </r>
    <r>
      <rPr>
        <sz val="8"/>
        <color indexed="8"/>
        <rFont val="Arial"/>
        <family val="2"/>
      </rPr>
      <t xml:space="preserve"> Los Laureles, Margarita Penón 1 y 2, Mar Azul, Las Delicias</t>
    </r>
  </si>
  <si>
    <t>Nacientes</t>
  </si>
  <si>
    <t>Captación de las nacientes</t>
  </si>
  <si>
    <t>Pérdida de caudal en las nacientes Tajo Alto y Vega; principales suplidoras del recurso en las comunidades afectadas</t>
  </si>
  <si>
    <t>Concesión y captación de una nueva naciente, tomándose en cuenta todos los requerimientos para su habilitación (obras de captación, sistemas de distribución y almacenamiento)</t>
  </si>
  <si>
    <t>Calle Arroyo, Proyecto Figueres, Tres Corbatas</t>
  </si>
  <si>
    <t xml:space="preserve">Racionamientos sectorizados </t>
  </si>
  <si>
    <t>Asada Nacascolo</t>
  </si>
  <si>
    <t>Belén de Nosarita</t>
  </si>
  <si>
    <t>Asada Cuajiniquil de Belén de Nosarita</t>
  </si>
  <si>
    <t xml:space="preserve"> Asada Caballito de Quebrada Honda</t>
  </si>
  <si>
    <t>Asada Bosque Don José</t>
  </si>
  <si>
    <t>Perrdidas significativas en su caudal total</t>
  </si>
  <si>
    <t>Asada Samara</t>
  </si>
  <si>
    <t>Asada Montañita de San Antonio</t>
  </si>
  <si>
    <t>Asada Lapas de Mansión de Nicoya</t>
  </si>
  <si>
    <t>Asada Playa Nosara</t>
  </si>
  <si>
    <t>Asada Pochote de Quebrada Honda</t>
  </si>
  <si>
    <t>Asada Puerto Humo de San Antonio</t>
  </si>
  <si>
    <t>Asada San Martín</t>
  </si>
  <si>
    <t>Asada San Vicente</t>
  </si>
  <si>
    <t>Asada Santa Ana</t>
  </si>
  <si>
    <t>Asada Santo Domingo</t>
  </si>
  <si>
    <t>Samara</t>
  </si>
  <si>
    <t>Asada Torito de Samara</t>
  </si>
  <si>
    <t>Asada Zaragoza de Belén</t>
  </si>
  <si>
    <t>Asada Chinampas de Sámara de Nicoya</t>
  </si>
  <si>
    <t>Asada Chira de San Lazaro</t>
  </si>
  <si>
    <t>Asada Cañal de Pozo de San Antonio</t>
  </si>
  <si>
    <t>Asada Matambuguito de Nicoya</t>
  </si>
  <si>
    <t>Veintisiete de abril</t>
  </si>
  <si>
    <t>Asada Cebadila de Veintisiete de Abril</t>
  </si>
  <si>
    <t>Asada San Isidro de Mogote</t>
  </si>
  <si>
    <t>Asada Corralillo de Filadelfia de Belén</t>
  </si>
  <si>
    <t>Asada Alto El Roble de Sardinal</t>
  </si>
  <si>
    <t>Asada Barrio de Jesús</t>
  </si>
  <si>
    <t>Asada Buenos Aires</t>
  </si>
  <si>
    <t>Asada Nispero de Cañas</t>
  </si>
  <si>
    <t>Las Juntas</t>
  </si>
  <si>
    <t>Asada Matapalo</t>
  </si>
  <si>
    <t>Sierra</t>
  </si>
  <si>
    <t>Asada San Rafael</t>
  </si>
  <si>
    <t>Asada San Juan Grande</t>
  </si>
  <si>
    <t>Descenso permanente del caudal de un pozo</t>
  </si>
  <si>
    <t>Asada Santa Lucía</t>
  </si>
  <si>
    <t xml:space="preserve"> Asadas Piedras Verdes</t>
  </si>
  <si>
    <t>Asadas Lourdes</t>
  </si>
  <si>
    <t xml:space="preserve"> Asadas Peña Blanca</t>
  </si>
  <si>
    <t xml:space="preserve">Tilarán </t>
  </si>
  <si>
    <t>Asadas Asentamiento Monseñor Morera</t>
  </si>
  <si>
    <t xml:space="preserve"> Asadas El Silencio</t>
  </si>
  <si>
    <t>Asadas San Luís</t>
  </si>
  <si>
    <t>Asada Vista de Mar de Carmona</t>
  </si>
  <si>
    <t>Asada Jabillo y  La Y Griega</t>
  </si>
  <si>
    <t>Asada Zapotal de Nandayure</t>
  </si>
  <si>
    <t>Porvenir</t>
  </si>
  <si>
    <t>Asada Quebrada Grande  del Porvenir</t>
  </si>
  <si>
    <t>Asada San Josecito del Porvenir</t>
  </si>
  <si>
    <t>Asada Quebrada Nando de Bejuco</t>
  </si>
  <si>
    <t>Asada Brisa de la Garita de Santa Cruz</t>
  </si>
  <si>
    <t>Asada Sonzapote y Guapinol de la Garita</t>
  </si>
  <si>
    <t>Asada Cuajiniquil de Santa Elena</t>
  </si>
  <si>
    <t xml:space="preserve"> Asada Pita Rayada</t>
  </si>
  <si>
    <t>Desabastecimiento hídrico</t>
  </si>
  <si>
    <t xml:space="preserve"> Asada Monte Romo</t>
  </si>
  <si>
    <t xml:space="preserve"> Asada San Rafael</t>
  </si>
  <si>
    <t xml:space="preserve"> Asadas Huacas</t>
  </si>
  <si>
    <t>Asadas Santa Marta</t>
  </si>
  <si>
    <t>CUADRO 1-A: AGROPECUARIO: SUBSECTOR AGRICULTURA: PACÍFICO CENTRAL</t>
  </si>
  <si>
    <t>CUADRO 1-D: AGROPECUARIO: SUBSECTOR PECUARIO: PACÍFICO NORTE</t>
  </si>
  <si>
    <t>CUADRO 1-B: AGROPECUARIO: SUBSECTOR AGRÍCULTURA: PACÍFICO NORTE</t>
  </si>
  <si>
    <t>CUADRO 1-C: AGROPECUARIO: SUBSECTOR PECUARIO: PACÍFICO CENTRAL</t>
  </si>
  <si>
    <t>CUADRO 2-A: ESTABLECIMIENTOS DE SALUD: MINISTERIO DE SALUD</t>
  </si>
  <si>
    <t>CUADRO 2-B: ESTABLECIMIENTOS DE SALUD: CAJA COSTARRICENSE DE SEGURO SOCIAL</t>
  </si>
  <si>
    <t>CUADRO 3-B: SISTEMAS DE ABASTECIMIENTO DE AGUA: SISTEMAS RURALES</t>
  </si>
  <si>
    <t>CUADRO 3-A: SISTEMAS DE ABASTECIMIENTO DE AGUA: A Y 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</si>
</sst>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140A]#,##0"/>
    <numFmt numFmtId="167" formatCode="#,##0.00;[Red]#,##0.00"/>
  </numFmts>
  <fonts count="34" x14ac:knownFonts="1">
    <font>
      <sz val="10"/>
      <name val="Arial"/>
    </font>
    <font>
      <sz val="10"/>
      <name val="Arial"/>
      <family val="2"/>
    </font>
    <font>
      <b/>
      <sz val="10"/>
      <name val="Arial"/>
      <family val="2"/>
    </font>
    <font>
      <b/>
      <sz val="11"/>
      <name val="Arial"/>
      <family val="2"/>
    </font>
    <font>
      <b/>
      <sz val="8"/>
      <name val="Arial"/>
      <family val="2"/>
    </font>
    <font>
      <sz val="8"/>
      <name val="Arial"/>
      <family val="2"/>
    </font>
    <font>
      <b/>
      <sz val="9"/>
      <name val="Arial"/>
      <family val="2"/>
    </font>
    <font>
      <b/>
      <sz val="12"/>
      <name val="Arial"/>
      <family val="2"/>
    </font>
    <font>
      <sz val="9"/>
      <name val="Arial"/>
      <family val="2"/>
    </font>
    <font>
      <b/>
      <sz val="9"/>
      <color indexed="81"/>
      <name val="Tahoma"/>
      <family val="2"/>
    </font>
    <font>
      <sz val="9"/>
      <color indexed="81"/>
      <name val="Tahoma"/>
      <family val="2"/>
    </font>
    <font>
      <b/>
      <sz val="11"/>
      <color indexed="81"/>
      <name val="Tahoma"/>
      <family val="2"/>
    </font>
    <font>
      <sz val="11"/>
      <color indexed="81"/>
      <name val="Tahoma"/>
      <family val="2"/>
    </font>
    <font>
      <b/>
      <sz val="12"/>
      <color indexed="81"/>
      <name val="Tahoma"/>
      <family val="2"/>
    </font>
    <font>
      <sz val="12"/>
      <color indexed="81"/>
      <name val="Tahoma"/>
      <family val="2"/>
    </font>
    <font>
      <sz val="7"/>
      <name val="Arial"/>
      <family val="2"/>
    </font>
    <font>
      <sz val="7"/>
      <color indexed="10"/>
      <name val="Arial"/>
      <family val="2"/>
    </font>
    <font>
      <sz val="8"/>
      <color indexed="8"/>
      <name val="Arial"/>
      <family val="2"/>
    </font>
    <font>
      <sz val="12"/>
      <name val="Arial"/>
      <family val="2"/>
    </font>
    <font>
      <sz val="11"/>
      <name val="Arial"/>
      <family val="2"/>
    </font>
    <font>
      <sz val="9"/>
      <name val="Times New Roman"/>
      <family val="1"/>
    </font>
    <font>
      <b/>
      <sz val="13"/>
      <name val="Arial"/>
      <family val="2"/>
    </font>
    <font>
      <sz val="8"/>
      <color indexed="8"/>
      <name val="Arial1"/>
    </font>
    <font>
      <b/>
      <sz val="8"/>
      <color indexed="8"/>
      <name val="Arial1"/>
    </font>
    <font>
      <b/>
      <sz val="8"/>
      <color indexed="8"/>
      <name val="Arial"/>
      <family val="2"/>
    </font>
    <font>
      <b/>
      <sz val="14"/>
      <name val="Arial"/>
      <family val="2"/>
    </font>
    <font>
      <sz val="11"/>
      <color theme="1"/>
      <name val="Calibri"/>
      <family val="2"/>
      <scheme val="minor"/>
    </font>
    <font>
      <sz val="8"/>
      <color rgb="FFFF0000"/>
      <name val="Arial"/>
      <family val="2"/>
    </font>
    <font>
      <sz val="8"/>
      <color rgb="FF000000"/>
      <name val="Arial"/>
      <family val="2"/>
    </font>
    <font>
      <sz val="8"/>
      <color theme="1"/>
      <name val="Calibri"/>
      <family val="2"/>
      <scheme val="minor"/>
    </font>
    <font>
      <b/>
      <sz val="8"/>
      <color theme="1"/>
      <name val="Calibri"/>
      <family val="2"/>
      <scheme val="minor"/>
    </font>
    <font>
      <sz val="8"/>
      <color theme="1"/>
      <name val="Arial"/>
      <family val="2"/>
    </font>
    <font>
      <b/>
      <sz val="10"/>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indexed="22"/>
        <bgColor indexed="64"/>
      </patternFill>
    </fill>
    <fill>
      <patternFill patternType="solid">
        <fgColor indexed="9"/>
        <bgColor indexed="26"/>
      </patternFill>
    </fill>
    <fill>
      <patternFill patternType="solid">
        <fgColor indexed="22"/>
        <bgColor indexed="31"/>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indexed="26"/>
      </patternFill>
    </fill>
  </fills>
  <borders count="108">
    <border>
      <left/>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medium">
        <color indexed="64"/>
      </right>
      <top style="medium">
        <color indexed="8"/>
      </top>
      <bottom style="medium">
        <color indexed="64"/>
      </bottom>
      <diagonal/>
    </border>
    <border>
      <left style="thin">
        <color indexed="64"/>
      </left>
      <right style="thin">
        <color indexed="64"/>
      </right>
      <top style="medium">
        <color indexed="8"/>
      </top>
      <bottom style="medium">
        <color indexed="64"/>
      </bottom>
      <diagonal/>
    </border>
    <border>
      <left style="medium">
        <color indexed="64"/>
      </left>
      <right style="thin">
        <color indexed="64"/>
      </right>
      <top style="medium">
        <color indexed="8"/>
      </top>
      <bottom style="medium">
        <color indexed="64"/>
      </bottom>
      <diagonal/>
    </border>
    <border>
      <left style="thin">
        <color indexed="8"/>
      </left>
      <right style="medium">
        <color indexed="64"/>
      </right>
      <top style="medium">
        <color indexed="8"/>
      </top>
      <bottom style="medium">
        <color indexed="64"/>
      </bottom>
      <diagonal/>
    </border>
    <border>
      <left style="medium">
        <color indexed="64"/>
      </left>
      <right style="thin">
        <color indexed="8"/>
      </right>
      <top style="medium">
        <color indexed="8"/>
      </top>
      <bottom style="medium">
        <color indexed="64"/>
      </bottom>
      <diagonal/>
    </border>
    <border>
      <left style="medium">
        <color indexed="8"/>
      </left>
      <right style="thin">
        <color indexed="8"/>
      </right>
      <top style="medium">
        <color indexed="8"/>
      </top>
      <bottom/>
      <diagonal/>
    </border>
    <border>
      <left style="thin">
        <color indexed="8"/>
      </left>
      <right style="medium">
        <color indexed="8"/>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medium">
        <color indexed="64"/>
      </left>
      <right/>
      <top style="medium">
        <color indexed="64"/>
      </top>
      <bottom style="thin">
        <color indexed="64"/>
      </bottom>
      <diagonal/>
    </border>
    <border>
      <left/>
      <right style="thin">
        <color indexed="8"/>
      </right>
      <top style="medium">
        <color indexed="64"/>
      </top>
      <bottom style="thin">
        <color indexed="64"/>
      </bottom>
      <diagonal/>
    </border>
    <border>
      <left style="thin">
        <color indexed="8"/>
      </left>
      <right style="medium">
        <color indexed="8"/>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indexed="8"/>
      </right>
      <top/>
      <bottom style="medium">
        <color indexed="64"/>
      </bottom>
      <diagonal/>
    </border>
    <border>
      <left style="thin">
        <color indexed="8"/>
      </left>
      <right style="medium">
        <color indexed="8"/>
      </right>
      <top/>
      <bottom style="medium">
        <color indexed="64"/>
      </bottom>
      <diagonal/>
    </border>
    <border>
      <left style="medium">
        <color indexed="64"/>
      </left>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style="medium">
        <color indexed="8"/>
      </right>
      <top style="medium">
        <color indexed="64"/>
      </top>
      <bottom style="medium">
        <color indexed="64"/>
      </bottom>
      <diagonal/>
    </border>
    <border>
      <left style="medium">
        <color indexed="64"/>
      </left>
      <right style="medium">
        <color indexed="8"/>
      </right>
      <top style="medium">
        <color indexed="64"/>
      </top>
      <bottom style="thin">
        <color indexed="8"/>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style="medium">
        <color indexed="8"/>
      </right>
      <top style="medium">
        <color indexed="64"/>
      </top>
      <bottom style="medium">
        <color indexed="8"/>
      </bottom>
      <diagonal/>
    </border>
    <border>
      <left style="medium">
        <color indexed="64"/>
      </left>
      <right style="medium">
        <color indexed="8"/>
      </right>
      <top style="medium">
        <color indexed="8"/>
      </top>
      <bottom style="medium">
        <color indexed="64"/>
      </bottom>
      <diagonal/>
    </border>
    <border>
      <left style="medium">
        <color indexed="8"/>
      </left>
      <right/>
      <top style="medium">
        <color indexed="64"/>
      </top>
      <bottom style="medium">
        <color indexed="8"/>
      </bottom>
      <diagonal/>
    </border>
    <border>
      <left style="medium">
        <color indexed="8"/>
      </left>
      <right/>
      <top style="medium">
        <color indexed="8"/>
      </top>
      <bottom style="medium">
        <color indexed="64"/>
      </bottom>
      <diagonal/>
    </border>
    <border>
      <left style="medium">
        <color indexed="8"/>
      </left>
      <right style="medium">
        <color indexed="64"/>
      </right>
      <top style="medium">
        <color indexed="64"/>
      </top>
      <bottom style="medium">
        <color indexed="8"/>
      </bottom>
      <diagonal/>
    </border>
    <border>
      <left style="medium">
        <color indexed="8"/>
      </left>
      <right style="medium">
        <color indexed="8"/>
      </right>
      <top style="medium">
        <color indexed="64"/>
      </top>
      <bottom style="medium">
        <color indexed="8"/>
      </bottom>
      <diagonal/>
    </border>
    <border>
      <left style="medium">
        <color indexed="64"/>
      </left>
      <right style="medium">
        <color indexed="64"/>
      </right>
      <top style="thin">
        <color indexed="8"/>
      </top>
      <bottom/>
      <diagonal/>
    </border>
    <border>
      <left style="medium">
        <color indexed="64"/>
      </left>
      <right/>
      <top style="thin">
        <color indexed="8"/>
      </top>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s>
  <cellStyleXfs count="5">
    <xf numFmtId="0" fontId="0" fillId="0" borderId="0"/>
    <xf numFmtId="0" fontId="26" fillId="0" borderId="0"/>
    <xf numFmtId="0" fontId="1" fillId="0" borderId="0"/>
    <xf numFmtId="9" fontId="26" fillId="0" borderId="0" applyFont="0" applyFill="0" applyBorder="0" applyAlignment="0" applyProtection="0"/>
    <xf numFmtId="9" fontId="1" fillId="0" borderId="0" applyFont="0" applyFill="0" applyBorder="0" applyAlignment="0" applyProtection="0"/>
  </cellStyleXfs>
  <cellXfs count="783">
    <xf numFmtId="0" fontId="0" fillId="0" borderId="0" xfId="0"/>
    <xf numFmtId="0" fontId="2" fillId="5"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vertical="center" wrapText="1"/>
    </xf>
    <xf numFmtId="4" fontId="5" fillId="6" borderId="8" xfId="0" applyNumberFormat="1" applyFont="1" applyFill="1" applyBorder="1" applyAlignment="1">
      <alignment vertical="center" wrapText="1"/>
    </xf>
    <xf numFmtId="0" fontId="5" fillId="0" borderId="2" xfId="0" applyFont="1" applyBorder="1" applyAlignment="1">
      <alignment horizontal="center" vertical="center" wrapText="1"/>
    </xf>
    <xf numFmtId="4" fontId="5" fillId="0" borderId="4" xfId="0" applyNumberFormat="1" applyFont="1" applyBorder="1" applyAlignment="1">
      <alignment horizontal="right" vertical="center" wrapText="1"/>
    </xf>
    <xf numFmtId="0" fontId="4"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1" xfId="0" applyFont="1" applyBorder="1" applyAlignment="1">
      <alignment vertical="center" wrapText="1"/>
    </xf>
    <xf numFmtId="4" fontId="5" fillId="6" borderId="12" xfId="0" applyNumberFormat="1" applyFont="1" applyFill="1" applyBorder="1" applyAlignment="1">
      <alignment vertical="center" wrapText="1"/>
    </xf>
    <xf numFmtId="0" fontId="5" fillId="0" borderId="13" xfId="0" applyFont="1" applyBorder="1" applyAlignment="1">
      <alignment horizontal="center" vertical="center" wrapText="1"/>
    </xf>
    <xf numFmtId="4" fontId="5" fillId="0" borderId="14" xfId="0" applyNumberFormat="1" applyFont="1" applyBorder="1" applyAlignment="1">
      <alignment vertical="center" wrapText="1"/>
    </xf>
    <xf numFmtId="0" fontId="4" fillId="6" borderId="15" xfId="0" applyFont="1" applyFill="1" applyBorder="1" applyAlignment="1">
      <alignment horizontal="center" vertical="center" wrapText="1"/>
    </xf>
    <xf numFmtId="0" fontId="5" fillId="6" borderId="16" xfId="0" applyFont="1" applyFill="1" applyBorder="1" applyAlignment="1">
      <alignment horizontal="center" vertical="center" wrapText="1"/>
    </xf>
    <xf numFmtId="3" fontId="5" fillId="6" borderId="17" xfId="0" applyNumberFormat="1"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6" borderId="17" xfId="0" applyFont="1" applyFill="1" applyBorder="1" applyAlignment="1">
      <alignment vertical="center" wrapText="1"/>
    </xf>
    <xf numFmtId="4" fontId="5" fillId="6" borderId="18" xfId="0" applyNumberFormat="1" applyFont="1" applyFill="1" applyBorder="1" applyAlignment="1">
      <alignment vertical="center" wrapText="1"/>
    </xf>
    <xf numFmtId="0" fontId="5" fillId="6" borderId="19" xfId="0" applyFont="1" applyFill="1" applyBorder="1" applyAlignment="1">
      <alignment horizontal="center" vertical="center" wrapText="1"/>
    </xf>
    <xf numFmtId="4" fontId="5" fillId="0" borderId="20" xfId="0" applyNumberFormat="1" applyFont="1" applyBorder="1" applyAlignment="1">
      <alignment vertical="center" wrapText="1"/>
    </xf>
    <xf numFmtId="0" fontId="4"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xf>
    <xf numFmtId="0" fontId="5" fillId="6" borderId="23" xfId="0" applyFont="1" applyFill="1" applyBorder="1" applyAlignment="1">
      <alignment horizontal="center" vertical="center" wrapText="1"/>
    </xf>
    <xf numFmtId="0" fontId="5" fillId="6" borderId="23" xfId="0" applyFont="1" applyFill="1" applyBorder="1" applyAlignment="1">
      <alignment vertical="center" wrapText="1"/>
    </xf>
    <xf numFmtId="4" fontId="5" fillId="6" borderId="24" xfId="0" applyNumberFormat="1" applyFont="1" applyFill="1" applyBorder="1" applyAlignment="1">
      <alignment vertical="center" wrapText="1"/>
    </xf>
    <xf numFmtId="0" fontId="5" fillId="6" borderId="25" xfId="0" applyFont="1" applyFill="1" applyBorder="1" applyAlignment="1">
      <alignment horizontal="center" vertical="center" wrapText="1"/>
    </xf>
    <xf numFmtId="4" fontId="5" fillId="0" borderId="26" xfId="0" applyNumberFormat="1" applyFont="1" applyBorder="1" applyAlignment="1">
      <alignment vertical="center" wrapText="1"/>
    </xf>
    <xf numFmtId="0" fontId="4" fillId="0" borderId="21"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23" xfId="0" applyFont="1" applyBorder="1" applyAlignment="1">
      <alignment vertical="center" wrapText="1"/>
    </xf>
    <xf numFmtId="0" fontId="5" fillId="0" borderId="25"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28" xfId="0" applyFont="1" applyBorder="1" applyAlignment="1">
      <alignment vertical="center" wrapText="1"/>
    </xf>
    <xf numFmtId="4" fontId="5" fillId="6" borderId="29" xfId="0" applyNumberFormat="1" applyFont="1" applyFill="1" applyBorder="1" applyAlignment="1">
      <alignment vertical="center" wrapText="1"/>
    </xf>
    <xf numFmtId="0" fontId="5" fillId="0" borderId="30" xfId="0" applyFont="1" applyBorder="1" applyAlignment="1">
      <alignment horizontal="center" vertical="center" wrapText="1"/>
    </xf>
    <xf numFmtId="4" fontId="5" fillId="0" borderId="31" xfId="0" applyNumberFormat="1" applyFont="1" applyBorder="1" applyAlignment="1">
      <alignment vertical="center" wrapText="1"/>
    </xf>
    <xf numFmtId="0" fontId="4"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7" xfId="0" applyFont="1" applyBorder="1" applyAlignment="1">
      <alignment vertical="center" wrapText="1"/>
    </xf>
    <xf numFmtId="0" fontId="5" fillId="0" borderId="19" xfId="0" applyFont="1" applyBorder="1" applyAlignment="1">
      <alignment horizontal="center" vertical="center" wrapText="1"/>
    </xf>
    <xf numFmtId="0" fontId="4" fillId="0" borderId="32" xfId="0" applyFont="1" applyBorder="1" applyAlignment="1">
      <alignment horizontal="center" vertical="center" wrapText="1"/>
    </xf>
    <xf numFmtId="4" fontId="5" fillId="0" borderId="4" xfId="0" applyNumberFormat="1" applyFont="1" applyBorder="1" applyAlignment="1">
      <alignment vertical="center" wrapText="1"/>
    </xf>
    <xf numFmtId="0" fontId="2" fillId="5" borderId="1" xfId="0" applyFont="1" applyFill="1" applyBorder="1" applyAlignment="1">
      <alignment vertical="center"/>
    </xf>
    <xf numFmtId="0" fontId="2" fillId="5" borderId="33" xfId="0" applyFont="1" applyFill="1" applyBorder="1" applyAlignment="1">
      <alignment vertical="center"/>
    </xf>
    <xf numFmtId="4" fontId="2" fillId="5" borderId="1" xfId="0" applyNumberFormat="1" applyFont="1" applyFill="1" applyBorder="1" applyAlignment="1">
      <alignment vertical="center"/>
    </xf>
    <xf numFmtId="4" fontId="2" fillId="5" borderId="34" xfId="0" applyNumberFormat="1" applyFont="1" applyFill="1" applyBorder="1" applyAlignment="1">
      <alignment vertical="center"/>
    </xf>
    <xf numFmtId="0" fontId="5" fillId="6" borderId="35" xfId="0" applyFont="1" applyFill="1" applyBorder="1" applyAlignment="1">
      <alignment horizontal="center" vertical="center" wrapText="1"/>
    </xf>
    <xf numFmtId="0" fontId="5" fillId="0" borderId="35"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37" xfId="0" applyFont="1" applyBorder="1" applyAlignment="1">
      <alignment horizontal="center" vertical="center" wrapText="1"/>
    </xf>
    <xf numFmtId="0" fontId="5" fillId="0" borderId="0" xfId="0" applyFont="1" applyBorder="1" applyAlignment="1">
      <alignment horizontal="center" vertical="center" wrapText="1"/>
    </xf>
    <xf numFmtId="0" fontId="5" fillId="6" borderId="36" xfId="0" applyFont="1" applyFill="1" applyBorder="1" applyAlignment="1">
      <alignment horizontal="center" vertical="center" wrapText="1"/>
    </xf>
    <xf numFmtId="0" fontId="5" fillId="6" borderId="37" xfId="0" applyFont="1" applyFill="1" applyBorder="1" applyAlignment="1">
      <alignment horizontal="center" vertical="center" wrapText="1"/>
    </xf>
    <xf numFmtId="0" fontId="5" fillId="0" borderId="38" xfId="0" applyFont="1" applyBorder="1" applyAlignment="1">
      <alignment horizontal="center" vertical="center" wrapText="1"/>
    </xf>
    <xf numFmtId="0" fontId="0" fillId="0" borderId="0" xfId="0" applyAlignment="1">
      <alignment horizontal="center"/>
    </xf>
    <xf numFmtId="0" fontId="2" fillId="5" borderId="28"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5" borderId="5" xfId="0" applyFont="1" applyFill="1" applyBorder="1" applyAlignment="1">
      <alignment horizontal="center" vertical="center" wrapText="1"/>
    </xf>
    <xf numFmtId="3" fontId="5" fillId="0" borderId="23" xfId="0" applyNumberFormat="1" applyFont="1" applyBorder="1" applyAlignment="1">
      <alignment horizontal="center" vertical="center" wrapText="1"/>
    </xf>
    <xf numFmtId="3" fontId="5" fillId="0" borderId="28" xfId="0" applyNumberFormat="1" applyFont="1" applyBorder="1" applyAlignment="1">
      <alignment horizontal="center" vertical="center" wrapText="1"/>
    </xf>
    <xf numFmtId="0" fontId="5" fillId="0" borderId="39" xfId="0" applyFont="1" applyBorder="1" applyAlignment="1">
      <alignment horizontal="center" vertical="center" wrapText="1"/>
    </xf>
    <xf numFmtId="3" fontId="5" fillId="0" borderId="17" xfId="0" applyNumberFormat="1" applyFont="1" applyBorder="1" applyAlignment="1">
      <alignment horizontal="center" vertical="center" wrapText="1"/>
    </xf>
    <xf numFmtId="4" fontId="2" fillId="5" borderId="31" xfId="0" applyNumberFormat="1" applyFont="1" applyFill="1" applyBorder="1" applyAlignment="1">
      <alignment vertical="center" wrapText="1"/>
    </xf>
    <xf numFmtId="4" fontId="2" fillId="5" borderId="38" xfId="0" applyNumberFormat="1" applyFont="1" applyFill="1" applyBorder="1" applyAlignment="1">
      <alignment horizontal="center" vertical="center" wrapText="1"/>
    </xf>
    <xf numFmtId="0" fontId="5" fillId="0" borderId="40" xfId="0" applyFont="1" applyBorder="1" applyAlignment="1">
      <alignment horizontal="center" vertical="center" wrapText="1"/>
    </xf>
    <xf numFmtId="3" fontId="5" fillId="0" borderId="40" xfId="0" applyNumberFormat="1" applyFont="1" applyBorder="1" applyAlignment="1">
      <alignment horizontal="center" vertical="center" wrapText="1"/>
    </xf>
    <xf numFmtId="4" fontId="5" fillId="0" borderId="41" xfId="0" applyNumberFormat="1" applyFont="1" applyBorder="1" applyAlignment="1">
      <alignment vertical="center" wrapText="1"/>
    </xf>
    <xf numFmtId="0" fontId="2" fillId="5" borderId="1" xfId="0" applyFont="1" applyFill="1" applyBorder="1" applyAlignment="1">
      <alignment horizontal="center" vertical="center" wrapText="1"/>
    </xf>
    <xf numFmtId="3" fontId="2" fillId="5" borderId="1" xfId="0" applyNumberFormat="1" applyFont="1" applyFill="1" applyBorder="1" applyAlignment="1">
      <alignment horizontal="center" vertical="center" wrapText="1"/>
    </xf>
    <xf numFmtId="0" fontId="2" fillId="5" borderId="33" xfId="0" applyFont="1" applyFill="1" applyBorder="1" applyAlignment="1">
      <alignment horizontal="center" vertical="center" wrapText="1"/>
    </xf>
    <xf numFmtId="4" fontId="2" fillId="5" borderId="34" xfId="0" applyNumberFormat="1" applyFont="1" applyFill="1" applyBorder="1" applyAlignment="1">
      <alignment vertical="center" wrapText="1"/>
    </xf>
    <xf numFmtId="0" fontId="4" fillId="0" borderId="42" xfId="0" applyFont="1" applyBorder="1" applyAlignment="1">
      <alignment horizontal="center" vertical="center" wrapText="1"/>
    </xf>
    <xf numFmtId="0" fontId="5" fillId="0" borderId="43" xfId="0" applyFont="1" applyBorder="1" applyAlignment="1">
      <alignment horizontal="center" vertical="center" wrapText="1"/>
    </xf>
    <xf numFmtId="0" fontId="5" fillId="0" borderId="44" xfId="0" applyFont="1" applyBorder="1" applyAlignment="1">
      <alignment horizontal="center" vertical="center" wrapText="1"/>
    </xf>
    <xf numFmtId="0" fontId="1" fillId="0" borderId="0" xfId="2" applyProtection="1">
      <protection locked="0"/>
    </xf>
    <xf numFmtId="0" fontId="6" fillId="5" borderId="45" xfId="2" applyFont="1" applyFill="1" applyBorder="1" applyAlignment="1" applyProtection="1">
      <alignment horizontal="center" vertical="center" wrapText="1"/>
    </xf>
    <xf numFmtId="0" fontId="6" fillId="5" borderId="46" xfId="2" applyFont="1" applyFill="1" applyBorder="1" applyAlignment="1" applyProtection="1">
      <alignment horizontal="center" vertical="center" wrapText="1"/>
    </xf>
    <xf numFmtId="0" fontId="8" fillId="5" borderId="39" xfId="2" applyFont="1" applyFill="1" applyBorder="1" applyAlignment="1" applyProtection="1">
      <alignment horizontal="center" vertical="center" wrapText="1"/>
    </xf>
    <xf numFmtId="0" fontId="6" fillId="5" borderId="47" xfId="2" applyFont="1" applyFill="1" applyBorder="1" applyAlignment="1" applyProtection="1">
      <alignment horizontal="center" vertical="center" wrapText="1"/>
    </xf>
    <xf numFmtId="0" fontId="6" fillId="5" borderId="48" xfId="2" applyFont="1" applyFill="1" applyBorder="1" applyAlignment="1" applyProtection="1">
      <alignment horizontal="center" vertical="center" wrapText="1"/>
    </xf>
    <xf numFmtId="0" fontId="6" fillId="5" borderId="49" xfId="2" applyFont="1" applyFill="1" applyBorder="1" applyAlignment="1" applyProtection="1">
      <alignment horizontal="center" vertical="center" wrapText="1"/>
    </xf>
    <xf numFmtId="0" fontId="6" fillId="5" borderId="40" xfId="2" applyFont="1" applyFill="1" applyBorder="1" applyAlignment="1" applyProtection="1">
      <alignment horizontal="center" vertical="center" wrapText="1"/>
    </xf>
    <xf numFmtId="0" fontId="6" fillId="5" borderId="41" xfId="2" applyFont="1" applyFill="1" applyBorder="1" applyAlignment="1" applyProtection="1">
      <alignment horizontal="center" vertical="center" wrapText="1"/>
    </xf>
    <xf numFmtId="0" fontId="5" fillId="0" borderId="19" xfId="2" applyFont="1" applyBorder="1" applyAlignment="1" applyProtection="1">
      <alignment horizontal="center" vertical="center" wrapText="1"/>
      <protection locked="0"/>
    </xf>
    <xf numFmtId="0" fontId="5" fillId="0" borderId="17" xfId="2" applyFont="1" applyBorder="1" applyAlignment="1" applyProtection="1">
      <alignment horizontal="center" vertical="center" wrapText="1"/>
      <protection locked="0"/>
    </xf>
    <xf numFmtId="4" fontId="5" fillId="0" borderId="17" xfId="2" applyNumberFormat="1" applyFont="1" applyFill="1" applyBorder="1" applyAlignment="1" applyProtection="1">
      <alignment horizontal="center" vertical="center" wrapText="1"/>
    </xf>
    <xf numFmtId="0" fontId="5" fillId="0" borderId="17" xfId="2" applyFont="1" applyFill="1" applyBorder="1" applyAlignment="1" applyProtection="1">
      <alignment horizontal="center" vertical="center" wrapText="1"/>
      <protection locked="0"/>
    </xf>
    <xf numFmtId="3" fontId="5" fillId="0" borderId="17" xfId="2" applyNumberFormat="1" applyFont="1" applyFill="1" applyBorder="1" applyAlignment="1" applyProtection="1">
      <alignment horizontal="center" vertical="center" wrapText="1"/>
      <protection locked="0"/>
    </xf>
    <xf numFmtId="9" fontId="5" fillId="0" borderId="17" xfId="3" applyFont="1" applyFill="1" applyBorder="1" applyAlignment="1" applyProtection="1">
      <alignment horizontal="center" vertical="center" wrapText="1"/>
      <protection locked="0"/>
    </xf>
    <xf numFmtId="164" fontId="5" fillId="0" borderId="17" xfId="2" applyNumberFormat="1" applyFont="1" applyFill="1" applyBorder="1" applyAlignment="1" applyProtection="1">
      <alignment horizontal="center" vertical="center" wrapText="1"/>
    </xf>
    <xf numFmtId="4" fontId="5" fillId="0" borderId="20" xfId="2" applyNumberFormat="1" applyFont="1" applyFill="1" applyBorder="1" applyAlignment="1" applyProtection="1">
      <alignment horizontal="right" vertical="center" wrapText="1"/>
    </xf>
    <xf numFmtId="0" fontId="5" fillId="0" borderId="36" xfId="2" applyFont="1" applyBorder="1" applyAlignment="1" applyProtection="1">
      <alignment horizontal="center" vertical="center" wrapText="1"/>
      <protection locked="0"/>
    </xf>
    <xf numFmtId="3" fontId="5" fillId="0" borderId="20" xfId="2" applyNumberFormat="1" applyFont="1" applyBorder="1" applyAlignment="1" applyProtection="1">
      <alignment vertical="center"/>
      <protection locked="0"/>
    </xf>
    <xf numFmtId="0" fontId="5" fillId="0" borderId="25" xfId="2" applyFont="1" applyBorder="1" applyAlignment="1" applyProtection="1">
      <alignment horizontal="center" vertical="center" wrapText="1"/>
      <protection locked="0"/>
    </xf>
    <xf numFmtId="0" fontId="5" fillId="0" borderId="23" xfId="2" applyFont="1" applyBorder="1" applyAlignment="1" applyProtection="1">
      <alignment horizontal="center" vertical="center" wrapText="1"/>
      <protection locked="0"/>
    </xf>
    <xf numFmtId="4" fontId="5" fillId="0" borderId="23" xfId="2" applyNumberFormat="1" applyFont="1" applyFill="1" applyBorder="1" applyAlignment="1" applyProtection="1">
      <alignment horizontal="center" vertical="center" wrapText="1"/>
    </xf>
    <xf numFmtId="0" fontId="5" fillId="0" borderId="23" xfId="2" applyFont="1" applyFill="1" applyBorder="1" applyAlignment="1" applyProtection="1">
      <alignment horizontal="center" vertical="center" wrapText="1"/>
      <protection locked="0"/>
    </xf>
    <xf numFmtId="3" fontId="5" fillId="0" borderId="23" xfId="2" applyNumberFormat="1" applyFont="1" applyFill="1" applyBorder="1" applyAlignment="1" applyProtection="1">
      <alignment horizontal="center" vertical="center" wrapText="1"/>
      <protection locked="0"/>
    </xf>
    <xf numFmtId="9" fontId="5" fillId="0" borderId="23" xfId="3" applyFont="1" applyFill="1" applyBorder="1" applyAlignment="1" applyProtection="1">
      <alignment horizontal="center" vertical="center" wrapText="1"/>
      <protection locked="0"/>
    </xf>
    <xf numFmtId="164" fontId="5" fillId="0" borderId="23" xfId="2" applyNumberFormat="1" applyFont="1" applyFill="1" applyBorder="1" applyAlignment="1" applyProtection="1">
      <alignment horizontal="center" vertical="center" wrapText="1"/>
    </xf>
    <xf numFmtId="4" fontId="5" fillId="0" borderId="26" xfId="2" applyNumberFormat="1" applyFont="1" applyFill="1" applyBorder="1" applyAlignment="1" applyProtection="1">
      <alignment horizontal="right" vertical="center" wrapText="1"/>
    </xf>
    <xf numFmtId="0" fontId="5" fillId="0" borderId="43" xfId="2" applyFont="1" applyBorder="1" applyAlignment="1" applyProtection="1">
      <alignment horizontal="center" vertical="center" wrapText="1"/>
      <protection locked="0"/>
    </xf>
    <xf numFmtId="0" fontId="5" fillId="0" borderId="40" xfId="2" applyFont="1" applyBorder="1" applyAlignment="1" applyProtection="1">
      <alignment horizontal="center" vertical="center" wrapText="1"/>
      <protection locked="0"/>
    </xf>
    <xf numFmtId="3" fontId="5" fillId="0" borderId="20" xfId="2" applyNumberFormat="1" applyFont="1" applyBorder="1" applyAlignment="1" applyProtection="1">
      <alignment horizontal="right" vertical="center"/>
      <protection locked="0"/>
    </xf>
    <xf numFmtId="0" fontId="5" fillId="0" borderId="37" xfId="2" applyFont="1" applyBorder="1" applyAlignment="1" applyProtection="1">
      <alignment horizontal="center" vertical="center" wrapText="1"/>
      <protection locked="0"/>
    </xf>
    <xf numFmtId="0" fontId="5" fillId="0" borderId="50" xfId="2" applyFont="1" applyBorder="1" applyAlignment="1" applyProtection="1">
      <alignment horizontal="center" vertical="center" wrapText="1"/>
      <protection locked="0"/>
    </xf>
    <xf numFmtId="3" fontId="5" fillId="0" borderId="26" xfId="2" applyNumberFormat="1" applyFont="1" applyBorder="1" applyAlignment="1" applyProtection="1">
      <alignment vertical="center"/>
      <protection locked="0"/>
    </xf>
    <xf numFmtId="0" fontId="5" fillId="0" borderId="25" xfId="2" applyFont="1" applyBorder="1" applyAlignment="1" applyProtection="1">
      <alignment vertical="center" wrapText="1"/>
      <protection locked="0"/>
    </xf>
    <xf numFmtId="0" fontId="5" fillId="0" borderId="23" xfId="2" applyFont="1" applyFill="1" applyBorder="1" applyAlignment="1" applyProtection="1">
      <alignment vertical="center" wrapText="1"/>
      <protection locked="0"/>
    </xf>
    <xf numFmtId="4" fontId="5" fillId="0" borderId="23" xfId="2" applyNumberFormat="1" applyFont="1" applyFill="1" applyBorder="1" applyAlignment="1" applyProtection="1">
      <alignment horizontal="justify" vertical="center" wrapText="1"/>
    </xf>
    <xf numFmtId="0" fontId="5" fillId="0" borderId="25" xfId="2" applyFont="1" applyFill="1" applyBorder="1" applyAlignment="1" applyProtection="1">
      <alignment horizontal="center" vertical="center" wrapText="1"/>
      <protection locked="0"/>
    </xf>
    <xf numFmtId="3" fontId="5" fillId="0" borderId="26" xfId="2" applyNumberFormat="1" applyFont="1" applyBorder="1" applyAlignment="1" applyProtection="1">
      <alignment horizontal="right" vertical="center"/>
      <protection locked="0"/>
    </xf>
    <xf numFmtId="0" fontId="5" fillId="0" borderId="25" xfId="1" applyFont="1" applyBorder="1" applyAlignment="1" applyProtection="1">
      <alignment horizontal="center" vertical="center" wrapText="1"/>
      <protection locked="0"/>
    </xf>
    <xf numFmtId="0" fontId="5" fillId="0" borderId="23" xfId="2" applyFont="1" applyBorder="1" applyAlignment="1" applyProtection="1">
      <alignment vertical="center" wrapText="1"/>
      <protection locked="0"/>
    </xf>
    <xf numFmtId="3" fontId="5" fillId="0" borderId="26" xfId="2" applyNumberFormat="1" applyFont="1" applyBorder="1" applyAlignment="1" applyProtection="1">
      <alignment horizontal="center" vertical="center"/>
      <protection locked="0"/>
    </xf>
    <xf numFmtId="0" fontId="5" fillId="0" borderId="23" xfId="1" applyFont="1" applyBorder="1" applyAlignment="1" applyProtection="1">
      <alignment horizontal="center" vertical="center" wrapText="1"/>
      <protection locked="0"/>
    </xf>
    <xf numFmtId="0" fontId="5" fillId="0" borderId="25" xfId="2" applyNumberFormat="1" applyFont="1" applyBorder="1" applyAlignment="1" applyProtection="1">
      <alignment horizontal="justify" vertical="center" wrapText="1"/>
      <protection locked="0"/>
    </xf>
    <xf numFmtId="0" fontId="5" fillId="0" borderId="23" xfId="2" applyNumberFormat="1" applyFont="1" applyBorder="1" applyAlignment="1" applyProtection="1">
      <alignment horizontal="justify" vertical="center" wrapText="1"/>
      <protection locked="0"/>
    </xf>
    <xf numFmtId="0" fontId="5" fillId="0" borderId="37" xfId="2" applyNumberFormat="1" applyFont="1" applyBorder="1" applyAlignment="1" applyProtection="1">
      <alignment horizontal="center" vertical="center" wrapText="1"/>
      <protection locked="0"/>
    </xf>
    <xf numFmtId="0" fontId="5" fillId="0" borderId="23" xfId="2" applyNumberFormat="1" applyFont="1" applyFill="1" applyBorder="1" applyAlignment="1" applyProtection="1">
      <alignment horizontal="center" vertical="center" wrapText="1"/>
      <protection locked="0"/>
    </xf>
    <xf numFmtId="3" fontId="5" fillId="0" borderId="26" xfId="2" applyNumberFormat="1" applyFont="1" applyBorder="1" applyAlignment="1" applyProtection="1">
      <alignment horizontal="center" vertical="center" wrapText="1"/>
      <protection locked="0"/>
    </xf>
    <xf numFmtId="0" fontId="5" fillId="0" borderId="23" xfId="2" applyNumberFormat="1" applyFont="1" applyBorder="1" applyAlignment="1" applyProtection="1">
      <alignment horizontal="center" vertical="center" wrapText="1"/>
      <protection locked="0"/>
    </xf>
    <xf numFmtId="0" fontId="5" fillId="0" borderId="25" xfId="2" applyNumberFormat="1" applyFont="1" applyFill="1" applyBorder="1" applyAlignment="1" applyProtection="1">
      <alignment horizontal="center" vertical="center" wrapText="1"/>
      <protection locked="0"/>
    </xf>
    <xf numFmtId="0" fontId="5" fillId="0" borderId="39" xfId="2" applyNumberFormat="1" applyFont="1" applyBorder="1" applyAlignment="1" applyProtection="1">
      <alignment horizontal="center" vertical="center" wrapText="1"/>
      <protection locked="0"/>
    </xf>
    <xf numFmtId="0" fontId="27" fillId="0" borderId="23" xfId="2" applyNumberFormat="1" applyFont="1" applyFill="1" applyBorder="1" applyAlignment="1" applyProtection="1">
      <alignment horizontal="center" vertical="center" wrapText="1"/>
      <protection locked="0"/>
    </xf>
    <xf numFmtId="3" fontId="5" fillId="0" borderId="26" xfId="2" applyNumberFormat="1" applyFont="1" applyBorder="1" applyAlignment="1" applyProtection="1">
      <alignment horizontal="right" vertical="center" wrapText="1"/>
      <protection locked="0"/>
    </xf>
    <xf numFmtId="0" fontId="5" fillId="0" borderId="23" xfId="1" applyNumberFormat="1" applyFont="1" applyBorder="1" applyAlignment="1" applyProtection="1">
      <alignment horizontal="center" vertical="center" wrapText="1"/>
      <protection locked="0"/>
    </xf>
    <xf numFmtId="0" fontId="5" fillId="0" borderId="25" xfId="1" applyNumberFormat="1" applyFont="1" applyBorder="1" applyAlignment="1" applyProtection="1">
      <alignment horizontal="center" vertical="center" wrapText="1"/>
      <protection locked="0"/>
    </xf>
    <xf numFmtId="0" fontId="5" fillId="0" borderId="25" xfId="1" applyNumberFormat="1" applyFont="1" applyFill="1" applyBorder="1" applyAlignment="1" applyProtection="1">
      <alignment horizontal="center" vertical="center" wrapText="1"/>
      <protection locked="0"/>
    </xf>
    <xf numFmtId="0" fontId="5" fillId="0" borderId="23" xfId="1" applyNumberFormat="1" applyFont="1" applyFill="1" applyBorder="1" applyAlignment="1" applyProtection="1">
      <alignment horizontal="center" vertical="center" wrapText="1"/>
      <protection locked="0"/>
    </xf>
    <xf numFmtId="0" fontId="5" fillId="0" borderId="37" xfId="2" applyNumberFormat="1" applyFont="1" applyFill="1" applyBorder="1" applyAlignment="1" applyProtection="1">
      <alignment horizontal="center" vertical="center" wrapText="1"/>
      <protection locked="0"/>
    </xf>
    <xf numFmtId="3" fontId="5" fillId="0" borderId="26" xfId="2" applyNumberFormat="1" applyFont="1" applyFill="1" applyBorder="1" applyAlignment="1" applyProtection="1">
      <alignment horizontal="right" vertical="center" wrapText="1"/>
      <protection locked="0"/>
    </xf>
    <xf numFmtId="0" fontId="5" fillId="0" borderId="25" xfId="2" applyNumberFormat="1" applyFont="1" applyBorder="1" applyAlignment="1" applyProtection="1">
      <alignment horizontal="center" vertical="center" wrapText="1"/>
      <protection locked="0"/>
    </xf>
    <xf numFmtId="0" fontId="5" fillId="0" borderId="25" xfId="2" applyNumberFormat="1" applyFont="1" applyFill="1" applyBorder="1" applyAlignment="1" applyProtection="1">
      <alignment horizontal="justify" vertical="center" wrapText="1"/>
      <protection locked="0"/>
    </xf>
    <xf numFmtId="0" fontId="5" fillId="0" borderId="23" xfId="2" applyNumberFormat="1" applyFont="1" applyFill="1" applyBorder="1" applyAlignment="1" applyProtection="1">
      <alignment horizontal="justify" vertical="center" wrapText="1"/>
      <protection locked="0"/>
    </xf>
    <xf numFmtId="3" fontId="5" fillId="0" borderId="26" xfId="2" applyNumberFormat="1" applyFont="1" applyFill="1" applyBorder="1" applyAlignment="1" applyProtection="1">
      <alignment horizontal="center" vertical="center" wrapText="1"/>
      <protection locked="0"/>
    </xf>
    <xf numFmtId="0" fontId="5" fillId="5" borderId="37" xfId="2" applyNumberFormat="1" applyFont="1" applyFill="1" applyBorder="1" applyAlignment="1" applyProtection="1">
      <alignment horizontal="center" vertical="center" wrapText="1"/>
      <protection locked="0"/>
    </xf>
    <xf numFmtId="0" fontId="5" fillId="5" borderId="0" xfId="2" applyNumberFormat="1" applyFont="1" applyFill="1" applyBorder="1" applyAlignment="1" applyProtection="1">
      <alignment horizontal="center" vertical="center" wrapText="1"/>
      <protection locked="0"/>
    </xf>
    <xf numFmtId="0" fontId="4" fillId="5" borderId="23" xfId="2" applyNumberFormat="1" applyFont="1" applyFill="1" applyBorder="1" applyAlignment="1" applyProtection="1">
      <alignment horizontal="center" vertical="center" wrapText="1"/>
      <protection locked="0"/>
    </xf>
    <xf numFmtId="3" fontId="5" fillId="5" borderId="26" xfId="2" applyNumberFormat="1" applyFont="1" applyFill="1" applyBorder="1" applyAlignment="1" applyProtection="1">
      <alignment horizontal="center" vertical="center" wrapText="1"/>
      <protection locked="0"/>
    </xf>
    <xf numFmtId="0" fontId="5" fillId="0" borderId="0" xfId="2" applyNumberFormat="1" applyFont="1" applyFill="1" applyBorder="1" applyAlignment="1" applyProtection="1">
      <alignment horizontal="center" vertical="center" wrapText="1"/>
      <protection locked="0"/>
    </xf>
    <xf numFmtId="0" fontId="5" fillId="0" borderId="30" xfId="2" applyNumberFormat="1" applyFont="1" applyBorder="1" applyAlignment="1" applyProtection="1">
      <alignment horizontal="center" vertical="center" wrapText="1"/>
      <protection locked="0"/>
    </xf>
    <xf numFmtId="0" fontId="5" fillId="0" borderId="10" xfId="2" applyNumberFormat="1" applyFont="1" applyBorder="1" applyAlignment="1" applyProtection="1">
      <alignment horizontal="center" vertical="center" wrapText="1"/>
      <protection locked="0"/>
    </xf>
    <xf numFmtId="0" fontId="2" fillId="2" borderId="28" xfId="2" applyFont="1" applyFill="1" applyBorder="1" applyAlignment="1" applyProtection="1">
      <alignment horizontal="center" vertical="center"/>
    </xf>
    <xf numFmtId="3" fontId="2" fillId="2" borderId="28" xfId="2" applyNumberFormat="1" applyFont="1" applyFill="1" applyBorder="1" applyAlignment="1" applyProtection="1">
      <alignment horizontal="center" vertical="center"/>
    </xf>
    <xf numFmtId="4" fontId="2" fillId="2" borderId="28" xfId="2" applyNumberFormat="1" applyFont="1" applyFill="1" applyBorder="1" applyAlignment="1" applyProtection="1">
      <alignment vertical="center"/>
    </xf>
    <xf numFmtId="4" fontId="2" fillId="2" borderId="28" xfId="2" applyNumberFormat="1" applyFont="1" applyFill="1" applyBorder="1" applyAlignment="1" applyProtection="1">
      <alignment horizontal="center" vertical="center"/>
    </xf>
    <xf numFmtId="4" fontId="2" fillId="2" borderId="31" xfId="2" applyNumberFormat="1" applyFont="1" applyFill="1" applyBorder="1" applyAlignment="1" applyProtection="1">
      <alignment horizontal="right" vertical="center"/>
    </xf>
    <xf numFmtId="3" fontId="2" fillId="2" borderId="51" xfId="2" applyNumberFormat="1" applyFont="1" applyFill="1" applyBorder="1" applyAlignment="1" applyProtection="1">
      <alignment horizontal="center" vertical="center"/>
    </xf>
    <xf numFmtId="3" fontId="1" fillId="0" borderId="0" xfId="2" applyNumberFormat="1" applyProtection="1">
      <protection locked="0"/>
    </xf>
    <xf numFmtId="0" fontId="1" fillId="0" borderId="0" xfId="2" applyAlignment="1" applyProtection="1">
      <alignment horizontal="right"/>
      <protection locked="0"/>
    </xf>
    <xf numFmtId="0" fontId="1" fillId="0" borderId="0" xfId="2" applyAlignment="1" applyProtection="1">
      <alignment horizontal="center"/>
      <protection locked="0"/>
    </xf>
    <xf numFmtId="0" fontId="6" fillId="2" borderId="35" xfId="2" applyFont="1" applyFill="1" applyBorder="1" applyAlignment="1" applyProtection="1">
      <alignment horizontal="center" vertical="center" wrapText="1"/>
    </xf>
    <xf numFmtId="0" fontId="6" fillId="5" borderId="52" xfId="2" applyFont="1" applyFill="1" applyBorder="1" applyAlignment="1" applyProtection="1">
      <alignment horizontal="center" vertical="center" wrapText="1"/>
    </xf>
    <xf numFmtId="0" fontId="6" fillId="5" borderId="53" xfId="2" applyFont="1" applyFill="1" applyBorder="1" applyAlignment="1" applyProtection="1">
      <alignment horizontal="center" vertical="center" wrapText="1"/>
    </xf>
    <xf numFmtId="0" fontId="5" fillId="6" borderId="54" xfId="2" applyFont="1" applyFill="1" applyBorder="1" applyAlignment="1" applyProtection="1">
      <alignment horizontal="center" vertical="center" wrapText="1"/>
      <protection locked="0"/>
    </xf>
    <xf numFmtId="0" fontId="15" fillId="6" borderId="33" xfId="2" applyFont="1" applyFill="1" applyBorder="1" applyAlignment="1" applyProtection="1">
      <alignment horizontal="center" vertical="center" wrapText="1"/>
      <protection locked="0"/>
    </xf>
    <xf numFmtId="3" fontId="5" fillId="6" borderId="2" xfId="2" applyNumberFormat="1" applyFont="1" applyFill="1" applyBorder="1" applyAlignment="1" applyProtection="1">
      <alignment horizontal="justify" vertical="center" wrapText="1"/>
    </xf>
    <xf numFmtId="3" fontId="5" fillId="6" borderId="7" xfId="2" applyNumberFormat="1" applyFont="1" applyFill="1" applyBorder="1" applyAlignment="1" applyProtection="1">
      <alignment horizontal="center" vertical="center" wrapText="1"/>
      <protection locked="0"/>
    </xf>
    <xf numFmtId="10" fontId="5" fillId="6" borderId="3" xfId="4" applyNumberFormat="1" applyFont="1" applyFill="1" applyBorder="1" applyAlignment="1" applyProtection="1">
      <alignment horizontal="center" vertical="center" wrapText="1"/>
      <protection locked="0"/>
    </xf>
    <xf numFmtId="3" fontId="5" fillId="6" borderId="3" xfId="2" applyNumberFormat="1" applyFont="1" applyFill="1" applyBorder="1" applyAlignment="1" applyProtection="1">
      <alignment horizontal="center" vertical="center" wrapText="1"/>
    </xf>
    <xf numFmtId="0" fontId="5" fillId="6" borderId="3" xfId="2" applyFont="1" applyFill="1" applyBorder="1" applyAlignment="1" applyProtection="1">
      <alignment horizontal="justify" vertical="center" wrapText="1"/>
      <protection locked="0"/>
    </xf>
    <xf numFmtId="3" fontId="5" fillId="6" borderId="4" xfId="2" applyNumberFormat="1" applyFont="1" applyFill="1" applyBorder="1" applyAlignment="1" applyProtection="1">
      <alignment horizontal="right" vertical="center" wrapText="1"/>
    </xf>
    <xf numFmtId="0" fontId="5" fillId="6" borderId="55" xfId="2" applyFont="1" applyFill="1" applyBorder="1" applyAlignment="1" applyProtection="1">
      <alignment horizontal="center" vertical="center" wrapText="1"/>
      <protection locked="0"/>
    </xf>
    <xf numFmtId="0" fontId="5" fillId="6" borderId="1" xfId="2" applyFont="1" applyFill="1" applyBorder="1" applyAlignment="1" applyProtection="1">
      <alignment horizontal="center" vertical="center" wrapText="1"/>
      <protection locked="0"/>
    </xf>
    <xf numFmtId="3" fontId="5" fillId="6" borderId="34" xfId="2" applyNumberFormat="1" applyFont="1" applyFill="1" applyBorder="1" applyAlignment="1" applyProtection="1">
      <alignment horizontal="right" vertical="center"/>
      <protection locked="0"/>
    </xf>
    <xf numFmtId="0" fontId="5" fillId="6" borderId="2" xfId="2" applyFont="1" applyFill="1" applyBorder="1" applyAlignment="1" applyProtection="1">
      <alignment horizontal="center" vertical="center" wrapText="1"/>
      <protection locked="0"/>
    </xf>
    <xf numFmtId="0" fontId="5" fillId="6" borderId="8" xfId="2" applyFont="1" applyFill="1" applyBorder="1" applyAlignment="1" applyProtection="1">
      <alignment horizontal="center" vertical="center" wrapText="1"/>
      <protection locked="0"/>
    </xf>
    <xf numFmtId="9" fontId="5" fillId="6" borderId="3" xfId="4" applyFont="1" applyFill="1" applyBorder="1" applyAlignment="1" applyProtection="1">
      <alignment horizontal="center" vertical="center" wrapText="1"/>
      <protection locked="0"/>
    </xf>
    <xf numFmtId="0" fontId="5" fillId="6" borderId="3" xfId="2" applyFont="1" applyFill="1" applyBorder="1" applyAlignment="1" applyProtection="1">
      <alignment horizontal="left" vertical="center" wrapText="1"/>
      <protection locked="0"/>
    </xf>
    <xf numFmtId="0" fontId="5" fillId="6" borderId="7" xfId="2" applyFont="1" applyFill="1" applyBorder="1" applyAlignment="1" applyProtection="1">
      <alignment horizontal="center" vertical="center" wrapText="1"/>
      <protection locked="0"/>
    </xf>
    <xf numFmtId="0" fontId="5" fillId="6" borderId="3" xfId="2" applyFont="1" applyFill="1" applyBorder="1" applyAlignment="1" applyProtection="1">
      <alignment horizontal="center" vertical="center" wrapText="1"/>
      <protection locked="0"/>
    </xf>
    <xf numFmtId="3" fontId="5" fillId="6" borderId="4" xfId="2" applyNumberFormat="1" applyFont="1" applyFill="1" applyBorder="1" applyAlignment="1" applyProtection="1">
      <alignment horizontal="right" vertical="center"/>
      <protection locked="0"/>
    </xf>
    <xf numFmtId="0" fontId="5" fillId="6" borderId="18" xfId="2" applyFont="1" applyFill="1" applyBorder="1" applyAlignment="1" applyProtection="1">
      <alignment horizontal="center" vertical="center" wrapText="1"/>
      <protection locked="0"/>
    </xf>
    <xf numFmtId="3" fontId="5" fillId="6" borderId="19" xfId="2" applyNumberFormat="1" applyFont="1" applyFill="1" applyBorder="1" applyAlignment="1" applyProtection="1">
      <alignment horizontal="justify" vertical="center" wrapText="1"/>
    </xf>
    <xf numFmtId="3" fontId="5" fillId="6" borderId="17" xfId="2" applyNumberFormat="1" applyFont="1" applyFill="1" applyBorder="1" applyAlignment="1" applyProtection="1">
      <alignment horizontal="center" vertical="center" wrapText="1"/>
      <protection locked="0"/>
    </xf>
    <xf numFmtId="9" fontId="5" fillId="6" borderId="17" xfId="4" applyFont="1" applyFill="1" applyBorder="1" applyAlignment="1" applyProtection="1">
      <alignment horizontal="center" vertical="center" wrapText="1"/>
      <protection locked="0"/>
    </xf>
    <xf numFmtId="3" fontId="5" fillId="6" borderId="17" xfId="2" applyNumberFormat="1" applyFont="1" applyFill="1" applyBorder="1" applyAlignment="1" applyProtection="1">
      <alignment horizontal="center" vertical="center" wrapText="1"/>
    </xf>
    <xf numFmtId="0" fontId="5" fillId="6" borderId="17" xfId="2" applyFont="1" applyFill="1" applyBorder="1" applyAlignment="1" applyProtection="1">
      <alignment horizontal="center" vertical="center" wrapText="1"/>
      <protection locked="0"/>
    </xf>
    <xf numFmtId="3" fontId="5" fillId="6" borderId="20" xfId="2" applyNumberFormat="1" applyFont="1" applyFill="1" applyBorder="1" applyAlignment="1" applyProtection="1">
      <alignment horizontal="right" vertical="center" wrapText="1"/>
    </xf>
    <xf numFmtId="0" fontId="5" fillId="6" borderId="16" xfId="2" applyFont="1" applyFill="1" applyBorder="1" applyAlignment="1" applyProtection="1">
      <alignment horizontal="center" vertical="center" wrapText="1"/>
      <protection locked="0"/>
    </xf>
    <xf numFmtId="3" fontId="5" fillId="6" borderId="20" xfId="2" applyNumberFormat="1" applyFont="1" applyFill="1" applyBorder="1" applyAlignment="1" applyProtection="1">
      <alignment horizontal="right" vertical="center"/>
      <protection locked="0"/>
    </xf>
    <xf numFmtId="0" fontId="5" fillId="6" borderId="24" xfId="2" applyFont="1" applyFill="1" applyBorder="1" applyAlignment="1" applyProtection="1">
      <alignment horizontal="center" vertical="center" wrapText="1"/>
      <protection locked="0"/>
    </xf>
    <xf numFmtId="3" fontId="5" fillId="6" borderId="25" xfId="2" applyNumberFormat="1" applyFont="1" applyFill="1" applyBorder="1" applyAlignment="1" applyProtection="1">
      <alignment horizontal="justify" vertical="center" wrapText="1"/>
    </xf>
    <xf numFmtId="3" fontId="5" fillId="6" borderId="22" xfId="2" applyNumberFormat="1" applyFont="1" applyFill="1" applyBorder="1" applyAlignment="1" applyProtection="1">
      <alignment horizontal="center" vertical="center" wrapText="1"/>
      <protection locked="0"/>
    </xf>
    <xf numFmtId="3" fontId="5" fillId="6" borderId="16" xfId="2" applyNumberFormat="1" applyFont="1" applyFill="1" applyBorder="1" applyAlignment="1" applyProtection="1">
      <alignment horizontal="center" vertical="center" wrapText="1"/>
      <protection locked="0"/>
    </xf>
    <xf numFmtId="9" fontId="5" fillId="6" borderId="23" xfId="4" applyFont="1" applyFill="1" applyBorder="1" applyAlignment="1" applyProtection="1">
      <alignment horizontal="center" vertical="center" wrapText="1"/>
      <protection locked="0"/>
    </xf>
    <xf numFmtId="3" fontId="5" fillId="6" borderId="23" xfId="2" applyNumberFormat="1" applyFont="1" applyFill="1" applyBorder="1" applyAlignment="1" applyProtection="1">
      <alignment horizontal="center" vertical="center" wrapText="1"/>
    </xf>
    <xf numFmtId="0" fontId="5" fillId="6" borderId="23" xfId="2" applyFont="1" applyFill="1" applyBorder="1" applyAlignment="1" applyProtection="1">
      <alignment horizontal="center" vertical="center" wrapText="1"/>
      <protection locked="0"/>
    </xf>
    <xf numFmtId="3" fontId="5" fillId="6" borderId="26" xfId="2" applyNumberFormat="1" applyFont="1" applyFill="1" applyBorder="1" applyAlignment="1" applyProtection="1">
      <alignment horizontal="right" vertical="center" wrapText="1"/>
    </xf>
    <xf numFmtId="0" fontId="5" fillId="6" borderId="22" xfId="2" applyFont="1" applyFill="1" applyBorder="1" applyAlignment="1" applyProtection="1">
      <alignment horizontal="center" vertical="center" wrapText="1"/>
      <protection locked="0"/>
    </xf>
    <xf numFmtId="3" fontId="5" fillId="6" borderId="26" xfId="2" applyNumberFormat="1" applyFont="1" applyFill="1" applyBorder="1" applyAlignment="1" applyProtection="1">
      <alignment horizontal="right" vertical="center"/>
      <protection locked="0"/>
    </xf>
    <xf numFmtId="0" fontId="5" fillId="0" borderId="25" xfId="2" applyFont="1" applyBorder="1" applyAlignment="1" applyProtection="1">
      <alignment horizontal="center" vertical="center"/>
      <protection locked="0"/>
    </xf>
    <xf numFmtId="0" fontId="5" fillId="6" borderId="18" xfId="2" applyFont="1" applyFill="1" applyBorder="1" applyAlignment="1" applyProtection="1">
      <alignment horizontal="center" vertical="center"/>
      <protection locked="0"/>
    </xf>
    <xf numFmtId="3" fontId="5" fillId="6" borderId="23" xfId="2" applyNumberFormat="1" applyFont="1" applyFill="1" applyBorder="1" applyAlignment="1" applyProtection="1">
      <alignment horizontal="center" vertical="center" wrapText="1"/>
      <protection locked="0"/>
    </xf>
    <xf numFmtId="3" fontId="5" fillId="6" borderId="44" xfId="2" applyNumberFormat="1" applyFont="1" applyFill="1" applyBorder="1" applyAlignment="1" applyProtection="1">
      <alignment horizontal="center" vertical="center" wrapText="1"/>
      <protection locked="0"/>
    </xf>
    <xf numFmtId="0" fontId="5" fillId="0" borderId="22" xfId="2" applyFont="1" applyBorder="1" applyAlignment="1" applyProtection="1">
      <alignment horizontal="center" vertical="center" wrapText="1"/>
      <protection locked="0"/>
    </xf>
    <xf numFmtId="0" fontId="5" fillId="0" borderId="23" xfId="2" applyFont="1" applyBorder="1" applyAlignment="1" applyProtection="1">
      <alignment horizontal="center" vertical="center"/>
      <protection locked="0"/>
    </xf>
    <xf numFmtId="0" fontId="5" fillId="0" borderId="26" xfId="2" applyFont="1" applyBorder="1" applyAlignment="1" applyProtection="1">
      <alignment horizontal="right" vertical="center"/>
      <protection locked="0"/>
    </xf>
    <xf numFmtId="0" fontId="28" fillId="0" borderId="56" xfId="1" applyFont="1" applyBorder="1" applyAlignment="1">
      <alignment horizontal="center" vertical="center" wrapText="1"/>
    </xf>
    <xf numFmtId="0" fontId="28" fillId="6" borderId="50" xfId="1" applyFont="1" applyFill="1" applyBorder="1" applyAlignment="1">
      <alignment horizontal="center" vertical="center" wrapText="1"/>
    </xf>
    <xf numFmtId="3" fontId="5" fillId="6" borderId="56" xfId="2" applyNumberFormat="1" applyFont="1" applyFill="1" applyBorder="1" applyAlignment="1" applyProtection="1">
      <alignment horizontal="left" vertical="center" wrapText="1"/>
      <protection locked="0"/>
    </xf>
    <xf numFmtId="3" fontId="5" fillId="6" borderId="10" xfId="2" applyNumberFormat="1" applyFont="1" applyFill="1" applyBorder="1" applyAlignment="1" applyProtection="1">
      <alignment horizontal="center" vertical="center" wrapText="1"/>
      <protection locked="0"/>
    </xf>
    <xf numFmtId="3" fontId="5" fillId="6" borderId="47" xfId="2" applyNumberFormat="1" applyFont="1" applyFill="1" applyBorder="1" applyAlignment="1" applyProtection="1">
      <alignment horizontal="center" vertical="center" wrapText="1"/>
      <protection locked="0"/>
    </xf>
    <xf numFmtId="9" fontId="5" fillId="6" borderId="39" xfId="4" applyFont="1" applyFill="1" applyBorder="1" applyAlignment="1" applyProtection="1">
      <alignment horizontal="center" vertical="center" wrapText="1"/>
      <protection locked="0"/>
    </xf>
    <xf numFmtId="3" fontId="5" fillId="6" borderId="39" xfId="2" applyNumberFormat="1" applyFont="1" applyFill="1" applyBorder="1" applyAlignment="1" applyProtection="1">
      <alignment horizontal="center" vertical="center" wrapText="1"/>
    </xf>
    <xf numFmtId="0" fontId="5" fillId="6" borderId="39" xfId="2" applyFont="1" applyFill="1" applyBorder="1" applyAlignment="1" applyProtection="1">
      <alignment horizontal="center" vertical="center" wrapText="1"/>
      <protection locked="0"/>
    </xf>
    <xf numFmtId="3" fontId="5" fillId="6" borderId="57" xfId="2" applyNumberFormat="1" applyFont="1" applyFill="1" applyBorder="1" applyAlignment="1" applyProtection="1">
      <alignment horizontal="right" vertical="center" wrapText="1"/>
    </xf>
    <xf numFmtId="0" fontId="5" fillId="0" borderId="58" xfId="2" applyFont="1" applyBorder="1" applyAlignment="1" applyProtection="1">
      <alignment horizontal="center" vertical="center" wrapText="1"/>
      <protection locked="0"/>
    </xf>
    <xf numFmtId="0" fontId="5" fillId="0" borderId="39" xfId="2" applyFont="1" applyBorder="1" applyAlignment="1" applyProtection="1">
      <alignment horizontal="center" vertical="center"/>
      <protection locked="0"/>
    </xf>
    <xf numFmtId="0" fontId="5" fillId="0" borderId="57" xfId="2" applyFont="1" applyBorder="1" applyAlignment="1" applyProtection="1">
      <alignment horizontal="right" vertical="center"/>
      <protection locked="0"/>
    </xf>
    <xf numFmtId="0" fontId="4" fillId="2" borderId="7" xfId="2" applyFont="1" applyFill="1" applyBorder="1" applyAlignment="1" applyProtection="1">
      <alignment vertical="center"/>
    </xf>
    <xf numFmtId="3" fontId="4" fillId="2" borderId="3" xfId="2" applyNumberFormat="1"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3" fontId="4" fillId="2" borderId="3" xfId="2" applyNumberFormat="1" applyFont="1" applyFill="1" applyBorder="1" applyAlignment="1" applyProtection="1">
      <alignment horizontal="right" vertical="center"/>
    </xf>
    <xf numFmtId="0" fontId="4" fillId="2" borderId="3" xfId="2" applyFont="1" applyFill="1" applyBorder="1" applyAlignment="1" applyProtection="1">
      <alignment horizontal="center" vertical="center" wrapText="1"/>
    </xf>
    <xf numFmtId="3" fontId="4" fillId="2" borderId="51" xfId="2" applyNumberFormat="1" applyFont="1" applyFill="1" applyBorder="1" applyAlignment="1" applyProtection="1">
      <alignment horizontal="right" vertical="center"/>
    </xf>
    <xf numFmtId="0" fontId="5" fillId="0" borderId="13" xfId="2" applyFont="1" applyBorder="1" applyAlignment="1" applyProtection="1">
      <alignment horizontal="center" vertical="center" wrapText="1"/>
      <protection locked="0"/>
    </xf>
    <xf numFmtId="0" fontId="15" fillId="6" borderId="12" xfId="2" applyFont="1" applyFill="1" applyBorder="1" applyAlignment="1" applyProtection="1">
      <alignment horizontal="center" vertical="center" wrapText="1"/>
      <protection locked="0"/>
    </xf>
    <xf numFmtId="3" fontId="5" fillId="6" borderId="13" xfId="2" applyNumberFormat="1" applyFont="1" applyFill="1" applyBorder="1" applyAlignment="1" applyProtection="1">
      <alignment horizontal="center" vertical="center" wrapText="1"/>
    </xf>
    <xf numFmtId="3" fontId="5" fillId="6" borderId="11" xfId="2" applyNumberFormat="1" applyFont="1" applyFill="1" applyBorder="1" applyAlignment="1" applyProtection="1">
      <alignment horizontal="center" vertical="center" wrapText="1"/>
      <protection locked="0"/>
    </xf>
    <xf numFmtId="3" fontId="5" fillId="6" borderId="11" xfId="2" applyNumberFormat="1" applyFont="1" applyFill="1" applyBorder="1" applyAlignment="1" applyProtection="1">
      <alignment horizontal="center" vertical="center"/>
      <protection locked="0"/>
    </xf>
    <xf numFmtId="3" fontId="5" fillId="6" borderId="11" xfId="2" applyNumberFormat="1" applyFont="1" applyFill="1" applyBorder="1" applyAlignment="1" applyProtection="1">
      <alignment horizontal="justify" vertical="center" wrapText="1"/>
    </xf>
    <xf numFmtId="3" fontId="5" fillId="6" borderId="11" xfId="2" applyNumberFormat="1" applyFont="1" applyFill="1" applyBorder="1" applyAlignment="1" applyProtection="1">
      <alignment horizontal="center" vertical="center" wrapText="1"/>
    </xf>
    <xf numFmtId="0" fontId="5" fillId="6" borderId="11" xfId="2" applyFont="1" applyFill="1" applyBorder="1" applyAlignment="1" applyProtection="1">
      <alignment horizontal="center" vertical="center" wrapText="1"/>
      <protection locked="0"/>
    </xf>
    <xf numFmtId="3" fontId="5" fillId="6" borderId="14" xfId="4" applyNumberFormat="1" applyFont="1" applyFill="1" applyBorder="1" applyAlignment="1" applyProtection="1">
      <alignment horizontal="right" vertical="center"/>
    </xf>
    <xf numFmtId="0" fontId="5" fillId="6" borderId="13" xfId="2" applyFont="1" applyFill="1" applyBorder="1" applyAlignment="1" applyProtection="1">
      <alignment horizontal="center" vertical="center"/>
      <protection locked="0"/>
    </xf>
    <xf numFmtId="0" fontId="5" fillId="0" borderId="14" xfId="2" applyFont="1" applyBorder="1" applyAlignment="1" applyProtection="1">
      <alignment horizontal="right" vertical="center"/>
      <protection locked="0"/>
    </xf>
    <xf numFmtId="0" fontId="5" fillId="0" borderId="54" xfId="2" applyFont="1" applyBorder="1" applyAlignment="1" applyProtection="1">
      <alignment vertical="center" wrapText="1"/>
      <protection locked="0"/>
    </xf>
    <xf numFmtId="3" fontId="5" fillId="6" borderId="2" xfId="2" applyNumberFormat="1" applyFont="1" applyFill="1" applyBorder="1" applyAlignment="1" applyProtection="1">
      <alignment horizontal="center" vertical="center" wrapText="1"/>
    </xf>
    <xf numFmtId="3" fontId="5" fillId="6" borderId="3" xfId="2" applyNumberFormat="1" applyFont="1" applyFill="1" applyBorder="1" applyAlignment="1" applyProtection="1">
      <alignment horizontal="center" vertical="center"/>
      <protection locked="0"/>
    </xf>
    <xf numFmtId="3" fontId="5" fillId="6" borderId="4" xfId="4" applyNumberFormat="1" applyFont="1" applyFill="1" applyBorder="1" applyAlignment="1" applyProtection="1">
      <alignment horizontal="right" vertical="center"/>
    </xf>
    <xf numFmtId="0" fontId="5" fillId="6" borderId="54" xfId="2" applyFont="1" applyFill="1" applyBorder="1" applyAlignment="1" applyProtection="1">
      <alignment horizontal="center" vertical="center"/>
      <protection locked="0"/>
    </xf>
    <xf numFmtId="0" fontId="5" fillId="0" borderId="1" xfId="2" applyFont="1" applyBorder="1" applyAlignment="1" applyProtection="1">
      <alignment horizontal="center" vertical="center" wrapText="1"/>
      <protection locked="0"/>
    </xf>
    <xf numFmtId="3" fontId="5" fillId="0" borderId="34" xfId="2" applyNumberFormat="1" applyFont="1" applyBorder="1" applyAlignment="1" applyProtection="1">
      <alignment horizontal="right" vertical="center"/>
      <protection locked="0"/>
    </xf>
    <xf numFmtId="0" fontId="5" fillId="6" borderId="19" xfId="2" applyFont="1" applyFill="1" applyBorder="1" applyAlignment="1" applyProtection="1">
      <alignment vertical="center" wrapText="1"/>
      <protection locked="0"/>
    </xf>
    <xf numFmtId="0" fontId="5" fillId="6" borderId="18" xfId="2" applyFont="1" applyFill="1" applyBorder="1" applyAlignment="1" applyProtection="1">
      <alignment vertical="center" wrapText="1"/>
      <protection locked="0"/>
    </xf>
    <xf numFmtId="0" fontId="5" fillId="6" borderId="16" xfId="1" applyFont="1" applyFill="1" applyBorder="1" applyAlignment="1" applyProtection="1">
      <alignment horizontal="justify" vertical="center"/>
      <protection locked="0"/>
    </xf>
    <xf numFmtId="0" fontId="5" fillId="6" borderId="17" xfId="1" applyFont="1" applyFill="1" applyBorder="1" applyAlignment="1" applyProtection="1">
      <alignment horizontal="justify" vertical="center"/>
      <protection locked="0"/>
    </xf>
    <xf numFmtId="3" fontId="5" fillId="6" borderId="17" xfId="2" applyNumberFormat="1" applyFont="1" applyFill="1" applyBorder="1" applyAlignment="1" applyProtection="1">
      <alignment horizontal="justify" vertical="center"/>
      <protection locked="0"/>
    </xf>
    <xf numFmtId="3" fontId="5" fillId="6" borderId="17" xfId="2" applyNumberFormat="1" applyFont="1" applyFill="1" applyBorder="1" applyAlignment="1" applyProtection="1">
      <alignment horizontal="justify" vertical="center" wrapText="1"/>
    </xf>
    <xf numFmtId="3" fontId="5" fillId="6" borderId="20" xfId="4" applyNumberFormat="1" applyFont="1" applyFill="1" applyBorder="1" applyAlignment="1" applyProtection="1">
      <alignment horizontal="right" vertical="center"/>
    </xf>
    <xf numFmtId="0" fontId="5" fillId="6" borderId="19" xfId="2" applyFont="1" applyFill="1" applyBorder="1" applyAlignment="1" applyProtection="1">
      <alignment horizontal="center" vertical="center"/>
      <protection locked="0"/>
    </xf>
    <xf numFmtId="0" fontId="5" fillId="6" borderId="25" xfId="2" applyFont="1" applyFill="1" applyBorder="1" applyAlignment="1" applyProtection="1">
      <alignment vertical="center" wrapText="1"/>
      <protection locked="0"/>
    </xf>
    <xf numFmtId="0" fontId="5" fillId="6" borderId="22" xfId="1" applyFont="1" applyFill="1" applyBorder="1" applyAlignment="1" applyProtection="1">
      <alignment horizontal="justify" vertical="center"/>
      <protection locked="0"/>
    </xf>
    <xf numFmtId="0" fontId="5" fillId="6" borderId="23" xfId="1" applyFont="1" applyFill="1" applyBorder="1" applyAlignment="1" applyProtection="1">
      <alignment horizontal="justify" vertical="center"/>
      <protection locked="0"/>
    </xf>
    <xf numFmtId="3" fontId="5" fillId="6" borderId="23" xfId="2" applyNumberFormat="1" applyFont="1" applyFill="1" applyBorder="1" applyAlignment="1" applyProtection="1">
      <alignment horizontal="justify" vertical="center"/>
      <protection locked="0"/>
    </xf>
    <xf numFmtId="3" fontId="5" fillId="6" borderId="23" xfId="2" applyNumberFormat="1" applyFont="1" applyFill="1" applyBorder="1" applyAlignment="1" applyProtection="1">
      <alignment horizontal="justify" vertical="center" wrapText="1"/>
    </xf>
    <xf numFmtId="3" fontId="5" fillId="6" borderId="26" xfId="4" applyNumberFormat="1" applyFont="1" applyFill="1" applyBorder="1" applyAlignment="1" applyProtection="1">
      <alignment horizontal="right" vertical="center"/>
    </xf>
    <xf numFmtId="0" fontId="5" fillId="6" borderId="25" xfId="2" applyFont="1" applyFill="1" applyBorder="1" applyAlignment="1" applyProtection="1">
      <alignment horizontal="center" vertical="center"/>
      <protection locked="0"/>
    </xf>
    <xf numFmtId="0" fontId="5" fillId="6" borderId="12" xfId="2" applyFont="1" applyFill="1" applyBorder="1" applyAlignment="1" applyProtection="1">
      <alignment vertical="center" wrapText="1"/>
      <protection locked="0"/>
    </xf>
    <xf numFmtId="0" fontId="5" fillId="6" borderId="24" xfId="2" applyFont="1" applyFill="1" applyBorder="1" applyAlignment="1" applyProtection="1">
      <alignment vertical="center" wrapText="1"/>
      <protection locked="0"/>
    </xf>
    <xf numFmtId="0" fontId="5" fillId="6" borderId="56" xfId="2" applyFont="1" applyFill="1" applyBorder="1" applyAlignment="1" applyProtection="1">
      <alignment vertical="center" wrapText="1"/>
      <protection locked="0"/>
    </xf>
    <xf numFmtId="0" fontId="5" fillId="6" borderId="50" xfId="2" applyFont="1" applyFill="1" applyBorder="1" applyAlignment="1" applyProtection="1">
      <alignment vertical="center" wrapText="1"/>
      <protection locked="0"/>
    </xf>
    <xf numFmtId="3" fontId="5" fillId="6" borderId="30" xfId="2" applyNumberFormat="1" applyFont="1" applyFill="1" applyBorder="1" applyAlignment="1" applyProtection="1">
      <alignment horizontal="justify" vertical="center" wrapText="1"/>
    </xf>
    <xf numFmtId="0" fontId="5" fillId="6" borderId="27" xfId="1" applyFont="1" applyFill="1" applyBorder="1" applyAlignment="1" applyProtection="1">
      <alignment horizontal="justify" vertical="center"/>
      <protection locked="0"/>
    </xf>
    <xf numFmtId="0" fontId="5" fillId="6" borderId="28" xfId="1" applyFont="1" applyFill="1" applyBorder="1" applyAlignment="1" applyProtection="1">
      <alignment horizontal="justify" vertical="center"/>
      <protection locked="0"/>
    </xf>
    <xf numFmtId="3" fontId="5" fillId="6" borderId="28" xfId="2" applyNumberFormat="1" applyFont="1" applyFill="1" applyBorder="1" applyAlignment="1" applyProtection="1">
      <alignment horizontal="justify" vertical="center"/>
      <protection locked="0"/>
    </xf>
    <xf numFmtId="3" fontId="5" fillId="6" borderId="28" xfId="2" applyNumberFormat="1" applyFont="1" applyFill="1" applyBorder="1" applyAlignment="1" applyProtection="1">
      <alignment horizontal="justify" vertical="center" wrapText="1"/>
    </xf>
    <xf numFmtId="3" fontId="5" fillId="6" borderId="28" xfId="2" applyNumberFormat="1" applyFont="1" applyFill="1" applyBorder="1" applyAlignment="1" applyProtection="1">
      <alignment horizontal="center" vertical="center" wrapText="1"/>
    </xf>
    <xf numFmtId="0" fontId="5" fillId="6" borderId="28" xfId="2" applyFont="1" applyFill="1" applyBorder="1" applyAlignment="1" applyProtection="1">
      <alignment horizontal="center" vertical="center" wrapText="1"/>
      <protection locked="0"/>
    </xf>
    <xf numFmtId="3" fontId="5" fillId="6" borderId="31" xfId="4" applyNumberFormat="1" applyFont="1" applyFill="1" applyBorder="1" applyAlignment="1" applyProtection="1">
      <alignment horizontal="right" vertical="center"/>
    </xf>
    <xf numFmtId="0" fontId="5" fillId="6" borderId="56" xfId="2" applyFont="1" applyFill="1" applyBorder="1" applyAlignment="1" applyProtection="1">
      <alignment horizontal="center" vertical="center"/>
      <protection locked="0"/>
    </xf>
    <xf numFmtId="0" fontId="5" fillId="0" borderId="39" xfId="2" applyFont="1" applyBorder="1" applyAlignment="1" applyProtection="1">
      <alignment horizontal="center" vertical="center" wrapText="1"/>
      <protection locked="0"/>
    </xf>
    <xf numFmtId="3" fontId="5" fillId="0" borderId="57" xfId="2" applyNumberFormat="1" applyFont="1" applyBorder="1" applyAlignment="1" applyProtection="1">
      <alignment horizontal="right" vertical="center"/>
      <protection locked="0"/>
    </xf>
    <xf numFmtId="3" fontId="5" fillId="6" borderId="35" xfId="2" applyNumberFormat="1" applyFont="1" applyFill="1" applyBorder="1" applyAlignment="1" applyProtection="1">
      <alignment horizontal="center" vertical="center" wrapText="1"/>
    </xf>
    <xf numFmtId="3" fontId="5" fillId="6" borderId="40" xfId="2" applyNumberFormat="1" applyFont="1" applyFill="1" applyBorder="1" applyAlignment="1" applyProtection="1">
      <alignment horizontal="center" vertical="center" wrapText="1"/>
      <protection locked="0"/>
    </xf>
    <xf numFmtId="3" fontId="5" fillId="6" borderId="40" xfId="2" applyNumberFormat="1" applyFont="1" applyFill="1" applyBorder="1" applyAlignment="1" applyProtection="1">
      <alignment horizontal="justify" vertical="center"/>
      <protection locked="0"/>
    </xf>
    <xf numFmtId="3" fontId="5" fillId="6" borderId="40" xfId="2" applyNumberFormat="1" applyFont="1" applyFill="1" applyBorder="1" applyAlignment="1" applyProtection="1">
      <alignment horizontal="justify" vertical="center" wrapText="1"/>
    </xf>
    <xf numFmtId="3" fontId="5" fillId="6" borderId="40" xfId="2" applyNumberFormat="1" applyFont="1" applyFill="1" applyBorder="1" applyAlignment="1" applyProtection="1">
      <alignment horizontal="center" vertical="center" wrapText="1"/>
    </xf>
    <xf numFmtId="0" fontId="5" fillId="6" borderId="40" xfId="2" applyFont="1" applyFill="1" applyBorder="1" applyAlignment="1" applyProtection="1">
      <alignment vertical="center" wrapText="1"/>
      <protection locked="0"/>
    </xf>
    <xf numFmtId="3" fontId="5" fillId="6" borderId="41" xfId="4" applyNumberFormat="1" applyFont="1" applyFill="1" applyBorder="1" applyAlignment="1" applyProtection="1">
      <alignment horizontal="right" vertical="center"/>
    </xf>
    <xf numFmtId="0" fontId="5" fillId="6" borderId="23" xfId="2" applyFont="1" applyFill="1" applyBorder="1" applyAlignment="1" applyProtection="1">
      <alignment vertical="center" wrapText="1"/>
      <protection locked="0"/>
    </xf>
    <xf numFmtId="0" fontId="5" fillId="6" borderId="25" xfId="2" applyFont="1" applyFill="1" applyBorder="1" applyAlignment="1" applyProtection="1">
      <alignment vertical="center"/>
      <protection locked="0"/>
    </xf>
    <xf numFmtId="3" fontId="5" fillId="6" borderId="39" xfId="2" applyNumberFormat="1" applyFont="1" applyFill="1" applyBorder="1" applyAlignment="1" applyProtection="1">
      <alignment horizontal="justify" vertical="center"/>
      <protection locked="0"/>
    </xf>
    <xf numFmtId="0" fontId="5" fillId="6" borderId="39" xfId="2" applyFont="1" applyFill="1" applyBorder="1" applyAlignment="1" applyProtection="1">
      <alignment vertical="center" wrapText="1"/>
      <protection locked="0"/>
    </xf>
    <xf numFmtId="0" fontId="5" fillId="0" borderId="13" xfId="2" applyFont="1" applyBorder="1" applyAlignment="1" applyProtection="1">
      <alignment vertical="center" wrapText="1"/>
      <protection locked="0"/>
    </xf>
    <xf numFmtId="0" fontId="15" fillId="6" borderId="12" xfId="2" applyFont="1" applyFill="1" applyBorder="1" applyAlignment="1" applyProtection="1">
      <alignment vertical="center" wrapText="1"/>
      <protection locked="0"/>
    </xf>
    <xf numFmtId="3" fontId="5" fillId="6" borderId="13" xfId="2" applyNumberFormat="1" applyFont="1" applyFill="1" applyBorder="1" applyAlignment="1" applyProtection="1">
      <alignment horizontal="justify" vertical="center" wrapText="1"/>
    </xf>
    <xf numFmtId="0" fontId="5" fillId="6" borderId="11" xfId="2" applyFont="1" applyFill="1" applyBorder="1" applyAlignment="1" applyProtection="1">
      <alignment vertical="center" wrapText="1"/>
      <protection locked="0"/>
    </xf>
    <xf numFmtId="0" fontId="5" fillId="0" borderId="11" xfId="2" applyFont="1" applyBorder="1" applyAlignment="1" applyProtection="1">
      <alignment horizontal="center" vertical="center" wrapText="1"/>
      <protection locked="0"/>
    </xf>
    <xf numFmtId="3" fontId="5" fillId="0" borderId="14" xfId="2" applyNumberFormat="1" applyFont="1" applyBorder="1" applyAlignment="1" applyProtection="1">
      <alignment horizontal="right" vertical="center"/>
      <protection locked="0"/>
    </xf>
    <xf numFmtId="0" fontId="5" fillId="6" borderId="17" xfId="2" applyFont="1" applyFill="1" applyBorder="1" applyAlignment="1" applyProtection="1">
      <alignment vertical="center" wrapText="1"/>
      <protection locked="0"/>
    </xf>
    <xf numFmtId="0" fontId="5" fillId="0" borderId="19" xfId="2" applyFont="1" applyBorder="1" applyAlignment="1" applyProtection="1">
      <alignment vertical="center"/>
      <protection locked="0"/>
    </xf>
    <xf numFmtId="0" fontId="5" fillId="0" borderId="17" xfId="2" applyFont="1" applyBorder="1" applyAlignment="1" applyProtection="1">
      <alignment horizontal="center" vertical="center"/>
      <protection locked="0"/>
    </xf>
    <xf numFmtId="0" fontId="5" fillId="0" borderId="20" xfId="2" applyFont="1" applyBorder="1" applyAlignment="1" applyProtection="1">
      <alignment horizontal="right" vertical="center"/>
      <protection locked="0"/>
    </xf>
    <xf numFmtId="0" fontId="5" fillId="0" borderId="56" xfId="2" applyFont="1" applyBorder="1" applyAlignment="1" applyProtection="1">
      <alignment vertical="center"/>
      <protection locked="0"/>
    </xf>
    <xf numFmtId="3" fontId="5" fillId="6" borderId="55" xfId="2" applyNumberFormat="1" applyFont="1" applyFill="1" applyBorder="1" applyAlignment="1" applyProtection="1">
      <alignment horizontal="center" vertical="center" wrapText="1"/>
      <protection locked="0"/>
    </xf>
    <xf numFmtId="0" fontId="5" fillId="6" borderId="28" xfId="2" applyFont="1" applyFill="1" applyBorder="1" applyAlignment="1" applyProtection="1">
      <alignment vertical="center" wrapText="1"/>
      <protection locked="0"/>
    </xf>
    <xf numFmtId="3" fontId="4" fillId="2" borderId="3" xfId="2" applyNumberFormat="1" applyFont="1" applyFill="1" applyBorder="1" applyAlignment="1" applyProtection="1">
      <alignment vertical="center"/>
    </xf>
    <xf numFmtId="3" fontId="4" fillId="2" borderId="8" xfId="2" applyNumberFormat="1" applyFont="1" applyFill="1" applyBorder="1" applyAlignment="1" applyProtection="1">
      <alignment horizontal="right" vertical="center"/>
    </xf>
    <xf numFmtId="4" fontId="4" fillId="2" borderId="2" xfId="2" applyNumberFormat="1" applyFont="1" applyFill="1" applyBorder="1" applyAlignment="1" applyProtection="1">
      <alignment vertical="center"/>
    </xf>
    <xf numFmtId="0" fontId="2" fillId="2" borderId="1" xfId="2" applyFont="1" applyFill="1" applyBorder="1" applyAlignment="1" applyProtection="1">
      <alignment horizontal="center" vertical="center"/>
    </xf>
    <xf numFmtId="3" fontId="2" fillId="2" borderId="33" xfId="2" applyNumberFormat="1" applyFont="1" applyFill="1" applyBorder="1" applyAlignment="1" applyProtection="1">
      <alignment horizontal="center" vertical="center"/>
    </xf>
    <xf numFmtId="3" fontId="2" fillId="2" borderId="1" xfId="2" applyNumberFormat="1" applyFont="1" applyFill="1" applyBorder="1" applyAlignment="1" applyProtection="1">
      <alignment vertical="center"/>
    </xf>
    <xf numFmtId="3" fontId="2" fillId="2" borderId="33" xfId="2" applyNumberFormat="1" applyFont="1" applyFill="1" applyBorder="1" applyAlignment="1" applyProtection="1">
      <alignment horizontal="right" vertical="center"/>
    </xf>
    <xf numFmtId="4" fontId="2" fillId="2" borderId="54" xfId="2" applyNumberFormat="1" applyFont="1" applyFill="1" applyBorder="1" applyAlignment="1" applyProtection="1">
      <alignment vertical="center"/>
    </xf>
    <xf numFmtId="3" fontId="2" fillId="2" borderId="59" xfId="2" applyNumberFormat="1" applyFont="1" applyFill="1" applyBorder="1" applyAlignment="1" applyProtection="1">
      <alignment horizontal="right" vertical="center"/>
    </xf>
    <xf numFmtId="0" fontId="18" fillId="0" borderId="0" xfId="2" applyFont="1" applyProtection="1">
      <protection locked="0"/>
    </xf>
    <xf numFmtId="0" fontId="8" fillId="0" borderId="0" xfId="2" applyFont="1" applyProtection="1">
      <protection locked="0"/>
    </xf>
    <xf numFmtId="0" fontId="8" fillId="0" borderId="0" xfId="2" applyFont="1" applyAlignment="1" applyProtection="1">
      <alignment horizontal="right"/>
      <protection locked="0"/>
    </xf>
    <xf numFmtId="0" fontId="8" fillId="0" borderId="0" xfId="2" applyFont="1" applyAlignment="1" applyProtection="1">
      <alignment horizontal="center"/>
      <protection locked="0"/>
    </xf>
    <xf numFmtId="0" fontId="20" fillId="0" borderId="0" xfId="2" applyFont="1" applyProtection="1">
      <protection locked="0"/>
    </xf>
    <xf numFmtId="0" fontId="20" fillId="0" borderId="0" xfId="2" applyFont="1" applyAlignment="1" applyProtection="1">
      <alignment horizontal="right"/>
      <protection locked="0"/>
    </xf>
    <xf numFmtId="0" fontId="20" fillId="0" borderId="0" xfId="2" applyFont="1" applyAlignment="1" applyProtection="1">
      <alignment horizontal="center"/>
      <protection locked="0"/>
    </xf>
    <xf numFmtId="0" fontId="4" fillId="5" borderId="28" xfId="0" applyFont="1" applyFill="1" applyBorder="1" applyAlignment="1">
      <alignment horizontal="center" vertical="center"/>
    </xf>
    <xf numFmtId="0" fontId="4" fillId="5" borderId="28" xfId="0" applyFont="1" applyFill="1" applyBorder="1" applyAlignment="1">
      <alignment horizontal="center" vertical="center" wrapText="1"/>
    </xf>
    <xf numFmtId="0" fontId="29" fillId="0" borderId="40" xfId="0" applyFont="1" applyBorder="1" applyAlignment="1">
      <alignment horizontal="center" vertical="center"/>
    </xf>
    <xf numFmtId="0" fontId="5" fillId="0" borderId="40" xfId="0" applyFont="1" applyBorder="1" applyAlignment="1">
      <alignment horizontal="center" vertical="center"/>
    </xf>
    <xf numFmtId="0" fontId="5" fillId="0" borderId="46" xfId="0" applyFont="1" applyBorder="1" applyAlignment="1">
      <alignment horizontal="center" vertical="center" wrapText="1"/>
    </xf>
    <xf numFmtId="0" fontId="29" fillId="0" borderId="40" xfId="0" applyFont="1" applyBorder="1" applyAlignment="1">
      <alignment horizontal="right" vertical="center"/>
    </xf>
    <xf numFmtId="0" fontId="29" fillId="0" borderId="41" xfId="0" applyFont="1" applyBorder="1" applyAlignment="1">
      <alignment horizontal="right" vertical="center"/>
    </xf>
    <xf numFmtId="0" fontId="29" fillId="0" borderId="17" xfId="0" applyFont="1" applyBorder="1" applyAlignment="1">
      <alignment horizontal="center" vertical="center"/>
    </xf>
    <xf numFmtId="0" fontId="5" fillId="0" borderId="17" xfId="0" applyFont="1" applyBorder="1" applyAlignment="1">
      <alignment horizontal="center" vertical="center"/>
    </xf>
    <xf numFmtId="0" fontId="29" fillId="0" borderId="17" xfId="0" applyFont="1" applyBorder="1" applyAlignment="1">
      <alignment horizontal="right" vertical="center"/>
    </xf>
    <xf numFmtId="0" fontId="29" fillId="0" borderId="20" xfId="0" applyFont="1" applyBorder="1" applyAlignment="1">
      <alignment horizontal="right" vertical="center"/>
    </xf>
    <xf numFmtId="0" fontId="29" fillId="0" borderId="39" xfId="0" applyFont="1" applyBorder="1" applyAlignment="1">
      <alignment horizontal="center" vertical="center"/>
    </xf>
    <xf numFmtId="0" fontId="5" fillId="0" borderId="39" xfId="0" applyFont="1" applyBorder="1" applyAlignment="1">
      <alignment horizontal="center" vertical="center"/>
    </xf>
    <xf numFmtId="0" fontId="5" fillId="0" borderId="1" xfId="0" applyFont="1" applyBorder="1" applyAlignment="1">
      <alignment horizontal="center" vertical="center" wrapText="1"/>
    </xf>
    <xf numFmtId="0" fontId="29" fillId="0" borderId="39" xfId="0" applyFont="1" applyBorder="1" applyAlignment="1">
      <alignment horizontal="right" vertical="center"/>
    </xf>
    <xf numFmtId="0" fontId="29" fillId="0" borderId="57" xfId="0" applyFont="1" applyBorder="1" applyAlignment="1">
      <alignment horizontal="right" vertical="center"/>
    </xf>
    <xf numFmtId="0" fontId="29" fillId="0" borderId="23" xfId="0" applyFont="1" applyBorder="1" applyAlignment="1">
      <alignment horizontal="center" vertical="center"/>
    </xf>
    <xf numFmtId="0" fontId="5" fillId="0" borderId="23" xfId="0" applyFont="1" applyBorder="1" applyAlignment="1">
      <alignment horizontal="center" vertical="center"/>
    </xf>
    <xf numFmtId="0" fontId="29" fillId="0" borderId="23" xfId="0" applyFont="1" applyBorder="1" applyAlignment="1">
      <alignment horizontal="right" vertical="center"/>
    </xf>
    <xf numFmtId="0" fontId="29" fillId="0" borderId="26" xfId="0" applyFont="1" applyBorder="1" applyAlignment="1">
      <alignment horizontal="right" vertical="center"/>
    </xf>
    <xf numFmtId="0" fontId="29" fillId="0" borderId="28" xfId="0" applyFont="1" applyBorder="1" applyAlignment="1">
      <alignment horizontal="center" vertical="center"/>
    </xf>
    <xf numFmtId="0" fontId="5" fillId="0" borderId="28" xfId="0" applyFont="1" applyBorder="1" applyAlignment="1">
      <alignment horizontal="center" vertical="center"/>
    </xf>
    <xf numFmtId="0" fontId="29" fillId="0" borderId="28" xfId="0" applyFont="1" applyBorder="1" applyAlignment="1">
      <alignment horizontal="right" vertical="center"/>
    </xf>
    <xf numFmtId="0" fontId="29" fillId="0" borderId="31" xfId="0" applyFont="1" applyBorder="1" applyAlignment="1">
      <alignment horizontal="right" vertical="center"/>
    </xf>
    <xf numFmtId="1" fontId="5" fillId="0" borderId="17" xfId="0" applyNumberFormat="1" applyFont="1" applyBorder="1" applyAlignment="1">
      <alignment horizontal="center" vertical="center"/>
    </xf>
    <xf numFmtId="165" fontId="5" fillId="0" borderId="17" xfId="0" applyNumberFormat="1" applyFont="1" applyBorder="1" applyAlignment="1">
      <alignment horizontal="right" vertical="center"/>
    </xf>
    <xf numFmtId="165" fontId="5" fillId="0" borderId="20" xfId="0" applyNumberFormat="1" applyFont="1" applyBorder="1" applyAlignment="1">
      <alignment horizontal="right" vertical="center"/>
    </xf>
    <xf numFmtId="0" fontId="5" fillId="0" borderId="1" xfId="0" applyFont="1" applyBorder="1" applyAlignment="1">
      <alignment vertical="center" wrapText="1"/>
    </xf>
    <xf numFmtId="0" fontId="29" fillId="0" borderId="11" xfId="0" applyFont="1" applyBorder="1" applyAlignment="1">
      <alignment horizontal="center" vertical="center"/>
    </xf>
    <xf numFmtId="0" fontId="5" fillId="0" borderId="11" xfId="0" applyFont="1" applyBorder="1" applyAlignment="1">
      <alignment horizontal="center" vertical="center"/>
    </xf>
    <xf numFmtId="0" fontId="29" fillId="0" borderId="11" xfId="0" applyFont="1" applyBorder="1" applyAlignment="1">
      <alignment horizontal="right" vertical="center"/>
    </xf>
    <xf numFmtId="0" fontId="29" fillId="0" borderId="14" xfId="0" applyFont="1" applyBorder="1" applyAlignment="1">
      <alignment horizontal="right" vertical="center"/>
    </xf>
    <xf numFmtId="0" fontId="30" fillId="7" borderId="3" xfId="0" applyFont="1" applyFill="1" applyBorder="1" applyAlignment="1">
      <alignment horizontal="center" vertical="center"/>
    </xf>
    <xf numFmtId="0" fontId="4" fillId="7" borderId="3" xfId="0" applyFont="1" applyFill="1" applyBorder="1" applyAlignment="1">
      <alignment horizontal="center" vertical="center" wrapText="1"/>
    </xf>
    <xf numFmtId="0" fontId="4" fillId="7" borderId="3" xfId="0" applyFont="1" applyFill="1" applyBorder="1" applyAlignment="1">
      <alignment vertical="center" wrapText="1"/>
    </xf>
    <xf numFmtId="0" fontId="30" fillId="7" borderId="3" xfId="0" applyFont="1" applyFill="1" applyBorder="1" applyAlignment="1">
      <alignment horizontal="right" vertical="center"/>
    </xf>
    <xf numFmtId="0" fontId="30" fillId="7" borderId="4" xfId="0" applyFont="1" applyFill="1" applyBorder="1" applyAlignment="1">
      <alignment horizontal="right" vertical="center"/>
    </xf>
    <xf numFmtId="0" fontId="5" fillId="0" borderId="1" xfId="0" applyFont="1" applyBorder="1" applyAlignment="1">
      <alignment horizontal="center" vertical="center"/>
    </xf>
    <xf numFmtId="0" fontId="29" fillId="0" borderId="1" xfId="0" applyFont="1" applyBorder="1" applyAlignment="1">
      <alignment horizontal="center" vertical="center"/>
    </xf>
    <xf numFmtId="0" fontId="31" fillId="0" borderId="17" xfId="0" applyFont="1" applyBorder="1" applyAlignment="1">
      <alignment horizontal="center" vertical="center" wrapText="1"/>
    </xf>
    <xf numFmtId="0" fontId="29" fillId="0" borderId="11" xfId="0" applyFont="1" applyBorder="1" applyAlignment="1">
      <alignment horizontal="center" vertical="center" wrapText="1"/>
    </xf>
    <xf numFmtId="1" fontId="5" fillId="0" borderId="23" xfId="0" applyNumberFormat="1" applyFont="1" applyBorder="1" applyAlignment="1">
      <alignment horizontal="center" vertical="center" wrapText="1"/>
    </xf>
    <xf numFmtId="166" fontId="5" fillId="0" borderId="23" xfId="0" applyNumberFormat="1" applyFont="1" applyBorder="1" applyAlignment="1">
      <alignment horizontal="right" vertical="center"/>
    </xf>
    <xf numFmtId="166" fontId="5" fillId="0" borderId="26" xfId="0" applyNumberFormat="1" applyFont="1" applyBorder="1" applyAlignment="1">
      <alignment horizontal="right" vertical="center"/>
    </xf>
    <xf numFmtId="0" fontId="31"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28" xfId="0" applyFont="1" applyFill="1" applyBorder="1" applyAlignment="1">
      <alignment horizontal="center"/>
    </xf>
    <xf numFmtId="1" fontId="5" fillId="0" borderId="28" xfId="0" applyNumberFormat="1" applyFont="1" applyBorder="1" applyAlignment="1">
      <alignment horizontal="center" vertical="center"/>
    </xf>
    <xf numFmtId="166" fontId="5" fillId="0" borderId="28" xfId="0" applyNumberFormat="1" applyFont="1" applyBorder="1" applyAlignment="1">
      <alignment horizontal="right" vertical="center"/>
    </xf>
    <xf numFmtId="166" fontId="5" fillId="0" borderId="31" xfId="0" applyNumberFormat="1" applyFont="1" applyBorder="1" applyAlignment="1">
      <alignment horizontal="right" vertical="center"/>
    </xf>
    <xf numFmtId="0" fontId="29" fillId="0" borderId="23" xfId="0" applyFont="1" applyBorder="1" applyAlignment="1">
      <alignment horizontal="center"/>
    </xf>
    <xf numFmtId="166" fontId="5" fillId="0" borderId="17" xfId="0" applyNumberFormat="1" applyFont="1" applyBorder="1" applyAlignment="1">
      <alignment horizontal="right" vertical="center"/>
    </xf>
    <xf numFmtId="166" fontId="5" fillId="0" borderId="34" xfId="0" applyNumberFormat="1" applyFont="1" applyBorder="1" applyAlignment="1">
      <alignment horizontal="right" vertical="center"/>
    </xf>
    <xf numFmtId="0" fontId="29" fillId="0" borderId="23" xfId="0" applyFont="1" applyBorder="1"/>
    <xf numFmtId="165" fontId="5" fillId="0" borderId="23" xfId="0" applyNumberFormat="1" applyFont="1" applyBorder="1" applyAlignment="1">
      <alignment horizontal="right" vertical="center" wrapText="1"/>
    </xf>
    <xf numFmtId="0" fontId="29" fillId="0" borderId="3" xfId="0" applyFont="1" applyBorder="1" applyAlignment="1">
      <alignment horizontal="center" vertical="center" wrapText="1"/>
    </xf>
    <xf numFmtId="1" fontId="29" fillId="0" borderId="28" xfId="0" applyNumberFormat="1" applyFont="1" applyBorder="1" applyAlignment="1">
      <alignment horizontal="center" vertical="center" wrapText="1"/>
    </xf>
    <xf numFmtId="165" fontId="29" fillId="0" borderId="28" xfId="0" applyNumberFormat="1" applyFont="1" applyBorder="1" applyAlignment="1">
      <alignment horizontal="right" vertical="center" wrapText="1"/>
    </xf>
    <xf numFmtId="0" fontId="29" fillId="0" borderId="28" xfId="0" applyFont="1" applyFill="1" applyBorder="1" applyAlignment="1">
      <alignment horizontal="center" vertical="center"/>
    </xf>
    <xf numFmtId="166" fontId="5" fillId="0" borderId="20" xfId="0" applyNumberFormat="1" applyFont="1" applyBorder="1" applyAlignment="1">
      <alignment horizontal="right" vertical="center"/>
    </xf>
    <xf numFmtId="1" fontId="5" fillId="0" borderId="23" xfId="0" applyNumberFormat="1" applyFont="1" applyBorder="1" applyAlignment="1">
      <alignment horizontal="center" vertical="center"/>
    </xf>
    <xf numFmtId="0" fontId="29" fillId="0" borderId="28" xfId="0" applyFont="1" applyBorder="1" applyAlignment="1">
      <alignment horizontal="center"/>
    </xf>
    <xf numFmtId="0" fontId="31" fillId="0" borderId="28" xfId="0" applyFont="1" applyBorder="1" applyAlignment="1">
      <alignment horizontal="center" vertical="center" wrapText="1"/>
    </xf>
    <xf numFmtId="0" fontId="32" fillId="7" borderId="2" xfId="0" applyFont="1" applyFill="1" applyBorder="1" applyAlignment="1">
      <alignment horizontal="center" vertical="center"/>
    </xf>
    <xf numFmtId="0" fontId="32" fillId="7" borderId="7" xfId="0" applyFont="1" applyFill="1" applyBorder="1" applyAlignment="1">
      <alignment horizontal="center" vertical="center"/>
    </xf>
    <xf numFmtId="0" fontId="32" fillId="7" borderId="5" xfId="0" applyFont="1" applyFill="1" applyBorder="1" applyAlignment="1">
      <alignment vertical="center"/>
    </xf>
    <xf numFmtId="1" fontId="32" fillId="7" borderId="3" xfId="0" applyNumberFormat="1" applyFont="1" applyFill="1" applyBorder="1" applyAlignment="1">
      <alignment horizontal="center" vertical="center"/>
    </xf>
    <xf numFmtId="0" fontId="32" fillId="7" borderId="3" xfId="0" applyFont="1" applyFill="1" applyBorder="1" applyAlignment="1">
      <alignment horizontal="center" vertical="center"/>
    </xf>
    <xf numFmtId="166" fontId="32" fillId="7" borderId="3" xfId="0" applyNumberFormat="1" applyFont="1" applyFill="1" applyBorder="1" applyAlignment="1">
      <alignment horizontal="right" vertical="center"/>
    </xf>
    <xf numFmtId="166" fontId="2" fillId="7" borderId="4" xfId="0" applyNumberFormat="1" applyFont="1" applyFill="1" applyBorder="1" applyAlignment="1">
      <alignment horizontal="right" vertical="center"/>
    </xf>
    <xf numFmtId="0" fontId="30" fillId="0" borderId="25" xfId="0" applyFont="1" applyBorder="1" applyAlignment="1">
      <alignment horizontal="center" vertical="center"/>
    </xf>
    <xf numFmtId="0" fontId="29" fillId="0" borderId="22" xfId="0" applyFont="1" applyBorder="1" applyAlignment="1">
      <alignment horizontal="center" vertical="center"/>
    </xf>
    <xf numFmtId="0" fontId="29" fillId="0" borderId="23" xfId="0" applyFont="1" applyBorder="1" applyAlignment="1">
      <alignment horizontal="center" vertical="center" wrapText="1"/>
    </xf>
    <xf numFmtId="1" fontId="29" fillId="0" borderId="22" xfId="0" applyNumberFormat="1" applyFont="1" applyBorder="1" applyAlignment="1">
      <alignment horizontal="center" vertical="center"/>
    </xf>
    <xf numFmtId="1" fontId="29" fillId="0" borderId="23" xfId="0" applyNumberFormat="1" applyFont="1" applyBorder="1" applyAlignment="1">
      <alignment horizontal="center" vertical="center"/>
    </xf>
    <xf numFmtId="0" fontId="29" fillId="0" borderId="23" xfId="0" applyFont="1" applyBorder="1" applyAlignment="1">
      <alignment vertical="center"/>
    </xf>
    <xf numFmtId="0" fontId="29" fillId="0" borderId="16" xfId="0" applyFont="1" applyBorder="1" applyAlignment="1">
      <alignment horizontal="center" vertical="center"/>
    </xf>
    <xf numFmtId="1" fontId="29" fillId="0" borderId="16" xfId="0" applyNumberFormat="1" applyFont="1" applyBorder="1" applyAlignment="1">
      <alignment horizontal="center" vertical="center"/>
    </xf>
    <xf numFmtId="1" fontId="29" fillId="0" borderId="17" xfId="0" applyNumberFormat="1" applyFont="1" applyBorder="1" applyAlignment="1">
      <alignment horizontal="center" vertical="center"/>
    </xf>
    <xf numFmtId="0" fontId="29" fillId="0" borderId="17" xfId="0" applyFont="1" applyBorder="1" applyAlignment="1">
      <alignment vertical="center"/>
    </xf>
    <xf numFmtId="0" fontId="30" fillId="0" borderId="56" xfId="0" applyFont="1" applyBorder="1" applyAlignment="1">
      <alignment horizontal="center" vertical="center"/>
    </xf>
    <xf numFmtId="0" fontId="29" fillId="0" borderId="55" xfId="0" applyFont="1" applyBorder="1" applyAlignment="1">
      <alignment horizontal="center" vertical="center"/>
    </xf>
    <xf numFmtId="1" fontId="5" fillId="0" borderId="55" xfId="0" applyNumberFormat="1" applyFont="1" applyBorder="1" applyAlignment="1">
      <alignment horizontal="center" vertical="center" wrapText="1"/>
    </xf>
    <xf numFmtId="1" fontId="5" fillId="0" borderId="1" xfId="0" applyNumberFormat="1" applyFont="1" applyBorder="1" applyAlignment="1">
      <alignment horizontal="center" vertical="center" wrapText="1"/>
    </xf>
    <xf numFmtId="166" fontId="5" fillId="0" borderId="1" xfId="0" applyNumberFormat="1" applyFont="1" applyBorder="1" applyAlignment="1">
      <alignment horizontal="right" vertical="center"/>
    </xf>
    <xf numFmtId="1" fontId="32" fillId="7" borderId="7" xfId="0" applyNumberFormat="1" applyFont="1" applyFill="1" applyBorder="1" applyAlignment="1">
      <alignment horizontal="center" vertical="center"/>
    </xf>
    <xf numFmtId="0" fontId="32" fillId="7" borderId="3" xfId="0" applyFont="1" applyFill="1" applyBorder="1" applyAlignment="1">
      <alignment vertical="center"/>
    </xf>
    <xf numFmtId="166" fontId="32" fillId="7" borderId="4" xfId="0" applyNumberFormat="1" applyFont="1" applyFill="1" applyBorder="1" applyAlignment="1">
      <alignment horizontal="right" vertical="center"/>
    </xf>
    <xf numFmtId="0" fontId="1" fillId="0" borderId="0" xfId="2"/>
    <xf numFmtId="0" fontId="1" fillId="0" borderId="0" xfId="2" applyAlignment="1">
      <alignment horizontal="center" vertical="center" wrapText="1"/>
    </xf>
    <xf numFmtId="0" fontId="1" fillId="0" borderId="0" xfId="2" applyFill="1"/>
    <xf numFmtId="0" fontId="1" fillId="0" borderId="0" xfId="2" applyFill="1" applyAlignment="1">
      <alignment horizontal="center" vertical="center" wrapText="1"/>
    </xf>
    <xf numFmtId="0" fontId="18" fillId="0" borderId="0" xfId="2" applyFont="1" applyAlignment="1">
      <alignment horizontal="center" vertical="center" wrapText="1"/>
    </xf>
    <xf numFmtId="0" fontId="18" fillId="0" borderId="0" xfId="2" applyFont="1" applyFill="1" applyAlignment="1">
      <alignment horizontal="center" vertical="center" wrapText="1"/>
    </xf>
    <xf numFmtId="39" fontId="21" fillId="7" borderId="60" xfId="2" applyNumberFormat="1" applyFont="1" applyFill="1" applyBorder="1"/>
    <xf numFmtId="0" fontId="5" fillId="0" borderId="25" xfId="2" applyFont="1" applyBorder="1"/>
    <xf numFmtId="0" fontId="5" fillId="0" borderId="61" xfId="2" applyFont="1" applyBorder="1"/>
    <xf numFmtId="0" fontId="5" fillId="0" borderId="25" xfId="2" applyFont="1" applyBorder="1" applyAlignment="1">
      <alignment horizontal="center" vertical="center" wrapText="1"/>
    </xf>
    <xf numFmtId="0" fontId="4" fillId="0" borderId="62" xfId="2" applyFont="1" applyBorder="1" applyAlignment="1">
      <alignment horizontal="center" vertical="center" wrapText="1"/>
    </xf>
    <xf numFmtId="0" fontId="4" fillId="0" borderId="21" xfId="2" applyFont="1" applyBorder="1" applyAlignment="1">
      <alignment horizontal="center" vertical="center" wrapText="1"/>
    </xf>
    <xf numFmtId="4" fontId="5" fillId="0" borderId="63" xfId="2" applyNumberFormat="1" applyFont="1" applyBorder="1" applyAlignment="1">
      <alignment vertical="center"/>
    </xf>
    <xf numFmtId="0" fontId="22" fillId="0" borderId="17" xfId="2" applyNumberFormat="1" applyFont="1" applyBorder="1" applyAlignment="1">
      <alignment horizontal="justify" vertical="center" wrapText="1"/>
    </xf>
    <xf numFmtId="0" fontId="5" fillId="0" borderId="19" xfId="2" applyFont="1" applyBorder="1"/>
    <xf numFmtId="0" fontId="5" fillId="0" borderId="63" xfId="2" applyFont="1" applyBorder="1"/>
    <xf numFmtId="0" fontId="5" fillId="0" borderId="19" xfId="2" applyFont="1" applyBorder="1" applyAlignment="1">
      <alignment horizontal="center" vertical="center" wrapText="1"/>
    </xf>
    <xf numFmtId="0" fontId="5" fillId="0" borderId="63" xfId="2" applyFont="1" applyBorder="1" applyAlignment="1">
      <alignment horizontal="center" vertical="center" wrapText="1"/>
    </xf>
    <xf numFmtId="0" fontId="4" fillId="0" borderId="64" xfId="2" applyFont="1" applyBorder="1" applyAlignment="1">
      <alignment horizontal="center" vertical="center" wrapText="1"/>
    </xf>
    <xf numFmtId="0" fontId="4" fillId="0" borderId="15" xfId="2" applyFont="1" applyBorder="1" applyAlignment="1">
      <alignment horizontal="center" vertical="center" wrapText="1"/>
    </xf>
    <xf numFmtId="0" fontId="4" fillId="0" borderId="21" xfId="2" applyFont="1" applyFill="1" applyBorder="1" applyAlignment="1">
      <alignment horizontal="center" vertical="center" wrapText="1"/>
    </xf>
    <xf numFmtId="4" fontId="5" fillId="0" borderId="61" xfId="2" applyNumberFormat="1" applyFont="1" applyFill="1" applyBorder="1" applyAlignment="1">
      <alignment horizontal="right" vertical="center"/>
    </xf>
    <xf numFmtId="49" fontId="17" fillId="0" borderId="23" xfId="2" applyNumberFormat="1" applyFont="1" applyFill="1" applyBorder="1" applyAlignment="1">
      <alignment horizontal="center" vertical="center" wrapText="1"/>
    </xf>
    <xf numFmtId="0" fontId="5" fillId="0" borderId="25" xfId="2" applyFont="1" applyFill="1" applyBorder="1" applyAlignment="1">
      <alignment horizontal="center"/>
    </xf>
    <xf numFmtId="0" fontId="5" fillId="0" borderId="61" xfId="2" applyFont="1" applyFill="1" applyBorder="1" applyAlignment="1">
      <alignment horizontal="center"/>
    </xf>
    <xf numFmtId="0" fontId="22" fillId="0" borderId="25" xfId="2" applyNumberFormat="1" applyFont="1" applyFill="1" applyBorder="1" applyAlignment="1">
      <alignment horizontal="center" vertical="center" wrapText="1"/>
    </xf>
    <xf numFmtId="0" fontId="4" fillId="0" borderId="62" xfId="2" applyFont="1" applyFill="1" applyBorder="1" applyAlignment="1">
      <alignment horizontal="center" vertical="center" wrapText="1"/>
    </xf>
    <xf numFmtId="4" fontId="5" fillId="0" borderId="61" xfId="2" applyNumberFormat="1" applyFont="1" applyBorder="1" applyAlignment="1">
      <alignment horizontal="right" vertical="center"/>
    </xf>
    <xf numFmtId="0" fontId="22" fillId="0" borderId="23" xfId="2" applyNumberFormat="1" applyFont="1" applyBorder="1" applyAlignment="1">
      <alignment horizontal="center" vertical="center" wrapText="1"/>
    </xf>
    <xf numFmtId="0" fontId="5" fillId="0" borderId="25" xfId="2" applyFont="1" applyBorder="1" applyAlignment="1">
      <alignment horizontal="center"/>
    </xf>
    <xf numFmtId="0" fontId="5" fillId="0" borderId="61" xfId="2" applyFont="1" applyBorder="1" applyAlignment="1">
      <alignment horizontal="center"/>
    </xf>
    <xf numFmtId="0" fontId="5" fillId="0" borderId="61" xfId="2" applyFont="1" applyBorder="1" applyAlignment="1">
      <alignment horizontal="center" vertical="center" wrapText="1"/>
    </xf>
    <xf numFmtId="0" fontId="17" fillId="0" borderId="25" xfId="2" applyNumberFormat="1" applyFont="1" applyFill="1" applyBorder="1" applyAlignment="1">
      <alignment horizontal="center" vertical="center" wrapText="1"/>
    </xf>
    <xf numFmtId="49" fontId="24" fillId="0" borderId="62" xfId="2" applyNumberFormat="1" applyFont="1" applyFill="1" applyBorder="1" applyAlignment="1">
      <alignment horizontal="center" vertical="center" wrapText="1"/>
    </xf>
    <xf numFmtId="4" fontId="5" fillId="0" borderId="61" xfId="2" applyNumberFormat="1" applyFont="1" applyFill="1" applyBorder="1" applyAlignment="1">
      <alignment vertical="center"/>
    </xf>
    <xf numFmtId="0" fontId="5" fillId="0" borderId="23" xfId="2" applyFont="1" applyBorder="1" applyAlignment="1">
      <alignment horizontal="center" vertical="center" wrapText="1"/>
    </xf>
    <xf numFmtId="0" fontId="22" fillId="0" borderId="25" xfId="2" applyNumberFormat="1" applyFont="1" applyFill="1" applyBorder="1" applyAlignment="1">
      <alignment horizontal="justify" vertical="center" wrapText="1"/>
    </xf>
    <xf numFmtId="4" fontId="5" fillId="3" borderId="4" xfId="2" applyNumberFormat="1" applyFont="1" applyFill="1" applyBorder="1" applyAlignment="1" applyProtection="1">
      <alignment horizontal="right" vertical="center" wrapText="1"/>
      <protection locked="0"/>
    </xf>
    <xf numFmtId="0" fontId="5" fillId="3" borderId="3" xfId="2" applyFont="1" applyFill="1" applyBorder="1" applyAlignment="1">
      <alignment horizontal="center" vertical="center" wrapText="1"/>
    </xf>
    <xf numFmtId="0" fontId="5" fillId="3" borderId="3" xfId="2" applyFont="1" applyFill="1" applyBorder="1" applyAlignment="1" applyProtection="1">
      <alignment horizontal="center" vertical="center" wrapText="1"/>
      <protection locked="0"/>
    </xf>
    <xf numFmtId="0" fontId="5" fillId="3" borderId="7" xfId="2" applyFont="1" applyFill="1" applyBorder="1" applyAlignment="1">
      <alignment horizontal="center" vertical="center" wrapText="1"/>
    </xf>
    <xf numFmtId="49" fontId="24" fillId="0" borderId="6" xfId="2" applyNumberFormat="1" applyFont="1" applyFill="1" applyBorder="1" applyAlignment="1">
      <alignment horizontal="center" vertical="center" wrapText="1"/>
    </xf>
    <xf numFmtId="4" fontId="5" fillId="3" borderId="26" xfId="2" applyNumberFormat="1" applyFont="1" applyFill="1" applyBorder="1" applyAlignment="1" applyProtection="1">
      <alignment horizontal="right" vertical="center" wrapText="1"/>
      <protection locked="0"/>
    </xf>
    <xf numFmtId="0" fontId="5" fillId="3" borderId="23" xfId="2" applyFont="1" applyFill="1" applyBorder="1" applyAlignment="1">
      <alignment horizontal="center" vertical="center" wrapText="1"/>
    </xf>
    <xf numFmtId="0" fontId="5" fillId="3" borderId="23" xfId="2" applyFont="1" applyFill="1" applyBorder="1" applyAlignment="1" applyProtection="1">
      <alignment horizontal="center" vertical="center" wrapText="1"/>
      <protection locked="0"/>
    </xf>
    <xf numFmtId="0" fontId="5" fillId="3" borderId="17" xfId="2" applyFont="1" applyFill="1" applyBorder="1" applyAlignment="1" applyProtection="1">
      <alignment horizontal="center" vertical="center" wrapText="1"/>
      <protection locked="0"/>
    </xf>
    <xf numFmtId="0" fontId="5" fillId="3" borderId="22" xfId="2" applyFont="1" applyFill="1" applyBorder="1" applyAlignment="1">
      <alignment horizontal="center" vertical="center" wrapText="1"/>
    </xf>
    <xf numFmtId="4" fontId="2" fillId="4" borderId="65" xfId="2" applyNumberFormat="1" applyFont="1" applyFill="1" applyBorder="1" applyAlignment="1">
      <alignment horizontal="center" vertical="center" wrapText="1"/>
    </xf>
    <xf numFmtId="0" fontId="2" fillId="4" borderId="66" xfId="2" applyFont="1" applyFill="1" applyBorder="1" applyAlignment="1">
      <alignment horizontal="center" vertical="center" wrapText="1"/>
    </xf>
    <xf numFmtId="0" fontId="4" fillId="4" borderId="67" xfId="2" applyFont="1" applyFill="1" applyBorder="1" applyAlignment="1">
      <alignment horizontal="center" vertical="center" wrapText="1"/>
    </xf>
    <xf numFmtId="0" fontId="2" fillId="4" borderId="68" xfId="2" applyFont="1" applyFill="1" applyBorder="1" applyAlignment="1">
      <alignment horizontal="center" vertical="center" wrapText="1"/>
    </xf>
    <xf numFmtId="0" fontId="2" fillId="4" borderId="69" xfId="2" applyFont="1" applyFill="1" applyBorder="1" applyAlignment="1">
      <alignment horizontal="center" vertical="center" wrapText="1"/>
    </xf>
    <xf numFmtId="0" fontId="2" fillId="4" borderId="70" xfId="2" applyFont="1" applyFill="1" applyBorder="1" applyAlignment="1">
      <alignment horizontal="center" vertical="center" wrapText="1"/>
    </xf>
    <xf numFmtId="0" fontId="2" fillId="4" borderId="71" xfId="2" applyFont="1" applyFill="1" applyBorder="1" applyAlignment="1">
      <alignment horizontal="center" vertical="center" wrapText="1"/>
    </xf>
    <xf numFmtId="0" fontId="2" fillId="4" borderId="72" xfId="2" applyFont="1" applyFill="1" applyBorder="1" applyAlignment="1">
      <alignment horizontal="center" vertical="center" wrapText="1"/>
    </xf>
    <xf numFmtId="0" fontId="4" fillId="4" borderId="70" xfId="2" applyFont="1" applyFill="1" applyBorder="1" applyAlignment="1">
      <alignment horizontal="center" vertical="center" wrapText="1"/>
    </xf>
    <xf numFmtId="0" fontId="2" fillId="4" borderId="73" xfId="2" applyFont="1" applyFill="1" applyBorder="1" applyAlignment="1">
      <alignment horizontal="center" vertical="center" wrapText="1"/>
    </xf>
    <xf numFmtId="4" fontId="6" fillId="4" borderId="71" xfId="2" applyNumberFormat="1" applyFont="1" applyFill="1" applyBorder="1" applyAlignment="1">
      <alignment horizontal="center" vertical="center" wrapText="1"/>
    </xf>
    <xf numFmtId="0" fontId="4" fillId="0" borderId="74" xfId="2" applyFont="1" applyFill="1" applyBorder="1" applyAlignment="1">
      <alignment horizontal="center" vertical="center" wrapText="1"/>
    </xf>
    <xf numFmtId="0" fontId="5" fillId="0" borderId="42" xfId="2" applyFont="1" applyBorder="1" applyAlignment="1">
      <alignment horizontal="center" vertical="center" wrapText="1"/>
    </xf>
    <xf numFmtId="49" fontId="5" fillId="0" borderId="75" xfId="2" applyNumberFormat="1" applyFont="1" applyFill="1" applyBorder="1" applyAlignment="1">
      <alignment horizontal="center" vertical="center" wrapText="1"/>
    </xf>
    <xf numFmtId="0" fontId="5" fillId="0" borderId="76" xfId="2" applyFont="1" applyFill="1" applyBorder="1" applyAlignment="1">
      <alignment horizontal="center" vertical="center" wrapText="1"/>
    </xf>
    <xf numFmtId="167" fontId="5" fillId="0" borderId="76" xfId="2" applyNumberFormat="1" applyFont="1" applyFill="1" applyBorder="1" applyAlignment="1">
      <alignment horizontal="right" vertical="center" wrapText="1"/>
    </xf>
    <xf numFmtId="0" fontId="5" fillId="0" borderId="75" xfId="2" applyNumberFormat="1" applyFont="1" applyFill="1" applyBorder="1" applyAlignment="1">
      <alignment horizontal="center" vertical="center" wrapText="1"/>
    </xf>
    <xf numFmtId="0" fontId="5" fillId="0" borderId="77" xfId="2" applyFont="1" applyFill="1" applyBorder="1" applyAlignment="1">
      <alignment horizontal="center" vertical="center" wrapText="1"/>
    </xf>
    <xf numFmtId="0" fontId="4" fillId="0" borderId="78" xfId="2" applyFont="1" applyFill="1" applyBorder="1" applyAlignment="1">
      <alignment horizontal="center" vertical="center" wrapText="1"/>
    </xf>
    <xf numFmtId="0" fontId="5" fillId="0" borderId="79" xfId="2" applyFont="1" applyBorder="1" applyAlignment="1">
      <alignment horizontal="center" vertical="center" wrapText="1"/>
    </xf>
    <xf numFmtId="49" fontId="5" fillId="0" borderId="80" xfId="2" applyNumberFormat="1" applyFont="1" applyFill="1" applyBorder="1" applyAlignment="1">
      <alignment horizontal="center" vertical="center" wrapText="1"/>
    </xf>
    <xf numFmtId="0" fontId="5" fillId="0" borderId="81" xfId="2" applyFont="1" applyFill="1" applyBorder="1" applyAlignment="1">
      <alignment horizontal="center" vertical="center" wrapText="1"/>
    </xf>
    <xf numFmtId="167" fontId="5" fillId="0" borderId="81" xfId="2" applyNumberFormat="1" applyFont="1" applyFill="1" applyBorder="1" applyAlignment="1">
      <alignment horizontal="right" vertical="center" wrapText="1"/>
    </xf>
    <xf numFmtId="0" fontId="5" fillId="0" borderId="80" xfId="2" applyNumberFormat="1" applyFont="1" applyFill="1" applyBorder="1" applyAlignment="1">
      <alignment horizontal="center" vertical="center" wrapText="1"/>
    </xf>
    <xf numFmtId="0" fontId="5" fillId="0" borderId="59" xfId="2" applyFont="1" applyFill="1" applyBorder="1" applyAlignment="1">
      <alignment horizontal="center" vertical="center" wrapText="1"/>
    </xf>
    <xf numFmtId="4" fontId="2" fillId="5" borderId="34" xfId="2" applyNumberFormat="1" applyFont="1" applyFill="1" applyBorder="1" applyAlignment="1">
      <alignment horizontal="right" vertical="center" wrapText="1"/>
    </xf>
    <xf numFmtId="0" fontId="1" fillId="5" borderId="2" xfId="2" applyFill="1" applyBorder="1" applyAlignment="1">
      <alignment horizontal="center" vertical="center" wrapText="1"/>
    </xf>
    <xf numFmtId="0" fontId="2" fillId="5" borderId="4" xfId="2" applyFont="1" applyFill="1" applyBorder="1" applyAlignment="1">
      <alignment horizontal="center" vertical="center" wrapText="1"/>
    </xf>
    <xf numFmtId="4" fontId="2" fillId="5" borderId="55" xfId="2" applyNumberFormat="1" applyFont="1" applyFill="1" applyBorder="1" applyAlignment="1">
      <alignment horizontal="right" vertical="center" wrapText="1"/>
    </xf>
    <xf numFmtId="0" fontId="4" fillId="0" borderId="82" xfId="2" applyFont="1" applyFill="1" applyBorder="1" applyAlignment="1">
      <alignment horizontal="center" vertical="center" wrapText="1"/>
    </xf>
    <xf numFmtId="0" fontId="5" fillId="0" borderId="6" xfId="2" applyFont="1" applyBorder="1" applyAlignment="1">
      <alignment horizontal="center" vertical="center" wrapText="1"/>
    </xf>
    <xf numFmtId="49" fontId="5" fillId="0" borderId="83" xfId="2" applyNumberFormat="1" applyFont="1" applyFill="1" applyBorder="1" applyAlignment="1">
      <alignment horizontal="center" vertical="center" wrapText="1"/>
    </xf>
    <xf numFmtId="0" fontId="5" fillId="0" borderId="84" xfId="2" applyFont="1" applyFill="1" applyBorder="1" applyAlignment="1">
      <alignment horizontal="center" vertical="center" wrapText="1"/>
    </xf>
    <xf numFmtId="167" fontId="5" fillId="0" borderId="84" xfId="2" applyNumberFormat="1" applyFont="1" applyFill="1" applyBorder="1" applyAlignment="1">
      <alignment horizontal="right" vertical="center" wrapText="1"/>
    </xf>
    <xf numFmtId="0" fontId="5" fillId="0" borderId="51" xfId="2" applyFont="1" applyFill="1" applyBorder="1" applyAlignment="1">
      <alignment vertical="center" wrapText="1"/>
    </xf>
    <xf numFmtId="0" fontId="2" fillId="5" borderId="51" xfId="2" applyFont="1" applyFill="1" applyBorder="1" applyAlignment="1">
      <alignment horizontal="center" vertical="center" wrapText="1"/>
    </xf>
    <xf numFmtId="4" fontId="2" fillId="5" borderId="55" xfId="2" applyNumberFormat="1" applyFont="1" applyFill="1" applyBorder="1" applyAlignment="1">
      <alignment horizontal="right" wrapText="1"/>
    </xf>
    <xf numFmtId="0" fontId="4" fillId="3" borderId="15" xfId="2" applyFont="1" applyFill="1" applyBorder="1" applyAlignment="1" applyProtection="1">
      <alignment horizontal="center" vertical="center" wrapText="1"/>
      <protection locked="0"/>
    </xf>
    <xf numFmtId="0" fontId="5" fillId="3" borderId="63" xfId="2" applyFont="1" applyFill="1" applyBorder="1" applyAlignment="1" applyProtection="1">
      <alignment horizontal="center" vertical="center" wrapText="1"/>
      <protection locked="0"/>
    </xf>
    <xf numFmtId="0" fontId="5" fillId="3" borderId="19" xfId="2" applyFont="1" applyFill="1" applyBorder="1" applyAlignment="1">
      <alignment horizontal="center" vertical="center" wrapText="1"/>
    </xf>
    <xf numFmtId="0" fontId="5" fillId="3" borderId="20" xfId="2" applyFont="1" applyFill="1" applyBorder="1" applyAlignment="1">
      <alignment horizontal="center" vertical="center" wrapText="1"/>
    </xf>
    <xf numFmtId="0" fontId="5" fillId="3" borderId="19" xfId="2" applyFont="1" applyFill="1" applyBorder="1" applyAlignment="1" applyProtection="1">
      <alignment horizontal="center" vertical="center" wrapText="1"/>
      <protection locked="0"/>
    </xf>
    <xf numFmtId="0" fontId="5" fillId="3" borderId="20" xfId="2" applyFont="1" applyFill="1" applyBorder="1" applyAlignment="1" applyProtection="1">
      <alignment horizontal="center" vertical="center" wrapText="1"/>
      <protection locked="0"/>
    </xf>
    <xf numFmtId="0" fontId="5" fillId="3" borderId="16" xfId="2" applyFont="1" applyFill="1" applyBorder="1" applyAlignment="1" applyProtection="1">
      <alignment horizontal="center" vertical="center" wrapText="1"/>
      <protection locked="0"/>
    </xf>
    <xf numFmtId="0" fontId="5" fillId="3" borderId="17" xfId="2" applyFont="1" applyFill="1" applyBorder="1" applyAlignment="1">
      <alignment horizontal="center" vertical="center" wrapText="1"/>
    </xf>
    <xf numFmtId="0" fontId="4" fillId="3" borderId="21" xfId="2" applyFont="1" applyFill="1" applyBorder="1" applyAlignment="1" applyProtection="1">
      <alignment horizontal="center" vertical="center" wrapText="1"/>
      <protection locked="0"/>
    </xf>
    <xf numFmtId="0" fontId="5" fillId="3" borderId="61" xfId="2" applyFont="1" applyFill="1" applyBorder="1" applyAlignment="1" applyProtection="1">
      <alignment horizontal="center" vertical="center" wrapText="1"/>
      <protection locked="0"/>
    </xf>
    <xf numFmtId="0" fontId="5" fillId="3" borderId="25" xfId="2" applyFont="1" applyFill="1" applyBorder="1" applyAlignment="1">
      <alignment horizontal="center" vertical="center" wrapText="1"/>
    </xf>
    <xf numFmtId="0" fontId="5" fillId="3" borderId="26" xfId="2" applyFont="1" applyFill="1" applyBorder="1" applyAlignment="1">
      <alignment horizontal="center" vertical="center" wrapText="1"/>
    </xf>
    <xf numFmtId="0" fontId="5" fillId="3" borderId="25" xfId="2" applyFont="1" applyFill="1" applyBorder="1" applyAlignment="1" applyProtection="1">
      <alignment horizontal="center" vertical="center" wrapText="1"/>
      <protection locked="0"/>
    </xf>
    <xf numFmtId="0" fontId="5" fillId="3" borderId="26" xfId="2" applyFont="1" applyFill="1" applyBorder="1" applyAlignment="1" applyProtection="1">
      <alignment horizontal="center" vertical="center" wrapText="1"/>
      <protection locked="0"/>
    </xf>
    <xf numFmtId="0" fontId="5" fillId="3" borderId="22" xfId="2" applyFont="1" applyFill="1" applyBorder="1" applyAlignment="1" applyProtection="1">
      <alignment horizontal="center" vertical="center" wrapText="1"/>
      <protection locked="0"/>
    </xf>
    <xf numFmtId="0" fontId="4" fillId="3" borderId="32" xfId="2" applyFont="1" applyFill="1" applyBorder="1" applyAlignment="1" applyProtection="1">
      <alignment horizontal="center" vertical="center" wrapText="1"/>
      <protection locked="0"/>
    </xf>
    <xf numFmtId="0" fontId="5" fillId="3" borderId="60" xfId="2" applyFont="1" applyFill="1" applyBorder="1" applyAlignment="1" applyProtection="1">
      <alignment horizontal="center" vertical="center" wrapText="1"/>
      <protection locked="0"/>
    </xf>
    <xf numFmtId="0" fontId="5" fillId="3" borderId="30" xfId="2" applyFont="1" applyFill="1" applyBorder="1" applyAlignment="1">
      <alignment horizontal="center" vertical="center" wrapText="1"/>
    </xf>
    <xf numFmtId="0" fontId="5" fillId="3" borderId="31" xfId="2" applyFont="1" applyFill="1" applyBorder="1" applyAlignment="1">
      <alignment horizontal="center" vertical="center" wrapText="1"/>
    </xf>
    <xf numFmtId="0" fontId="5" fillId="3" borderId="30" xfId="2" applyFont="1" applyFill="1" applyBorder="1" applyAlignment="1" applyProtection="1">
      <alignment horizontal="center" vertical="center" wrapText="1"/>
      <protection locked="0"/>
    </xf>
    <xf numFmtId="0" fontId="5" fillId="3" borderId="31" xfId="2" applyFont="1" applyFill="1" applyBorder="1" applyAlignment="1" applyProtection="1">
      <alignment horizontal="center" vertical="center" wrapText="1"/>
      <protection locked="0"/>
    </xf>
    <xf numFmtId="0" fontId="5" fillId="3" borderId="27" xfId="2" applyFont="1" applyFill="1" applyBorder="1" applyAlignment="1" applyProtection="1">
      <alignment horizontal="center" vertical="center" wrapText="1"/>
      <protection locked="0"/>
    </xf>
    <xf numFmtId="0" fontId="5" fillId="3" borderId="28" xfId="2" applyFont="1" applyFill="1" applyBorder="1" applyAlignment="1">
      <alignment horizontal="center" vertical="center" wrapText="1"/>
    </xf>
    <xf numFmtId="0" fontId="5" fillId="3" borderId="58" xfId="2" applyFont="1" applyFill="1" applyBorder="1" applyAlignment="1" applyProtection="1">
      <alignment horizontal="center" vertical="center" wrapText="1"/>
      <protection locked="0"/>
    </xf>
    <xf numFmtId="0" fontId="5" fillId="3" borderId="39" xfId="2" applyFont="1" applyFill="1" applyBorder="1" applyAlignment="1">
      <alignment horizontal="center" vertical="center" wrapText="1"/>
    </xf>
    <xf numFmtId="0" fontId="5" fillId="3" borderId="57" xfId="2" applyFont="1" applyFill="1" applyBorder="1" applyAlignment="1" applyProtection="1">
      <alignment horizontal="center" vertical="center" wrapText="1"/>
      <protection locked="0"/>
    </xf>
    <xf numFmtId="0" fontId="4" fillId="0" borderId="85" xfId="2" applyFont="1" applyFill="1" applyBorder="1" applyAlignment="1">
      <alignment horizontal="center" vertical="center" wrapText="1"/>
    </xf>
    <xf numFmtId="0" fontId="5" fillId="0" borderId="40" xfId="2" applyFont="1" applyBorder="1" applyAlignment="1">
      <alignment wrapText="1"/>
    </xf>
    <xf numFmtId="0" fontId="5" fillId="0" borderId="28" xfId="2" applyFont="1" applyBorder="1" applyAlignment="1">
      <alignment horizontal="center" vertical="center" wrapText="1"/>
    </xf>
    <xf numFmtId="4" fontId="2" fillId="5" borderId="1" xfId="2" applyNumberFormat="1" applyFont="1" applyFill="1" applyBorder="1" applyAlignment="1">
      <alignment horizontal="right" vertical="center" wrapText="1"/>
    </xf>
    <xf numFmtId="0" fontId="1" fillId="5" borderId="55" xfId="2" applyFill="1" applyBorder="1" applyAlignment="1">
      <alignment horizontal="center" vertical="center" wrapText="1"/>
    </xf>
    <xf numFmtId="0" fontId="2" fillId="5" borderId="1" xfId="2" applyFont="1" applyFill="1" applyBorder="1" applyAlignment="1">
      <alignment horizontal="center" vertical="center" wrapText="1"/>
    </xf>
    <xf numFmtId="0" fontId="4" fillId="3" borderId="61" xfId="2" applyFont="1" applyFill="1" applyBorder="1" applyAlignment="1" applyProtection="1">
      <alignment horizontal="center" vertical="center" wrapText="1"/>
      <protection locked="0"/>
    </xf>
    <xf numFmtId="0" fontId="4" fillId="3" borderId="86" xfId="2" applyFont="1" applyFill="1" applyBorder="1" applyAlignment="1" applyProtection="1">
      <alignment horizontal="center" vertical="center" wrapText="1"/>
      <protection locked="0"/>
    </xf>
    <xf numFmtId="0" fontId="5" fillId="3" borderId="87" xfId="2" applyFont="1" applyFill="1" applyBorder="1" applyAlignment="1" applyProtection="1">
      <alignment horizontal="center" vertical="center" wrapText="1"/>
      <protection locked="0"/>
    </xf>
    <xf numFmtId="0" fontId="5" fillId="3" borderId="56" xfId="2" applyFont="1" applyFill="1" applyBorder="1" applyAlignment="1">
      <alignment horizontal="center" vertical="center" wrapText="1"/>
    </xf>
    <xf numFmtId="0" fontId="5" fillId="3" borderId="57" xfId="2" applyFont="1" applyFill="1" applyBorder="1" applyAlignment="1">
      <alignment horizontal="center" vertical="center" wrapText="1"/>
    </xf>
    <xf numFmtId="0" fontId="5" fillId="3" borderId="56" xfId="2" applyFont="1" applyFill="1" applyBorder="1" applyAlignment="1" applyProtection="1">
      <alignment horizontal="center" vertical="center" wrapText="1"/>
      <protection locked="0"/>
    </xf>
    <xf numFmtId="0" fontId="4" fillId="8" borderId="3" xfId="2" applyFont="1" applyFill="1" applyBorder="1" applyAlignment="1">
      <alignment horizontal="center" vertical="center" wrapText="1"/>
    </xf>
    <xf numFmtId="4" fontId="4" fillId="8" borderId="51" xfId="2" applyNumberFormat="1" applyFont="1" applyFill="1" applyBorder="1" applyAlignment="1">
      <alignment horizontal="center" vertical="center" wrapText="1"/>
    </xf>
    <xf numFmtId="0" fontId="5" fillId="6" borderId="88" xfId="2" applyFont="1" applyFill="1" applyBorder="1" applyAlignment="1" applyProtection="1">
      <alignment vertical="center" wrapText="1"/>
      <protection locked="0"/>
    </xf>
    <xf numFmtId="0" fontId="5" fillId="6" borderId="35" xfId="2" applyFont="1" applyFill="1" applyBorder="1" applyAlignment="1" applyProtection="1">
      <alignment horizontal="center" vertical="center"/>
      <protection locked="0"/>
    </xf>
    <xf numFmtId="3" fontId="5" fillId="0" borderId="41" xfId="2" applyNumberFormat="1" applyFont="1" applyBorder="1" applyAlignment="1" applyProtection="1">
      <alignment horizontal="right" vertical="center"/>
      <protection locked="0"/>
    </xf>
    <xf numFmtId="0" fontId="5" fillId="6" borderId="29" xfId="2" applyFont="1" applyFill="1" applyBorder="1" applyAlignment="1" applyProtection="1">
      <alignment vertical="center" wrapText="1"/>
      <protection locked="0"/>
    </xf>
    <xf numFmtId="3" fontId="5" fillId="6" borderId="28" xfId="2" applyNumberFormat="1" applyFont="1" applyFill="1" applyBorder="1" applyAlignment="1" applyProtection="1">
      <alignment horizontal="center" vertical="center" wrapText="1"/>
      <protection locked="0"/>
    </xf>
    <xf numFmtId="0" fontId="5" fillId="6" borderId="30" xfId="2" applyFont="1" applyFill="1" applyBorder="1" applyAlignment="1" applyProtection="1">
      <alignment vertical="center"/>
      <protection locked="0"/>
    </xf>
    <xf numFmtId="0" fontId="5" fillId="0" borderId="28" xfId="2" applyFont="1" applyBorder="1" applyAlignment="1" applyProtection="1">
      <alignment horizontal="center" vertical="center"/>
      <protection locked="0"/>
    </xf>
    <xf numFmtId="0" fontId="5" fillId="0" borderId="31" xfId="2" applyFont="1" applyBorder="1" applyAlignment="1" applyProtection="1">
      <alignment horizontal="right" vertical="center"/>
      <protection locked="0"/>
    </xf>
    <xf numFmtId="0" fontId="4" fillId="0" borderId="32" xfId="2" applyFont="1" applyFill="1" applyBorder="1" applyAlignment="1">
      <alignment horizontal="center" vertical="center" wrapText="1"/>
    </xf>
    <xf numFmtId="49" fontId="24" fillId="0" borderId="89" xfId="2" applyNumberFormat="1" applyFont="1" applyFill="1" applyBorder="1" applyAlignment="1">
      <alignment horizontal="center" vertical="center" wrapText="1"/>
    </xf>
    <xf numFmtId="0" fontId="22" fillId="0" borderId="30" xfId="2" applyNumberFormat="1" applyFont="1" applyFill="1" applyBorder="1" applyAlignment="1">
      <alignment horizontal="center" vertical="center" wrapText="1"/>
    </xf>
    <xf numFmtId="0" fontId="5" fillId="0" borderId="60" xfId="2" applyFont="1" applyFill="1" applyBorder="1" applyAlignment="1">
      <alignment horizontal="center"/>
    </xf>
    <xf numFmtId="0" fontId="5" fillId="0" borderId="30" xfId="2" applyFont="1" applyBorder="1" applyAlignment="1">
      <alignment horizontal="center" vertical="center" wrapText="1"/>
    </xf>
    <xf numFmtId="0" fontId="5" fillId="0" borderId="30" xfId="2" applyFont="1" applyFill="1" applyBorder="1" applyAlignment="1">
      <alignment horizontal="center"/>
    </xf>
    <xf numFmtId="49" fontId="17" fillId="0" borderId="28" xfId="2" applyNumberFormat="1" applyFont="1" applyFill="1" applyBorder="1" applyAlignment="1">
      <alignment horizontal="center" vertical="center" wrapText="1"/>
    </xf>
    <xf numFmtId="4" fontId="5" fillId="0" borderId="60" xfId="2" applyNumberFormat="1" applyFont="1" applyFill="1" applyBorder="1" applyAlignment="1">
      <alignment horizontal="right" vertical="center"/>
    </xf>
    <xf numFmtId="4" fontId="0" fillId="0" borderId="0" xfId="0" applyNumberFormat="1"/>
    <xf numFmtId="0" fontId="4" fillId="5" borderId="82"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51" xfId="0" applyFont="1" applyFill="1" applyBorder="1" applyAlignment="1">
      <alignment horizontal="center" vertical="center" wrapText="1"/>
    </xf>
    <xf numFmtId="0" fontId="5" fillId="0" borderId="90" xfId="0" applyFont="1" applyBorder="1" applyAlignment="1">
      <alignment horizontal="center" vertical="center" wrapText="1"/>
    </xf>
    <xf numFmtId="0" fontId="5" fillId="0" borderId="91" xfId="0" applyFont="1" applyBorder="1" applyAlignment="1">
      <alignment horizontal="center" vertical="center" wrapText="1"/>
    </xf>
    <xf numFmtId="0" fontId="2" fillId="5" borderId="7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55"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36" xfId="0" applyFont="1" applyBorder="1" applyAlignment="1">
      <alignment horizontal="center" vertical="center" wrapText="1"/>
    </xf>
    <xf numFmtId="0" fontId="4" fillId="0" borderId="86" xfId="0" applyFont="1" applyBorder="1" applyAlignment="1">
      <alignment horizontal="center" vertical="center" wrapText="1"/>
    </xf>
    <xf numFmtId="0" fontId="4" fillId="0" borderId="9" xfId="0" applyFont="1" applyBorder="1" applyAlignment="1">
      <alignment horizontal="center" vertical="center" wrapText="1"/>
    </xf>
    <xf numFmtId="0" fontId="4" fillId="0" borderId="79" xfId="0" applyFont="1" applyBorder="1" applyAlignment="1">
      <alignment horizontal="center" vertical="center" wrapText="1"/>
    </xf>
    <xf numFmtId="4" fontId="5" fillId="0" borderId="14" xfId="0" applyNumberFormat="1" applyFont="1" applyBorder="1" applyAlignment="1">
      <alignment horizontal="right" vertical="center" wrapText="1"/>
    </xf>
    <xf numFmtId="4" fontId="5" fillId="0" borderId="20" xfId="0" applyNumberFormat="1" applyFont="1" applyBorder="1" applyAlignment="1">
      <alignment horizontal="right" vertical="center" wrapText="1"/>
    </xf>
    <xf numFmtId="4" fontId="5" fillId="0" borderId="48" xfId="0" applyNumberFormat="1" applyFont="1" applyBorder="1" applyAlignment="1">
      <alignment horizontal="right" vertical="center" wrapText="1"/>
    </xf>
    <xf numFmtId="4" fontId="5" fillId="0" borderId="34" xfId="0" applyNumberFormat="1" applyFont="1" applyBorder="1" applyAlignment="1">
      <alignment horizontal="right" vertical="center" wrapText="1"/>
    </xf>
    <xf numFmtId="0" fontId="4" fillId="0" borderId="15" xfId="0" applyFont="1" applyBorder="1" applyAlignment="1">
      <alignment horizontal="center" vertical="center" wrapText="1"/>
    </xf>
    <xf numFmtId="0" fontId="2" fillId="2" borderId="42"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3" fillId="0" borderId="0" xfId="0" applyFont="1" applyAlignment="1">
      <alignment horizontal="center" vertical="center"/>
    </xf>
    <xf numFmtId="0" fontId="3" fillId="0" borderId="91" xfId="0" applyFont="1" applyBorder="1" applyAlignment="1">
      <alignment horizontal="center" vertical="center" wrapText="1"/>
    </xf>
    <xf numFmtId="0" fontId="2" fillId="2" borderId="92" xfId="0" applyFont="1" applyFill="1" applyBorder="1" applyAlignment="1">
      <alignment horizontal="center" vertical="center" wrapText="1"/>
    </xf>
    <xf numFmtId="0" fontId="1" fillId="0" borderId="79" xfId="0" applyFont="1" applyBorder="1" applyAlignment="1">
      <alignment horizontal="center" vertical="center"/>
    </xf>
    <xf numFmtId="0" fontId="2" fillId="2" borderId="82"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51" xfId="0" applyFont="1" applyBorder="1" applyAlignment="1">
      <alignment horizontal="center" vertical="center" wrapText="1"/>
    </xf>
    <xf numFmtId="0" fontId="4" fillId="5" borderId="82" xfId="2" applyFont="1" applyFill="1" applyBorder="1" applyAlignment="1" applyProtection="1">
      <alignment horizontal="center" vertical="center" wrapText="1"/>
    </xf>
    <xf numFmtId="0" fontId="4" fillId="5" borderId="5" xfId="2" applyFont="1" applyFill="1" applyBorder="1" applyAlignment="1" applyProtection="1">
      <alignment horizontal="center" vertical="center" wrapText="1"/>
    </xf>
    <xf numFmtId="0" fontId="4" fillId="5" borderId="51" xfId="2" applyFont="1" applyFill="1" applyBorder="1" applyAlignment="1" applyProtection="1">
      <alignment horizontal="center" vertical="center" wrapText="1"/>
    </xf>
    <xf numFmtId="0" fontId="5" fillId="5" borderId="62" xfId="2" applyNumberFormat="1" applyFont="1" applyFill="1" applyBorder="1" applyAlignment="1" applyProtection="1">
      <alignment horizontal="center" vertical="center" wrapText="1"/>
      <protection locked="0"/>
    </xf>
    <xf numFmtId="0" fontId="5" fillId="5" borderId="37" xfId="2" applyNumberFormat="1" applyFont="1" applyFill="1" applyBorder="1" applyAlignment="1" applyProtection="1">
      <alignment horizontal="center" vertical="center" wrapText="1"/>
      <protection locked="0"/>
    </xf>
    <xf numFmtId="0" fontId="5" fillId="5" borderId="61" xfId="2" applyNumberFormat="1" applyFont="1" applyFill="1" applyBorder="1" applyAlignment="1" applyProtection="1">
      <alignment horizontal="center" vertical="center" wrapText="1"/>
      <protection locked="0"/>
    </xf>
    <xf numFmtId="0" fontId="5" fillId="0" borderId="93" xfId="2" applyNumberFormat="1" applyFont="1" applyFill="1" applyBorder="1" applyAlignment="1" applyProtection="1">
      <alignment horizontal="center" vertical="center" wrapText="1"/>
      <protection locked="0"/>
    </xf>
    <xf numFmtId="0" fontId="5" fillId="0" borderId="90" xfId="2" applyNumberFormat="1" applyFont="1" applyFill="1" applyBorder="1" applyAlignment="1" applyProtection="1">
      <alignment horizontal="center" vertical="center" wrapText="1"/>
      <protection locked="0"/>
    </xf>
    <xf numFmtId="0" fontId="5" fillId="0" borderId="87" xfId="2" applyNumberFormat="1" applyFont="1" applyFill="1" applyBorder="1" applyAlignment="1" applyProtection="1">
      <alignment horizontal="center" vertical="center" wrapText="1"/>
      <protection locked="0"/>
    </xf>
    <xf numFmtId="0" fontId="5" fillId="0" borderId="94" xfId="2" applyNumberFormat="1" applyFont="1" applyFill="1" applyBorder="1" applyAlignment="1" applyProtection="1">
      <alignment horizontal="center" vertical="center" wrapText="1"/>
      <protection locked="0"/>
    </xf>
    <xf numFmtId="0" fontId="5" fillId="0" borderId="0" xfId="2" applyNumberFormat="1" applyFont="1" applyFill="1" applyBorder="1" applyAlignment="1" applyProtection="1">
      <alignment horizontal="center" vertical="center" wrapText="1"/>
      <protection locked="0"/>
    </xf>
    <xf numFmtId="0" fontId="5" fillId="0" borderId="95" xfId="2" applyNumberFormat="1" applyFont="1" applyFill="1" applyBorder="1" applyAlignment="1" applyProtection="1">
      <alignment horizontal="center" vertical="center" wrapText="1"/>
      <protection locked="0"/>
    </xf>
    <xf numFmtId="0" fontId="5" fillId="0" borderId="64" xfId="2" applyNumberFormat="1" applyFont="1" applyFill="1" applyBorder="1" applyAlignment="1" applyProtection="1">
      <alignment horizontal="center" vertical="center" wrapText="1"/>
      <protection locked="0"/>
    </xf>
    <xf numFmtId="0" fontId="5" fillId="0" borderId="36" xfId="2" applyNumberFormat="1" applyFont="1" applyFill="1" applyBorder="1" applyAlignment="1" applyProtection="1">
      <alignment horizontal="center" vertical="center" wrapText="1"/>
      <protection locked="0"/>
    </xf>
    <xf numFmtId="0" fontId="5" fillId="0" borderId="63" xfId="2" applyNumberFormat="1" applyFont="1" applyFill="1" applyBorder="1" applyAlignment="1" applyProtection="1">
      <alignment horizontal="center" vertical="center" wrapText="1"/>
      <protection locked="0"/>
    </xf>
    <xf numFmtId="0" fontId="2" fillId="2" borderId="89" xfId="2" applyFont="1" applyFill="1" applyBorder="1" applyAlignment="1" applyProtection="1">
      <alignment horizontal="center" vertical="center"/>
    </xf>
    <xf numFmtId="0" fontId="2" fillId="2" borderId="27" xfId="2" applyFont="1" applyFill="1" applyBorder="1" applyAlignment="1" applyProtection="1">
      <alignment horizontal="center" vertical="center"/>
    </xf>
    <xf numFmtId="4" fontId="2" fillId="2" borderId="82" xfId="2" applyNumberFormat="1" applyFont="1" applyFill="1" applyBorder="1" applyAlignment="1" applyProtection="1">
      <alignment horizontal="center" vertical="center"/>
    </xf>
    <xf numFmtId="4" fontId="2" fillId="2" borderId="5" xfId="2" applyNumberFormat="1" applyFont="1" applyFill="1" applyBorder="1" applyAlignment="1" applyProtection="1">
      <alignment horizontal="center" vertical="center"/>
    </xf>
    <xf numFmtId="4" fontId="2" fillId="2" borderId="7" xfId="2" applyNumberFormat="1" applyFont="1" applyFill="1" applyBorder="1" applyAlignment="1" applyProtection="1">
      <alignment horizontal="center" vertical="center"/>
    </xf>
    <xf numFmtId="0" fontId="4" fillId="7" borderId="82" xfId="2" applyFont="1" applyFill="1" applyBorder="1" applyAlignment="1" applyProtection="1">
      <alignment horizontal="center" vertical="center" wrapText="1"/>
    </xf>
    <xf numFmtId="0" fontId="4" fillId="7" borderId="5" xfId="2" applyFont="1" applyFill="1" applyBorder="1" applyAlignment="1" applyProtection="1">
      <alignment horizontal="center" vertical="center" wrapText="1"/>
    </xf>
    <xf numFmtId="0" fontId="4" fillId="7" borderId="51" xfId="2" applyFont="1" applyFill="1" applyBorder="1" applyAlignment="1" applyProtection="1">
      <alignment horizontal="center" vertical="center" wrapText="1"/>
    </xf>
    <xf numFmtId="0" fontId="5" fillId="0" borderId="56" xfId="2" applyNumberFormat="1" applyFont="1" applyBorder="1" applyAlignment="1" applyProtection="1">
      <alignment horizontal="center" vertical="center" wrapText="1"/>
      <protection locked="0"/>
    </xf>
    <xf numFmtId="0" fontId="5" fillId="0" borderId="19" xfId="2" applyNumberFormat="1" applyFont="1" applyBorder="1" applyAlignment="1" applyProtection="1">
      <alignment horizontal="center" vertical="center" wrapText="1"/>
      <protection locked="0"/>
    </xf>
    <xf numFmtId="0" fontId="5" fillId="0" borderId="39" xfId="2" applyNumberFormat="1" applyFont="1" applyBorder="1" applyAlignment="1" applyProtection="1">
      <alignment horizontal="center" vertical="center" wrapText="1"/>
      <protection locked="0"/>
    </xf>
    <xf numFmtId="0" fontId="5" fillId="0" borderId="17" xfId="2" applyNumberFormat="1" applyFont="1" applyBorder="1" applyAlignment="1" applyProtection="1">
      <alignment horizontal="center" vertical="center" wrapText="1"/>
      <protection locked="0"/>
    </xf>
    <xf numFmtId="0" fontId="3" fillId="0" borderId="0" xfId="2" applyFont="1" applyAlignment="1" applyProtection="1">
      <alignment horizontal="center" vertical="center"/>
      <protection locked="0"/>
    </xf>
    <xf numFmtId="0" fontId="3" fillId="0" borderId="91" xfId="2" applyFont="1" applyBorder="1" applyAlignment="1" applyProtection="1">
      <alignment horizontal="center" vertical="center" wrapText="1"/>
      <protection locked="0"/>
    </xf>
    <xf numFmtId="0" fontId="6" fillId="5" borderId="92" xfId="2" applyFont="1" applyFill="1" applyBorder="1" applyAlignment="1" applyProtection="1">
      <alignment horizontal="center" vertical="center" wrapText="1"/>
    </xf>
    <xf numFmtId="0" fontId="6" fillId="5" borderId="9" xfId="2" applyFont="1" applyFill="1" applyBorder="1" applyAlignment="1" applyProtection="1">
      <alignment horizontal="center" vertical="center" wrapText="1"/>
    </xf>
    <xf numFmtId="0" fontId="7" fillId="5" borderId="82" xfId="2" applyFont="1" applyFill="1" applyBorder="1" applyAlignment="1" applyProtection="1">
      <alignment horizontal="center" vertical="center" wrapText="1"/>
    </xf>
    <xf numFmtId="0" fontId="7" fillId="5" borderId="5" xfId="2" applyFont="1" applyFill="1" applyBorder="1" applyAlignment="1" applyProtection="1">
      <alignment horizontal="center" vertical="center" wrapText="1"/>
    </xf>
    <xf numFmtId="0" fontId="7" fillId="5" borderId="51" xfId="2" applyFont="1" applyFill="1" applyBorder="1" applyAlignment="1" applyProtection="1">
      <alignment horizontal="center" vertical="center" wrapText="1"/>
    </xf>
    <xf numFmtId="0" fontId="7" fillId="5" borderId="49" xfId="2" applyFont="1" applyFill="1" applyBorder="1" applyAlignment="1" applyProtection="1">
      <alignment horizontal="center" vertical="center" wrapText="1"/>
    </xf>
    <xf numFmtId="0" fontId="7" fillId="5" borderId="53" xfId="2" applyFont="1" applyFill="1" applyBorder="1" applyProtection="1"/>
    <xf numFmtId="0" fontId="7" fillId="5" borderId="96" xfId="2" applyFont="1" applyFill="1" applyBorder="1" applyProtection="1"/>
    <xf numFmtId="0" fontId="2" fillId="5" borderId="82"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7" xfId="0" applyFont="1" applyFill="1" applyBorder="1" applyAlignment="1">
      <alignment horizontal="center" vertical="center"/>
    </xf>
    <xf numFmtId="0" fontId="5" fillId="0" borderId="92" xfId="0" applyFont="1" applyBorder="1" applyAlignment="1">
      <alignment horizontal="center" vertical="center" wrapText="1"/>
    </xf>
    <xf numFmtId="0" fontId="5" fillId="0" borderId="15" xfId="0" applyFont="1" applyBorder="1" applyAlignment="1">
      <alignment horizontal="center" vertical="center" wrapText="1"/>
    </xf>
    <xf numFmtId="0" fontId="2" fillId="2" borderId="96" xfId="0" applyFont="1" applyFill="1" applyBorder="1" applyAlignment="1">
      <alignment horizontal="center" vertical="center" wrapText="1"/>
    </xf>
    <xf numFmtId="0" fontId="1" fillId="0" borderId="59" xfId="0" applyFont="1" applyBorder="1" applyAlignment="1">
      <alignment horizontal="center"/>
    </xf>
    <xf numFmtId="0" fontId="2" fillId="5" borderId="91" xfId="0" applyFont="1" applyFill="1" applyBorder="1" applyAlignment="1">
      <alignment horizontal="center" vertical="center"/>
    </xf>
    <xf numFmtId="0" fontId="5" fillId="0" borderId="78" xfId="0" applyFont="1" applyBorder="1" applyAlignment="1">
      <alignment horizontal="center" vertical="center" wrapText="1"/>
    </xf>
    <xf numFmtId="0" fontId="5" fillId="5" borderId="5" xfId="0" applyFont="1" applyFill="1" applyBorder="1" applyAlignment="1">
      <alignment horizontal="center" vertical="center" wrapText="1"/>
    </xf>
    <xf numFmtId="0" fontId="5" fillId="5" borderId="51" xfId="0" applyFont="1" applyFill="1" applyBorder="1" applyAlignment="1">
      <alignment horizontal="center" vertical="center" wrapText="1"/>
    </xf>
    <xf numFmtId="0" fontId="2" fillId="2" borderId="78" xfId="2" applyFont="1" applyFill="1" applyBorder="1" applyAlignment="1" applyProtection="1">
      <alignment horizontal="center" vertical="center"/>
    </xf>
    <xf numFmtId="0" fontId="2" fillId="2" borderId="55" xfId="2" applyFont="1" applyFill="1" applyBorder="1" applyAlignment="1" applyProtection="1">
      <alignment horizontal="center" vertical="center"/>
    </xf>
    <xf numFmtId="0" fontId="19" fillId="0" borderId="82" xfId="2" applyFont="1" applyBorder="1" applyAlignment="1" applyProtection="1">
      <alignment horizontal="left" vertical="top" wrapText="1"/>
      <protection locked="0"/>
    </xf>
    <xf numFmtId="0" fontId="19" fillId="0" borderId="5" xfId="2" applyFont="1" applyBorder="1" applyAlignment="1" applyProtection="1">
      <alignment horizontal="left" vertical="top" wrapText="1"/>
      <protection locked="0"/>
    </xf>
    <xf numFmtId="0" fontId="19" fillId="0" borderId="51" xfId="2" applyFont="1" applyBorder="1" applyAlignment="1" applyProtection="1">
      <alignment horizontal="left" vertical="top" wrapText="1"/>
      <protection locked="0"/>
    </xf>
    <xf numFmtId="0" fontId="4" fillId="5" borderId="82" xfId="2" applyFont="1" applyFill="1" applyBorder="1" applyAlignment="1" applyProtection="1">
      <alignment horizontal="center" vertical="center" wrapText="1"/>
      <protection locked="0"/>
    </xf>
    <xf numFmtId="0" fontId="4" fillId="5" borderId="5" xfId="2" applyFont="1" applyFill="1" applyBorder="1" applyAlignment="1" applyProtection="1">
      <alignment horizontal="center" vertical="center" wrapText="1"/>
      <protection locked="0"/>
    </xf>
    <xf numFmtId="0" fontId="4" fillId="5" borderId="51" xfId="2" applyFont="1" applyFill="1" applyBorder="1" applyAlignment="1" applyProtection="1">
      <alignment horizontal="center" vertical="center" wrapText="1"/>
      <protection locked="0"/>
    </xf>
    <xf numFmtId="0" fontId="5" fillId="0" borderId="45" xfId="2" applyFont="1" applyBorder="1" applyAlignment="1" applyProtection="1">
      <alignment horizontal="center" vertical="center" wrapText="1"/>
      <protection locked="0"/>
    </xf>
    <xf numFmtId="0" fontId="5" fillId="0" borderId="13" xfId="2" applyFont="1" applyBorder="1" applyAlignment="1" applyProtection="1">
      <alignment horizontal="center" vertical="center" wrapText="1"/>
      <protection locked="0"/>
    </xf>
    <xf numFmtId="0" fontId="5" fillId="0" borderId="54" xfId="2" applyFont="1" applyBorder="1" applyAlignment="1" applyProtection="1">
      <alignment horizontal="center" vertical="center" wrapText="1"/>
      <protection locked="0"/>
    </xf>
    <xf numFmtId="0" fontId="4" fillId="2" borderId="82" xfId="2" applyFont="1" applyFill="1" applyBorder="1" applyAlignment="1" applyProtection="1">
      <alignment horizontal="center" vertical="center"/>
    </xf>
    <xf numFmtId="0" fontId="4" fillId="2" borderId="7" xfId="2" applyFont="1" applyFill="1" applyBorder="1" applyAlignment="1" applyProtection="1">
      <alignment horizontal="center" vertical="center"/>
    </xf>
    <xf numFmtId="0" fontId="4" fillId="2" borderId="51" xfId="2" applyFont="1" applyFill="1" applyBorder="1" applyAlignment="1" applyProtection="1">
      <alignment horizontal="center" vertical="center"/>
    </xf>
    <xf numFmtId="0" fontId="4" fillId="5" borderId="82" xfId="2" applyFont="1" applyFill="1" applyBorder="1" applyAlignment="1" applyProtection="1">
      <alignment horizontal="center" vertical="center"/>
      <protection locked="0"/>
    </xf>
    <xf numFmtId="0" fontId="4" fillId="5" borderId="5" xfId="2" applyFont="1" applyFill="1" applyBorder="1" applyAlignment="1" applyProtection="1">
      <alignment horizontal="center" vertical="center"/>
      <protection locked="0"/>
    </xf>
    <xf numFmtId="0" fontId="4" fillId="5" borderId="51" xfId="2" applyFont="1" applyFill="1" applyBorder="1" applyAlignment="1" applyProtection="1">
      <alignment horizontal="center" vertical="center"/>
      <protection locked="0"/>
    </xf>
    <xf numFmtId="0" fontId="6" fillId="2" borderId="42" xfId="2" applyFont="1" applyFill="1" applyBorder="1" applyAlignment="1" applyProtection="1">
      <alignment horizontal="center" vertical="center" wrapText="1"/>
    </xf>
    <xf numFmtId="0" fontId="6" fillId="2" borderId="21" xfId="2" applyFont="1" applyFill="1" applyBorder="1" applyAlignment="1" applyProtection="1">
      <alignment horizontal="center" vertical="center" wrapText="1"/>
    </xf>
    <xf numFmtId="0" fontId="7" fillId="0" borderId="5" xfId="2" applyFont="1" applyBorder="1" applyAlignment="1" applyProtection="1">
      <alignment horizontal="center" vertical="center" wrapText="1"/>
    </xf>
    <xf numFmtId="0" fontId="7" fillId="0" borderId="51" xfId="2" applyFont="1" applyBorder="1" applyAlignment="1" applyProtection="1">
      <alignment horizontal="center" vertical="center" wrapText="1"/>
    </xf>
    <xf numFmtId="0" fontId="4" fillId="0" borderId="45" xfId="0" applyFont="1" applyBorder="1" applyAlignment="1">
      <alignment horizontal="center" vertical="center"/>
    </xf>
    <xf numFmtId="0" fontId="4" fillId="0" borderId="13" xfId="0" applyFont="1" applyBorder="1" applyAlignment="1">
      <alignment horizontal="center" vertical="center"/>
    </xf>
    <xf numFmtId="0" fontId="4" fillId="0" borderId="54" xfId="0" applyFont="1" applyBorder="1" applyAlignment="1">
      <alignment horizontal="center" vertical="center"/>
    </xf>
    <xf numFmtId="0" fontId="5" fillId="0" borderId="46"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 xfId="0" applyFont="1" applyBorder="1" applyAlignment="1">
      <alignment horizontal="center" vertical="center" wrapText="1"/>
    </xf>
    <xf numFmtId="0" fontId="4" fillId="5" borderId="8" xfId="0" applyFont="1" applyFill="1" applyBorder="1" applyAlignment="1">
      <alignment horizontal="center" vertical="center" wrapText="1"/>
    </xf>
    <xf numFmtId="0" fontId="30" fillId="7" borderId="82" xfId="0" applyFont="1" applyFill="1" applyBorder="1" applyAlignment="1">
      <alignment horizontal="center"/>
    </xf>
    <xf numFmtId="0" fontId="30" fillId="7" borderId="5" xfId="0" applyFont="1" applyFill="1" applyBorder="1" applyAlignment="1">
      <alignment horizontal="center"/>
    </xf>
    <xf numFmtId="0" fontId="30" fillId="7" borderId="7" xfId="0" applyFont="1" applyFill="1" applyBorder="1" applyAlignment="1">
      <alignment horizontal="center"/>
    </xf>
    <xf numFmtId="0" fontId="5" fillId="0" borderId="17" xfId="0" applyFont="1" applyBorder="1" applyAlignment="1">
      <alignment horizontal="center" vertical="center" wrapText="1"/>
    </xf>
    <xf numFmtId="0" fontId="4" fillId="5" borderId="33" xfId="0" applyFont="1" applyFill="1" applyBorder="1" applyAlignment="1">
      <alignment horizontal="center" vertical="center" wrapText="1"/>
    </xf>
    <xf numFmtId="0" fontId="4" fillId="5" borderId="91" xfId="0" applyFont="1" applyFill="1" applyBorder="1" applyAlignment="1">
      <alignment horizontal="center" vertical="center" wrapText="1"/>
    </xf>
    <xf numFmtId="0" fontId="4" fillId="5" borderId="59"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4" fillId="5" borderId="31" xfId="0" applyFont="1" applyFill="1" applyBorder="1" applyAlignment="1">
      <alignment horizontal="center" vertical="center" wrapText="1"/>
    </xf>
    <xf numFmtId="0" fontId="4" fillId="5" borderId="40" xfId="0" applyFont="1" applyFill="1" applyBorder="1" applyAlignment="1">
      <alignment horizontal="center" vertical="center" wrapText="1"/>
    </xf>
    <xf numFmtId="0" fontId="4" fillId="5" borderId="40" xfId="0" applyFont="1" applyFill="1" applyBorder="1" applyAlignment="1">
      <alignment horizontal="center" vertical="center"/>
    </xf>
    <xf numFmtId="0" fontId="4" fillId="5" borderId="41" xfId="0" applyFont="1" applyFill="1" applyBorder="1" applyAlignment="1">
      <alignment horizontal="center" vertical="center"/>
    </xf>
    <xf numFmtId="0" fontId="6" fillId="0" borderId="0" xfId="0" applyFont="1" applyBorder="1" applyAlignment="1">
      <alignment horizontal="center" vertical="center"/>
    </xf>
    <xf numFmtId="0" fontId="4" fillId="5" borderId="45"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54" xfId="0" applyFont="1" applyFill="1" applyBorder="1" applyAlignment="1">
      <alignment horizontal="center" vertical="center"/>
    </xf>
    <xf numFmtId="0" fontId="4" fillId="5" borderId="88"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5" borderId="46"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9" fillId="0" borderId="53" xfId="0" applyFont="1" applyBorder="1" applyAlignment="1">
      <alignment horizontal="center"/>
    </xf>
    <xf numFmtId="0" fontId="33" fillId="7" borderId="82" xfId="0" applyFont="1" applyFill="1" applyBorder="1" applyAlignment="1">
      <alignment horizontal="center" vertical="center"/>
    </xf>
    <xf numFmtId="0" fontId="33" fillId="7" borderId="5" xfId="0" applyFont="1" applyFill="1" applyBorder="1" applyAlignment="1">
      <alignment horizontal="center" vertical="center"/>
    </xf>
    <xf numFmtId="0" fontId="33" fillId="7" borderId="51" xfId="0" applyFont="1" applyFill="1" applyBorder="1" applyAlignment="1">
      <alignment horizontal="center" vertical="center"/>
    </xf>
    <xf numFmtId="0" fontId="30" fillId="7" borderId="74" xfId="0" applyFont="1" applyFill="1" applyBorder="1" applyAlignment="1">
      <alignment horizontal="center" vertical="center"/>
    </xf>
    <xf numFmtId="0" fontId="30" fillId="7" borderId="43" xfId="0" applyFont="1" applyFill="1" applyBorder="1" applyAlignment="1">
      <alignment horizontal="center" vertical="center"/>
    </xf>
    <xf numFmtId="0" fontId="30" fillId="7" borderId="77" xfId="0" applyFont="1" applyFill="1" applyBorder="1" applyAlignment="1">
      <alignment horizontal="center" vertical="center"/>
    </xf>
    <xf numFmtId="0" fontId="30" fillId="7" borderId="64" xfId="0" applyFont="1" applyFill="1" applyBorder="1" applyAlignment="1">
      <alignment horizontal="center" vertical="center"/>
    </xf>
    <xf numFmtId="0" fontId="30" fillId="7" borderId="36" xfId="0" applyFont="1" applyFill="1" applyBorder="1" applyAlignment="1">
      <alignment horizontal="center" vertical="center"/>
    </xf>
    <xf numFmtId="0" fontId="30" fillId="7" borderId="63" xfId="0" applyFont="1" applyFill="1" applyBorder="1" applyAlignment="1">
      <alignment horizontal="center" vertical="center"/>
    </xf>
    <xf numFmtId="0" fontId="30" fillId="7" borderId="62" xfId="0" applyFont="1" applyFill="1" applyBorder="1" applyAlignment="1">
      <alignment horizontal="center" vertical="center"/>
    </xf>
    <xf numFmtId="0" fontId="30" fillId="7" borderId="37" xfId="0" applyFont="1" applyFill="1" applyBorder="1" applyAlignment="1">
      <alignment horizontal="center" vertical="center"/>
    </xf>
    <xf numFmtId="0" fontId="30" fillId="7" borderId="61" xfId="0" applyFont="1" applyFill="1" applyBorder="1" applyAlignment="1">
      <alignment horizontal="center" vertical="center"/>
    </xf>
    <xf numFmtId="0" fontId="4" fillId="0" borderId="45"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54" xfId="0" applyFont="1" applyFill="1" applyBorder="1" applyAlignment="1">
      <alignment horizontal="center" vertical="center" wrapText="1"/>
    </xf>
    <xf numFmtId="0" fontId="29" fillId="0" borderId="46" xfId="0" applyFont="1" applyFill="1" applyBorder="1" applyAlignment="1">
      <alignment horizontal="center" vertical="center"/>
    </xf>
    <xf numFmtId="0" fontId="29" fillId="0" borderId="1" xfId="0" applyFont="1" applyFill="1" applyBorder="1" applyAlignment="1">
      <alignment horizontal="center" vertical="center"/>
    </xf>
    <xf numFmtId="0" fontId="29" fillId="0" borderId="46" xfId="0" applyFont="1" applyBorder="1" applyAlignment="1">
      <alignment horizontal="center" vertical="center" wrapText="1"/>
    </xf>
    <xf numFmtId="0" fontId="29" fillId="0" borderId="1" xfId="0" applyFont="1" applyBorder="1" applyAlignment="1">
      <alignment horizontal="center" vertical="center" wrapText="1"/>
    </xf>
    <xf numFmtId="1" fontId="5" fillId="0" borderId="46" xfId="0" applyNumberFormat="1" applyFont="1" applyBorder="1" applyAlignment="1">
      <alignment horizontal="center" vertical="center"/>
    </xf>
    <xf numFmtId="1" fontId="5" fillId="0" borderId="17" xfId="0" applyNumberFormat="1" applyFont="1" applyBorder="1" applyAlignment="1">
      <alignment horizontal="center" vertical="center"/>
    </xf>
    <xf numFmtId="0" fontId="31" fillId="0" borderId="46" xfId="0" applyFont="1" applyBorder="1" applyAlignment="1">
      <alignment horizontal="center" vertical="center" wrapText="1"/>
    </xf>
    <xf numFmtId="0" fontId="31" fillId="0" borderId="17" xfId="0" applyFont="1" applyBorder="1" applyAlignment="1">
      <alignment horizontal="center" vertical="center" wrapText="1"/>
    </xf>
    <xf numFmtId="0" fontId="30" fillId="0" borderId="45" xfId="0" applyFont="1" applyFill="1" applyBorder="1" applyAlignment="1">
      <alignment horizontal="center" vertical="center"/>
    </xf>
    <xf numFmtId="0" fontId="30" fillId="0" borderId="13" xfId="0" applyFont="1" applyFill="1" applyBorder="1" applyAlignment="1">
      <alignment horizontal="center" vertical="center"/>
    </xf>
    <xf numFmtId="0" fontId="30" fillId="0" borderId="54" xfId="0" applyFont="1" applyFill="1" applyBorder="1" applyAlignment="1">
      <alignment horizontal="center" vertical="center"/>
    </xf>
    <xf numFmtId="166" fontId="5" fillId="0" borderId="46" xfId="0" applyNumberFormat="1" applyFont="1" applyBorder="1" applyAlignment="1">
      <alignment horizontal="right" vertical="center"/>
    </xf>
    <xf numFmtId="166" fontId="5" fillId="0" borderId="17" xfId="0" applyNumberFormat="1" applyFont="1" applyBorder="1" applyAlignment="1">
      <alignment horizontal="right" vertical="center"/>
    </xf>
    <xf numFmtId="0" fontId="6" fillId="0" borderId="91" xfId="0" applyFont="1" applyBorder="1" applyAlignment="1">
      <alignment horizontal="center" vertical="center"/>
    </xf>
    <xf numFmtId="166" fontId="5" fillId="0" borderId="48" xfId="0" applyNumberFormat="1" applyFont="1" applyBorder="1" applyAlignment="1">
      <alignment horizontal="right" vertical="center"/>
    </xf>
    <xf numFmtId="166" fontId="5" fillId="0" borderId="34" xfId="0" applyNumberFormat="1" applyFont="1" applyBorder="1" applyAlignment="1">
      <alignment horizontal="right" vertical="center"/>
    </xf>
    <xf numFmtId="0" fontId="25" fillId="4" borderId="82" xfId="2" applyFont="1" applyFill="1" applyBorder="1" applyAlignment="1">
      <alignment horizontal="center" vertical="center" wrapText="1"/>
    </xf>
    <xf numFmtId="0" fontId="25" fillId="4" borderId="5" xfId="2" applyFont="1" applyFill="1" applyBorder="1" applyAlignment="1">
      <alignment horizontal="center" vertical="center" wrapText="1"/>
    </xf>
    <xf numFmtId="0" fontId="25" fillId="4" borderId="51" xfId="2" applyFont="1" applyFill="1" applyBorder="1" applyAlignment="1">
      <alignment horizontal="center" vertical="center" wrapText="1"/>
    </xf>
    <xf numFmtId="0" fontId="25" fillId="0" borderId="0" xfId="2" applyFont="1" applyBorder="1" applyAlignment="1">
      <alignment horizontal="center" vertical="center"/>
    </xf>
    <xf numFmtId="0" fontId="7" fillId="0" borderId="0" xfId="2" applyFont="1" applyBorder="1" applyAlignment="1">
      <alignment horizontal="center" vertical="center" wrapText="1"/>
    </xf>
    <xf numFmtId="0" fontId="25" fillId="4" borderId="97" xfId="2" applyFont="1" applyFill="1" applyBorder="1" applyAlignment="1">
      <alignment horizontal="center" vertical="center" wrapText="1"/>
    </xf>
    <xf numFmtId="0" fontId="25" fillId="4" borderId="98" xfId="2" applyFont="1" applyFill="1" applyBorder="1" applyAlignment="1">
      <alignment horizontal="center" vertical="center" wrapText="1"/>
    </xf>
    <xf numFmtId="0" fontId="25" fillId="4" borderId="99" xfId="2" applyFont="1" applyFill="1" applyBorder="1" applyAlignment="1">
      <alignment horizontal="center" vertical="center" wrapText="1"/>
    </xf>
    <xf numFmtId="0" fontId="25" fillId="4" borderId="100" xfId="2" applyFont="1" applyFill="1" applyBorder="1" applyAlignment="1">
      <alignment horizontal="center" vertical="center" wrapText="1"/>
    </xf>
    <xf numFmtId="0" fontId="25" fillId="4" borderId="101" xfId="2" applyFont="1" applyFill="1" applyBorder="1" applyAlignment="1">
      <alignment horizontal="center" vertical="center" wrapText="1"/>
    </xf>
    <xf numFmtId="0" fontId="25" fillId="4" borderId="102" xfId="2" applyFont="1" applyFill="1" applyBorder="1" applyAlignment="1">
      <alignment horizontal="center" vertical="center" wrapText="1"/>
    </xf>
    <xf numFmtId="0" fontId="7" fillId="4" borderId="2" xfId="2" applyFont="1" applyFill="1" applyBorder="1" applyAlignment="1">
      <alignment horizontal="center" vertical="center" wrapText="1"/>
    </xf>
    <xf numFmtId="0" fontId="7" fillId="4" borderId="3" xfId="2" applyFont="1" applyFill="1" applyBorder="1" applyAlignment="1">
      <alignment horizontal="center" vertical="center" wrapText="1"/>
    </xf>
    <xf numFmtId="0" fontId="7" fillId="4" borderId="4" xfId="2" applyFont="1" applyFill="1" applyBorder="1" applyAlignment="1">
      <alignment horizontal="center" vertical="center" wrapText="1"/>
    </xf>
    <xf numFmtId="0" fontId="22" fillId="0" borderId="39" xfId="2" applyFont="1" applyBorder="1" applyAlignment="1">
      <alignment horizontal="center" vertical="center" wrapText="1"/>
    </xf>
    <xf numFmtId="0" fontId="22" fillId="0" borderId="11" xfId="2" applyFont="1" applyBorder="1" applyAlignment="1">
      <alignment horizontal="center" vertical="center" wrapText="1"/>
    </xf>
    <xf numFmtId="0" fontId="22" fillId="0" borderId="17" xfId="2" applyFont="1" applyBorder="1" applyAlignment="1">
      <alignment horizontal="center" vertical="center" wrapText="1"/>
    </xf>
    <xf numFmtId="4" fontId="5" fillId="0" borderId="57" xfId="2" applyNumberFormat="1" applyFont="1" applyBorder="1" applyAlignment="1">
      <alignment horizontal="right" vertical="center" wrapText="1"/>
    </xf>
    <xf numFmtId="4" fontId="5" fillId="0" borderId="14" xfId="2" applyNumberFormat="1" applyFont="1" applyBorder="1" applyAlignment="1">
      <alignment horizontal="right" vertical="center" wrapText="1"/>
    </xf>
    <xf numFmtId="4" fontId="5" fillId="0" borderId="20" xfId="2" applyNumberFormat="1" applyFont="1" applyBorder="1" applyAlignment="1">
      <alignment horizontal="right" vertical="center" wrapText="1"/>
    </xf>
    <xf numFmtId="0" fontId="7" fillId="7" borderId="89" xfId="2" applyFont="1" applyFill="1" applyBorder="1" applyAlignment="1">
      <alignment horizontal="center" vertical="center" wrapText="1"/>
    </xf>
    <xf numFmtId="0" fontId="7" fillId="7" borderId="38" xfId="2" applyFont="1" applyFill="1" applyBorder="1" applyAlignment="1">
      <alignment horizontal="center" vertical="center" wrapText="1"/>
    </xf>
    <xf numFmtId="0" fontId="7" fillId="7" borderId="27" xfId="2" applyFont="1" applyFill="1" applyBorder="1" applyAlignment="1">
      <alignment horizontal="center" vertical="center" wrapText="1"/>
    </xf>
    <xf numFmtId="0" fontId="7" fillId="4" borderId="82" xfId="2" applyFont="1" applyFill="1" applyBorder="1" applyAlignment="1">
      <alignment horizontal="center" vertical="center" wrapText="1"/>
    </xf>
    <xf numFmtId="0" fontId="7" fillId="4" borderId="5" xfId="2" applyFont="1" applyFill="1" applyBorder="1" applyAlignment="1">
      <alignment horizontal="center" vertical="center" wrapText="1"/>
    </xf>
    <xf numFmtId="0" fontId="7" fillId="4" borderId="51" xfId="2" applyFont="1" applyFill="1" applyBorder="1" applyAlignment="1">
      <alignment horizontal="center" vertical="center" wrapText="1"/>
    </xf>
    <xf numFmtId="0" fontId="7" fillId="7" borderId="62" xfId="2" applyFont="1" applyFill="1" applyBorder="1" applyAlignment="1">
      <alignment horizontal="center" vertical="center" wrapText="1"/>
    </xf>
    <xf numFmtId="0" fontId="7" fillId="7" borderId="37" xfId="2" applyFont="1" applyFill="1" applyBorder="1" applyAlignment="1">
      <alignment horizontal="center" vertical="center" wrapText="1"/>
    </xf>
    <xf numFmtId="0" fontId="7" fillId="7" borderId="61" xfId="2" applyFont="1" applyFill="1" applyBorder="1" applyAlignment="1">
      <alignment horizontal="center" vertical="center" wrapText="1"/>
    </xf>
    <xf numFmtId="0" fontId="7" fillId="7" borderId="82" xfId="2" applyFont="1" applyFill="1" applyBorder="1" applyAlignment="1">
      <alignment horizontal="center" vertical="center" wrapText="1"/>
    </xf>
    <xf numFmtId="0" fontId="7" fillId="7" borderId="5" xfId="2" applyFont="1" applyFill="1" applyBorder="1" applyAlignment="1">
      <alignment horizontal="center" vertical="center" wrapText="1"/>
    </xf>
    <xf numFmtId="0" fontId="7" fillId="7" borderId="51" xfId="2" applyFont="1" applyFill="1" applyBorder="1" applyAlignment="1">
      <alignment horizontal="center" vertical="center" wrapText="1"/>
    </xf>
    <xf numFmtId="0" fontId="4" fillId="0" borderId="42" xfId="2" applyFont="1" applyBorder="1" applyAlignment="1">
      <alignment horizontal="center" vertical="center" wrapText="1"/>
    </xf>
    <xf numFmtId="0" fontId="4" fillId="0" borderId="21" xfId="2" applyFont="1" applyBorder="1" applyAlignment="1">
      <alignment horizontal="center" vertical="center" wrapText="1"/>
    </xf>
    <xf numFmtId="0" fontId="4" fillId="0" borderId="32" xfId="2" applyFont="1" applyBorder="1" applyAlignment="1">
      <alignment horizontal="center" vertical="center" wrapText="1"/>
    </xf>
    <xf numFmtId="0" fontId="7" fillId="7" borderId="7" xfId="2" applyFont="1" applyFill="1" applyBorder="1" applyAlignment="1">
      <alignment horizontal="center" vertical="center" wrapText="1"/>
    </xf>
    <xf numFmtId="0" fontId="7" fillId="8" borderId="62" xfId="2" applyFont="1" applyFill="1" applyBorder="1" applyAlignment="1" applyProtection="1">
      <alignment horizontal="center" vertical="center" wrapText="1"/>
      <protection locked="0"/>
    </xf>
    <xf numFmtId="0" fontId="7" fillId="8" borderId="37" xfId="2" applyFont="1" applyFill="1" applyBorder="1" applyAlignment="1" applyProtection="1">
      <alignment horizontal="center" vertical="center" wrapText="1"/>
      <protection locked="0"/>
    </xf>
    <xf numFmtId="0" fontId="7" fillId="8" borderId="61" xfId="2" applyFont="1" applyFill="1" applyBorder="1" applyAlignment="1" applyProtection="1">
      <alignment horizontal="center" vertical="center" wrapText="1"/>
      <protection locked="0"/>
    </xf>
    <xf numFmtId="0" fontId="4" fillId="3" borderId="86" xfId="2" applyFont="1" applyFill="1" applyBorder="1" applyAlignment="1" applyProtection="1">
      <alignment horizontal="center" vertical="center" wrapText="1"/>
      <protection locked="0"/>
    </xf>
    <xf numFmtId="0" fontId="4" fillId="3" borderId="9" xfId="2" applyFont="1" applyFill="1" applyBorder="1" applyAlignment="1" applyProtection="1">
      <alignment horizontal="center" vertical="center" wrapText="1"/>
      <protection locked="0"/>
    </xf>
    <xf numFmtId="0" fontId="4" fillId="3" borderId="79" xfId="2" applyFont="1" applyFill="1" applyBorder="1" applyAlignment="1" applyProtection="1">
      <alignment horizontal="center" vertical="center" wrapText="1"/>
      <protection locked="0"/>
    </xf>
    <xf numFmtId="0" fontId="4" fillId="3" borderId="42" xfId="2" applyFont="1" applyFill="1" applyBorder="1" applyAlignment="1" applyProtection="1">
      <alignment horizontal="center" vertical="center" wrapText="1"/>
      <protection locked="0"/>
    </xf>
    <xf numFmtId="0" fontId="4" fillId="3" borderId="21" xfId="2" applyFont="1" applyFill="1" applyBorder="1" applyAlignment="1" applyProtection="1">
      <alignment horizontal="center" vertical="center" wrapText="1"/>
      <protection locked="0"/>
    </xf>
    <xf numFmtId="0" fontId="7" fillId="8" borderId="64" xfId="2" applyFont="1" applyFill="1" applyBorder="1" applyAlignment="1" applyProtection="1">
      <alignment horizontal="center" vertical="center" wrapText="1"/>
      <protection locked="0"/>
    </xf>
    <xf numFmtId="0" fontId="7" fillId="8" borderId="36" xfId="2" applyFont="1" applyFill="1" applyBorder="1" applyAlignment="1" applyProtection="1">
      <alignment horizontal="center" vertical="center" wrapText="1"/>
      <protection locked="0"/>
    </xf>
    <xf numFmtId="0" fontId="7" fillId="8" borderId="63" xfId="2" applyFont="1" applyFill="1" applyBorder="1" applyAlignment="1" applyProtection="1">
      <alignment horizontal="center" vertical="center" wrapText="1"/>
      <protection locked="0"/>
    </xf>
    <xf numFmtId="0" fontId="7" fillId="8" borderId="82" xfId="2" applyFont="1" applyFill="1" applyBorder="1" applyAlignment="1" applyProtection="1">
      <alignment horizontal="center" vertical="center" wrapText="1"/>
      <protection locked="0"/>
    </xf>
    <xf numFmtId="0" fontId="7" fillId="8" borderId="5" xfId="2" applyFont="1" applyFill="1" applyBorder="1" applyAlignment="1" applyProtection="1">
      <alignment horizontal="center" vertical="center" wrapText="1"/>
      <protection locked="0"/>
    </xf>
    <xf numFmtId="0" fontId="7" fillId="8" borderId="51" xfId="2" applyFont="1" applyFill="1" applyBorder="1" applyAlignment="1" applyProtection="1">
      <alignment horizontal="center" vertical="center" wrapText="1"/>
      <protection locked="0"/>
    </xf>
    <xf numFmtId="0" fontId="4" fillId="3" borderId="92" xfId="2" applyFont="1" applyFill="1" applyBorder="1" applyAlignment="1" applyProtection="1">
      <alignment horizontal="center" vertical="center" wrapText="1"/>
      <protection locked="0"/>
    </xf>
    <xf numFmtId="167" fontId="5" fillId="0" borderId="48" xfId="2" applyNumberFormat="1" applyFont="1" applyFill="1" applyBorder="1" applyAlignment="1">
      <alignment horizontal="center" vertical="center" wrapText="1"/>
    </xf>
    <xf numFmtId="167" fontId="5" fillId="0" borderId="14" xfId="2" applyNumberFormat="1" applyFont="1" applyFill="1" applyBorder="1" applyAlignment="1">
      <alignment horizontal="center" vertical="center" wrapText="1"/>
    </xf>
    <xf numFmtId="167" fontId="5" fillId="0" borderId="34" xfId="2" applyNumberFormat="1" applyFont="1" applyFill="1" applyBorder="1" applyAlignment="1">
      <alignment horizontal="center" vertical="center" wrapText="1"/>
    </xf>
    <xf numFmtId="0" fontId="4" fillId="0" borderId="103" xfId="2" applyFont="1" applyBorder="1" applyAlignment="1">
      <alignment horizontal="center" vertical="center" wrapText="1"/>
    </xf>
    <xf numFmtId="0" fontId="4" fillId="0" borderId="79" xfId="2" applyFont="1" applyBorder="1" applyAlignment="1">
      <alignment horizontal="center" vertical="center" wrapText="1"/>
    </xf>
    <xf numFmtId="0" fontId="5" fillId="0" borderId="104" xfId="2" applyFont="1" applyFill="1" applyBorder="1" applyAlignment="1">
      <alignment horizontal="center" vertical="center" wrapText="1"/>
    </xf>
    <xf numFmtId="0" fontId="5" fillId="0" borderId="78" xfId="2" applyFont="1" applyFill="1" applyBorder="1" applyAlignment="1">
      <alignment horizontal="center" vertical="center" wrapText="1"/>
    </xf>
    <xf numFmtId="0" fontId="2" fillId="5" borderId="78" xfId="2" applyFont="1" applyFill="1" applyBorder="1" applyAlignment="1">
      <alignment horizontal="center" vertical="center" wrapText="1"/>
    </xf>
    <xf numFmtId="0" fontId="2" fillId="5" borderId="91" xfId="2" applyFont="1" applyFill="1" applyBorder="1" applyAlignment="1">
      <alignment horizontal="center" vertical="center" wrapText="1"/>
    </xf>
    <xf numFmtId="0" fontId="2" fillId="5" borderId="55" xfId="2" applyFont="1" applyFill="1" applyBorder="1" applyAlignment="1">
      <alignment horizontal="center" vertical="center" wrapText="1"/>
    </xf>
    <xf numFmtId="0" fontId="4" fillId="3" borderId="15" xfId="2" applyFont="1" applyFill="1" applyBorder="1" applyAlignment="1" applyProtection="1">
      <alignment horizontal="center" vertical="center" wrapText="1"/>
      <protection locked="0"/>
    </xf>
    <xf numFmtId="0" fontId="7" fillId="2" borderId="82" xfId="2" applyFont="1" applyFill="1" applyBorder="1" applyAlignment="1">
      <alignment horizontal="center" vertical="center" wrapText="1"/>
    </xf>
    <xf numFmtId="0" fontId="7" fillId="2" borderId="5" xfId="2" applyFont="1" applyFill="1" applyBorder="1" applyAlignment="1">
      <alignment horizontal="center" vertical="center" wrapText="1"/>
    </xf>
    <xf numFmtId="0" fontId="7" fillId="2" borderId="51" xfId="2" applyFont="1" applyFill="1" applyBorder="1" applyAlignment="1">
      <alignment horizontal="center" vertical="center" wrapText="1"/>
    </xf>
    <xf numFmtId="49" fontId="5" fillId="0" borderId="45" xfId="2" applyNumberFormat="1" applyFont="1" applyFill="1" applyBorder="1" applyAlignment="1">
      <alignment horizontal="center" vertical="center" wrapText="1"/>
    </xf>
    <xf numFmtId="49" fontId="5" fillId="0" borderId="13" xfId="2" applyNumberFormat="1" applyFont="1" applyFill="1" applyBorder="1" applyAlignment="1">
      <alignment horizontal="center" vertical="center" wrapText="1"/>
    </xf>
    <xf numFmtId="49" fontId="5" fillId="0" borderId="54" xfId="2" applyNumberFormat="1" applyFont="1" applyFill="1" applyBorder="1" applyAlignment="1">
      <alignment horizontal="center" vertical="center" wrapText="1"/>
    </xf>
    <xf numFmtId="0" fontId="5" fillId="0" borderId="52" xfId="2" applyFont="1" applyFill="1" applyBorder="1" applyAlignment="1">
      <alignment horizontal="center" vertical="center" wrapText="1"/>
    </xf>
    <xf numFmtId="0" fontId="5" fillId="0" borderId="12" xfId="2" applyFont="1" applyFill="1" applyBorder="1" applyAlignment="1">
      <alignment horizontal="center" vertical="center" wrapText="1"/>
    </xf>
    <xf numFmtId="0" fontId="5" fillId="0" borderId="33" xfId="2" applyFont="1" applyFill="1" applyBorder="1" applyAlignment="1">
      <alignment horizontal="center" vertical="center" wrapText="1"/>
    </xf>
    <xf numFmtId="167" fontId="5" fillId="0" borderId="48" xfId="2" applyNumberFormat="1" applyFont="1" applyFill="1" applyBorder="1" applyAlignment="1">
      <alignment horizontal="right" vertical="center" wrapText="1"/>
    </xf>
    <xf numFmtId="167" fontId="5" fillId="0" borderId="14" xfId="2" applyNumberFormat="1" applyFont="1" applyFill="1" applyBorder="1" applyAlignment="1">
      <alignment horizontal="right" vertical="center" wrapText="1"/>
    </xf>
    <xf numFmtId="167" fontId="5" fillId="0" borderId="34" xfId="2" applyNumberFormat="1" applyFont="1" applyFill="1" applyBorder="1" applyAlignment="1">
      <alignment horizontal="right" vertical="center" wrapText="1"/>
    </xf>
    <xf numFmtId="49" fontId="5" fillId="0" borderId="46" xfId="2" applyNumberFormat="1" applyFont="1" applyFill="1" applyBorder="1" applyAlignment="1">
      <alignment horizontal="center" vertical="center" wrapText="1"/>
    </xf>
    <xf numFmtId="49" fontId="5" fillId="0" borderId="17" xfId="2" applyNumberFormat="1" applyFont="1" applyFill="1" applyBorder="1" applyAlignment="1">
      <alignment horizontal="center" vertical="center" wrapText="1"/>
    </xf>
    <xf numFmtId="0" fontId="7" fillId="0" borderId="105" xfId="2" applyFont="1" applyBorder="1" applyAlignment="1">
      <alignment horizontal="center" vertical="center" wrapText="1"/>
    </xf>
    <xf numFmtId="0" fontId="25" fillId="4" borderId="106" xfId="2" applyFont="1" applyFill="1" applyBorder="1" applyAlignment="1">
      <alignment horizontal="center" vertical="center" wrapText="1"/>
    </xf>
    <xf numFmtId="0" fontId="25" fillId="4" borderId="107" xfId="2" applyFont="1" applyFill="1" applyBorder="1" applyAlignment="1">
      <alignment horizontal="center" vertical="center" wrapText="1"/>
    </xf>
  </cellXfs>
  <cellStyles count="5">
    <cellStyle name="Normal" xfId="0" builtinId="0"/>
    <cellStyle name="Normal 2" xfId="1"/>
    <cellStyle name="Normal 2 2" xfId="2"/>
    <cellStyle name="Porcentaje 2" xfId="3"/>
    <cellStyle name="Porcentual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intranet.cne.go.cr/ude/PLANES%20DE%20EMERGENCIA/38642/Definitivos/Agro%20Pac.%20Nor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intranet.cne.go.cr/ude/PLANES%20DE%20EMERGENCIA/38642/Definitivos/Pecuario%20Pac.%20Nor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ntranet.cne.go.cr/Users/mag/Documents/2014/ENOS%202014/CNE/INFORME%20DE%20SITUACION%20ENOS%202014-2015/21%20oct%2014%20Necesidades%20de%20recursos%20y%20prioridad%20para%20atender%20el%20ENOS%202014-2015%20REGION%20CHOROTEGA%2027%20AGOSTO%2014%20corregido%20BORRAD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icola Abangares"/>
      <sheetName val="Agricola La Cruz"/>
      <sheetName val="Agricola Bagaces"/>
      <sheetName val="Agricola Hojancha"/>
      <sheetName val="Agricola Tilaran"/>
      <sheetName val="Agricola Liberia"/>
      <sheetName val="Agricola Sta Cruz"/>
      <sheetName val="Agricola Nicoya"/>
      <sheetName val="Agricola Nandayure"/>
      <sheetName val="Agricola Carrillo"/>
      <sheetName val="Agricola Cañas"/>
      <sheetName val="Agricola Consolidado Region"/>
      <sheetName val="RESUMEN"/>
      <sheetName val="Hoja3"/>
    </sheetNames>
    <sheetDataSet>
      <sheetData sheetId="0">
        <row r="8">
          <cell r="E8">
            <v>47</v>
          </cell>
          <cell r="G8">
            <v>977.07</v>
          </cell>
          <cell r="H8">
            <v>0</v>
          </cell>
        </row>
        <row r="9">
          <cell r="E9">
            <v>4</v>
          </cell>
          <cell r="H9">
            <v>48</v>
          </cell>
        </row>
        <row r="11">
          <cell r="E11">
            <v>632</v>
          </cell>
          <cell r="G11">
            <v>0</v>
          </cell>
          <cell r="H11">
            <v>632</v>
          </cell>
        </row>
        <row r="12">
          <cell r="E12">
            <v>82</v>
          </cell>
          <cell r="G12">
            <v>20</v>
          </cell>
          <cell r="H12">
            <v>0</v>
          </cell>
        </row>
        <row r="16">
          <cell r="E16">
            <v>2</v>
          </cell>
          <cell r="G16">
            <v>4</v>
          </cell>
          <cell r="H16">
            <v>0.4</v>
          </cell>
        </row>
      </sheetData>
      <sheetData sheetId="1">
        <row r="9">
          <cell r="E9">
            <v>450</v>
          </cell>
          <cell r="G9">
            <v>300</v>
          </cell>
          <cell r="H9">
            <v>150</v>
          </cell>
        </row>
        <row r="12">
          <cell r="E12">
            <v>500</v>
          </cell>
          <cell r="G12">
            <v>300</v>
          </cell>
          <cell r="H12">
            <v>200</v>
          </cell>
        </row>
        <row r="13">
          <cell r="E13">
            <v>150</v>
          </cell>
          <cell r="H13">
            <v>100</v>
          </cell>
        </row>
        <row r="15">
          <cell r="E15">
            <v>50</v>
          </cell>
          <cell r="H15">
            <v>75</v>
          </cell>
        </row>
        <row r="18">
          <cell r="E18">
            <v>60</v>
          </cell>
          <cell r="H18">
            <v>175</v>
          </cell>
        </row>
        <row r="25">
          <cell r="E25">
            <v>20</v>
          </cell>
          <cell r="H25">
            <v>20</v>
          </cell>
        </row>
        <row r="30">
          <cell r="E30">
            <v>45</v>
          </cell>
          <cell r="H30">
            <v>60</v>
          </cell>
        </row>
        <row r="31">
          <cell r="E31">
            <v>150</v>
          </cell>
          <cell r="H31">
            <v>25</v>
          </cell>
        </row>
        <row r="35">
          <cell r="E35">
            <v>400</v>
          </cell>
          <cell r="H35">
            <v>600</v>
          </cell>
        </row>
        <row r="36">
          <cell r="E36">
            <v>20</v>
          </cell>
          <cell r="H36">
            <v>40</v>
          </cell>
        </row>
        <row r="38">
          <cell r="E38">
            <v>75</v>
          </cell>
          <cell r="H38">
            <v>150</v>
          </cell>
        </row>
        <row r="39">
          <cell r="E39">
            <v>20</v>
          </cell>
          <cell r="H39">
            <v>5</v>
          </cell>
        </row>
        <row r="43">
          <cell r="E43">
            <v>20</v>
          </cell>
          <cell r="H43">
            <v>60</v>
          </cell>
        </row>
      </sheetData>
      <sheetData sheetId="2">
        <row r="8">
          <cell r="E8">
            <v>3</v>
          </cell>
          <cell r="H8">
            <v>44</v>
          </cell>
        </row>
        <row r="12">
          <cell r="E12">
            <v>112</v>
          </cell>
          <cell r="G12">
            <v>90</v>
          </cell>
          <cell r="H12">
            <v>115</v>
          </cell>
        </row>
        <row r="13">
          <cell r="E13">
            <v>35</v>
          </cell>
          <cell r="G13">
            <v>25</v>
          </cell>
          <cell r="H13">
            <v>53</v>
          </cell>
        </row>
        <row r="14">
          <cell r="E14">
            <v>2</v>
          </cell>
          <cell r="G14">
            <v>2</v>
          </cell>
          <cell r="H14">
            <v>6</v>
          </cell>
        </row>
        <row r="15">
          <cell r="E15">
            <v>5</v>
          </cell>
          <cell r="G15">
            <v>2</v>
          </cell>
          <cell r="H15">
            <v>5</v>
          </cell>
        </row>
        <row r="16">
          <cell r="E16">
            <v>50</v>
          </cell>
          <cell r="G16">
            <v>105</v>
          </cell>
        </row>
        <row r="27">
          <cell r="E27">
            <v>23</v>
          </cell>
          <cell r="G27">
            <v>2</v>
          </cell>
          <cell r="H27">
            <v>4</v>
          </cell>
        </row>
        <row r="28">
          <cell r="E28">
            <v>12</v>
          </cell>
          <cell r="G28">
            <v>7</v>
          </cell>
          <cell r="H28">
            <v>11</v>
          </cell>
        </row>
        <row r="29">
          <cell r="E29">
            <v>18</v>
          </cell>
          <cell r="G29">
            <v>12</v>
          </cell>
          <cell r="H29">
            <v>20</v>
          </cell>
        </row>
        <row r="30">
          <cell r="E30">
            <v>2</v>
          </cell>
          <cell r="G30">
            <v>0</v>
          </cell>
          <cell r="H30">
            <v>3</v>
          </cell>
        </row>
        <row r="31">
          <cell r="E31">
            <v>8</v>
          </cell>
          <cell r="G31">
            <v>2</v>
          </cell>
          <cell r="H31">
            <v>6</v>
          </cell>
        </row>
        <row r="32">
          <cell r="E32">
            <v>8</v>
          </cell>
          <cell r="G32">
            <v>4</v>
          </cell>
          <cell r="H32">
            <v>7</v>
          </cell>
        </row>
        <row r="33">
          <cell r="E33">
            <v>5</v>
          </cell>
          <cell r="G33">
            <v>0.3</v>
          </cell>
        </row>
        <row r="34">
          <cell r="E34">
            <v>3</v>
          </cell>
          <cell r="G34">
            <v>1</v>
          </cell>
          <cell r="H34">
            <v>3</v>
          </cell>
        </row>
        <row r="42">
          <cell r="E42">
            <v>6</v>
          </cell>
          <cell r="G42">
            <v>5</v>
          </cell>
          <cell r="H42">
            <v>20</v>
          </cell>
        </row>
      </sheetData>
      <sheetData sheetId="3">
        <row r="8">
          <cell r="E8">
            <v>2</v>
          </cell>
          <cell r="G8">
            <v>1.5</v>
          </cell>
        </row>
        <row r="9">
          <cell r="E9">
            <v>16</v>
          </cell>
          <cell r="G9">
            <v>5.9</v>
          </cell>
        </row>
        <row r="11">
          <cell r="E11">
            <v>60</v>
          </cell>
          <cell r="H11">
            <v>300</v>
          </cell>
        </row>
        <row r="12">
          <cell r="E12">
            <v>49</v>
          </cell>
          <cell r="H12">
            <v>32.799999999999997</v>
          </cell>
        </row>
        <row r="13">
          <cell r="E13">
            <v>33</v>
          </cell>
          <cell r="G13">
            <v>17.899999999999999</v>
          </cell>
        </row>
        <row r="18">
          <cell r="E18">
            <v>3</v>
          </cell>
          <cell r="H18">
            <v>9.5</v>
          </cell>
        </row>
      </sheetData>
      <sheetData sheetId="4">
        <row r="12">
          <cell r="E12">
            <v>50</v>
          </cell>
          <cell r="G12">
            <v>0</v>
          </cell>
          <cell r="H12">
            <v>25</v>
          </cell>
        </row>
        <row r="22">
          <cell r="E22">
            <v>43</v>
          </cell>
          <cell r="G22">
            <v>0</v>
          </cell>
          <cell r="H22">
            <v>25</v>
          </cell>
        </row>
        <row r="28">
          <cell r="E28">
            <v>7</v>
          </cell>
          <cell r="G28">
            <v>0</v>
          </cell>
          <cell r="H28">
            <v>6</v>
          </cell>
        </row>
        <row r="29">
          <cell r="E29">
            <v>3</v>
          </cell>
          <cell r="G29">
            <v>0</v>
          </cell>
          <cell r="H29">
            <v>4</v>
          </cell>
        </row>
        <row r="33">
          <cell r="E33">
            <v>7</v>
          </cell>
          <cell r="G33">
            <v>0</v>
          </cell>
          <cell r="H33">
            <v>0.17</v>
          </cell>
        </row>
      </sheetData>
      <sheetData sheetId="5">
        <row r="8">
          <cell r="E8">
            <v>12</v>
          </cell>
          <cell r="G8">
            <v>344.9</v>
          </cell>
          <cell r="H8">
            <v>300</v>
          </cell>
        </row>
        <row r="9">
          <cell r="E9">
            <v>4</v>
          </cell>
          <cell r="G9">
            <v>4.5</v>
          </cell>
        </row>
        <row r="12">
          <cell r="E12">
            <v>98</v>
          </cell>
          <cell r="G12">
            <v>400</v>
          </cell>
        </row>
        <row r="13">
          <cell r="E13">
            <v>31</v>
          </cell>
          <cell r="G13">
            <v>24.3</v>
          </cell>
        </row>
        <row r="15">
          <cell r="E15">
            <v>18</v>
          </cell>
          <cell r="G15">
            <v>7.6</v>
          </cell>
        </row>
        <row r="16">
          <cell r="E16">
            <v>4</v>
          </cell>
          <cell r="G16">
            <v>4.25</v>
          </cell>
        </row>
        <row r="17">
          <cell r="E17">
            <v>1</v>
          </cell>
          <cell r="G17">
            <v>0</v>
          </cell>
          <cell r="H17">
            <v>376</v>
          </cell>
        </row>
        <row r="18">
          <cell r="E18">
            <v>14</v>
          </cell>
          <cell r="G18">
            <v>4.9000000000000004</v>
          </cell>
          <cell r="H18">
            <v>2</v>
          </cell>
        </row>
        <row r="19">
          <cell r="E19">
            <v>2</v>
          </cell>
          <cell r="G19">
            <v>1.5</v>
          </cell>
          <cell r="H19">
            <v>3.5</v>
          </cell>
        </row>
        <row r="20">
          <cell r="E20">
            <v>2</v>
          </cell>
          <cell r="G20">
            <v>2</v>
          </cell>
        </row>
        <row r="29">
          <cell r="E29">
            <v>1</v>
          </cell>
          <cell r="G29">
            <v>1</v>
          </cell>
        </row>
        <row r="35">
          <cell r="E35">
            <v>4</v>
          </cell>
          <cell r="G35">
            <v>2.5</v>
          </cell>
        </row>
        <row r="38">
          <cell r="E38">
            <v>4</v>
          </cell>
          <cell r="G38">
            <v>1</v>
          </cell>
        </row>
        <row r="42">
          <cell r="E42">
            <v>50</v>
          </cell>
          <cell r="G42">
            <v>50</v>
          </cell>
        </row>
      </sheetData>
      <sheetData sheetId="6">
        <row r="8">
          <cell r="E8">
            <v>80</v>
          </cell>
          <cell r="G8">
            <v>46</v>
          </cell>
          <cell r="H8">
            <v>1054</v>
          </cell>
        </row>
        <row r="9">
          <cell r="E9">
            <v>20</v>
          </cell>
          <cell r="G9">
            <v>202</v>
          </cell>
          <cell r="H9">
            <v>993</v>
          </cell>
        </row>
        <row r="11">
          <cell r="E11">
            <v>29</v>
          </cell>
          <cell r="H11">
            <v>45</v>
          </cell>
        </row>
        <row r="12">
          <cell r="E12">
            <v>215</v>
          </cell>
          <cell r="G12">
            <v>250</v>
          </cell>
          <cell r="H12">
            <v>0</v>
          </cell>
        </row>
        <row r="13">
          <cell r="E13">
            <v>15</v>
          </cell>
          <cell r="G13">
            <v>15</v>
          </cell>
          <cell r="H13">
            <v>0</v>
          </cell>
        </row>
        <row r="14">
          <cell r="E14">
            <v>1</v>
          </cell>
          <cell r="G14">
            <v>1</v>
          </cell>
        </row>
        <row r="16">
          <cell r="E16">
            <v>1</v>
          </cell>
          <cell r="G16">
            <v>1</v>
          </cell>
        </row>
        <row r="29">
          <cell r="E29">
            <v>1</v>
          </cell>
          <cell r="G29">
            <v>0.5</v>
          </cell>
        </row>
        <row r="36">
          <cell r="E36">
            <v>1</v>
          </cell>
          <cell r="G36">
            <v>0.5</v>
          </cell>
        </row>
      </sheetData>
      <sheetData sheetId="7">
        <row r="8">
          <cell r="E8">
            <v>3</v>
          </cell>
          <cell r="G8">
            <v>0</v>
          </cell>
          <cell r="H8">
            <v>120</v>
          </cell>
        </row>
        <row r="9">
          <cell r="E9">
            <v>4</v>
          </cell>
          <cell r="G9">
            <v>0</v>
          </cell>
          <cell r="H9">
            <v>0</v>
          </cell>
        </row>
        <row r="10">
          <cell r="E10">
            <v>3</v>
          </cell>
          <cell r="G10">
            <v>0</v>
          </cell>
          <cell r="H10">
            <v>0</v>
          </cell>
        </row>
        <row r="11">
          <cell r="E11">
            <v>75</v>
          </cell>
          <cell r="G11">
            <v>0</v>
          </cell>
          <cell r="H11">
            <v>160</v>
          </cell>
        </row>
        <row r="12">
          <cell r="E12">
            <v>300</v>
          </cell>
          <cell r="G12">
            <v>90</v>
          </cell>
          <cell r="H12">
            <v>150</v>
          </cell>
        </row>
        <row r="13">
          <cell r="E13">
            <v>0</v>
          </cell>
          <cell r="G13">
            <v>0</v>
          </cell>
          <cell r="H13">
            <v>0</v>
          </cell>
        </row>
        <row r="14">
          <cell r="E14">
            <v>0</v>
          </cell>
          <cell r="G14">
            <v>0</v>
          </cell>
          <cell r="H14">
            <v>0</v>
          </cell>
        </row>
        <row r="15">
          <cell r="E15">
            <v>0</v>
          </cell>
          <cell r="G15">
            <v>0</v>
          </cell>
          <cell r="H15">
            <v>0</v>
          </cell>
        </row>
        <row r="16">
          <cell r="E16">
            <v>0</v>
          </cell>
          <cell r="G16">
            <v>0</v>
          </cell>
          <cell r="H16">
            <v>0</v>
          </cell>
        </row>
        <row r="17">
          <cell r="E17">
            <v>0</v>
          </cell>
          <cell r="G17">
            <v>0</v>
          </cell>
          <cell r="H17">
            <v>0</v>
          </cell>
        </row>
        <row r="18">
          <cell r="E18">
            <v>26</v>
          </cell>
          <cell r="G18">
            <v>0</v>
          </cell>
          <cell r="H18">
            <v>17</v>
          </cell>
        </row>
        <row r="19">
          <cell r="E19">
            <v>0</v>
          </cell>
          <cell r="G19">
            <v>0</v>
          </cell>
          <cell r="H19">
            <v>0</v>
          </cell>
        </row>
        <row r="20">
          <cell r="E20">
            <v>0</v>
          </cell>
          <cell r="G20">
            <v>0</v>
          </cell>
          <cell r="H20">
            <v>0</v>
          </cell>
        </row>
        <row r="21">
          <cell r="E21">
            <v>0</v>
          </cell>
          <cell r="G21">
            <v>0</v>
          </cell>
          <cell r="H21">
            <v>0</v>
          </cell>
        </row>
        <row r="22">
          <cell r="E22">
            <v>0</v>
          </cell>
          <cell r="G22">
            <v>0</v>
          </cell>
          <cell r="H22">
            <v>0</v>
          </cell>
        </row>
        <row r="23">
          <cell r="E23">
            <v>0</v>
          </cell>
          <cell r="G23">
            <v>0</v>
          </cell>
          <cell r="H23">
            <v>0</v>
          </cell>
        </row>
        <row r="24">
          <cell r="E24">
            <v>0</v>
          </cell>
          <cell r="G24">
            <v>0</v>
          </cell>
          <cell r="H24">
            <v>0</v>
          </cell>
        </row>
        <row r="25">
          <cell r="E25">
            <v>0</v>
          </cell>
          <cell r="G25">
            <v>0</v>
          </cell>
          <cell r="H25">
            <v>0</v>
          </cell>
        </row>
        <row r="26">
          <cell r="E26">
            <v>0</v>
          </cell>
          <cell r="G26">
            <v>0</v>
          </cell>
          <cell r="H26">
            <v>0</v>
          </cell>
        </row>
        <row r="27">
          <cell r="E27">
            <v>0</v>
          </cell>
          <cell r="G27">
            <v>0</v>
          </cell>
          <cell r="H27">
            <v>0</v>
          </cell>
        </row>
        <row r="28">
          <cell r="E28">
            <v>6</v>
          </cell>
          <cell r="G28">
            <v>0</v>
          </cell>
          <cell r="H28">
            <v>0</v>
          </cell>
        </row>
        <row r="29">
          <cell r="E29">
            <v>6</v>
          </cell>
          <cell r="G29">
            <v>0</v>
          </cell>
          <cell r="H29">
            <v>0</v>
          </cell>
        </row>
        <row r="30">
          <cell r="E30">
            <v>0</v>
          </cell>
          <cell r="G30">
            <v>0</v>
          </cell>
          <cell r="H30">
            <v>0</v>
          </cell>
        </row>
        <row r="31">
          <cell r="E31">
            <v>7</v>
          </cell>
          <cell r="G31">
            <v>0</v>
          </cell>
          <cell r="H31">
            <v>7</v>
          </cell>
        </row>
        <row r="32">
          <cell r="E32">
            <v>0</v>
          </cell>
          <cell r="G32">
            <v>0</v>
          </cell>
          <cell r="H32">
            <v>0</v>
          </cell>
        </row>
        <row r="33">
          <cell r="E33">
            <v>1</v>
          </cell>
          <cell r="G33">
            <v>0</v>
          </cell>
          <cell r="H33">
            <v>0.25</v>
          </cell>
        </row>
        <row r="34">
          <cell r="E34">
            <v>0</v>
          </cell>
          <cell r="G34">
            <v>0</v>
          </cell>
          <cell r="H34">
            <v>1</v>
          </cell>
        </row>
        <row r="35">
          <cell r="E35">
            <v>0</v>
          </cell>
          <cell r="G35">
            <v>0</v>
          </cell>
          <cell r="H35">
            <v>0</v>
          </cell>
        </row>
        <row r="36">
          <cell r="E36">
            <v>0</v>
          </cell>
          <cell r="G36">
            <v>0</v>
          </cell>
          <cell r="H36">
            <v>0</v>
          </cell>
        </row>
        <row r="37">
          <cell r="E37">
            <v>0</v>
          </cell>
          <cell r="G37">
            <v>0</v>
          </cell>
          <cell r="H37">
            <v>0</v>
          </cell>
        </row>
        <row r="38">
          <cell r="E38">
            <v>0</v>
          </cell>
          <cell r="G38">
            <v>0</v>
          </cell>
          <cell r="H38">
            <v>0</v>
          </cell>
        </row>
        <row r="39">
          <cell r="E39">
            <v>0</v>
          </cell>
          <cell r="G39">
            <v>0</v>
          </cell>
          <cell r="H39">
            <v>0</v>
          </cell>
        </row>
        <row r="40">
          <cell r="E40">
            <v>0</v>
          </cell>
          <cell r="G40">
            <v>0</v>
          </cell>
          <cell r="H40">
            <v>0</v>
          </cell>
        </row>
        <row r="41">
          <cell r="E41">
            <v>0</v>
          </cell>
          <cell r="G41">
            <v>0</v>
          </cell>
          <cell r="H41">
            <v>0</v>
          </cell>
        </row>
        <row r="42">
          <cell r="E42">
            <v>10</v>
          </cell>
          <cell r="G42">
            <v>0</v>
          </cell>
          <cell r="H42">
            <v>15</v>
          </cell>
        </row>
      </sheetData>
      <sheetData sheetId="8">
        <row r="8">
          <cell r="E8">
            <v>1</v>
          </cell>
          <cell r="H8">
            <v>25</v>
          </cell>
        </row>
        <row r="9">
          <cell r="E9">
            <v>33</v>
          </cell>
          <cell r="H9">
            <v>747</v>
          </cell>
        </row>
        <row r="11">
          <cell r="E11">
            <v>200</v>
          </cell>
          <cell r="H11">
            <v>200</v>
          </cell>
        </row>
        <row r="12">
          <cell r="E12">
            <v>60</v>
          </cell>
          <cell r="G12">
            <v>38.25</v>
          </cell>
        </row>
        <row r="13">
          <cell r="E13">
            <v>32</v>
          </cell>
          <cell r="H13">
            <v>18</v>
          </cell>
        </row>
        <row r="14">
          <cell r="E14">
            <v>2</v>
          </cell>
          <cell r="H14">
            <v>6</v>
          </cell>
        </row>
        <row r="17">
          <cell r="E17">
            <v>20</v>
          </cell>
          <cell r="H17">
            <v>145</v>
          </cell>
        </row>
        <row r="18">
          <cell r="E18">
            <v>103</v>
          </cell>
          <cell r="H18">
            <v>192</v>
          </cell>
        </row>
        <row r="23">
          <cell r="E23">
            <v>9</v>
          </cell>
          <cell r="H23">
            <v>2.75</v>
          </cell>
        </row>
        <row r="36">
          <cell r="E36">
            <v>1</v>
          </cell>
          <cell r="G36">
            <v>0.25</v>
          </cell>
        </row>
        <row r="41">
          <cell r="E41">
            <v>1</v>
          </cell>
          <cell r="H41">
            <v>2</v>
          </cell>
        </row>
      </sheetData>
      <sheetData sheetId="9">
        <row r="8">
          <cell r="E8">
            <v>350</v>
          </cell>
          <cell r="G8">
            <v>300</v>
          </cell>
          <cell r="H8">
            <v>4500</v>
          </cell>
        </row>
        <row r="9">
          <cell r="E9">
            <v>60</v>
          </cell>
          <cell r="G9">
            <v>40</v>
          </cell>
          <cell r="H9">
            <v>75</v>
          </cell>
        </row>
        <row r="12">
          <cell r="E12">
            <v>50</v>
          </cell>
          <cell r="G12">
            <v>80</v>
          </cell>
          <cell r="H12">
            <v>40</v>
          </cell>
        </row>
        <row r="13">
          <cell r="E13">
            <v>0</v>
          </cell>
          <cell r="G13">
            <v>0</v>
          </cell>
          <cell r="H13">
            <v>0</v>
          </cell>
        </row>
        <row r="42">
          <cell r="E42">
            <v>10</v>
          </cell>
          <cell r="G42">
            <v>10</v>
          </cell>
          <cell r="H42">
            <v>10</v>
          </cell>
        </row>
      </sheetData>
      <sheetData sheetId="10">
        <row r="8">
          <cell r="E8">
            <v>28</v>
          </cell>
          <cell r="H8">
            <v>900</v>
          </cell>
        </row>
        <row r="9">
          <cell r="E9">
            <v>2</v>
          </cell>
          <cell r="G9">
            <v>105</v>
          </cell>
        </row>
        <row r="12">
          <cell r="H12">
            <v>33</v>
          </cell>
        </row>
        <row r="13">
          <cell r="E13">
            <v>14</v>
          </cell>
          <cell r="H13">
            <v>10</v>
          </cell>
        </row>
      </sheetData>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ANGARES"/>
      <sheetName val="BAGACES"/>
      <sheetName val="CARRILLO"/>
      <sheetName val="HOJANCHA"/>
      <sheetName val="LA CRUZ"/>
      <sheetName val="LIBERIA"/>
      <sheetName val="NANDAYURE"/>
      <sheetName val="NICOYA"/>
      <sheetName val="SANTA CRUZ"/>
      <sheetName val="TILARAN"/>
      <sheetName val="CAÑAS"/>
      <sheetName val="CONSOLIDADO"/>
      <sheetName val="RESUMEN"/>
      <sheetName val="resumen 2"/>
    </sheetNames>
    <sheetDataSet>
      <sheetData sheetId="0">
        <row r="9">
          <cell r="E9">
            <v>350</v>
          </cell>
          <cell r="G9">
            <v>0</v>
          </cell>
        </row>
        <row r="10">
          <cell r="G10">
            <v>0</v>
          </cell>
          <cell r="H10">
            <v>339</v>
          </cell>
        </row>
        <row r="11">
          <cell r="G11">
            <v>0</v>
          </cell>
          <cell r="H11">
            <v>20</v>
          </cell>
        </row>
        <row r="12">
          <cell r="G12">
            <v>0</v>
          </cell>
          <cell r="H12">
            <v>25</v>
          </cell>
        </row>
        <row r="20">
          <cell r="E20">
            <v>12</v>
          </cell>
          <cell r="F20">
            <v>96</v>
          </cell>
        </row>
        <row r="21">
          <cell r="E21">
            <v>101</v>
          </cell>
          <cell r="F21">
            <v>1500</v>
          </cell>
        </row>
        <row r="26">
          <cell r="E26">
            <v>15</v>
          </cell>
          <cell r="F26">
            <v>700</v>
          </cell>
        </row>
      </sheetData>
      <sheetData sheetId="1">
        <row r="9">
          <cell r="E9">
            <v>542</v>
          </cell>
          <cell r="F9">
            <v>35500</v>
          </cell>
          <cell r="G9">
            <v>15</v>
          </cell>
          <cell r="H9">
            <v>35000</v>
          </cell>
        </row>
        <row r="10">
          <cell r="E10">
            <v>101</v>
          </cell>
          <cell r="G10">
            <v>5</v>
          </cell>
          <cell r="H10">
            <v>700</v>
          </cell>
        </row>
        <row r="11">
          <cell r="E11">
            <v>20</v>
          </cell>
          <cell r="G11">
            <v>5</v>
          </cell>
          <cell r="H11">
            <v>20</v>
          </cell>
        </row>
        <row r="12">
          <cell r="E12">
            <v>10</v>
          </cell>
          <cell r="G12">
            <v>2</v>
          </cell>
          <cell r="H12">
            <v>10</v>
          </cell>
        </row>
        <row r="20">
          <cell r="E20">
            <v>51</v>
          </cell>
          <cell r="F20">
            <v>150</v>
          </cell>
        </row>
        <row r="21">
          <cell r="E21">
            <v>491</v>
          </cell>
          <cell r="F21">
            <v>25000</v>
          </cell>
        </row>
        <row r="27">
          <cell r="E27">
            <v>4</v>
          </cell>
          <cell r="F27">
            <v>8</v>
          </cell>
        </row>
      </sheetData>
      <sheetData sheetId="2">
        <row r="9">
          <cell r="E9">
            <v>295</v>
          </cell>
          <cell r="F9">
            <v>7375</v>
          </cell>
          <cell r="G9">
            <v>500</v>
          </cell>
          <cell r="H9">
            <v>9000</v>
          </cell>
        </row>
        <row r="10">
          <cell r="E10">
            <v>50</v>
          </cell>
          <cell r="F10">
            <v>1500</v>
          </cell>
          <cell r="G10">
            <v>0</v>
          </cell>
          <cell r="H10">
            <v>180</v>
          </cell>
        </row>
        <row r="11">
          <cell r="E11">
            <v>20</v>
          </cell>
          <cell r="F11">
            <v>600</v>
          </cell>
          <cell r="G11">
            <v>0</v>
          </cell>
          <cell r="H11">
            <v>25</v>
          </cell>
        </row>
        <row r="12">
          <cell r="E12">
            <v>40</v>
          </cell>
          <cell r="F12">
            <v>1200</v>
          </cell>
          <cell r="G12">
            <v>0</v>
          </cell>
          <cell r="H12">
            <v>50</v>
          </cell>
        </row>
        <row r="13">
          <cell r="E13">
            <v>10</v>
          </cell>
          <cell r="F13">
            <v>300</v>
          </cell>
          <cell r="G13">
            <v>0</v>
          </cell>
          <cell r="H13">
            <v>3</v>
          </cell>
        </row>
        <row r="20">
          <cell r="E20">
            <v>70</v>
          </cell>
          <cell r="F20">
            <v>1050</v>
          </cell>
        </row>
        <row r="21">
          <cell r="E21">
            <v>225</v>
          </cell>
          <cell r="F21">
            <v>6210</v>
          </cell>
        </row>
        <row r="27">
          <cell r="E27">
            <v>8</v>
          </cell>
          <cell r="F27">
            <v>30</v>
          </cell>
        </row>
      </sheetData>
      <sheetData sheetId="3">
        <row r="9">
          <cell r="E9">
            <v>304</v>
          </cell>
          <cell r="F9">
            <v>8399</v>
          </cell>
          <cell r="H9">
            <v>10000</v>
          </cell>
        </row>
        <row r="11">
          <cell r="E11">
            <v>50</v>
          </cell>
          <cell r="H11">
            <v>25</v>
          </cell>
        </row>
        <row r="20">
          <cell r="E20">
            <v>20</v>
          </cell>
          <cell r="F20">
            <v>500</v>
          </cell>
        </row>
        <row r="21">
          <cell r="E21">
            <v>284</v>
          </cell>
          <cell r="F21">
            <v>7899</v>
          </cell>
        </row>
        <row r="26">
          <cell r="E26">
            <v>20</v>
          </cell>
          <cell r="F26">
            <v>2000</v>
          </cell>
        </row>
      </sheetData>
      <sheetData sheetId="4">
        <row r="9">
          <cell r="E9">
            <v>90</v>
          </cell>
          <cell r="F9">
            <v>1750</v>
          </cell>
          <cell r="H9">
            <v>900</v>
          </cell>
        </row>
        <row r="20">
          <cell r="E20">
            <v>60</v>
          </cell>
          <cell r="F20">
            <v>650</v>
          </cell>
        </row>
        <row r="21">
          <cell r="E21">
            <v>250</v>
          </cell>
          <cell r="F21">
            <v>9000</v>
          </cell>
        </row>
      </sheetData>
      <sheetData sheetId="5">
        <row r="9">
          <cell r="E9">
            <v>81</v>
          </cell>
          <cell r="F9">
            <v>2292</v>
          </cell>
          <cell r="G9">
            <v>1331</v>
          </cell>
          <cell r="H9">
            <v>940.5</v>
          </cell>
        </row>
        <row r="10">
          <cell r="E10">
            <v>16</v>
          </cell>
          <cell r="G10">
            <v>470.4</v>
          </cell>
          <cell r="H10">
            <v>672</v>
          </cell>
        </row>
        <row r="20">
          <cell r="E20">
            <v>75</v>
          </cell>
          <cell r="F20">
            <v>940.5</v>
          </cell>
        </row>
        <row r="21">
          <cell r="E21">
            <v>80</v>
          </cell>
          <cell r="F21">
            <v>1585</v>
          </cell>
        </row>
        <row r="22">
          <cell r="E22">
            <v>1</v>
          </cell>
          <cell r="F22">
            <v>1000</v>
          </cell>
        </row>
        <row r="23">
          <cell r="E23">
            <v>5</v>
          </cell>
          <cell r="F23">
            <v>27</v>
          </cell>
        </row>
        <row r="25">
          <cell r="E25">
            <v>2</v>
          </cell>
          <cell r="F25">
            <v>285</v>
          </cell>
        </row>
        <row r="26">
          <cell r="E26">
            <v>3</v>
          </cell>
          <cell r="F26">
            <v>29</v>
          </cell>
        </row>
        <row r="27">
          <cell r="E27">
            <v>2</v>
          </cell>
          <cell r="F27">
            <v>6</v>
          </cell>
        </row>
        <row r="28">
          <cell r="E28">
            <v>13</v>
          </cell>
          <cell r="F28">
            <v>1238</v>
          </cell>
        </row>
        <row r="29">
          <cell r="E29">
            <v>13</v>
          </cell>
          <cell r="F29">
            <v>366</v>
          </cell>
        </row>
      </sheetData>
      <sheetData sheetId="6">
        <row r="9">
          <cell r="E9">
            <v>153</v>
          </cell>
          <cell r="H9">
            <v>2857</v>
          </cell>
        </row>
        <row r="10">
          <cell r="E10">
            <v>93</v>
          </cell>
          <cell r="G10">
            <v>189</v>
          </cell>
        </row>
        <row r="11">
          <cell r="E11">
            <v>121</v>
          </cell>
          <cell r="G11">
            <v>11.1</v>
          </cell>
        </row>
        <row r="12">
          <cell r="E12">
            <v>121</v>
          </cell>
          <cell r="H12">
            <v>40</v>
          </cell>
        </row>
        <row r="13">
          <cell r="G13">
            <v>0</v>
          </cell>
        </row>
        <row r="14">
          <cell r="E14">
            <v>65</v>
          </cell>
          <cell r="H14">
            <v>2</v>
          </cell>
        </row>
        <row r="20">
          <cell r="E20">
            <v>50</v>
          </cell>
          <cell r="F20">
            <v>950</v>
          </cell>
        </row>
        <row r="21">
          <cell r="E21">
            <v>344</v>
          </cell>
          <cell r="F21">
            <v>12595</v>
          </cell>
        </row>
        <row r="26">
          <cell r="E26">
            <v>11</v>
          </cell>
          <cell r="F26">
            <v>315</v>
          </cell>
        </row>
        <row r="27">
          <cell r="E27">
            <v>11</v>
          </cell>
          <cell r="F27">
            <v>24</v>
          </cell>
        </row>
      </sheetData>
      <sheetData sheetId="7">
        <row r="9">
          <cell r="E9">
            <v>1379</v>
          </cell>
          <cell r="F9">
            <v>55432</v>
          </cell>
          <cell r="G9">
            <v>0</v>
          </cell>
          <cell r="H9">
            <v>62882</v>
          </cell>
        </row>
        <row r="10">
          <cell r="E10">
            <v>523</v>
          </cell>
          <cell r="F10">
            <v>0</v>
          </cell>
          <cell r="G10">
            <v>0</v>
          </cell>
          <cell r="H10">
            <v>523</v>
          </cell>
        </row>
        <row r="11">
          <cell r="E11">
            <v>100</v>
          </cell>
          <cell r="H11">
            <v>25</v>
          </cell>
        </row>
        <row r="12">
          <cell r="E12">
            <v>200</v>
          </cell>
          <cell r="F12">
            <v>0</v>
          </cell>
          <cell r="G12">
            <v>0</v>
          </cell>
          <cell r="H12">
            <v>100</v>
          </cell>
        </row>
        <row r="20">
          <cell r="E20">
            <v>414</v>
          </cell>
          <cell r="F20">
            <v>20598</v>
          </cell>
        </row>
        <row r="21">
          <cell r="E21">
            <v>965</v>
          </cell>
          <cell r="F21">
            <v>34834</v>
          </cell>
        </row>
        <row r="26">
          <cell r="E26">
            <v>20</v>
          </cell>
          <cell r="F26">
            <v>600</v>
          </cell>
        </row>
      </sheetData>
      <sheetData sheetId="8">
        <row r="9">
          <cell r="E9">
            <v>1158</v>
          </cell>
          <cell r="F9">
            <v>49742</v>
          </cell>
          <cell r="G9">
            <v>300</v>
          </cell>
          <cell r="H9">
            <v>25700</v>
          </cell>
        </row>
        <row r="10">
          <cell r="E10">
            <v>80</v>
          </cell>
          <cell r="G10">
            <v>0</v>
          </cell>
          <cell r="H10">
            <v>942</v>
          </cell>
        </row>
        <row r="11">
          <cell r="E11">
            <v>60</v>
          </cell>
          <cell r="G11">
            <v>0</v>
          </cell>
          <cell r="H11">
            <v>30</v>
          </cell>
        </row>
        <row r="20">
          <cell r="E20">
            <v>576</v>
          </cell>
          <cell r="F20">
            <v>12475</v>
          </cell>
        </row>
        <row r="21">
          <cell r="E21">
            <v>1088</v>
          </cell>
          <cell r="F21">
            <v>18898</v>
          </cell>
        </row>
        <row r="26">
          <cell r="E26">
            <v>13</v>
          </cell>
          <cell r="F26">
            <v>1100</v>
          </cell>
        </row>
        <row r="27">
          <cell r="E27">
            <v>15</v>
          </cell>
          <cell r="F27">
            <v>15</v>
          </cell>
        </row>
      </sheetData>
      <sheetData sheetId="9">
        <row r="9">
          <cell r="E9">
            <v>101</v>
          </cell>
          <cell r="F9">
            <v>1005</v>
          </cell>
          <cell r="G9">
            <v>0</v>
          </cell>
          <cell r="H9">
            <v>1490</v>
          </cell>
        </row>
        <row r="11">
          <cell r="E11">
            <v>13</v>
          </cell>
          <cell r="F11">
            <v>294</v>
          </cell>
          <cell r="G11">
            <v>0</v>
          </cell>
          <cell r="H11">
            <v>17</v>
          </cell>
        </row>
        <row r="12">
          <cell r="E12">
            <v>18</v>
          </cell>
          <cell r="F12">
            <v>225</v>
          </cell>
          <cell r="G12">
            <v>0</v>
          </cell>
          <cell r="H12">
            <v>9</v>
          </cell>
        </row>
        <row r="21">
          <cell r="E21">
            <v>101</v>
          </cell>
          <cell r="F21">
            <v>1005</v>
          </cell>
        </row>
      </sheetData>
      <sheetData sheetId="10">
        <row r="9">
          <cell r="E9">
            <v>498</v>
          </cell>
          <cell r="F9">
            <v>46920</v>
          </cell>
          <cell r="H9">
            <v>35250</v>
          </cell>
        </row>
        <row r="20">
          <cell r="E20">
            <v>50</v>
          </cell>
          <cell r="F20">
            <v>1100</v>
          </cell>
        </row>
        <row r="21">
          <cell r="E21">
            <v>325</v>
          </cell>
          <cell r="F21">
            <v>45820</v>
          </cell>
        </row>
      </sheetData>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Hoja3"/>
    </sheetNames>
    <sheetDataSet>
      <sheetData sheetId="0" refreshError="1">
        <row r="38">
          <cell r="E38">
            <v>60000000</v>
          </cell>
        </row>
        <row r="40">
          <cell r="E40">
            <v>210000000</v>
          </cell>
        </row>
        <row r="41">
          <cell r="E41">
            <v>1200000000</v>
          </cell>
        </row>
        <row r="42">
          <cell r="E42">
            <v>467173913.04347825</v>
          </cell>
        </row>
        <row r="43">
          <cell r="E43">
            <v>236111480</v>
          </cell>
        </row>
        <row r="44">
          <cell r="E44">
            <v>8704530</v>
          </cell>
        </row>
        <row r="45">
          <cell r="E45">
            <v>108323040</v>
          </cell>
        </row>
        <row r="46">
          <cell r="E46">
            <v>128633610</v>
          </cell>
        </row>
        <row r="47">
          <cell r="E47">
            <v>4000000</v>
          </cell>
        </row>
        <row r="48">
          <cell r="E48">
            <v>14354400</v>
          </cell>
        </row>
        <row r="53">
          <cell r="E53">
            <v>80000000</v>
          </cell>
        </row>
        <row r="68">
          <cell r="E68">
            <v>40000000</v>
          </cell>
        </row>
        <row r="69">
          <cell r="E69">
            <v>4000000</v>
          </cell>
        </row>
      </sheetData>
      <sheetData sheetId="1" refreshError="1"/>
      <sheetData sheetId="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view="pageBreakPreview" zoomScaleNormal="100" zoomScaleSheetLayoutView="100" workbookViewId="0">
      <selection activeCell="J45" sqref="J45"/>
    </sheetView>
  </sheetViews>
  <sheetFormatPr baseColWidth="10" defaultRowHeight="12.75" x14ac:dyDescent="0.2"/>
  <cols>
    <col min="1" max="1" width="14" style="65" customWidth="1"/>
    <col min="2" max="2" width="11.28515625" style="65" customWidth="1"/>
    <col min="3" max="3" width="10.85546875" style="65" customWidth="1"/>
    <col min="4" max="4" width="8.28515625" style="65" customWidth="1"/>
    <col min="5" max="5" width="12.7109375" style="65" customWidth="1"/>
    <col min="6" max="6" width="11.42578125" style="65" hidden="1" customWidth="1"/>
    <col min="7" max="7" width="0.140625" style="65" hidden="1" customWidth="1"/>
    <col min="8" max="8" width="9.5703125" style="65" customWidth="1"/>
    <col min="9" max="9" width="15.140625" style="65" customWidth="1"/>
    <col min="10" max="10" width="15.85546875" customWidth="1"/>
    <col min="11" max="11" width="10.42578125" style="65" customWidth="1"/>
    <col min="12" max="12" width="24.140625" style="65" customWidth="1"/>
    <col min="13" max="13" width="15.140625" customWidth="1"/>
    <col min="14" max="14" width="15.28515625" customWidth="1"/>
  </cols>
  <sheetData>
    <row r="1" spans="1:14" ht="15" x14ac:dyDescent="0.2">
      <c r="A1" s="565" t="s">
        <v>702</v>
      </c>
      <c r="B1" s="565"/>
      <c r="C1" s="565"/>
      <c r="D1" s="565"/>
      <c r="E1" s="565"/>
      <c r="F1" s="565"/>
      <c r="G1" s="565"/>
      <c r="H1" s="565"/>
      <c r="I1" s="565"/>
      <c r="J1" s="565"/>
      <c r="K1" s="565"/>
      <c r="L1" s="565"/>
      <c r="M1" s="565"/>
    </row>
    <row r="2" spans="1:14" ht="15" x14ac:dyDescent="0.2">
      <c r="A2" s="565" t="s">
        <v>5</v>
      </c>
      <c r="B2" s="565"/>
      <c r="C2" s="565"/>
      <c r="D2" s="565"/>
      <c r="E2" s="565"/>
      <c r="F2" s="565"/>
      <c r="G2" s="565"/>
      <c r="H2" s="565"/>
      <c r="I2" s="565"/>
      <c r="J2" s="565"/>
      <c r="K2" s="565"/>
      <c r="L2" s="565"/>
      <c r="M2" s="565"/>
    </row>
    <row r="3" spans="1:14" ht="15.75" thickBot="1" x14ac:dyDescent="0.25">
      <c r="A3" s="566" t="s">
        <v>135</v>
      </c>
      <c r="B3" s="566"/>
      <c r="C3" s="566"/>
      <c r="D3" s="566"/>
      <c r="E3" s="566"/>
      <c r="F3" s="566"/>
      <c r="G3" s="566"/>
      <c r="H3" s="566"/>
      <c r="I3" s="566"/>
      <c r="J3" s="566"/>
      <c r="K3" s="566"/>
      <c r="L3" s="566"/>
      <c r="M3" s="566"/>
    </row>
    <row r="4" spans="1:14" ht="13.5" thickBot="1" x14ac:dyDescent="0.25">
      <c r="A4" s="563" t="s">
        <v>0</v>
      </c>
      <c r="B4" s="567" t="s">
        <v>6</v>
      </c>
      <c r="C4" s="569" t="s">
        <v>1</v>
      </c>
      <c r="D4" s="570"/>
      <c r="E4" s="571"/>
      <c r="F4" s="571"/>
      <c r="G4" s="571"/>
      <c r="H4" s="571"/>
      <c r="I4" s="571"/>
      <c r="J4" s="572"/>
      <c r="K4" s="569" t="s">
        <v>2</v>
      </c>
      <c r="L4" s="571"/>
      <c r="M4" s="572"/>
    </row>
    <row r="5" spans="1:14" ht="69.75" customHeight="1" thickBot="1" x14ac:dyDescent="0.25">
      <c r="A5" s="564"/>
      <c r="B5" s="568"/>
      <c r="C5" s="2" t="s">
        <v>14</v>
      </c>
      <c r="D5" s="3" t="s">
        <v>127</v>
      </c>
      <c r="E5" s="3" t="s">
        <v>16</v>
      </c>
      <c r="F5" s="3" t="s">
        <v>15</v>
      </c>
      <c r="G5" s="3" t="s">
        <v>9</v>
      </c>
      <c r="H5" s="3" t="s">
        <v>12</v>
      </c>
      <c r="I5" s="3" t="s">
        <v>8</v>
      </c>
      <c r="J5" s="4" t="s">
        <v>3</v>
      </c>
      <c r="K5" s="68" t="s">
        <v>4</v>
      </c>
      <c r="L5" s="3" t="s">
        <v>11</v>
      </c>
      <c r="M5" s="4" t="s">
        <v>7</v>
      </c>
    </row>
    <row r="6" spans="1:14" ht="18" customHeight="1" thickBot="1" x14ac:dyDescent="0.25">
      <c r="A6" s="545" t="s">
        <v>101</v>
      </c>
      <c r="B6" s="546"/>
      <c r="C6" s="546"/>
      <c r="D6" s="546"/>
      <c r="E6" s="546"/>
      <c r="F6" s="546"/>
      <c r="G6" s="546"/>
      <c r="H6" s="546"/>
      <c r="I6" s="546"/>
      <c r="J6" s="546"/>
      <c r="K6" s="546"/>
      <c r="L6" s="546"/>
      <c r="M6" s="547"/>
    </row>
    <row r="7" spans="1:14" ht="19.5" customHeight="1" x14ac:dyDescent="0.2">
      <c r="A7" s="82" t="s">
        <v>130</v>
      </c>
      <c r="B7" s="83" t="s">
        <v>105</v>
      </c>
      <c r="C7" s="58" t="s">
        <v>50</v>
      </c>
      <c r="D7" s="75">
        <v>10</v>
      </c>
      <c r="E7" s="76">
        <v>50000</v>
      </c>
      <c r="F7" s="75" t="s">
        <v>81</v>
      </c>
      <c r="G7" s="75" t="s">
        <v>51</v>
      </c>
      <c r="H7" s="75">
        <v>10</v>
      </c>
      <c r="I7" s="75" t="s">
        <v>57</v>
      </c>
      <c r="J7" s="77">
        <v>15000000</v>
      </c>
      <c r="K7" s="36">
        <v>1</v>
      </c>
      <c r="L7" s="37" t="s">
        <v>125</v>
      </c>
      <c r="M7" s="34">
        <f>J7</f>
        <v>15000000</v>
      </c>
    </row>
    <row r="8" spans="1:14" ht="22.5" customHeight="1" x14ac:dyDescent="0.2">
      <c r="A8" s="556" t="s">
        <v>102</v>
      </c>
      <c r="B8" s="553" t="s">
        <v>103</v>
      </c>
      <c r="C8" s="50" t="s">
        <v>104</v>
      </c>
      <c r="D8" s="48">
        <v>30</v>
      </c>
      <c r="E8" s="72">
        <v>1000000</v>
      </c>
      <c r="F8" s="48" t="s">
        <v>81</v>
      </c>
      <c r="G8" s="48" t="s">
        <v>51</v>
      </c>
      <c r="H8" s="48">
        <v>30</v>
      </c>
      <c r="I8" s="48" t="s">
        <v>57</v>
      </c>
      <c r="J8" s="27">
        <v>30000000</v>
      </c>
      <c r="K8" s="47">
        <v>1</v>
      </c>
      <c r="L8" s="48" t="s">
        <v>122</v>
      </c>
      <c r="M8" s="27">
        <f>J8</f>
        <v>30000000</v>
      </c>
    </row>
    <row r="9" spans="1:14" ht="17.25" customHeight="1" thickBot="1" x14ac:dyDescent="0.25">
      <c r="A9" s="562"/>
      <c r="B9" s="554"/>
      <c r="C9" s="39" t="s">
        <v>134</v>
      </c>
      <c r="D9" s="37">
        <v>30</v>
      </c>
      <c r="E9" s="69">
        <v>25000</v>
      </c>
      <c r="F9" s="37" t="s">
        <v>81</v>
      </c>
      <c r="G9" s="37" t="s">
        <v>51</v>
      </c>
      <c r="H9" s="37">
        <v>30</v>
      </c>
      <c r="I9" s="37" t="s">
        <v>57</v>
      </c>
      <c r="J9" s="34">
        <v>15000000</v>
      </c>
      <c r="K9" s="36">
        <v>1</v>
      </c>
      <c r="L9" s="37" t="s">
        <v>125</v>
      </c>
      <c r="M9" s="34">
        <f>J9</f>
        <v>15000000</v>
      </c>
      <c r="N9" s="544">
        <f>SUM(J7:J9)</f>
        <v>60000000</v>
      </c>
    </row>
    <row r="10" spans="1:14" ht="22.5" customHeight="1" thickBot="1" x14ac:dyDescent="0.25">
      <c r="A10" s="545" t="s">
        <v>46</v>
      </c>
      <c r="B10" s="546"/>
      <c r="C10" s="546"/>
      <c r="D10" s="546"/>
      <c r="E10" s="546"/>
      <c r="F10" s="546"/>
      <c r="G10" s="546"/>
      <c r="H10" s="546"/>
      <c r="I10" s="546"/>
      <c r="J10" s="546"/>
      <c r="K10" s="546"/>
      <c r="L10" s="546"/>
      <c r="M10" s="547"/>
    </row>
    <row r="11" spans="1:14" ht="20.25" customHeight="1" x14ac:dyDescent="0.2">
      <c r="A11" s="82" t="s">
        <v>46</v>
      </c>
      <c r="B11" s="60"/>
      <c r="C11" s="58" t="s">
        <v>47</v>
      </c>
      <c r="D11" s="75">
        <v>5</v>
      </c>
      <c r="E11" s="76">
        <v>135000</v>
      </c>
      <c r="F11" s="75" t="s">
        <v>81</v>
      </c>
      <c r="G11" s="75" t="s">
        <v>51</v>
      </c>
      <c r="H11" s="75">
        <v>90</v>
      </c>
      <c r="I11" s="75" t="s">
        <v>48</v>
      </c>
      <c r="J11" s="77">
        <v>15000000</v>
      </c>
      <c r="K11" s="36">
        <v>1</v>
      </c>
      <c r="L11" s="37" t="s">
        <v>121</v>
      </c>
      <c r="M11" s="34">
        <f>J11</f>
        <v>15000000</v>
      </c>
    </row>
    <row r="12" spans="1:14" ht="17.25" customHeight="1" x14ac:dyDescent="0.2">
      <c r="A12" s="35" t="s">
        <v>46</v>
      </c>
      <c r="B12" s="60"/>
      <c r="C12" s="39" t="s">
        <v>49</v>
      </c>
      <c r="D12" s="37">
        <v>15</v>
      </c>
      <c r="E12" s="69">
        <v>200000</v>
      </c>
      <c r="F12" s="37" t="s">
        <v>81</v>
      </c>
      <c r="G12" s="37" t="s">
        <v>51</v>
      </c>
      <c r="H12" s="37">
        <v>40</v>
      </c>
      <c r="I12" s="37" t="s">
        <v>48</v>
      </c>
      <c r="J12" s="34">
        <v>60000000</v>
      </c>
      <c r="K12" s="36">
        <v>1</v>
      </c>
      <c r="L12" s="37" t="s">
        <v>121</v>
      </c>
      <c r="M12" s="34">
        <f>J12</f>
        <v>60000000</v>
      </c>
    </row>
    <row r="13" spans="1:14" ht="22.5" customHeight="1" x14ac:dyDescent="0.2">
      <c r="A13" s="35" t="s">
        <v>46</v>
      </c>
      <c r="B13" s="60"/>
      <c r="C13" s="39" t="s">
        <v>50</v>
      </c>
      <c r="D13" s="37">
        <v>1</v>
      </c>
      <c r="E13" s="69">
        <v>50000</v>
      </c>
      <c r="F13" s="37" t="s">
        <v>81</v>
      </c>
      <c r="G13" s="37" t="s">
        <v>51</v>
      </c>
      <c r="H13" s="37">
        <v>20</v>
      </c>
      <c r="I13" s="37" t="s">
        <v>48</v>
      </c>
      <c r="J13" s="34">
        <v>20000000</v>
      </c>
      <c r="K13" s="36">
        <v>1</v>
      </c>
      <c r="L13" s="37" t="s">
        <v>125</v>
      </c>
      <c r="M13" s="34">
        <f>J13</f>
        <v>20000000</v>
      </c>
    </row>
    <row r="14" spans="1:14" ht="16.5" customHeight="1" x14ac:dyDescent="0.2">
      <c r="A14" s="35" t="s">
        <v>46</v>
      </c>
      <c r="B14" s="60"/>
      <c r="C14" s="39" t="s">
        <v>52</v>
      </c>
      <c r="D14" s="37">
        <v>8</v>
      </c>
      <c r="E14" s="69">
        <v>850000</v>
      </c>
      <c r="F14" s="37" t="s">
        <v>81</v>
      </c>
      <c r="G14" s="37" t="s">
        <v>51</v>
      </c>
      <c r="H14" s="37">
        <v>85</v>
      </c>
      <c r="I14" s="37" t="s">
        <v>48</v>
      </c>
      <c r="J14" s="34">
        <v>100000000</v>
      </c>
      <c r="K14" s="36">
        <v>1</v>
      </c>
      <c r="L14" s="37" t="s">
        <v>126</v>
      </c>
      <c r="M14" s="34">
        <f>J14</f>
        <v>100000000</v>
      </c>
    </row>
    <row r="15" spans="1:14" ht="22.5" customHeight="1" thickBot="1" x14ac:dyDescent="0.25">
      <c r="A15" s="51" t="s">
        <v>46</v>
      </c>
      <c r="B15" s="64"/>
      <c r="C15" s="44" t="s">
        <v>53</v>
      </c>
      <c r="D15" s="41">
        <v>30</v>
      </c>
      <c r="E15" s="70">
        <v>540000</v>
      </c>
      <c r="F15" s="41" t="s">
        <v>81</v>
      </c>
      <c r="G15" s="41" t="s">
        <v>51</v>
      </c>
      <c r="H15" s="41">
        <v>60</v>
      </c>
      <c r="I15" s="41" t="s">
        <v>48</v>
      </c>
      <c r="J15" s="45">
        <v>90000000</v>
      </c>
      <c r="K15" s="40">
        <v>1</v>
      </c>
      <c r="L15" s="41" t="s">
        <v>121</v>
      </c>
      <c r="M15" s="45">
        <f>J15</f>
        <v>90000000</v>
      </c>
    </row>
    <row r="16" spans="1:14" ht="22.5" customHeight="1" thickBot="1" x14ac:dyDescent="0.25">
      <c r="A16" s="545" t="s">
        <v>17</v>
      </c>
      <c r="B16" s="546"/>
      <c r="C16" s="546"/>
      <c r="D16" s="546"/>
      <c r="E16" s="546"/>
      <c r="F16" s="546"/>
      <c r="G16" s="546"/>
      <c r="H16" s="546"/>
      <c r="I16" s="546"/>
      <c r="J16" s="546"/>
      <c r="K16" s="546"/>
      <c r="L16" s="546"/>
      <c r="M16" s="547"/>
      <c r="N16" s="544">
        <f>SUM(J11:J15)</f>
        <v>285000000</v>
      </c>
    </row>
    <row r="17" spans="1:14" ht="28.5" customHeight="1" x14ac:dyDescent="0.2">
      <c r="A17" s="82" t="s">
        <v>18</v>
      </c>
      <c r="B17" s="60" t="s">
        <v>19</v>
      </c>
      <c r="C17" s="39" t="s">
        <v>20</v>
      </c>
      <c r="D17" s="37">
        <v>10</v>
      </c>
      <c r="E17" s="69">
        <v>512000</v>
      </c>
      <c r="F17" s="37" t="s">
        <v>81</v>
      </c>
      <c r="G17" s="37" t="s">
        <v>51</v>
      </c>
      <c r="H17" s="37">
        <v>128</v>
      </c>
      <c r="I17" s="37" t="s">
        <v>21</v>
      </c>
      <c r="J17" s="34">
        <v>34875000</v>
      </c>
      <c r="K17" s="36">
        <v>1</v>
      </c>
      <c r="L17" s="37" t="s">
        <v>22</v>
      </c>
      <c r="M17" s="34">
        <f t="shared" ref="M17:M24" si="0">J17</f>
        <v>34875000</v>
      </c>
    </row>
    <row r="18" spans="1:14" ht="28.5" customHeight="1" x14ac:dyDescent="0.2">
      <c r="A18" s="555" t="s">
        <v>78</v>
      </c>
      <c r="B18" s="548" t="s">
        <v>78</v>
      </c>
      <c r="C18" s="39" t="s">
        <v>80</v>
      </c>
      <c r="D18" s="37">
        <v>5</v>
      </c>
      <c r="E18" s="69">
        <v>5000</v>
      </c>
      <c r="F18" s="37" t="s">
        <v>81</v>
      </c>
      <c r="G18" s="37" t="s">
        <v>82</v>
      </c>
      <c r="H18" s="37">
        <v>5</v>
      </c>
      <c r="I18" s="37" t="s">
        <v>57</v>
      </c>
      <c r="J18" s="34">
        <v>11500000</v>
      </c>
      <c r="K18" s="36">
        <v>2</v>
      </c>
      <c r="L18" s="37" t="s">
        <v>123</v>
      </c>
      <c r="M18" s="34">
        <f t="shared" si="0"/>
        <v>11500000</v>
      </c>
    </row>
    <row r="19" spans="1:14" ht="28.5" customHeight="1" x14ac:dyDescent="0.2">
      <c r="A19" s="556"/>
      <c r="B19" s="553"/>
      <c r="C19" s="39" t="s">
        <v>84</v>
      </c>
      <c r="D19" s="37">
        <v>5</v>
      </c>
      <c r="E19" s="69">
        <v>2400</v>
      </c>
      <c r="F19" s="37" t="s">
        <v>81</v>
      </c>
      <c r="G19" s="37" t="s">
        <v>82</v>
      </c>
      <c r="H19" s="37">
        <v>4</v>
      </c>
      <c r="I19" s="37" t="s">
        <v>57</v>
      </c>
      <c r="J19" s="34">
        <v>500000</v>
      </c>
      <c r="K19" s="36">
        <v>2</v>
      </c>
      <c r="L19" s="37" t="s">
        <v>83</v>
      </c>
      <c r="M19" s="34">
        <f t="shared" si="0"/>
        <v>500000</v>
      </c>
    </row>
    <row r="20" spans="1:14" ht="28.5" customHeight="1" x14ac:dyDescent="0.2">
      <c r="A20" s="556"/>
      <c r="B20" s="554"/>
      <c r="C20" s="39" t="s">
        <v>20</v>
      </c>
      <c r="D20" s="37">
        <v>2</v>
      </c>
      <c r="E20" s="69">
        <v>4500</v>
      </c>
      <c r="F20" s="37" t="s">
        <v>81</v>
      </c>
      <c r="G20" s="37" t="s">
        <v>82</v>
      </c>
      <c r="H20" s="37">
        <v>1.5</v>
      </c>
      <c r="I20" s="37" t="s">
        <v>57</v>
      </c>
      <c r="J20" s="34">
        <v>1200000</v>
      </c>
      <c r="K20" s="36">
        <v>2</v>
      </c>
      <c r="L20" s="37" t="s">
        <v>123</v>
      </c>
      <c r="M20" s="34">
        <f>J20</f>
        <v>1200000</v>
      </c>
    </row>
    <row r="21" spans="1:14" ht="28.5" customHeight="1" x14ac:dyDescent="0.2">
      <c r="A21" s="556"/>
      <c r="B21" s="60" t="s">
        <v>79</v>
      </c>
      <c r="C21" s="39" t="s">
        <v>80</v>
      </c>
      <c r="D21" s="37">
        <v>49</v>
      </c>
      <c r="E21" s="69">
        <v>735000</v>
      </c>
      <c r="F21" s="37" t="s">
        <v>81</v>
      </c>
      <c r="G21" s="37" t="s">
        <v>82</v>
      </c>
      <c r="H21" s="37">
        <v>49</v>
      </c>
      <c r="I21" s="37" t="s">
        <v>57</v>
      </c>
      <c r="J21" s="34">
        <v>110000000</v>
      </c>
      <c r="K21" s="36">
        <v>2</v>
      </c>
      <c r="L21" s="37" t="s">
        <v>83</v>
      </c>
      <c r="M21" s="34">
        <f t="shared" si="0"/>
        <v>110000000</v>
      </c>
    </row>
    <row r="22" spans="1:14" ht="28.5" customHeight="1" x14ac:dyDescent="0.2">
      <c r="A22" s="556"/>
      <c r="B22" s="548" t="s">
        <v>79</v>
      </c>
      <c r="C22" s="39" t="s">
        <v>84</v>
      </c>
      <c r="D22" s="37">
        <v>12</v>
      </c>
      <c r="E22" s="69">
        <v>6000</v>
      </c>
      <c r="F22" s="37" t="s">
        <v>81</v>
      </c>
      <c r="G22" s="37" t="s">
        <v>82</v>
      </c>
      <c r="H22" s="37">
        <v>10</v>
      </c>
      <c r="I22" s="37" t="s">
        <v>57</v>
      </c>
      <c r="J22" s="34">
        <v>4800000</v>
      </c>
      <c r="K22" s="36">
        <v>2</v>
      </c>
      <c r="L22" s="37" t="s">
        <v>122</v>
      </c>
      <c r="M22" s="34">
        <f t="shared" si="0"/>
        <v>4800000</v>
      </c>
    </row>
    <row r="23" spans="1:14" ht="28.5" customHeight="1" thickBot="1" x14ac:dyDescent="0.25">
      <c r="A23" s="557"/>
      <c r="B23" s="549"/>
      <c r="C23" s="44" t="s">
        <v>20</v>
      </c>
      <c r="D23" s="41">
        <v>6</v>
      </c>
      <c r="E23" s="70">
        <v>18000</v>
      </c>
      <c r="F23" s="41" t="s">
        <v>81</v>
      </c>
      <c r="G23" s="41" t="s">
        <v>82</v>
      </c>
      <c r="H23" s="41">
        <v>4</v>
      </c>
      <c r="I23" s="41" t="s">
        <v>57</v>
      </c>
      <c r="J23" s="45">
        <v>3600000</v>
      </c>
      <c r="K23" s="40">
        <v>2</v>
      </c>
      <c r="L23" s="41" t="s">
        <v>83</v>
      </c>
      <c r="M23" s="45">
        <f t="shared" si="0"/>
        <v>3600000</v>
      </c>
    </row>
    <row r="24" spans="1:14" ht="33" customHeight="1" x14ac:dyDescent="0.2">
      <c r="A24" s="46" t="s">
        <v>95</v>
      </c>
      <c r="B24" s="59"/>
      <c r="C24" s="50" t="s">
        <v>98</v>
      </c>
      <c r="D24" s="48">
        <v>26</v>
      </c>
      <c r="E24" s="72">
        <v>1345</v>
      </c>
      <c r="F24" s="48" t="s">
        <v>81</v>
      </c>
      <c r="G24" s="48" t="s">
        <v>99</v>
      </c>
      <c r="H24" s="48">
        <v>47</v>
      </c>
      <c r="I24" s="48" t="s">
        <v>100</v>
      </c>
      <c r="J24" s="27">
        <v>33625000</v>
      </c>
      <c r="K24" s="47">
        <v>1</v>
      </c>
      <c r="L24" s="48" t="s">
        <v>106</v>
      </c>
      <c r="M24" s="27">
        <f t="shared" si="0"/>
        <v>33625000</v>
      </c>
    </row>
    <row r="25" spans="1:14" ht="33" customHeight="1" x14ac:dyDescent="0.2">
      <c r="A25" s="556" t="s">
        <v>40</v>
      </c>
      <c r="B25" s="553" t="s">
        <v>136</v>
      </c>
      <c r="C25" s="50" t="s">
        <v>117</v>
      </c>
      <c r="D25" s="48">
        <v>77</v>
      </c>
      <c r="E25" s="72">
        <v>30</v>
      </c>
      <c r="F25" s="48" t="s">
        <v>81</v>
      </c>
      <c r="G25" s="48" t="s">
        <v>51</v>
      </c>
      <c r="H25" s="48">
        <v>74</v>
      </c>
      <c r="I25" s="48" t="s">
        <v>133</v>
      </c>
      <c r="J25" s="27">
        <v>222000000</v>
      </c>
      <c r="K25" s="47">
        <v>1</v>
      </c>
      <c r="L25" s="48" t="s">
        <v>124</v>
      </c>
      <c r="M25" s="558">
        <v>200000000</v>
      </c>
    </row>
    <row r="26" spans="1:14" ht="33" customHeight="1" x14ac:dyDescent="0.2">
      <c r="A26" s="556"/>
      <c r="B26" s="553"/>
      <c r="C26" s="50" t="s">
        <v>119</v>
      </c>
      <c r="D26" s="48"/>
      <c r="E26" s="69">
        <v>1500</v>
      </c>
      <c r="F26" s="37" t="s">
        <v>81</v>
      </c>
      <c r="G26" s="37" t="s">
        <v>51</v>
      </c>
      <c r="H26" s="48">
        <v>3</v>
      </c>
      <c r="I26" s="48" t="s">
        <v>133</v>
      </c>
      <c r="J26" s="34">
        <v>9000000</v>
      </c>
      <c r="K26" s="47">
        <v>2</v>
      </c>
      <c r="L26" s="15" t="s">
        <v>31</v>
      </c>
      <c r="M26" s="558"/>
    </row>
    <row r="27" spans="1:14" ht="33" customHeight="1" thickBot="1" x14ac:dyDescent="0.25">
      <c r="A27" s="557"/>
      <c r="B27" s="554"/>
      <c r="C27" s="50" t="s">
        <v>118</v>
      </c>
      <c r="D27" s="48"/>
      <c r="E27" s="69">
        <v>9000</v>
      </c>
      <c r="F27" s="37" t="s">
        <v>81</v>
      </c>
      <c r="G27" s="37" t="s">
        <v>51</v>
      </c>
      <c r="H27" s="48">
        <v>3</v>
      </c>
      <c r="I27" s="48" t="s">
        <v>133</v>
      </c>
      <c r="J27" s="34">
        <v>9000000</v>
      </c>
      <c r="K27" s="47">
        <v>2</v>
      </c>
      <c r="L27" s="71" t="s">
        <v>124</v>
      </c>
      <c r="M27" s="559"/>
      <c r="N27" s="544">
        <f>SUM(J17:J27)</f>
        <v>440100000</v>
      </c>
    </row>
    <row r="28" spans="1:14" ht="21.75" customHeight="1" thickBot="1" x14ac:dyDescent="0.25">
      <c r="A28" s="545" t="s">
        <v>58</v>
      </c>
      <c r="B28" s="546"/>
      <c r="C28" s="546"/>
      <c r="D28" s="546"/>
      <c r="E28" s="546"/>
      <c r="F28" s="546"/>
      <c r="G28" s="546"/>
      <c r="H28" s="546"/>
      <c r="I28" s="546"/>
      <c r="J28" s="546"/>
      <c r="K28" s="546"/>
      <c r="L28" s="546"/>
      <c r="M28" s="547"/>
    </row>
    <row r="29" spans="1:14" ht="21.75" customHeight="1" x14ac:dyDescent="0.2">
      <c r="A29" s="35" t="s">
        <v>61</v>
      </c>
      <c r="B29" s="60" t="s">
        <v>62</v>
      </c>
      <c r="C29" s="39" t="s">
        <v>47</v>
      </c>
      <c r="D29" s="37">
        <v>2</v>
      </c>
      <c r="E29" s="69">
        <v>54000</v>
      </c>
      <c r="F29" s="37" t="s">
        <v>81</v>
      </c>
      <c r="G29" s="37" t="s">
        <v>51</v>
      </c>
      <c r="H29" s="37">
        <v>6</v>
      </c>
      <c r="I29" s="37" t="s">
        <v>60</v>
      </c>
      <c r="J29" s="34">
        <v>8100000</v>
      </c>
      <c r="K29" s="36">
        <v>1</v>
      </c>
      <c r="L29" s="37" t="s">
        <v>121</v>
      </c>
      <c r="M29" s="34">
        <v>8100000</v>
      </c>
    </row>
    <row r="30" spans="1:14" ht="21.75" customHeight="1" x14ac:dyDescent="0.2">
      <c r="A30" s="35" t="s">
        <v>61</v>
      </c>
      <c r="B30" s="60" t="s">
        <v>62</v>
      </c>
      <c r="C30" s="39" t="s">
        <v>65</v>
      </c>
      <c r="D30" s="37">
        <v>12</v>
      </c>
      <c r="E30" s="69">
        <v>589500</v>
      </c>
      <c r="F30" s="37" t="s">
        <v>81</v>
      </c>
      <c r="G30" s="37" t="s">
        <v>51</v>
      </c>
      <c r="H30" s="37">
        <v>66.5</v>
      </c>
      <c r="I30" s="37" t="s">
        <v>66</v>
      </c>
      <c r="J30" s="34">
        <v>7462545.9000000004</v>
      </c>
      <c r="K30" s="36">
        <v>1</v>
      </c>
      <c r="L30" s="37" t="s">
        <v>122</v>
      </c>
      <c r="M30" s="34">
        <f>J30</f>
        <v>7462545.9000000004</v>
      </c>
    </row>
    <row r="31" spans="1:14" ht="21.75" customHeight="1" x14ac:dyDescent="0.2">
      <c r="A31" s="35" t="s">
        <v>32</v>
      </c>
      <c r="B31" s="60" t="s">
        <v>63</v>
      </c>
      <c r="C31" s="39" t="s">
        <v>53</v>
      </c>
      <c r="D31" s="37">
        <v>10</v>
      </c>
      <c r="E31" s="69">
        <v>510000</v>
      </c>
      <c r="F31" s="37" t="s">
        <v>81</v>
      </c>
      <c r="G31" s="37" t="s">
        <v>51</v>
      </c>
      <c r="H31" s="37">
        <v>170</v>
      </c>
      <c r="I31" s="37" t="s">
        <v>64</v>
      </c>
      <c r="J31" s="34">
        <v>15000000</v>
      </c>
      <c r="K31" s="36">
        <v>1</v>
      </c>
      <c r="L31" s="37" t="s">
        <v>121</v>
      </c>
      <c r="M31" s="34">
        <v>15000000</v>
      </c>
    </row>
    <row r="32" spans="1:14" ht="31.5" customHeight="1" thickBot="1" x14ac:dyDescent="0.25">
      <c r="A32" s="46" t="s">
        <v>59</v>
      </c>
      <c r="B32" s="59" t="s">
        <v>59</v>
      </c>
      <c r="C32" s="50" t="s">
        <v>49</v>
      </c>
      <c r="D32" s="48">
        <v>15</v>
      </c>
      <c r="E32" s="72">
        <v>200000</v>
      </c>
      <c r="F32" s="48" t="s">
        <v>81</v>
      </c>
      <c r="G32" s="48" t="s">
        <v>51</v>
      </c>
      <c r="H32" s="48">
        <v>40</v>
      </c>
      <c r="I32" s="48" t="s">
        <v>60</v>
      </c>
      <c r="J32" s="27">
        <v>200000</v>
      </c>
      <c r="K32" s="47">
        <v>1</v>
      </c>
      <c r="L32" s="48" t="s">
        <v>121</v>
      </c>
      <c r="M32" s="27">
        <v>200000</v>
      </c>
      <c r="N32" s="544">
        <f>SUM(J29:J32)</f>
        <v>30762545.899999999</v>
      </c>
    </row>
    <row r="33" spans="1:14" ht="23.25" customHeight="1" thickBot="1" x14ac:dyDescent="0.25">
      <c r="A33" s="545" t="s">
        <v>33</v>
      </c>
      <c r="B33" s="546"/>
      <c r="C33" s="546"/>
      <c r="D33" s="546"/>
      <c r="E33" s="546"/>
      <c r="F33" s="546"/>
      <c r="G33" s="546"/>
      <c r="H33" s="546"/>
      <c r="I33" s="546"/>
      <c r="J33" s="546"/>
      <c r="K33" s="546"/>
      <c r="L33" s="546"/>
      <c r="M33" s="547"/>
    </row>
    <row r="34" spans="1:14" ht="39" customHeight="1" x14ac:dyDescent="0.2">
      <c r="A34" s="82" t="s">
        <v>37</v>
      </c>
      <c r="B34" s="83" t="s">
        <v>38</v>
      </c>
      <c r="C34" s="58" t="s">
        <v>39</v>
      </c>
      <c r="D34" s="75">
        <v>8</v>
      </c>
      <c r="E34" s="76">
        <v>2000</v>
      </c>
      <c r="F34" s="75" t="s">
        <v>81</v>
      </c>
      <c r="G34" s="75" t="s">
        <v>51</v>
      </c>
      <c r="H34" s="75">
        <v>3</v>
      </c>
      <c r="I34" s="75" t="s">
        <v>133</v>
      </c>
      <c r="J34" s="77">
        <v>3000000</v>
      </c>
      <c r="K34" s="84">
        <v>1</v>
      </c>
      <c r="L34" s="75" t="s">
        <v>36</v>
      </c>
      <c r="M34" s="560">
        <v>110000000</v>
      </c>
    </row>
    <row r="35" spans="1:14" ht="40.5" customHeight="1" x14ac:dyDescent="0.2">
      <c r="A35" s="555" t="s">
        <v>34</v>
      </c>
      <c r="B35" s="548" t="s">
        <v>120</v>
      </c>
      <c r="C35" s="39" t="s">
        <v>98</v>
      </c>
      <c r="D35" s="37">
        <v>59</v>
      </c>
      <c r="E35" s="69">
        <v>90</v>
      </c>
      <c r="F35" s="37" t="s">
        <v>81</v>
      </c>
      <c r="G35" s="37" t="s">
        <v>51</v>
      </c>
      <c r="H35" s="37">
        <v>9</v>
      </c>
      <c r="I35" s="37" t="s">
        <v>133</v>
      </c>
      <c r="J35" s="34">
        <v>27000000</v>
      </c>
      <c r="K35" s="36">
        <v>2</v>
      </c>
      <c r="L35" s="37" t="s">
        <v>124</v>
      </c>
      <c r="M35" s="558"/>
    </row>
    <row r="36" spans="1:14" ht="42" customHeight="1" x14ac:dyDescent="0.2">
      <c r="A36" s="556"/>
      <c r="B36" s="553"/>
      <c r="C36" s="39" t="s">
        <v>118</v>
      </c>
      <c r="D36" s="37"/>
      <c r="E36" s="69">
        <v>18000</v>
      </c>
      <c r="F36" s="37" t="s">
        <v>81</v>
      </c>
      <c r="G36" s="37" t="s">
        <v>51</v>
      </c>
      <c r="H36" s="37">
        <v>6</v>
      </c>
      <c r="I36" s="37" t="s">
        <v>133</v>
      </c>
      <c r="J36" s="34">
        <v>18000000</v>
      </c>
      <c r="K36" s="36">
        <v>2</v>
      </c>
      <c r="L36" s="71" t="s">
        <v>124</v>
      </c>
      <c r="M36" s="558"/>
    </row>
    <row r="37" spans="1:14" ht="45.75" customHeight="1" thickBot="1" x14ac:dyDescent="0.25">
      <c r="A37" s="557"/>
      <c r="B37" s="549"/>
      <c r="C37" s="44" t="s">
        <v>119</v>
      </c>
      <c r="D37" s="41"/>
      <c r="E37" s="70">
        <v>2000</v>
      </c>
      <c r="F37" s="41" t="s">
        <v>81</v>
      </c>
      <c r="G37" s="41" t="s">
        <v>51</v>
      </c>
      <c r="H37" s="41">
        <v>4</v>
      </c>
      <c r="I37" s="41" t="s">
        <v>133</v>
      </c>
      <c r="J37" s="45">
        <v>12000000</v>
      </c>
      <c r="K37" s="40">
        <v>2</v>
      </c>
      <c r="L37" s="41" t="s">
        <v>36</v>
      </c>
      <c r="M37" s="561"/>
      <c r="N37" s="544">
        <f>SUM(J34:J37)</f>
        <v>60000000</v>
      </c>
    </row>
    <row r="38" spans="1:14" ht="21" customHeight="1" thickBot="1" x14ac:dyDescent="0.25">
      <c r="A38" s="545" t="s">
        <v>88</v>
      </c>
      <c r="B38" s="546"/>
      <c r="C38" s="546"/>
      <c r="D38" s="546"/>
      <c r="E38" s="546"/>
      <c r="F38" s="546"/>
      <c r="G38" s="546"/>
      <c r="H38" s="546"/>
      <c r="I38" s="546"/>
      <c r="J38" s="546"/>
      <c r="K38" s="546"/>
      <c r="L38" s="546"/>
      <c r="M38" s="547"/>
    </row>
    <row r="39" spans="1:14" ht="25.5" customHeight="1" x14ac:dyDescent="0.2">
      <c r="A39" s="82" t="s">
        <v>131</v>
      </c>
      <c r="B39" s="60"/>
      <c r="C39" s="58" t="s">
        <v>50</v>
      </c>
      <c r="D39" s="75">
        <v>5</v>
      </c>
      <c r="E39" s="76">
        <v>65000</v>
      </c>
      <c r="F39" s="75" t="s">
        <v>81</v>
      </c>
      <c r="G39" s="75" t="s">
        <v>91</v>
      </c>
      <c r="H39" s="75">
        <v>23</v>
      </c>
      <c r="I39" s="75" t="s">
        <v>90</v>
      </c>
      <c r="J39" s="77">
        <v>23000000</v>
      </c>
      <c r="K39" s="36">
        <v>1</v>
      </c>
      <c r="L39" s="37" t="s">
        <v>125</v>
      </c>
      <c r="M39" s="34">
        <f>J39</f>
        <v>23000000</v>
      </c>
    </row>
    <row r="40" spans="1:14" ht="25.5" customHeight="1" x14ac:dyDescent="0.2">
      <c r="A40" s="46" t="s">
        <v>131</v>
      </c>
      <c r="B40" s="60"/>
      <c r="C40" s="39" t="s">
        <v>52</v>
      </c>
      <c r="D40" s="37">
        <v>5</v>
      </c>
      <c r="E40" s="69">
        <v>825000</v>
      </c>
      <c r="F40" s="37" t="s">
        <v>81</v>
      </c>
      <c r="G40" s="37" t="s">
        <v>91</v>
      </c>
      <c r="H40" s="37">
        <v>33</v>
      </c>
      <c r="I40" s="37" t="s">
        <v>90</v>
      </c>
      <c r="J40" s="34">
        <v>39600000</v>
      </c>
      <c r="K40" s="36">
        <v>1</v>
      </c>
      <c r="L40" s="37" t="s">
        <v>121</v>
      </c>
      <c r="M40" s="34">
        <f>J40</f>
        <v>39600000</v>
      </c>
    </row>
    <row r="41" spans="1:14" ht="26.25" customHeight="1" x14ac:dyDescent="0.2">
      <c r="A41" s="35" t="s">
        <v>132</v>
      </c>
      <c r="B41" s="60"/>
      <c r="C41" s="39" t="s">
        <v>50</v>
      </c>
      <c r="D41" s="37">
        <v>8</v>
      </c>
      <c r="E41" s="69">
        <v>65000</v>
      </c>
      <c r="F41" s="37" t="s">
        <v>81</v>
      </c>
      <c r="G41" s="37" t="s">
        <v>89</v>
      </c>
      <c r="H41" s="37">
        <v>23</v>
      </c>
      <c r="I41" s="37" t="s">
        <v>90</v>
      </c>
      <c r="J41" s="34">
        <v>23000000</v>
      </c>
      <c r="K41" s="36">
        <v>1</v>
      </c>
      <c r="L41" s="37" t="s">
        <v>125</v>
      </c>
      <c r="M41" s="34">
        <f>J41</f>
        <v>23000000</v>
      </c>
    </row>
    <row r="42" spans="1:14" ht="15" customHeight="1" x14ac:dyDescent="0.2">
      <c r="A42" s="35" t="s">
        <v>132</v>
      </c>
      <c r="B42" s="60"/>
      <c r="C42" s="39" t="s">
        <v>52</v>
      </c>
      <c r="D42" s="37">
        <v>5</v>
      </c>
      <c r="E42" s="69">
        <v>500000</v>
      </c>
      <c r="F42" s="37" t="s">
        <v>81</v>
      </c>
      <c r="G42" s="37" t="s">
        <v>91</v>
      </c>
      <c r="H42" s="37">
        <v>20</v>
      </c>
      <c r="I42" s="37" t="s">
        <v>90</v>
      </c>
      <c r="J42" s="34">
        <v>24000000</v>
      </c>
      <c r="K42" s="36">
        <v>1</v>
      </c>
      <c r="L42" s="37" t="s">
        <v>121</v>
      </c>
      <c r="M42" s="34">
        <f>J42</f>
        <v>24000000</v>
      </c>
    </row>
    <row r="43" spans="1:14" ht="22.5" customHeight="1" thickBot="1" x14ac:dyDescent="0.25">
      <c r="A43" s="51" t="s">
        <v>132</v>
      </c>
      <c r="B43" s="60"/>
      <c r="C43" s="44" t="s">
        <v>53</v>
      </c>
      <c r="D43" s="41">
        <v>20</v>
      </c>
      <c r="E43" s="70">
        <v>360000</v>
      </c>
      <c r="F43" s="41" t="s">
        <v>81</v>
      </c>
      <c r="G43" s="41" t="s">
        <v>91</v>
      </c>
      <c r="H43" s="41">
        <v>30</v>
      </c>
      <c r="I43" s="41" t="s">
        <v>90</v>
      </c>
      <c r="J43" s="45">
        <v>45000000</v>
      </c>
      <c r="K43" s="36">
        <v>1</v>
      </c>
      <c r="L43" s="37" t="s">
        <v>121</v>
      </c>
      <c r="M43" s="34">
        <f>J43</f>
        <v>45000000</v>
      </c>
      <c r="N43" s="544">
        <f>SUM(J39:J43)</f>
        <v>154600000</v>
      </c>
    </row>
    <row r="44" spans="1:14" ht="23.25" customHeight="1" thickBot="1" x14ac:dyDescent="0.25">
      <c r="A44" s="550" t="s">
        <v>13</v>
      </c>
      <c r="B44" s="551"/>
      <c r="C44" s="552"/>
      <c r="D44" s="78">
        <f>SUM(D8:D43)</f>
        <v>460</v>
      </c>
      <c r="E44" s="79">
        <f>SUM(E8:E43)</f>
        <v>7285365</v>
      </c>
      <c r="F44" s="80"/>
      <c r="G44" s="78" t="s">
        <v>13</v>
      </c>
      <c r="H44" s="78">
        <f>SUM(H8:H43)</f>
        <v>1117</v>
      </c>
      <c r="I44" s="78" t="s">
        <v>13</v>
      </c>
      <c r="J44" s="81">
        <f>SUM(J7:J43)</f>
        <v>1030462545.9</v>
      </c>
      <c r="K44" s="74"/>
      <c r="L44" s="66" t="s">
        <v>13</v>
      </c>
      <c r="M44" s="73">
        <f>SUM(M8:M43)</f>
        <v>1025462545.9</v>
      </c>
      <c r="N44" s="544">
        <f>N43+N37+N32+N27+N16+N9</f>
        <v>1030462545.9</v>
      </c>
    </row>
  </sheetData>
  <mergeCells count="25">
    <mergeCell ref="A4:A5"/>
    <mergeCell ref="A6:M6"/>
    <mergeCell ref="A10:M10"/>
    <mergeCell ref="A16:M16"/>
    <mergeCell ref="A1:M1"/>
    <mergeCell ref="A2:M2"/>
    <mergeCell ref="A3:M3"/>
    <mergeCell ref="B4:B5"/>
    <mergeCell ref="C4:J4"/>
    <mergeCell ref="K4:M4"/>
    <mergeCell ref="A38:M38"/>
    <mergeCell ref="A33:M33"/>
    <mergeCell ref="B22:B23"/>
    <mergeCell ref="A44:C44"/>
    <mergeCell ref="B8:B9"/>
    <mergeCell ref="A35:A37"/>
    <mergeCell ref="B35:B37"/>
    <mergeCell ref="A25:A27"/>
    <mergeCell ref="B25:B27"/>
    <mergeCell ref="A28:M28"/>
    <mergeCell ref="M25:M27"/>
    <mergeCell ref="M34:M37"/>
    <mergeCell ref="A8:A9"/>
    <mergeCell ref="A18:A23"/>
    <mergeCell ref="B18:B20"/>
  </mergeCells>
  <printOptions horizontalCentered="1" verticalCentered="1"/>
  <pageMargins left="0.70866141732283472" right="0.70866141732283472" top="0.74803149606299213" bottom="0.74803149606299213" header="0.31496062992125984" footer="0.31496062992125984"/>
  <pageSetup paperSize="9" scale="85" orientation="landscape" verticalDpi="597" r:id="rId1"/>
  <headerFooter>
    <oddHeader>&amp;LComisión Nacional de Prevención de Riesgos y Atención de Emergencias
Unidad de Desarrollo Estratégico&amp;R&amp;D
&amp;T</oddHeader>
    <oddFooter>&amp;C&amp;P/&amp;N</oddFooter>
  </headerFooter>
  <rowBreaks count="1" manualBreakCount="1">
    <brk id="37"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84"/>
  <sheetViews>
    <sheetView topLeftCell="A25" zoomScale="106" zoomScaleNormal="106" workbookViewId="0">
      <selection activeCell="A34" sqref="A34:O34"/>
    </sheetView>
  </sheetViews>
  <sheetFormatPr baseColWidth="10" defaultRowHeight="12.75" x14ac:dyDescent="0.2"/>
  <cols>
    <col min="1" max="1" width="19" style="85" customWidth="1"/>
    <col min="2" max="2" width="42" style="85" customWidth="1"/>
    <col min="3" max="3" width="10.5703125" style="85" customWidth="1"/>
    <col min="4" max="4" width="13.5703125" style="85" customWidth="1"/>
    <col min="5" max="5" width="10.5703125" style="85" customWidth="1"/>
    <col min="6" max="6" width="3.85546875" style="85" hidden="1" customWidth="1"/>
    <col min="7" max="7" width="5.85546875" style="85" hidden="1" customWidth="1"/>
    <col min="8" max="8" width="9.28515625" style="85" hidden="1" customWidth="1"/>
    <col min="9" max="9" width="14" style="85" customWidth="1"/>
    <col min="10" max="10" width="13.85546875" style="85" customWidth="1"/>
    <col min="11" max="11" width="17" style="161" customWidth="1"/>
    <col min="12" max="12" width="8.28515625" style="162" customWidth="1"/>
    <col min="13" max="13" width="0.28515625" style="85" hidden="1" customWidth="1"/>
    <col min="14" max="14" width="23.7109375" style="162" customWidth="1"/>
    <col min="15" max="15" width="13.42578125" style="85" customWidth="1"/>
    <col min="16" max="16384" width="11.42578125" style="85"/>
  </cols>
  <sheetData>
    <row r="1" spans="1:15" ht="18.75" customHeight="1" x14ac:dyDescent="0.2">
      <c r="A1" s="600" t="s">
        <v>704</v>
      </c>
      <c r="B1" s="600"/>
      <c r="C1" s="600"/>
      <c r="D1" s="600"/>
      <c r="E1" s="600"/>
      <c r="F1" s="600"/>
      <c r="G1" s="600"/>
      <c r="H1" s="600"/>
      <c r="I1" s="600"/>
      <c r="J1" s="600"/>
      <c r="K1" s="600"/>
      <c r="L1" s="600"/>
      <c r="M1" s="600"/>
      <c r="N1" s="600"/>
      <c r="O1" s="600"/>
    </row>
    <row r="2" spans="1:15" ht="18" customHeight="1" x14ac:dyDescent="0.2">
      <c r="A2" s="600" t="s">
        <v>5</v>
      </c>
      <c r="B2" s="600"/>
      <c r="C2" s="600"/>
      <c r="D2" s="600"/>
      <c r="E2" s="600"/>
      <c r="F2" s="600"/>
      <c r="G2" s="600"/>
      <c r="H2" s="600"/>
      <c r="I2" s="600"/>
      <c r="J2" s="600"/>
      <c r="K2" s="600"/>
      <c r="L2" s="600"/>
      <c r="M2" s="600"/>
      <c r="N2" s="600"/>
      <c r="O2" s="600"/>
    </row>
    <row r="3" spans="1:15" ht="21.75" customHeight="1" thickBot="1" x14ac:dyDescent="0.25">
      <c r="A3" s="601" t="s">
        <v>135</v>
      </c>
      <c r="B3" s="601"/>
      <c r="C3" s="601"/>
      <c r="D3" s="601"/>
      <c r="E3" s="601"/>
      <c r="F3" s="601"/>
      <c r="G3" s="601"/>
      <c r="H3" s="601"/>
      <c r="I3" s="601"/>
      <c r="J3" s="601"/>
      <c r="K3" s="601"/>
      <c r="L3" s="601"/>
      <c r="M3" s="601"/>
      <c r="N3" s="601"/>
      <c r="O3" s="601"/>
    </row>
    <row r="4" spans="1:15" ht="34.5" customHeight="1" thickBot="1" x14ac:dyDescent="0.3">
      <c r="A4" s="602" t="s">
        <v>0</v>
      </c>
      <c r="B4" s="602" t="s">
        <v>6</v>
      </c>
      <c r="C4" s="604" t="s">
        <v>1</v>
      </c>
      <c r="D4" s="605"/>
      <c r="E4" s="605"/>
      <c r="F4" s="605"/>
      <c r="G4" s="605"/>
      <c r="H4" s="605"/>
      <c r="I4" s="605"/>
      <c r="J4" s="605"/>
      <c r="K4" s="606"/>
      <c r="L4" s="607" t="s">
        <v>137</v>
      </c>
      <c r="M4" s="608"/>
      <c r="N4" s="608"/>
      <c r="O4" s="609"/>
    </row>
    <row r="5" spans="1:15" ht="77.25" customHeight="1" thickBot="1" x14ac:dyDescent="0.25">
      <c r="A5" s="603"/>
      <c r="B5" s="603"/>
      <c r="C5" s="86" t="s">
        <v>138</v>
      </c>
      <c r="D5" s="87" t="s">
        <v>10</v>
      </c>
      <c r="E5" s="87" t="s">
        <v>139</v>
      </c>
      <c r="F5" s="88" t="s">
        <v>140</v>
      </c>
      <c r="G5" s="88" t="s">
        <v>141</v>
      </c>
      <c r="H5" s="88" t="s">
        <v>142</v>
      </c>
      <c r="I5" s="89" t="s">
        <v>143</v>
      </c>
      <c r="J5" s="87" t="s">
        <v>144</v>
      </c>
      <c r="K5" s="90" t="s">
        <v>3</v>
      </c>
      <c r="L5" s="91" t="s">
        <v>145</v>
      </c>
      <c r="M5" s="92" t="s">
        <v>146</v>
      </c>
      <c r="N5" s="87" t="s">
        <v>11</v>
      </c>
      <c r="O5" s="93" t="s">
        <v>7</v>
      </c>
    </row>
    <row r="6" spans="1:15" ht="24" customHeight="1" thickBot="1" x14ac:dyDescent="0.25">
      <c r="A6" s="573" t="s">
        <v>147</v>
      </c>
      <c r="B6" s="574"/>
      <c r="C6" s="574"/>
      <c r="D6" s="574"/>
      <c r="E6" s="574"/>
      <c r="F6" s="574"/>
      <c r="G6" s="574"/>
      <c r="H6" s="574"/>
      <c r="I6" s="574"/>
      <c r="J6" s="574"/>
      <c r="K6" s="574"/>
      <c r="L6" s="574"/>
      <c r="M6" s="574"/>
      <c r="N6" s="574"/>
      <c r="O6" s="575"/>
    </row>
    <row r="7" spans="1:15" ht="92.25" customHeight="1" thickBot="1" x14ac:dyDescent="0.25">
      <c r="A7" s="94" t="s">
        <v>148</v>
      </c>
      <c r="B7" s="95" t="s">
        <v>149</v>
      </c>
      <c r="C7" s="96" t="s">
        <v>150</v>
      </c>
      <c r="D7" s="97">
        <f>+'[1]Agricola Abangares'!E8+'[1]Agricola La Cruz'!E8+'[1]Agricola Bagaces'!E8+'[1]Agricola Hojancha'!E8+'[1]Agricola Tilaran'!E8+'[1]Agricola Liberia'!E8+'[1]Agricola Sta Cruz'!E8+'[1]Agricola Nicoya'!E8+'[1]Agricola Nandayure'!E8+'[1]Agricola Carrillo'!E8+'[1]Agricola Cañas'!E8</f>
        <v>526</v>
      </c>
      <c r="E7" s="97">
        <v>34000</v>
      </c>
      <c r="F7" s="98">
        <f>+'[1]Agricola Abangares'!G8+'[1]Agricola La Cruz'!G8+'[1]Agricola Bagaces'!G8+'[1]Agricola Hojancha'!G8+'[1]Agricola Tilaran'!G8+'[1]Agricola Liberia'!G8+'[1]Agricola Sta Cruz'!G8+'[1]Agricola Nicoya'!G8+'[1]Agricola Nandayure'!G8+'[1]Agricola Carrillo'!G8+'[1]Agricola Cañas'!G8</f>
        <v>1669.47</v>
      </c>
      <c r="G7" s="98">
        <f>+'[1]Agricola Abangares'!H8+'[1]Agricola La Cruz'!H8+'[1]Agricola Bagaces'!H8+'[1]Agricola Hojancha'!H8+'[1]Agricola Tilaran'!H8+'[1]Agricola Liberia'!H8+'[1]Agricola Sta Cruz'!H8+'[1]Agricola Nicoya'!H8+'[1]Agricola Nandayure'!H8+'[1]Agricola Carrillo'!H8+'[1]Agricola Cañas'!H8</f>
        <v>6943</v>
      </c>
      <c r="H7" s="99">
        <v>0.35</v>
      </c>
      <c r="I7" s="100">
        <f t="shared" ref="I7:I78" si="0">+((F7)+(G7*H7))</f>
        <v>4099.5199999999995</v>
      </c>
      <c r="J7" s="100">
        <f>+I7*65*0.1</f>
        <v>26646.880000000001</v>
      </c>
      <c r="K7" s="101">
        <f>+J7*125000</f>
        <v>3330860000</v>
      </c>
      <c r="L7" s="102">
        <v>1</v>
      </c>
      <c r="M7" s="95" t="s">
        <v>151</v>
      </c>
      <c r="N7" s="95" t="s">
        <v>152</v>
      </c>
      <c r="O7" s="103">
        <f>6000*20000+2400*14300+5000*14000+2400*5650+1200*6450+900*2450</f>
        <v>247825000</v>
      </c>
    </row>
    <row r="8" spans="1:15" ht="20.25" customHeight="1" thickBot="1" x14ac:dyDescent="0.25">
      <c r="A8" s="573" t="s">
        <v>153</v>
      </c>
      <c r="B8" s="574"/>
      <c r="C8" s="574"/>
      <c r="D8" s="574"/>
      <c r="E8" s="574"/>
      <c r="F8" s="574"/>
      <c r="G8" s="574"/>
      <c r="H8" s="574"/>
      <c r="I8" s="574"/>
      <c r="J8" s="574"/>
      <c r="K8" s="574"/>
      <c r="L8" s="574"/>
      <c r="M8" s="574"/>
      <c r="N8" s="574"/>
      <c r="O8" s="575"/>
    </row>
    <row r="9" spans="1:15" ht="136.5" customHeight="1" thickBot="1" x14ac:dyDescent="0.25">
      <c r="A9" s="104" t="s">
        <v>154</v>
      </c>
      <c r="B9" s="105" t="s">
        <v>155</v>
      </c>
      <c r="C9" s="106" t="s">
        <v>20</v>
      </c>
      <c r="D9" s="107">
        <f>+'[1]Agricola Abangares'!E9+'[1]Agricola La Cruz'!E9+'[1]Agricola Bagaces'!E9+'[1]Agricola Hojancha'!E9+'[1]Agricola Tilaran'!E9+'[1]Agricola Liberia'!E9+'[1]Agricola Sta Cruz'!E9+'[1]Agricola Nicoya'!E9+'[1]Agricola Nandayure'!E9+'[1]Agricola Carrillo'!E9+'[1]Agricola Cañas'!E9</f>
        <v>593</v>
      </c>
      <c r="E9" s="107">
        <v>23823</v>
      </c>
      <c r="F9" s="108">
        <f>+'[1]Agricola Abangares'!G9+'[1]Agricola La Cruz'!G9+'[1]Agricola Bagaces'!G9+'[1]Agricola Hojancha'!G9+'[1]Agricola Tilaran'!G9+'[1]Agricola Liberia'!G9+'[1]Agricola Sta Cruz'!G9+'[1]Agricola Nicoya'!G9+'[1]Agricola Nandayure'!G9+'[1]Agricola Carrillo'!G9+'[1]Agricola Cañas'!G9</f>
        <v>657.4</v>
      </c>
      <c r="G9" s="108">
        <f>+'[1]Agricola Abangares'!H9+'[1]Agricola La Cruz'!H9+'[1]Agricola Bagaces'!H9+'[1]Agricola Hojancha'!H9+'[1]Agricola Tilaran'!H9+'[1]Agricola Liberia'!H9+'[1]Agricola Sta Cruz'!H9+'[1]Agricola Nicoya'!H9+'[1]Agricola Nandayure'!H9+'[1]Agricola Carrillo'!H9+'[1]Agricola Cañas'!H9</f>
        <v>2013</v>
      </c>
      <c r="H9" s="109">
        <v>0.4</v>
      </c>
      <c r="I9" s="110">
        <f>+((F9)+(G9*H9))</f>
        <v>1462.6</v>
      </c>
      <c r="J9" s="110">
        <f>+I9*3.5</f>
        <v>5119.0999999999995</v>
      </c>
      <c r="K9" s="111">
        <f>+I9*750000</f>
        <v>1096950000</v>
      </c>
      <c r="L9" s="112">
        <v>1</v>
      </c>
      <c r="M9" s="113" t="s">
        <v>156</v>
      </c>
      <c r="N9" s="105" t="s">
        <v>157</v>
      </c>
      <c r="O9" s="114">
        <f>1000*40000+1200*14300+2400*14000</f>
        <v>90760000</v>
      </c>
    </row>
    <row r="10" spans="1:15" ht="24.75" customHeight="1" thickBot="1" x14ac:dyDescent="0.25">
      <c r="A10" s="573" t="s">
        <v>158</v>
      </c>
      <c r="B10" s="574"/>
      <c r="C10" s="574"/>
      <c r="D10" s="574"/>
      <c r="E10" s="574"/>
      <c r="F10" s="574"/>
      <c r="G10" s="574"/>
      <c r="H10" s="574"/>
      <c r="I10" s="574"/>
      <c r="J10" s="574"/>
      <c r="K10" s="574"/>
      <c r="L10" s="574"/>
      <c r="M10" s="574"/>
      <c r="N10" s="574"/>
      <c r="O10" s="575"/>
    </row>
    <row r="11" spans="1:15" ht="49.5" customHeight="1" thickBot="1" x14ac:dyDescent="0.25">
      <c r="A11" s="104" t="s">
        <v>159</v>
      </c>
      <c r="B11" s="105" t="s">
        <v>160</v>
      </c>
      <c r="C11" s="106" t="s">
        <v>161</v>
      </c>
      <c r="D11" s="107">
        <f>+'[1]Agricola Abangares'!E10+'[1]Agricola La Cruz'!E10+'[1]Agricola Bagaces'!E10+'[1]Agricola Hojancha'!E10+'[1]Agricola Tilaran'!E10+'[1]Agricola Liberia'!E10+'[1]Agricola Sta Cruz'!E10+'[1]Agricola Nicoya'!E10+'[1]Agricola Nandayure'!E10+'[1]Agricola Carrillo'!E10+'[1]Agricola Cañas'!E10</f>
        <v>3</v>
      </c>
      <c r="E11" s="107"/>
      <c r="F11" s="108">
        <f>+'[1]Agricola Abangares'!G10+'[1]Agricola La Cruz'!G10+'[1]Agricola Bagaces'!G10+'[1]Agricola Hojancha'!G10+'[1]Agricola Tilaran'!G10+'[1]Agricola Liberia'!G10+'[1]Agricola Sta Cruz'!G10+'[1]Agricola Nicoya'!G10+'[1]Agricola Nandayure'!G10+'[1]Agricola Carrillo'!G10+'[1]Agricola Cañas'!G10</f>
        <v>0</v>
      </c>
      <c r="G11" s="108">
        <f>+'[1]Agricola Abangares'!H10+'[1]Agricola La Cruz'!H10+'[1]Agricola Bagaces'!H10+'[1]Agricola Hojancha'!H10+'[1]Agricola Tilaran'!H10+'[1]Agricola Liberia'!H10+'[1]Agricola Sta Cruz'!H10+'[1]Agricola Nicoya'!H10+'[1]Agricola Nandayure'!H10+'[1]Agricola Carrillo'!H10+'[1]Agricola Cañas'!H10</f>
        <v>0</v>
      </c>
      <c r="H11" s="109">
        <v>0</v>
      </c>
      <c r="I11" s="110">
        <f t="shared" si="0"/>
        <v>0</v>
      </c>
      <c r="J11" s="110">
        <f>+I11*20</f>
        <v>0</v>
      </c>
      <c r="K11" s="111">
        <f>+I11*3000000</f>
        <v>0</v>
      </c>
      <c r="L11" s="115"/>
      <c r="M11" s="116"/>
      <c r="N11" s="105"/>
      <c r="O11" s="117"/>
    </row>
    <row r="12" spans="1:15" ht="30.75" customHeight="1" thickBot="1" x14ac:dyDescent="0.25">
      <c r="A12" s="573" t="s">
        <v>162</v>
      </c>
      <c r="B12" s="574"/>
      <c r="C12" s="574"/>
      <c r="D12" s="574"/>
      <c r="E12" s="574"/>
      <c r="F12" s="574"/>
      <c r="G12" s="574"/>
      <c r="H12" s="574"/>
      <c r="I12" s="574"/>
      <c r="J12" s="574"/>
      <c r="K12" s="574"/>
      <c r="L12" s="574"/>
      <c r="M12" s="574"/>
      <c r="N12" s="574"/>
      <c r="O12" s="575"/>
    </row>
    <row r="13" spans="1:15" ht="82.5" customHeight="1" thickBot="1" x14ac:dyDescent="0.25">
      <c r="A13" s="104" t="s">
        <v>163</v>
      </c>
      <c r="B13" s="105" t="s">
        <v>164</v>
      </c>
      <c r="C13" s="106" t="s">
        <v>98</v>
      </c>
      <c r="D13" s="107">
        <f>+'[1]Agricola Abangares'!E11+'[1]Agricola La Cruz'!E11+'[1]Agricola Bagaces'!E11+'[1]Agricola Hojancha'!E11+'[1]Agricola Tilaran'!E11+'[1]Agricola Liberia'!E11+'[1]Agricola Sta Cruz'!E11+'[1]Agricola Nicoya'!E11+'[1]Agricola Nandayure'!E11+'[1]Agricola Carrillo'!E11+'[1]Agricola Cañas'!E11</f>
        <v>996</v>
      </c>
      <c r="E13" s="107">
        <v>1270</v>
      </c>
      <c r="F13" s="108">
        <f>+'[1]Agricola Abangares'!G11+'[1]Agricola La Cruz'!G11+'[1]Agricola Bagaces'!G11+'[1]Agricola Hojancha'!G11+'[1]Agricola Tilaran'!G11+'[1]Agricola Liberia'!G11+'[1]Agricola Sta Cruz'!G11+'[1]Agricola Nicoya'!G11+'[1]Agricola Nandayure'!G11+'[1]Agricola Carrillo'!G11+'[1]Agricola Cañas'!G11</f>
        <v>0</v>
      </c>
      <c r="G13" s="108">
        <f>+'[1]Agricola Abangares'!H11+'[1]Agricola La Cruz'!H11+'[1]Agricola Bagaces'!H11+'[1]Agricola Hojancha'!H11+'[1]Agricola Tilaran'!H11+'[1]Agricola Liberia'!H11+'[1]Agricola Sta Cruz'!H11+'[1]Agricola Nicoya'!H11+'[1]Agricola Nandayure'!H11+'[1]Agricola Carrillo'!H11+'[1]Agricola Cañas'!H11</f>
        <v>1337</v>
      </c>
      <c r="H13" s="109">
        <v>0.3</v>
      </c>
      <c r="I13" s="110">
        <f t="shared" si="0"/>
        <v>401.09999999999997</v>
      </c>
      <c r="J13" s="110">
        <f>+I13*4.5</f>
        <v>1804.9499999999998</v>
      </c>
      <c r="K13" s="111">
        <f>+I13*18*60000</f>
        <v>433187999.99999994</v>
      </c>
      <c r="L13" s="115">
        <v>1</v>
      </c>
      <c r="M13" s="105" t="s">
        <v>151</v>
      </c>
      <c r="N13" s="97" t="s">
        <v>165</v>
      </c>
      <c r="O13" s="114">
        <f>300*5000+1000*14300+1000*14000+4150*15000</f>
        <v>92050000</v>
      </c>
    </row>
    <row r="14" spans="1:15" ht="22.5" customHeight="1" thickBot="1" x14ac:dyDescent="0.25">
      <c r="A14" s="573" t="s">
        <v>153</v>
      </c>
      <c r="B14" s="574"/>
      <c r="C14" s="574"/>
      <c r="D14" s="574"/>
      <c r="E14" s="574"/>
      <c r="F14" s="574"/>
      <c r="G14" s="574"/>
      <c r="H14" s="574"/>
      <c r="I14" s="574"/>
      <c r="J14" s="574"/>
      <c r="K14" s="574"/>
      <c r="L14" s="574"/>
      <c r="M14" s="574"/>
      <c r="N14" s="574"/>
      <c r="O14" s="575"/>
    </row>
    <row r="15" spans="1:15" ht="291" customHeight="1" thickBot="1" x14ac:dyDescent="0.25">
      <c r="A15" s="104" t="s">
        <v>166</v>
      </c>
      <c r="B15" s="107" t="s">
        <v>167</v>
      </c>
      <c r="C15" s="106" t="s">
        <v>84</v>
      </c>
      <c r="D15" s="107">
        <f>+'[1]Agricola Abangares'!E12+'[1]Agricola La Cruz'!E12+'[1]Agricola Bagaces'!E12+'[1]Agricola Hojancha'!E12+'[1]Agricola Tilaran'!E12+'[1]Agricola Liberia'!E12+'[1]Agricola Sta Cruz'!E12+'[1]Agricola Nicoya'!E12+'[1]Agricola Nandayure'!E12+'[1]Agricola Carrillo'!E12+'[1]Agricola Cañas'!E12</f>
        <v>1516</v>
      </c>
      <c r="E15" s="107">
        <v>1750</v>
      </c>
      <c r="F15" s="108">
        <f>+'[1]Agricola Abangares'!G12+'[1]Agricola La Cruz'!G12+'[1]Agricola Bagaces'!G12+'[1]Agricola Hojancha'!G12+'[1]Agricola Tilaran'!G12+'[1]Agricola Liberia'!G12+'[1]Agricola Sta Cruz'!G12+'[1]Agricola Nicoya'!G12+'[1]Agricola Nandayure'!G12+'[1]Agricola Carrillo'!G12+'[1]Agricola Cañas'!G12</f>
        <v>1268.25</v>
      </c>
      <c r="G15" s="108">
        <f>+'[1]Agricola Abangares'!H12+'[1]Agricola La Cruz'!H12+'[1]Agricola Bagaces'!H12+'[1]Agricola Hojancha'!H12+'[1]Agricola Tilaran'!H12+'[1]Agricola Liberia'!H12+'[1]Agricola Sta Cruz'!H12+'[1]Agricola Nicoya'!H12+'[1]Agricola Nandayure'!H12+'[1]Agricola Carrillo'!H12+'[1]Agricola Cañas'!H12</f>
        <v>595.79999999999995</v>
      </c>
      <c r="H15" s="109">
        <v>0.5</v>
      </c>
      <c r="I15" s="110">
        <f t="shared" si="0"/>
        <v>1566.15</v>
      </c>
      <c r="J15" s="110">
        <f>+I15*2</f>
        <v>3132.3</v>
      </c>
      <c r="K15" s="111">
        <f>+I15*44*10000</f>
        <v>689106000</v>
      </c>
      <c r="L15" s="115">
        <v>1</v>
      </c>
      <c r="M15" s="105" t="s">
        <v>156</v>
      </c>
      <c r="N15" s="105" t="s">
        <v>168</v>
      </c>
      <c r="O15" s="114">
        <f>400*(2000*46)+800*14300+800*14000</f>
        <v>59440000</v>
      </c>
    </row>
    <row r="16" spans="1:15" ht="28.5" customHeight="1" thickBot="1" x14ac:dyDescent="0.25">
      <c r="A16" s="573" t="s">
        <v>153</v>
      </c>
      <c r="B16" s="574"/>
      <c r="C16" s="574"/>
      <c r="D16" s="574"/>
      <c r="E16" s="574"/>
      <c r="F16" s="574"/>
      <c r="G16" s="574"/>
      <c r="H16" s="574"/>
      <c r="I16" s="574"/>
      <c r="J16" s="574"/>
      <c r="K16" s="574"/>
      <c r="L16" s="574"/>
      <c r="M16" s="574"/>
      <c r="N16" s="574"/>
      <c r="O16" s="575"/>
    </row>
    <row r="17" spans="1:15" ht="152.25" customHeight="1" thickBot="1" x14ac:dyDescent="0.25">
      <c r="A17" s="118" t="s">
        <v>169</v>
      </c>
      <c r="B17" s="119" t="s">
        <v>170</v>
      </c>
      <c r="C17" s="120" t="s">
        <v>171</v>
      </c>
      <c r="D17" s="107">
        <f>+'[1]Agricola Abangares'!E13+'[1]Agricola La Cruz'!E13+'[1]Agricola Bagaces'!E13+'[1]Agricola Hojancha'!E13+'[1]Agricola Tilaran'!E13+'[1]Agricola Liberia'!E13+'[1]Agricola Sta Cruz'!E13+'[1]Agricola Nicoya'!E13+'[1]Agricola Nandayure'!E13+'[1]Agricola Carrillo'!E13+'[1]Agricola Cañas'!E13</f>
        <v>310</v>
      </c>
      <c r="E17" s="107">
        <v>320</v>
      </c>
      <c r="F17" s="108">
        <f>+'[1]Agricola Abangares'!G13+'[1]Agricola La Cruz'!G13+'[1]Agricola Bagaces'!G13+'[1]Agricola Hojancha'!G13+'[1]Agricola Tilaran'!G13+'[1]Agricola Liberia'!G13+'[1]Agricola Sta Cruz'!G13+'[1]Agricola Nicoya'!G13+'[1]Agricola Nandayure'!G13+'[1]Agricola Carrillo'!G13+'[1]Agricola Cañas'!G13</f>
        <v>82.2</v>
      </c>
      <c r="G17" s="108">
        <f>+'[1]Agricola Abangares'!H13+'[1]Agricola La Cruz'!H13+'[1]Agricola Bagaces'!H13+'[1]Agricola Hojancha'!H13+'[1]Agricola Tilaran'!H13+'[1]Agricola Liberia'!H13+'[1]Agricola Sta Cruz'!H13+'[1]Agricola Nicoya'!H13+'[1]Agricola Nandayure'!H13+'[1]Agricola Carrillo'!H13+'[1]Agricola Cañas'!H13</f>
        <v>181</v>
      </c>
      <c r="H17" s="109">
        <v>0.6</v>
      </c>
      <c r="I17" s="110">
        <f t="shared" si="0"/>
        <v>190.8</v>
      </c>
      <c r="J17" s="110">
        <f>+I17*0.7</f>
        <v>133.56</v>
      </c>
      <c r="K17" s="111">
        <f>+I17*250000</f>
        <v>47700000</v>
      </c>
      <c r="L17" s="115">
        <v>1</v>
      </c>
      <c r="M17" s="105" t="s">
        <v>156</v>
      </c>
      <c r="N17" s="105" t="s">
        <v>172</v>
      </c>
      <c r="O17" s="114">
        <f>400*(2000*46)+800*14300+800*14000</f>
        <v>59440000</v>
      </c>
    </row>
    <row r="18" spans="1:15" ht="22.5" customHeight="1" thickBot="1" x14ac:dyDescent="0.25">
      <c r="A18" s="573" t="s">
        <v>173</v>
      </c>
      <c r="B18" s="574"/>
      <c r="C18" s="574"/>
      <c r="D18" s="574"/>
      <c r="E18" s="574"/>
      <c r="F18" s="574"/>
      <c r="G18" s="574"/>
      <c r="H18" s="574"/>
      <c r="I18" s="574"/>
      <c r="J18" s="574"/>
      <c r="K18" s="574"/>
      <c r="L18" s="574"/>
      <c r="M18" s="574"/>
      <c r="N18" s="574"/>
      <c r="O18" s="575"/>
    </row>
    <row r="19" spans="1:15" ht="40.5" customHeight="1" thickBot="1" x14ac:dyDescent="0.25">
      <c r="A19" s="121" t="s">
        <v>174</v>
      </c>
      <c r="B19" s="105" t="s">
        <v>175</v>
      </c>
      <c r="C19" s="120" t="s">
        <v>47</v>
      </c>
      <c r="D19" s="107">
        <f>+'[1]Agricola Abangares'!E14+'[1]Agricola La Cruz'!E14+'[1]Agricola Bagaces'!E14+'[1]Agricola Hojancha'!E14+'[1]Agricola Tilaran'!E14+'[1]Agricola Liberia'!E14+'[1]Agricola Sta Cruz'!E14+'[1]Agricola Nicoya'!E14+'[1]Agricola Nandayure'!E14+'[1]Agricola Carrillo'!E14+'[1]Agricola Cañas'!E14</f>
        <v>5</v>
      </c>
      <c r="E19" s="107">
        <v>37</v>
      </c>
      <c r="F19" s="108">
        <f>+'[1]Agricola Abangares'!G14+'[1]Agricola La Cruz'!G14+'[1]Agricola Bagaces'!G14+'[1]Agricola Hojancha'!G14+'[1]Agricola Tilaran'!G14+'[1]Agricola Liberia'!G14+'[1]Agricola Sta Cruz'!G14+'[1]Agricola Nicoya'!G14+'[1]Agricola Nandayure'!G14+'[1]Agricola Carrillo'!G14+'[1]Agricola Cañas'!G14</f>
        <v>3</v>
      </c>
      <c r="G19" s="108">
        <f>+'[1]Agricola Abangares'!H14+'[1]Agricola La Cruz'!H14+'[1]Agricola Bagaces'!H14+'[1]Agricola Hojancha'!H14+'[1]Agricola Tilaran'!H14+'[1]Agricola Liberia'!H14+'[1]Agricola Sta Cruz'!H14+'[1]Agricola Nicoya'!H14+'[1]Agricola Nandayure'!H14+'[1]Agricola Carrillo'!H14+'[1]Agricola Cañas'!H14</f>
        <v>12</v>
      </c>
      <c r="H19" s="109">
        <v>0.3</v>
      </c>
      <c r="I19" s="110">
        <f t="shared" si="0"/>
        <v>6.6</v>
      </c>
      <c r="J19" s="110">
        <f>+I19*30</f>
        <v>198</v>
      </c>
      <c r="K19" s="111">
        <f>+I19*2000000</f>
        <v>13200000</v>
      </c>
      <c r="L19" s="115">
        <v>2</v>
      </c>
      <c r="M19" s="105" t="s">
        <v>151</v>
      </c>
      <c r="N19" s="105" t="s">
        <v>176</v>
      </c>
      <c r="O19" s="114">
        <f>60*14300+60*14000</f>
        <v>1698000</v>
      </c>
    </row>
    <row r="20" spans="1:15" ht="18" customHeight="1" thickBot="1" x14ac:dyDescent="0.25">
      <c r="A20" s="573" t="s">
        <v>177</v>
      </c>
      <c r="B20" s="574"/>
      <c r="C20" s="574"/>
      <c r="D20" s="574"/>
      <c r="E20" s="574"/>
      <c r="F20" s="574"/>
      <c r="G20" s="574"/>
      <c r="H20" s="574"/>
      <c r="I20" s="574"/>
      <c r="J20" s="574"/>
      <c r="K20" s="574"/>
      <c r="L20" s="574"/>
      <c r="M20" s="574"/>
      <c r="N20" s="574"/>
      <c r="O20" s="575"/>
    </row>
    <row r="21" spans="1:15" ht="58.5" customHeight="1" thickBot="1" x14ac:dyDescent="0.25">
      <c r="A21" s="121" t="s">
        <v>178</v>
      </c>
      <c r="B21" s="105" t="s">
        <v>179</v>
      </c>
      <c r="C21" s="106" t="s">
        <v>180</v>
      </c>
      <c r="D21" s="107">
        <f>+'[1]Agricola Abangares'!E15+'[1]Agricola La Cruz'!E15+'[1]Agricola Bagaces'!E15+'[1]Agricola Hojancha'!E15+'[1]Agricola Tilaran'!E15+'[1]Agricola Liberia'!E15+'[1]Agricola Sta Cruz'!E15+'[1]Agricola Nicoya'!E15+'[1]Agricola Nandayure'!E15+'[1]Agricola Carrillo'!E15+'[1]Agricola Cañas'!E15</f>
        <v>73</v>
      </c>
      <c r="E21" s="107">
        <v>135</v>
      </c>
      <c r="F21" s="108">
        <f>+'[1]Agricola Abangares'!G15+'[1]Agricola La Cruz'!G15+'[1]Agricola Bagaces'!G15+'[1]Agricola Hojancha'!G15+'[1]Agricola Tilaran'!G15+'[1]Agricola Liberia'!G15+'[1]Agricola Sta Cruz'!G15+'[1]Agricola Nicoya'!G15+'[1]Agricola Nandayure'!G15+'[1]Agricola Carrillo'!G15+'[1]Agricola Cañas'!G15</f>
        <v>9.6</v>
      </c>
      <c r="G21" s="108">
        <f>+'[1]Agricola Abangares'!H15+'[1]Agricola La Cruz'!H15+'[1]Agricola Bagaces'!H15+'[1]Agricola Hojancha'!H15+'[1]Agricola Tilaran'!H15+'[1]Agricola Liberia'!H15+'[1]Agricola Sta Cruz'!H15+'[1]Agricola Nicoya'!H15+'[1]Agricola Nandayure'!H15+'[1]Agricola Carrillo'!H15+'[1]Agricola Cañas'!H15</f>
        <v>80</v>
      </c>
      <c r="H21" s="109">
        <v>0.4</v>
      </c>
      <c r="I21" s="110">
        <f t="shared" si="0"/>
        <v>41.6</v>
      </c>
      <c r="J21" s="110">
        <f>+I21*7</f>
        <v>291.2</v>
      </c>
      <c r="K21" s="111">
        <f>+I21*1000000</f>
        <v>41600000</v>
      </c>
      <c r="L21" s="115">
        <v>2</v>
      </c>
      <c r="M21" s="105" t="s">
        <v>151</v>
      </c>
      <c r="N21" s="105" t="s">
        <v>181</v>
      </c>
      <c r="O21" s="114">
        <f>60*14300+60*14000</f>
        <v>1698000</v>
      </c>
    </row>
    <row r="22" spans="1:15" ht="15.75" customHeight="1" thickBot="1" x14ac:dyDescent="0.25">
      <c r="A22" s="573" t="s">
        <v>182</v>
      </c>
      <c r="B22" s="574"/>
      <c r="C22" s="574"/>
      <c r="D22" s="574"/>
      <c r="E22" s="574"/>
      <c r="F22" s="574"/>
      <c r="G22" s="574"/>
      <c r="H22" s="574"/>
      <c r="I22" s="574"/>
      <c r="J22" s="574"/>
      <c r="K22" s="574"/>
      <c r="L22" s="574"/>
      <c r="M22" s="574"/>
      <c r="N22" s="574"/>
      <c r="O22" s="575"/>
    </row>
    <row r="23" spans="1:15" ht="69.75" customHeight="1" thickBot="1" x14ac:dyDescent="0.25">
      <c r="A23" s="121" t="s">
        <v>183</v>
      </c>
      <c r="B23" s="105" t="s">
        <v>184</v>
      </c>
      <c r="C23" s="106" t="s">
        <v>50</v>
      </c>
      <c r="D23" s="107">
        <f>+'[1]Agricola Abangares'!E16+'[1]Agricola La Cruz'!E16+'[1]Agricola Bagaces'!E16+'[1]Agricola Hojancha'!E16+'[1]Agricola Tilaran'!E16+'[1]Agricola Liberia'!E16+'[1]Agricola Sta Cruz'!E16+'[1]Agricola Nicoya'!E16+'[1]Agricola Nandayure'!E16+'[1]Agricola Carrillo'!E16+'[1]Agricola Cañas'!E16</f>
        <v>57</v>
      </c>
      <c r="E23" s="107">
        <v>345</v>
      </c>
      <c r="F23" s="108">
        <f>+'[1]Agricola Abangares'!G16+'[1]Agricola La Cruz'!G16+'[1]Agricola Bagaces'!G16+'[1]Agricola Hojancha'!G16+'[1]Agricola Tilaran'!G16+'[1]Agricola Liberia'!G16+'[1]Agricola Sta Cruz'!G16+'[1]Agricola Nicoya'!G16+'[1]Agricola Nandayure'!G16+'[1]Agricola Carrillo'!G16+'[1]Agricola Cañas'!G16</f>
        <v>114.25</v>
      </c>
      <c r="G23" s="108">
        <f>+'[1]Agricola Abangares'!H16+'[1]Agricola La Cruz'!H16+'[1]Agricola Bagaces'!H16+'[1]Agricola Hojancha'!H16+'[1]Agricola Tilaran'!H16+'[1]Agricola Liberia'!H16+'[1]Agricola Sta Cruz'!H16+'[1]Agricola Nicoya'!H16+'[1]Agricola Nandayure'!H16+'[1]Agricola Carrillo'!H16+'[1]Agricola Cañas'!H16</f>
        <v>0.4</v>
      </c>
      <c r="H23" s="109">
        <v>0</v>
      </c>
      <c r="I23" s="110">
        <f t="shared" si="0"/>
        <v>114.25</v>
      </c>
      <c r="J23" s="110">
        <f>+I23*20</f>
        <v>2285</v>
      </c>
      <c r="K23" s="111">
        <f>+I23*2000000</f>
        <v>228500000</v>
      </c>
      <c r="L23" s="115">
        <v>1</v>
      </c>
      <c r="M23" s="105" t="s">
        <v>156</v>
      </c>
      <c r="N23" s="105" t="s">
        <v>185</v>
      </c>
      <c r="O23" s="122">
        <f>100*120000+200*14300+200*14000</f>
        <v>17660000</v>
      </c>
    </row>
    <row r="24" spans="1:15" ht="21" customHeight="1" thickBot="1" x14ac:dyDescent="0.25">
      <c r="A24" s="573" t="s">
        <v>186</v>
      </c>
      <c r="B24" s="574"/>
      <c r="C24" s="574"/>
      <c r="D24" s="574"/>
      <c r="E24" s="574"/>
      <c r="F24" s="574"/>
      <c r="G24" s="574"/>
      <c r="H24" s="574"/>
      <c r="I24" s="574"/>
      <c r="J24" s="574"/>
      <c r="K24" s="574"/>
      <c r="L24" s="574"/>
      <c r="M24" s="574"/>
      <c r="N24" s="574"/>
      <c r="O24" s="575"/>
    </row>
    <row r="25" spans="1:15" ht="48.75" customHeight="1" thickBot="1" x14ac:dyDescent="0.25">
      <c r="A25" s="104" t="s">
        <v>187</v>
      </c>
      <c r="B25" s="105" t="s">
        <v>188</v>
      </c>
      <c r="C25" s="106" t="s">
        <v>53</v>
      </c>
      <c r="D25" s="107">
        <f>+'[1]Agricola Abangares'!E17+'[1]Agricola La Cruz'!E17+'[1]Agricola Bagaces'!E17+'[1]Agricola Hojancha'!E17+'[1]Agricola Tilaran'!E17+'[1]Agricola Liberia'!E17+'[1]Agricola Sta Cruz'!E17+'[1]Agricola Nicoya'!E17+'[1]Agricola Nandayure'!E17+'[1]Agricola Carrillo'!E17+'[1]Agricola Cañas'!E17</f>
        <v>21</v>
      </c>
      <c r="E25" s="107">
        <v>1094</v>
      </c>
      <c r="F25" s="108">
        <f>+'[1]Agricola Abangares'!G17+'[1]Agricola La Cruz'!G17+'[1]Agricola Bagaces'!G17+'[1]Agricola Hojancha'!G17+'[1]Agricola Tilaran'!G17+'[1]Agricola Liberia'!G17+'[1]Agricola Sta Cruz'!G17+'[1]Agricola Nicoya'!G17+'[1]Agricola Nandayure'!G17+'[1]Agricola Carrillo'!G17+'[1]Agricola Cañas'!G17</f>
        <v>0</v>
      </c>
      <c r="G25" s="108">
        <f>+'[1]Agricola Abangares'!H17+'[1]Agricola La Cruz'!H17+'[1]Agricola Bagaces'!H17+'[1]Agricola Hojancha'!H17+'[1]Agricola Tilaran'!H17+'[1]Agricola Liberia'!H17+'[1]Agricola Sta Cruz'!H17+'[1]Agricola Nicoya'!H17+'[1]Agricola Nandayure'!H17+'[1]Agricola Carrillo'!H17+'[1]Agricola Cañas'!H17</f>
        <v>521</v>
      </c>
      <c r="H25" s="109">
        <v>0.35</v>
      </c>
      <c r="I25" s="110">
        <f t="shared" si="0"/>
        <v>182.35</v>
      </c>
      <c r="J25" s="110">
        <f>+I25*8</f>
        <v>1458.8</v>
      </c>
      <c r="K25" s="111">
        <f>+I25*8000*150</f>
        <v>218820000</v>
      </c>
      <c r="L25" s="115">
        <v>2</v>
      </c>
      <c r="M25" s="105"/>
      <c r="N25" s="105" t="s">
        <v>189</v>
      </c>
      <c r="O25" s="122">
        <f>200*14300+200*14000</f>
        <v>5660000</v>
      </c>
    </row>
    <row r="26" spans="1:15" ht="19.5" customHeight="1" thickBot="1" x14ac:dyDescent="0.25">
      <c r="A26" s="573" t="s">
        <v>190</v>
      </c>
      <c r="B26" s="574"/>
      <c r="C26" s="574"/>
      <c r="D26" s="574"/>
      <c r="E26" s="574"/>
      <c r="F26" s="574"/>
      <c r="G26" s="574"/>
      <c r="H26" s="574"/>
      <c r="I26" s="574"/>
      <c r="J26" s="574"/>
      <c r="K26" s="574"/>
      <c r="L26" s="574"/>
      <c r="M26" s="574"/>
      <c r="N26" s="574"/>
      <c r="O26" s="575"/>
    </row>
    <row r="27" spans="1:15" ht="60.75" customHeight="1" thickBot="1" x14ac:dyDescent="0.25">
      <c r="A27" s="104" t="s">
        <v>191</v>
      </c>
      <c r="B27" s="105" t="s">
        <v>192</v>
      </c>
      <c r="C27" s="106" t="s">
        <v>193</v>
      </c>
      <c r="D27" s="107">
        <f>+'[1]Agricola Abangares'!E18+'[1]Agricola La Cruz'!E18+'[1]Agricola Bagaces'!E18+'[1]Agricola Hojancha'!E18+'[1]Agricola Tilaran'!E18+'[1]Agricola Liberia'!E18+'[1]Agricola Sta Cruz'!E18+'[1]Agricola Nicoya'!E18+'[1]Agricola Nandayure'!E18+'[1]Agricola Carrillo'!E18+'[1]Agricola Cañas'!E18</f>
        <v>206</v>
      </c>
      <c r="E27" s="107">
        <v>7228</v>
      </c>
      <c r="F27" s="108">
        <f>+'[1]Agricola Abangares'!G18+'[1]Agricola La Cruz'!G18+'[1]Agricola Bagaces'!G18+'[1]Agricola Hojancha'!G18+'[1]Agricola Tilaran'!G18+'[1]Agricola Liberia'!G18+'[1]Agricola Sta Cruz'!G18+'[1]Agricola Nicoya'!G18+'[1]Agricola Nandayure'!G18+'[1]Agricola Carrillo'!G18+'[1]Agricola Cañas'!G18</f>
        <v>4.9000000000000004</v>
      </c>
      <c r="G27" s="108">
        <f>+'[1]Agricola Abangares'!H18+'[1]Agricola La Cruz'!H18+'[1]Agricola Bagaces'!H18+'[1]Agricola Hojancha'!H18+'[1]Agricola Tilaran'!H18+'[1]Agricola Liberia'!H18+'[1]Agricola Sta Cruz'!H18+'[1]Agricola Nicoya'!H18+'[1]Agricola Nandayure'!H18+'[1]Agricola Carrillo'!H18+'[1]Agricola Cañas'!H18</f>
        <v>395.5</v>
      </c>
      <c r="H27" s="109">
        <v>0.4</v>
      </c>
      <c r="I27" s="110">
        <f t="shared" si="0"/>
        <v>163.10000000000002</v>
      </c>
      <c r="J27" s="110">
        <f>+I27*8</f>
        <v>1304.8000000000002</v>
      </c>
      <c r="K27" s="111">
        <f>+I27*2000000</f>
        <v>326200000.00000006</v>
      </c>
      <c r="L27" s="115">
        <v>2</v>
      </c>
      <c r="M27" s="113" t="s">
        <v>151</v>
      </c>
      <c r="N27" s="105" t="s">
        <v>194</v>
      </c>
      <c r="O27" s="122">
        <f>400*14300+400*14000+5120*1500</f>
        <v>19000000</v>
      </c>
    </row>
    <row r="28" spans="1:15" ht="22.5" customHeight="1" thickBot="1" x14ac:dyDescent="0.25">
      <c r="A28" s="573" t="s">
        <v>195</v>
      </c>
      <c r="B28" s="574"/>
      <c r="C28" s="574"/>
      <c r="D28" s="574"/>
      <c r="E28" s="574"/>
      <c r="F28" s="574"/>
      <c r="G28" s="574"/>
      <c r="H28" s="574"/>
      <c r="I28" s="574"/>
      <c r="J28" s="574"/>
      <c r="K28" s="574"/>
      <c r="L28" s="574"/>
      <c r="M28" s="574"/>
      <c r="N28" s="574"/>
      <c r="O28" s="575"/>
    </row>
    <row r="29" spans="1:15" ht="48.75" customHeight="1" thickBot="1" x14ac:dyDescent="0.25">
      <c r="A29" s="123" t="s">
        <v>195</v>
      </c>
      <c r="B29" s="105" t="s">
        <v>196</v>
      </c>
      <c r="C29" s="120" t="s">
        <v>197</v>
      </c>
      <c r="D29" s="107">
        <f>+'[1]Agricola Abangares'!E19+'[1]Agricola La Cruz'!E19+'[1]Agricola Bagaces'!E19+'[1]Agricola Hojancha'!E19+'[1]Agricola Tilaran'!E19+'[1]Agricola Liberia'!E19+'[1]Agricola Sta Cruz'!E19+'[1]Agricola Nicoya'!E19+'[1]Agricola Nandayure'!E19+'[1]Agricola Carrillo'!E19+'[1]Agricola Cañas'!E19</f>
        <v>2</v>
      </c>
      <c r="E29" s="107">
        <v>90</v>
      </c>
      <c r="F29" s="108">
        <f>+'[1]Agricola Abangares'!G19+'[1]Agricola La Cruz'!G19+'[1]Agricola Bagaces'!G19+'[1]Agricola Hojancha'!G19+'[1]Agricola Tilaran'!G19+'[1]Agricola Liberia'!G19+'[1]Agricola Sta Cruz'!G19+'[1]Agricola Nicoya'!G19+'[1]Agricola Nandayure'!G19+'[1]Agricola Carrillo'!G19+'[1]Agricola Cañas'!G19</f>
        <v>1.5</v>
      </c>
      <c r="G29" s="108">
        <f>+'[1]Agricola Abangares'!H19+'[1]Agricola La Cruz'!H19+'[1]Agricola Bagaces'!H19+'[1]Agricola Hojancha'!H19+'[1]Agricola Tilaran'!H19+'[1]Agricola Liberia'!H19+'[1]Agricola Sta Cruz'!H19+'[1]Agricola Nicoya'!H19+'[1]Agricola Nandayure'!H19+'[1]Agricola Carrillo'!H19+'[1]Agricola Cañas'!H19</f>
        <v>3.5</v>
      </c>
      <c r="H29" s="109">
        <v>0.25</v>
      </c>
      <c r="I29" s="110">
        <f t="shared" si="0"/>
        <v>2.375</v>
      </c>
      <c r="J29" s="110">
        <f>+I29*7</f>
        <v>16.625</v>
      </c>
      <c r="K29" s="111">
        <f>+I29*1000000</f>
        <v>2375000</v>
      </c>
      <c r="L29" s="115">
        <v>3</v>
      </c>
      <c r="M29" s="113" t="s">
        <v>198</v>
      </c>
      <c r="N29" s="105" t="s">
        <v>189</v>
      </c>
      <c r="O29" s="122">
        <f>200*14300+200*14000</f>
        <v>5660000</v>
      </c>
    </row>
    <row r="30" spans="1:15" ht="22.5" customHeight="1" thickBot="1" x14ac:dyDescent="0.25">
      <c r="A30" s="573" t="s">
        <v>153</v>
      </c>
      <c r="B30" s="574"/>
      <c r="C30" s="574"/>
      <c r="D30" s="574"/>
      <c r="E30" s="574"/>
      <c r="F30" s="574"/>
      <c r="G30" s="574"/>
      <c r="H30" s="574"/>
      <c r="I30" s="574"/>
      <c r="J30" s="574"/>
      <c r="K30" s="574"/>
      <c r="L30" s="574"/>
      <c r="M30" s="574"/>
      <c r="N30" s="574"/>
      <c r="O30" s="575"/>
    </row>
    <row r="31" spans="1:15" ht="51" customHeight="1" thickBot="1" x14ac:dyDescent="0.25">
      <c r="A31" s="104" t="s">
        <v>195</v>
      </c>
      <c r="B31" s="105" t="s">
        <v>199</v>
      </c>
      <c r="C31" s="106" t="s">
        <v>200</v>
      </c>
      <c r="D31" s="107">
        <f>+'[1]Agricola Abangares'!E20+'[1]Agricola La Cruz'!E20+'[1]Agricola Bagaces'!E20+'[1]Agricola Hojancha'!E20+'[1]Agricola Tilaran'!E20+'[1]Agricola Liberia'!E20+'[1]Agricola Sta Cruz'!E20+'[1]Agricola Nicoya'!E20+'[1]Agricola Nandayure'!E20+'[1]Agricola Carrillo'!E20+'[1]Agricola Cañas'!E20</f>
        <v>2</v>
      </c>
      <c r="E31" s="107">
        <v>2</v>
      </c>
      <c r="F31" s="108">
        <f>+'[1]Agricola Abangares'!G20+'[1]Agricola La Cruz'!G20+'[1]Agricola Bagaces'!G20+'[1]Agricola Hojancha'!G20+'[1]Agricola Tilaran'!G20+'[1]Agricola Liberia'!G20+'[1]Agricola Sta Cruz'!G20+'[1]Agricola Nicoya'!G20+'[1]Agricola Nandayure'!G20+'[1]Agricola Carrillo'!G20+'[1]Agricola Cañas'!G20</f>
        <v>2</v>
      </c>
      <c r="G31" s="108">
        <f>+'[1]Agricola Abangares'!H20+'[1]Agricola La Cruz'!H20+'[1]Agricola Bagaces'!H20+'[1]Agricola Hojancha'!H20+'[1]Agricola Tilaran'!H20+'[1]Agricola Liberia'!H20+'[1]Agricola Sta Cruz'!H20+'[1]Agricola Nicoya'!H20+'[1]Agricola Nandayure'!H20+'[1]Agricola Carrillo'!H20+'[1]Agricola Cañas'!H20</f>
        <v>0</v>
      </c>
      <c r="H31" s="109">
        <v>0</v>
      </c>
      <c r="I31" s="110">
        <f t="shared" si="0"/>
        <v>2</v>
      </c>
      <c r="J31" s="110">
        <f>+I31*6</f>
        <v>12</v>
      </c>
      <c r="K31" s="111">
        <f>+I31*1500000</f>
        <v>3000000</v>
      </c>
      <c r="L31" s="115">
        <v>3</v>
      </c>
      <c r="M31" s="105" t="s">
        <v>156</v>
      </c>
      <c r="N31" s="105" t="s">
        <v>189</v>
      </c>
      <c r="O31" s="122">
        <f>200*14300+200*14000</f>
        <v>5660000</v>
      </c>
    </row>
    <row r="32" spans="1:15" ht="18" customHeight="1" thickBot="1" x14ac:dyDescent="0.25">
      <c r="A32" s="573" t="s">
        <v>201</v>
      </c>
      <c r="B32" s="574"/>
      <c r="C32" s="574"/>
      <c r="D32" s="574"/>
      <c r="E32" s="574"/>
      <c r="F32" s="574"/>
      <c r="G32" s="574"/>
      <c r="H32" s="574"/>
      <c r="I32" s="574"/>
      <c r="J32" s="574"/>
      <c r="K32" s="574"/>
      <c r="L32" s="574"/>
      <c r="M32" s="574"/>
      <c r="N32" s="574"/>
      <c r="O32" s="575"/>
    </row>
    <row r="33" spans="1:15" ht="16.5" customHeight="1" thickBot="1" x14ac:dyDescent="0.25">
      <c r="A33" s="118"/>
      <c r="B33" s="124"/>
      <c r="C33" s="106" t="s">
        <v>202</v>
      </c>
      <c r="D33" s="107">
        <f>+'[1]Agricola Abangares'!E21+'[1]Agricola La Cruz'!E21+'[1]Agricola Bagaces'!E21+'[1]Agricola Hojancha'!E21+'[1]Agricola Tilaran'!E21+'[1]Agricola Liberia'!E21+'[1]Agricola Sta Cruz'!E21+'[1]Agricola Nicoya'!E21+'[1]Agricola Nandayure'!E21+'[1]Agricola Carrillo'!E21+'[1]Agricola Cañas'!E21</f>
        <v>0</v>
      </c>
      <c r="E33" s="107"/>
      <c r="F33" s="108">
        <f>+'[1]Agricola Abangares'!G21+'[1]Agricola La Cruz'!G21+'[1]Agricola Bagaces'!G21+'[1]Agricola Hojancha'!G21+'[1]Agricola Tilaran'!G21+'[1]Agricola Liberia'!G21+'[1]Agricola Sta Cruz'!G21+'[1]Agricola Nicoya'!G21+'[1]Agricola Nandayure'!G21+'[1]Agricola Carrillo'!G21+'[1]Agricola Cañas'!G21</f>
        <v>0</v>
      </c>
      <c r="G33" s="108">
        <f>+'[1]Agricola Abangares'!H21+'[1]Agricola La Cruz'!H21+'[1]Agricola Bagaces'!H21+'[1]Agricola Hojancha'!H21+'[1]Agricola Tilaran'!H21+'[1]Agricola Liberia'!H21+'[1]Agricola Sta Cruz'!H21+'[1]Agricola Nicoya'!H21+'[1]Agricola Nandayure'!H21+'[1]Agricola Carrillo'!H21+'[1]Agricola Cañas'!H21</f>
        <v>0</v>
      </c>
      <c r="H33" s="109">
        <v>0</v>
      </c>
      <c r="I33" s="110">
        <f t="shared" si="0"/>
        <v>0</v>
      </c>
      <c r="J33" s="110">
        <f>+I33*20</f>
        <v>0</v>
      </c>
      <c r="K33" s="111">
        <f>+I33*20*2000000</f>
        <v>0</v>
      </c>
      <c r="L33" s="115"/>
      <c r="M33" s="105"/>
      <c r="N33" s="105"/>
      <c r="O33" s="125"/>
    </row>
    <row r="34" spans="1:15" ht="23.25" customHeight="1" thickBot="1" x14ac:dyDescent="0.25">
      <c r="A34" s="573" t="s">
        <v>203</v>
      </c>
      <c r="B34" s="574"/>
      <c r="C34" s="574"/>
      <c r="D34" s="574"/>
      <c r="E34" s="574"/>
      <c r="F34" s="574"/>
      <c r="G34" s="574"/>
      <c r="H34" s="574"/>
      <c r="I34" s="574"/>
      <c r="J34" s="574"/>
      <c r="K34" s="574"/>
      <c r="L34" s="574"/>
      <c r="M34" s="574"/>
      <c r="N34" s="574"/>
      <c r="O34" s="575"/>
    </row>
    <row r="35" spans="1:15" ht="47.25" customHeight="1" thickBot="1" x14ac:dyDescent="0.25">
      <c r="A35" s="104" t="s">
        <v>204</v>
      </c>
      <c r="B35" s="105" t="s">
        <v>205</v>
      </c>
      <c r="C35" s="106" t="s">
        <v>49</v>
      </c>
      <c r="D35" s="107">
        <f>+'[1]Agricola Abangares'!E22+'[1]Agricola La Cruz'!E22+'[1]Agricola Bagaces'!E22+'[1]Agricola Hojancha'!E22+'[1]Agricola Tilaran'!E22+'[1]Agricola Liberia'!E22+'[1]Agricola Sta Cruz'!E22+'[1]Agricola Nicoya'!E22+'[1]Agricola Nandayure'!E22+'[1]Agricola Carrillo'!E22+'[1]Agricola Cañas'!E22</f>
        <v>43</v>
      </c>
      <c r="E35" s="107">
        <v>52</v>
      </c>
      <c r="F35" s="108">
        <f>+'[1]Agricola Abangares'!G22+'[1]Agricola La Cruz'!G22+'[1]Agricola Bagaces'!G22+'[1]Agricola Hojancha'!G22+'[1]Agricola Tilaran'!G22+'[1]Agricola Liberia'!G22+'[1]Agricola Sta Cruz'!G22+'[1]Agricola Nicoya'!G22+'[1]Agricola Nandayure'!G22+'[1]Agricola Carrillo'!G22+'[1]Agricola Cañas'!G22</f>
        <v>0</v>
      </c>
      <c r="G35" s="108">
        <f>+'[1]Agricola Abangares'!H22+'[1]Agricola La Cruz'!H22+'[1]Agricola Bagaces'!H22+'[1]Agricola Hojancha'!H22+'[1]Agricola Tilaran'!H22+'[1]Agricola Liberia'!H22+'[1]Agricola Sta Cruz'!H22+'[1]Agricola Nicoya'!H22+'[1]Agricola Nandayure'!H22+'[1]Agricola Carrillo'!H22+'[1]Agricola Cañas'!H22</f>
        <v>25</v>
      </c>
      <c r="H35" s="109">
        <v>0.6</v>
      </c>
      <c r="I35" s="110">
        <f t="shared" si="0"/>
        <v>15</v>
      </c>
      <c r="J35" s="110">
        <f>+I35*7</f>
        <v>105</v>
      </c>
      <c r="K35" s="111">
        <f>+I35*5*1000000</f>
        <v>75000000</v>
      </c>
      <c r="L35" s="115">
        <v>3</v>
      </c>
      <c r="M35" s="105" t="s">
        <v>156</v>
      </c>
      <c r="N35" s="105" t="s">
        <v>189</v>
      </c>
      <c r="O35" s="122">
        <f>200*14300+200*14000</f>
        <v>5660000</v>
      </c>
    </row>
    <row r="36" spans="1:15" ht="18" customHeight="1" thickBot="1" x14ac:dyDescent="0.25">
      <c r="A36" s="573" t="s">
        <v>206</v>
      </c>
      <c r="B36" s="574"/>
      <c r="C36" s="574"/>
      <c r="D36" s="574"/>
      <c r="E36" s="574"/>
      <c r="F36" s="574"/>
      <c r="G36" s="574"/>
      <c r="H36" s="574"/>
      <c r="I36" s="574"/>
      <c r="J36" s="574"/>
      <c r="K36" s="574"/>
      <c r="L36" s="574"/>
      <c r="M36" s="574"/>
      <c r="N36" s="574"/>
      <c r="O36" s="575"/>
    </row>
    <row r="37" spans="1:15" ht="47.25" customHeight="1" thickBot="1" x14ac:dyDescent="0.25">
      <c r="A37" s="104" t="s">
        <v>207</v>
      </c>
      <c r="B37" s="126" t="s">
        <v>208</v>
      </c>
      <c r="C37" s="106" t="s">
        <v>80</v>
      </c>
      <c r="D37" s="107">
        <f>+'[1]Agricola Abangares'!E23+'[1]Agricola La Cruz'!E23+'[1]Agricola Bagaces'!E23+'[1]Agricola Hojancha'!E23+'[1]Agricola Tilaran'!E23+'[1]Agricola Liberia'!E23+'[1]Agricola Sta Cruz'!E23+'[1]Agricola Nicoya'!E23+'[1]Agricola Nandayure'!E23+'[1]Agricola Carrillo'!E23+'[1]Agricola Cañas'!E23</f>
        <v>9</v>
      </c>
      <c r="E37" s="107">
        <v>3</v>
      </c>
      <c r="F37" s="108">
        <f>+'[1]Agricola Abangares'!G23+'[1]Agricola La Cruz'!G23+'[1]Agricola Bagaces'!G23+'[1]Agricola Hojancha'!G23+'[1]Agricola Tilaran'!G23+'[1]Agricola Liberia'!G23+'[1]Agricola Sta Cruz'!G23+'[1]Agricola Nicoya'!G23+'[1]Agricola Nandayure'!G23+'[1]Agricola Carrillo'!G23+'[1]Agricola Cañas'!G23</f>
        <v>0</v>
      </c>
      <c r="G37" s="108">
        <f>+'[1]Agricola Abangares'!H23+'[1]Agricola La Cruz'!H23+'[1]Agricola Bagaces'!H23+'[1]Agricola Hojancha'!H23+'[1]Agricola Tilaran'!H23+'[1]Agricola Liberia'!H23+'[1]Agricola Sta Cruz'!H23+'[1]Agricola Nicoya'!H23+'[1]Agricola Nandayure'!H23+'[1]Agricola Carrillo'!H23+'[1]Agricola Cañas'!H23</f>
        <v>2.75</v>
      </c>
      <c r="H37" s="109">
        <v>0.4</v>
      </c>
      <c r="I37" s="110">
        <f t="shared" si="0"/>
        <v>1.1000000000000001</v>
      </c>
      <c r="J37" s="110">
        <f>+I37*10</f>
        <v>11</v>
      </c>
      <c r="K37" s="111">
        <f>+J37*1000*500</f>
        <v>5500000</v>
      </c>
      <c r="L37" s="115">
        <v>3</v>
      </c>
      <c r="M37" s="105" t="s">
        <v>156</v>
      </c>
      <c r="N37" s="105" t="s">
        <v>209</v>
      </c>
      <c r="O37" s="122">
        <f>100*14300+100*14000</f>
        <v>2830000</v>
      </c>
    </row>
    <row r="38" spans="1:15" ht="20.25" customHeight="1" thickBot="1" x14ac:dyDescent="0.25">
      <c r="A38" s="573" t="s">
        <v>203</v>
      </c>
      <c r="B38" s="574"/>
      <c r="C38" s="574"/>
      <c r="D38" s="574"/>
      <c r="E38" s="574"/>
      <c r="F38" s="574"/>
      <c r="G38" s="574"/>
      <c r="H38" s="574"/>
      <c r="I38" s="574"/>
      <c r="J38" s="574"/>
      <c r="K38" s="574"/>
      <c r="L38" s="574"/>
      <c r="M38" s="574"/>
      <c r="N38" s="574"/>
      <c r="O38" s="575"/>
    </row>
    <row r="39" spans="1:15" ht="16.5" customHeight="1" thickBot="1" x14ac:dyDescent="0.25">
      <c r="A39" s="118"/>
      <c r="B39" s="124"/>
      <c r="C39" s="106" t="s">
        <v>210</v>
      </c>
      <c r="D39" s="107">
        <f>+'[1]Agricola Abangares'!E24+'[1]Agricola La Cruz'!E24+'[1]Agricola Bagaces'!E24+'[1]Agricola Hojancha'!E24+'[1]Agricola Tilaran'!E24+'[1]Agricola Liberia'!E24+'[1]Agricola Sta Cruz'!E24+'[1]Agricola Nicoya'!E24+'[1]Agricola Nandayure'!E24+'[1]Agricola Carrillo'!E24+'[1]Agricola Cañas'!E24</f>
        <v>0</v>
      </c>
      <c r="E39" s="107"/>
      <c r="F39" s="108">
        <f>+'[1]Agricola Abangares'!G24+'[1]Agricola La Cruz'!G24+'[1]Agricola Bagaces'!G24+'[1]Agricola Hojancha'!G24+'[1]Agricola Tilaran'!G24+'[1]Agricola Liberia'!G24+'[1]Agricola Sta Cruz'!G24+'[1]Agricola Nicoya'!G24+'[1]Agricola Nandayure'!G24+'[1]Agricola Carrillo'!G24+'[1]Agricola Cañas'!G24</f>
        <v>0</v>
      </c>
      <c r="G39" s="108">
        <f>+'[1]Agricola Abangares'!H24+'[1]Agricola La Cruz'!H24+'[1]Agricola Bagaces'!H24+'[1]Agricola Hojancha'!H24+'[1]Agricola Tilaran'!H24+'[1]Agricola Liberia'!H24+'[1]Agricola Sta Cruz'!H24+'[1]Agricola Nicoya'!H24+'[1]Agricola Nandayure'!H24+'[1]Agricola Carrillo'!H24+'[1]Agricola Cañas'!H24</f>
        <v>0</v>
      </c>
      <c r="H39" s="109">
        <v>0</v>
      </c>
      <c r="I39" s="110">
        <f t="shared" si="0"/>
        <v>0</v>
      </c>
      <c r="J39" s="110">
        <f>+I39*1.5</f>
        <v>0</v>
      </c>
      <c r="K39" s="111">
        <f>+I39*1.5*1500000</f>
        <v>0</v>
      </c>
      <c r="L39" s="115"/>
      <c r="M39" s="105"/>
      <c r="N39" s="105"/>
      <c r="O39" s="125"/>
    </row>
    <row r="40" spans="1:15" ht="20.25" customHeight="1" thickBot="1" x14ac:dyDescent="0.25">
      <c r="A40" s="573" t="s">
        <v>201</v>
      </c>
      <c r="B40" s="574"/>
      <c r="C40" s="574"/>
      <c r="D40" s="574"/>
      <c r="E40" s="574"/>
      <c r="F40" s="574"/>
      <c r="G40" s="574"/>
      <c r="H40" s="574"/>
      <c r="I40" s="574"/>
      <c r="J40" s="574"/>
      <c r="K40" s="574"/>
      <c r="L40" s="574"/>
      <c r="M40" s="574"/>
      <c r="N40" s="574"/>
      <c r="O40" s="575"/>
    </row>
    <row r="41" spans="1:15" ht="16.5" customHeight="1" thickBot="1" x14ac:dyDescent="0.25">
      <c r="A41" s="127"/>
      <c r="B41" s="128"/>
      <c r="C41" s="106" t="s">
        <v>211</v>
      </c>
      <c r="D41" s="107">
        <f>+'[1]Agricola Abangares'!E25+'[1]Agricola La Cruz'!E25+'[1]Agricola Bagaces'!E25+'[1]Agricola Hojancha'!E25+'[1]Agricola Tilaran'!E25+'[1]Agricola Liberia'!E25+'[1]Agricola Sta Cruz'!E25+'[1]Agricola Nicoya'!E25+'[1]Agricola Nandayure'!E25+'[1]Agricola Carrillo'!E25+'[1]Agricola Cañas'!E25</f>
        <v>20</v>
      </c>
      <c r="E41" s="107">
        <v>120</v>
      </c>
      <c r="F41" s="108">
        <f>+'[1]Agricola Abangares'!G25+'[1]Agricola La Cruz'!G25+'[1]Agricola Bagaces'!G25+'[1]Agricola Hojancha'!G25+'[1]Agricola Tilaran'!G25+'[1]Agricola Liberia'!G25+'[1]Agricola Sta Cruz'!G25+'[1]Agricola Nicoya'!G25+'[1]Agricola Nandayure'!G25+'[1]Agricola Carrillo'!G25+'[1]Agricola Cañas'!G25</f>
        <v>0</v>
      </c>
      <c r="G41" s="108">
        <f>+'[1]Agricola Abangares'!H25+'[1]Agricola La Cruz'!H25+'[1]Agricola Bagaces'!H25+'[1]Agricola Hojancha'!H25+'[1]Agricola Tilaran'!H25+'[1]Agricola Liberia'!H25+'[1]Agricola Sta Cruz'!H25+'[1]Agricola Nicoya'!H25+'[1]Agricola Nandayure'!H25+'[1]Agricola Carrillo'!H25+'[1]Agricola Cañas'!H25</f>
        <v>20</v>
      </c>
      <c r="H41" s="109">
        <v>0.25</v>
      </c>
      <c r="I41" s="110">
        <f t="shared" si="0"/>
        <v>5</v>
      </c>
      <c r="J41" s="110">
        <f>+I41*80</f>
        <v>400</v>
      </c>
      <c r="K41" s="111">
        <f>+I41*5000000</f>
        <v>25000000</v>
      </c>
      <c r="L41" s="129">
        <v>3</v>
      </c>
      <c r="M41" s="105" t="s">
        <v>156</v>
      </c>
      <c r="N41" s="130"/>
      <c r="O41" s="131"/>
    </row>
    <row r="42" spans="1:15" ht="20.25" customHeight="1" thickBot="1" x14ac:dyDescent="0.25">
      <c r="A42" s="573" t="s">
        <v>201</v>
      </c>
      <c r="B42" s="574"/>
      <c r="C42" s="574"/>
      <c r="D42" s="574"/>
      <c r="E42" s="574"/>
      <c r="F42" s="574"/>
      <c r="G42" s="574"/>
      <c r="H42" s="574"/>
      <c r="I42" s="574"/>
      <c r="J42" s="574"/>
      <c r="K42" s="574"/>
      <c r="L42" s="574"/>
      <c r="M42" s="574"/>
      <c r="N42" s="574"/>
      <c r="O42" s="575"/>
    </row>
    <row r="43" spans="1:15" ht="16.5" customHeight="1" thickBot="1" x14ac:dyDescent="0.25">
      <c r="A43" s="127"/>
      <c r="B43" s="128"/>
      <c r="C43" s="106" t="s">
        <v>212</v>
      </c>
      <c r="D43" s="107">
        <f>+'[1]Agricola Abangares'!E26+'[1]Agricola La Cruz'!E26+'[1]Agricola Bagaces'!E26+'[1]Agricola Hojancha'!E26+'[1]Agricola Tilaran'!E26+'[1]Agricola Liberia'!E26+'[1]Agricola Sta Cruz'!E26+'[1]Agricola Nicoya'!E26+'[1]Agricola Nandayure'!E26+'[1]Agricola Carrillo'!E26+'[1]Agricola Cañas'!E26</f>
        <v>0</v>
      </c>
      <c r="E43" s="107"/>
      <c r="F43" s="108">
        <f>+'[1]Agricola Abangares'!G26+'[1]Agricola La Cruz'!G26+'[1]Agricola Bagaces'!G26+'[1]Agricola Hojancha'!G26+'[1]Agricola Tilaran'!G26+'[1]Agricola Liberia'!G26+'[1]Agricola Sta Cruz'!G26+'[1]Agricola Nicoya'!G26+'[1]Agricola Nandayure'!G26+'[1]Agricola Carrillo'!G26+'[1]Agricola Cañas'!G26</f>
        <v>0</v>
      </c>
      <c r="G43" s="108">
        <f>+'[1]Agricola Abangares'!H26+'[1]Agricola La Cruz'!H26+'[1]Agricola Bagaces'!H26+'[1]Agricola Hojancha'!H26+'[1]Agricola Tilaran'!H26+'[1]Agricola Liberia'!H26+'[1]Agricola Sta Cruz'!H26+'[1]Agricola Nicoya'!H26+'[1]Agricola Nandayure'!H26+'[1]Agricola Carrillo'!H26+'[1]Agricola Cañas'!H26</f>
        <v>0</v>
      </c>
      <c r="H43" s="109">
        <v>0</v>
      </c>
      <c r="I43" s="110">
        <f t="shared" si="0"/>
        <v>0</v>
      </c>
      <c r="J43" s="110">
        <f>+I43*4</f>
        <v>0</v>
      </c>
      <c r="K43" s="111">
        <f>+I43*3000000</f>
        <v>0</v>
      </c>
      <c r="L43" s="129"/>
      <c r="M43" s="132"/>
      <c r="N43" s="132"/>
      <c r="O43" s="131"/>
    </row>
    <row r="44" spans="1:15" ht="21" customHeight="1" thickBot="1" x14ac:dyDescent="0.25">
      <c r="A44" s="573" t="s">
        <v>213</v>
      </c>
      <c r="B44" s="574"/>
      <c r="C44" s="574"/>
      <c r="D44" s="574"/>
      <c r="E44" s="574"/>
      <c r="F44" s="574"/>
      <c r="G44" s="574"/>
      <c r="H44" s="574"/>
      <c r="I44" s="574"/>
      <c r="J44" s="574"/>
      <c r="K44" s="574"/>
      <c r="L44" s="574"/>
      <c r="M44" s="574"/>
      <c r="N44" s="574"/>
      <c r="O44" s="575"/>
    </row>
    <row r="45" spans="1:15" ht="27.75" customHeight="1" thickBot="1" x14ac:dyDescent="0.25">
      <c r="A45" s="133" t="s">
        <v>214</v>
      </c>
      <c r="B45" s="132" t="s">
        <v>215</v>
      </c>
      <c r="C45" s="106" t="s">
        <v>216</v>
      </c>
      <c r="D45" s="107">
        <f>+'[1]Agricola Abangares'!E27+'[1]Agricola La Cruz'!E27+'[1]Agricola Bagaces'!E27+'[1]Agricola Hojancha'!E27+'[1]Agricola Tilaran'!E27+'[1]Agricola Liberia'!E27+'[1]Agricola Sta Cruz'!E27+'[1]Agricola Nicoya'!E27+'[1]Agricola Nandayure'!E27+'[1]Agricola Carrillo'!E27+'[1]Agricola Cañas'!E27</f>
        <v>23</v>
      </c>
      <c r="E45" s="107">
        <v>24</v>
      </c>
      <c r="F45" s="108">
        <f>+'[1]Agricola Abangares'!G27+'[1]Agricola La Cruz'!G27+'[1]Agricola Bagaces'!G27+'[1]Agricola Hojancha'!G27+'[1]Agricola Tilaran'!G27+'[1]Agricola Liberia'!G27+'[1]Agricola Sta Cruz'!G27+'[1]Agricola Nicoya'!G27+'[1]Agricola Nandayure'!G27+'[1]Agricola Carrillo'!G27+'[1]Agricola Cañas'!G27</f>
        <v>2</v>
      </c>
      <c r="G45" s="108">
        <f>+'[1]Agricola Abangares'!H27+'[1]Agricola La Cruz'!H27+'[1]Agricola Bagaces'!H27+'[1]Agricola Hojancha'!H27+'[1]Agricola Tilaran'!H27+'[1]Agricola Liberia'!H27+'[1]Agricola Sta Cruz'!H27+'[1]Agricola Nicoya'!H27+'[1]Agricola Nandayure'!H27+'[1]Agricola Carrillo'!H27+'[1]Agricola Cañas'!H27</f>
        <v>4</v>
      </c>
      <c r="H45" s="109">
        <v>0.3</v>
      </c>
      <c r="I45" s="110">
        <f t="shared" si="0"/>
        <v>3.2</v>
      </c>
      <c r="J45" s="110">
        <f>+I45*45</f>
        <v>144</v>
      </c>
      <c r="K45" s="111">
        <f>+I45*5000000</f>
        <v>16000000</v>
      </c>
      <c r="L45" s="129">
        <v>3</v>
      </c>
      <c r="M45" s="134"/>
      <c r="N45" s="135"/>
      <c r="O45" s="131">
        <v>0</v>
      </c>
    </row>
    <row r="46" spans="1:15" ht="21" customHeight="1" thickBot="1" x14ac:dyDescent="0.25">
      <c r="A46" s="573" t="s">
        <v>153</v>
      </c>
      <c r="B46" s="574"/>
      <c r="C46" s="574"/>
      <c r="D46" s="574"/>
      <c r="E46" s="574"/>
      <c r="F46" s="574"/>
      <c r="G46" s="574"/>
      <c r="H46" s="574"/>
      <c r="I46" s="574"/>
      <c r="J46" s="574"/>
      <c r="K46" s="574"/>
      <c r="L46" s="574"/>
      <c r="M46" s="574"/>
      <c r="N46" s="574"/>
      <c r="O46" s="575"/>
    </row>
    <row r="47" spans="1:15" ht="45.75" customHeight="1" thickBot="1" x14ac:dyDescent="0.25">
      <c r="A47" s="127" t="s">
        <v>217</v>
      </c>
      <c r="B47" s="128" t="s">
        <v>218</v>
      </c>
      <c r="C47" s="106" t="s">
        <v>118</v>
      </c>
      <c r="D47" s="107">
        <f>+'[1]Agricola Abangares'!E28+'[1]Agricola La Cruz'!E28+'[1]Agricola Bagaces'!E28+'[1]Agricola Hojancha'!E28+'[1]Agricola Tilaran'!E28+'[1]Agricola Liberia'!E28+'[1]Agricola Sta Cruz'!E28+'[1]Agricola Nicoya'!E28+'[1]Agricola Nandayure'!E28+'[1]Agricola Carrillo'!E28+'[1]Agricola Cañas'!E28</f>
        <v>25</v>
      </c>
      <c r="E47" s="107">
        <v>31</v>
      </c>
      <c r="F47" s="108">
        <f>+'[1]Agricola Abangares'!G28+'[1]Agricola La Cruz'!G28+'[1]Agricola Bagaces'!G28+'[1]Agricola Hojancha'!G28+'[1]Agricola Tilaran'!G28+'[1]Agricola Liberia'!G28+'[1]Agricola Sta Cruz'!G28+'[1]Agricola Nicoya'!G28+'[1]Agricola Nandayure'!G28+'[1]Agricola Carrillo'!G28+'[1]Agricola Cañas'!G28</f>
        <v>7</v>
      </c>
      <c r="G47" s="108">
        <f>+'[1]Agricola Abangares'!H28+'[1]Agricola La Cruz'!H28+'[1]Agricola Bagaces'!H28+'[1]Agricola Hojancha'!H28+'[1]Agricola Tilaran'!H28+'[1]Agricola Liberia'!H28+'[1]Agricola Sta Cruz'!H28+'[1]Agricola Nicoya'!H28+'[1]Agricola Nandayure'!H28+'[1]Agricola Carrillo'!H28+'[1]Agricola Cañas'!H28</f>
        <v>17</v>
      </c>
      <c r="H47" s="109">
        <v>0.4</v>
      </c>
      <c r="I47" s="110">
        <f t="shared" si="0"/>
        <v>13.8</v>
      </c>
      <c r="J47" s="110">
        <f>+I47*20</f>
        <v>276</v>
      </c>
      <c r="K47" s="111">
        <f>+I47*5000000</f>
        <v>69000000</v>
      </c>
      <c r="L47" s="129">
        <v>2</v>
      </c>
      <c r="M47" s="105" t="s">
        <v>156</v>
      </c>
      <c r="N47" s="132" t="s">
        <v>219</v>
      </c>
      <c r="O47" s="136">
        <f>100*48000</f>
        <v>4800000</v>
      </c>
    </row>
    <row r="48" spans="1:15" ht="18.75" customHeight="1" thickBot="1" x14ac:dyDescent="0.25">
      <c r="A48" s="573" t="s">
        <v>153</v>
      </c>
      <c r="B48" s="574"/>
      <c r="C48" s="574"/>
      <c r="D48" s="574"/>
      <c r="E48" s="574"/>
      <c r="F48" s="574"/>
      <c r="G48" s="574"/>
      <c r="H48" s="574"/>
      <c r="I48" s="574"/>
      <c r="J48" s="574"/>
      <c r="K48" s="574"/>
      <c r="L48" s="574"/>
      <c r="M48" s="574"/>
      <c r="N48" s="574"/>
      <c r="O48" s="575"/>
    </row>
    <row r="49" spans="1:15" ht="58.5" customHeight="1" thickBot="1" x14ac:dyDescent="0.25">
      <c r="A49" s="123" t="s">
        <v>220</v>
      </c>
      <c r="B49" s="126" t="s">
        <v>221</v>
      </c>
      <c r="C49" s="120" t="s">
        <v>222</v>
      </c>
      <c r="D49" s="107">
        <f>+'[1]Agricola Abangares'!E29+'[1]Agricola La Cruz'!E29+'[1]Agricola Bagaces'!E29+'[1]Agricola Hojancha'!E29+'[1]Agricola Tilaran'!E29+'[1]Agricola Liberia'!E29+'[1]Agricola Sta Cruz'!E29+'[1]Agricola Nicoya'!E29+'[1]Agricola Nandayure'!E29+'[1]Agricola Carrillo'!E29+'[1]Agricola Cañas'!E29</f>
        <v>29</v>
      </c>
      <c r="E49" s="107">
        <v>38</v>
      </c>
      <c r="F49" s="108">
        <f>+'[1]Agricola Abangares'!G29+'[1]Agricola La Cruz'!G29+'[1]Agricola Bagaces'!G29+'[1]Agricola Hojancha'!G29+'[1]Agricola Tilaran'!G29+'[1]Agricola Liberia'!G29+'[1]Agricola Sta Cruz'!G29+'[1]Agricola Nicoya'!G29+'[1]Agricola Nandayure'!G29+'[1]Agricola Carrillo'!G29+'[1]Agricola Cañas'!G29</f>
        <v>13.5</v>
      </c>
      <c r="G49" s="108">
        <f>+'[1]Agricola Abangares'!H29+'[1]Agricola La Cruz'!H29+'[1]Agricola Bagaces'!H29+'[1]Agricola Hojancha'!H29+'[1]Agricola Tilaran'!H29+'[1]Agricola Liberia'!H29+'[1]Agricola Sta Cruz'!H29+'[1]Agricola Nicoya'!H29+'[1]Agricola Nandayure'!H29+'[1]Agricola Carrillo'!H29+'[1]Agricola Cañas'!H29</f>
        <v>24</v>
      </c>
      <c r="H49" s="109">
        <v>0.4</v>
      </c>
      <c r="I49" s="110">
        <f t="shared" si="0"/>
        <v>23.1</v>
      </c>
      <c r="J49" s="110">
        <f>+I49*12</f>
        <v>277.20000000000005</v>
      </c>
      <c r="K49" s="111">
        <f>+I49*4500000</f>
        <v>103950000</v>
      </c>
      <c r="L49" s="129">
        <v>2</v>
      </c>
      <c r="M49" s="105" t="s">
        <v>156</v>
      </c>
      <c r="N49" s="132" t="s">
        <v>223</v>
      </c>
      <c r="O49" s="136">
        <f>250000*10+160000*10</f>
        <v>4100000</v>
      </c>
    </row>
    <row r="50" spans="1:15" ht="18.75" customHeight="1" thickBot="1" x14ac:dyDescent="0.25">
      <c r="A50" s="573" t="s">
        <v>224</v>
      </c>
      <c r="B50" s="574"/>
      <c r="C50" s="574"/>
      <c r="D50" s="574"/>
      <c r="E50" s="574"/>
      <c r="F50" s="574"/>
      <c r="G50" s="574"/>
      <c r="H50" s="574"/>
      <c r="I50" s="574"/>
      <c r="J50" s="574"/>
      <c r="K50" s="574"/>
      <c r="L50" s="574"/>
      <c r="M50" s="574"/>
      <c r="N50" s="574"/>
      <c r="O50" s="575"/>
    </row>
    <row r="51" spans="1:15" ht="47.25" customHeight="1" thickBot="1" x14ac:dyDescent="0.25">
      <c r="A51" s="123" t="s">
        <v>225</v>
      </c>
      <c r="B51" s="126" t="s">
        <v>226</v>
      </c>
      <c r="C51" s="120" t="s">
        <v>227</v>
      </c>
      <c r="D51" s="107">
        <f>+'[1]Agricola Abangares'!E30+'[1]Agricola La Cruz'!E30+'[1]Agricola Bagaces'!E30+'[1]Agricola Hojancha'!E30+'[1]Agricola Tilaran'!E30+'[1]Agricola Liberia'!E30+'[1]Agricola Sta Cruz'!E30+'[1]Agricola Nicoya'!E30+'[1]Agricola Nandayure'!E30+'[1]Agricola Carrillo'!E30+'[1]Agricola Cañas'!E30</f>
        <v>47</v>
      </c>
      <c r="E51" s="107">
        <v>72</v>
      </c>
      <c r="F51" s="108">
        <f>+'[1]Agricola Abangares'!G30+'[1]Agricola La Cruz'!G30+'[1]Agricola Bagaces'!G30+'[1]Agricola Hojancha'!G30+'[1]Agricola Tilaran'!G30+'[1]Agricola Liberia'!G30+'[1]Agricola Sta Cruz'!G30+'[1]Agricola Nicoya'!G30+'[1]Agricola Nandayure'!G30+'[1]Agricola Carrillo'!G30+'[1]Agricola Cañas'!G30</f>
        <v>0</v>
      </c>
      <c r="G51" s="108">
        <f>+'[1]Agricola Abangares'!H30+'[1]Agricola La Cruz'!H30+'[1]Agricola Bagaces'!H30+'[1]Agricola Hojancha'!H30+'[1]Agricola Tilaran'!H30+'[1]Agricola Liberia'!H30+'[1]Agricola Sta Cruz'!H30+'[1]Agricola Nicoya'!H30+'[1]Agricola Nandayure'!H30+'[1]Agricola Carrillo'!H30+'[1]Agricola Cañas'!H30</f>
        <v>63</v>
      </c>
      <c r="H51" s="109">
        <v>0.25</v>
      </c>
      <c r="I51" s="110">
        <f t="shared" si="0"/>
        <v>15.75</v>
      </c>
      <c r="J51" s="110">
        <f>+I51*18</f>
        <v>283.5</v>
      </c>
      <c r="K51" s="111">
        <f>+I51*4500000</f>
        <v>70875000</v>
      </c>
      <c r="L51" s="129">
        <v>2</v>
      </c>
      <c r="M51" s="132" t="s">
        <v>156</v>
      </c>
      <c r="N51" s="105" t="s">
        <v>228</v>
      </c>
      <c r="O51" s="117">
        <f>100*14300+100*14000</f>
        <v>2830000</v>
      </c>
    </row>
    <row r="52" spans="1:15" ht="19.5" customHeight="1" thickBot="1" x14ac:dyDescent="0.25">
      <c r="A52" s="573" t="s">
        <v>229</v>
      </c>
      <c r="B52" s="574"/>
      <c r="C52" s="574"/>
      <c r="D52" s="574"/>
      <c r="E52" s="574"/>
      <c r="F52" s="574"/>
      <c r="G52" s="574"/>
      <c r="H52" s="574"/>
      <c r="I52" s="574"/>
      <c r="J52" s="574"/>
      <c r="K52" s="574"/>
      <c r="L52" s="574"/>
      <c r="M52" s="574"/>
      <c r="N52" s="574"/>
      <c r="O52" s="575"/>
    </row>
    <row r="53" spans="1:15" ht="46.5" customHeight="1" thickBot="1" x14ac:dyDescent="0.25">
      <c r="A53" s="127" t="s">
        <v>230</v>
      </c>
      <c r="B53" s="137" t="s">
        <v>231</v>
      </c>
      <c r="C53" s="120" t="s">
        <v>134</v>
      </c>
      <c r="D53" s="107">
        <f>+'[1]Agricola Abangares'!E31+'[1]Agricola La Cruz'!E31+'[1]Agricola Bagaces'!E31+'[1]Agricola Hojancha'!E31+'[1]Agricola Tilaran'!E31+'[1]Agricola Liberia'!E31+'[1]Agricola Sta Cruz'!E31+'[1]Agricola Nicoya'!E31+'[1]Agricola Nandayure'!E31+'[1]Agricola Carrillo'!E31+'[1]Agricola Cañas'!E31</f>
        <v>165</v>
      </c>
      <c r="E53" s="107">
        <v>45</v>
      </c>
      <c r="F53" s="108">
        <f>+'[1]Agricola Abangares'!G31+'[1]Agricola La Cruz'!G31+'[1]Agricola Bagaces'!G31+'[1]Agricola Hojancha'!G31+'[1]Agricola Tilaran'!G31+'[1]Agricola Liberia'!G31+'[1]Agricola Sta Cruz'!G31+'[1]Agricola Nicoya'!G31+'[1]Agricola Nandayure'!G31+'[1]Agricola Carrillo'!G31+'[1]Agricola Cañas'!G31</f>
        <v>2</v>
      </c>
      <c r="G53" s="108">
        <f>+'[1]Agricola Abangares'!H31+'[1]Agricola La Cruz'!H31+'[1]Agricola Bagaces'!H31+'[1]Agricola Hojancha'!H31+'[1]Agricola Tilaran'!H31+'[1]Agricola Liberia'!H31+'[1]Agricola Sta Cruz'!H31+'[1]Agricola Nicoya'!H31+'[1]Agricola Nandayure'!H31+'[1]Agricola Carrillo'!H31+'[1]Agricola Cañas'!H31</f>
        <v>38</v>
      </c>
      <c r="H53" s="109">
        <v>0.4</v>
      </c>
      <c r="I53" s="110">
        <f t="shared" si="0"/>
        <v>17.200000000000003</v>
      </c>
      <c r="J53" s="110">
        <f>+I53*15</f>
        <v>258.00000000000006</v>
      </c>
      <c r="K53" s="111">
        <f>+I53*1000000</f>
        <v>17200000.000000004</v>
      </c>
      <c r="L53" s="129">
        <v>2</v>
      </c>
      <c r="M53" s="132" t="s">
        <v>156</v>
      </c>
      <c r="N53" s="105" t="s">
        <v>189</v>
      </c>
      <c r="O53" s="117">
        <f>200*14300+200*14000</f>
        <v>5660000</v>
      </c>
    </row>
    <row r="54" spans="1:15" ht="24.75" customHeight="1" thickBot="1" x14ac:dyDescent="0.25">
      <c r="A54" s="573" t="s">
        <v>213</v>
      </c>
      <c r="B54" s="574"/>
      <c r="C54" s="574"/>
      <c r="D54" s="574"/>
      <c r="E54" s="574"/>
      <c r="F54" s="574"/>
      <c r="G54" s="574"/>
      <c r="H54" s="574"/>
      <c r="I54" s="574"/>
      <c r="J54" s="574"/>
      <c r="K54" s="574"/>
      <c r="L54" s="574"/>
      <c r="M54" s="574"/>
      <c r="N54" s="574"/>
      <c r="O54" s="575"/>
    </row>
    <row r="55" spans="1:15" ht="19.5" customHeight="1" thickBot="1" x14ac:dyDescent="0.25">
      <c r="A55" s="138" t="s">
        <v>232</v>
      </c>
      <c r="B55" s="137" t="s">
        <v>215</v>
      </c>
      <c r="C55" s="120" t="s">
        <v>233</v>
      </c>
      <c r="D55" s="107">
        <f>+'[1]Agricola Abangares'!E32+'[1]Agricola La Cruz'!E32+'[1]Agricola Bagaces'!E32+'[1]Agricola Hojancha'!E32+'[1]Agricola Tilaran'!E32+'[1]Agricola Liberia'!E32+'[1]Agricola Sta Cruz'!E32+'[1]Agricola Nicoya'!E32+'[1]Agricola Nandayure'!E32+'[1]Agricola Carrillo'!E32+'[1]Agricola Cañas'!E32</f>
        <v>8</v>
      </c>
      <c r="E55" s="107">
        <v>11</v>
      </c>
      <c r="F55" s="108">
        <f>+'[1]Agricola Abangares'!G32+'[1]Agricola La Cruz'!G32+'[1]Agricola Bagaces'!G32+'[1]Agricola Hojancha'!G32+'[1]Agricola Tilaran'!G32+'[1]Agricola Liberia'!G32+'[1]Agricola Sta Cruz'!G32+'[1]Agricola Nicoya'!G32+'[1]Agricola Nandayure'!G32+'[1]Agricola Carrillo'!G32+'[1]Agricola Cañas'!G32</f>
        <v>4</v>
      </c>
      <c r="G55" s="108">
        <f>+'[1]Agricola Abangares'!H32+'[1]Agricola La Cruz'!H32+'[1]Agricola Bagaces'!H32+'[1]Agricola Hojancha'!H32+'[1]Agricola Tilaran'!H32+'[1]Agricola Liberia'!H32+'[1]Agricola Sta Cruz'!H32+'[1]Agricola Nicoya'!H32+'[1]Agricola Nandayure'!H32+'[1]Agricola Carrillo'!H32+'[1]Agricola Cañas'!H32</f>
        <v>7</v>
      </c>
      <c r="H55" s="109">
        <v>0.25</v>
      </c>
      <c r="I55" s="110">
        <f t="shared" si="0"/>
        <v>5.75</v>
      </c>
      <c r="J55" s="110">
        <f>+I55*15</f>
        <v>86.25</v>
      </c>
      <c r="K55" s="111">
        <f>+I55*1500000</f>
        <v>8625000</v>
      </c>
      <c r="L55" s="129">
        <v>3</v>
      </c>
      <c r="M55" s="132"/>
      <c r="N55" s="132"/>
      <c r="O55" s="131"/>
    </row>
    <row r="56" spans="1:15" ht="20.25" customHeight="1" thickBot="1" x14ac:dyDescent="0.25">
      <c r="A56" s="593" t="s">
        <v>234</v>
      </c>
      <c r="B56" s="594"/>
      <c r="C56" s="594"/>
      <c r="D56" s="594"/>
      <c r="E56" s="594"/>
      <c r="F56" s="594"/>
      <c r="G56" s="594"/>
      <c r="H56" s="594"/>
      <c r="I56" s="594"/>
      <c r="J56" s="594"/>
      <c r="K56" s="594"/>
      <c r="L56" s="594"/>
      <c r="M56" s="594"/>
      <c r="N56" s="594"/>
      <c r="O56" s="595"/>
    </row>
    <row r="57" spans="1:15" ht="48.75" customHeight="1" thickBot="1" x14ac:dyDescent="0.25">
      <c r="A57" s="139" t="s">
        <v>235</v>
      </c>
      <c r="B57" s="140" t="s">
        <v>236</v>
      </c>
      <c r="C57" s="106" t="s">
        <v>237</v>
      </c>
      <c r="D57" s="107">
        <f>+'[1]Agricola Abangares'!E33+'[1]Agricola La Cruz'!E33+'[1]Agricola Bagaces'!E33+'[1]Agricola Hojancha'!E33+'[1]Agricola Tilaran'!E33+'[1]Agricola Liberia'!E33+'[1]Agricola Sta Cruz'!E33+'[1]Agricola Nicoya'!E33+'[1]Agricola Nandayure'!E33+'[1]Agricola Carrillo'!E33+'[1]Agricola Cañas'!E33</f>
        <v>13</v>
      </c>
      <c r="E57" s="107">
        <v>2</v>
      </c>
      <c r="F57" s="108">
        <f>+'[1]Agricola Abangares'!G33+'[1]Agricola La Cruz'!G33+'[1]Agricola Bagaces'!G33+'[1]Agricola Hojancha'!G33+'[1]Agricola Tilaran'!G33+'[1]Agricola Liberia'!G33+'[1]Agricola Sta Cruz'!G33+'[1]Agricola Nicoya'!G33+'[1]Agricola Nandayure'!G33+'[1]Agricola Carrillo'!G33+'[1]Agricola Cañas'!G33</f>
        <v>0.3</v>
      </c>
      <c r="G57" s="108">
        <f>+'[1]Agricola Abangares'!H33+'[1]Agricola La Cruz'!H33+'[1]Agricola Bagaces'!H33+'[1]Agricola Hojancha'!H33+'[1]Agricola Tilaran'!H33+'[1]Agricola Liberia'!H33+'[1]Agricola Sta Cruz'!H33+'[1]Agricola Nicoya'!H33+'[1]Agricola Nandayure'!H33+'[1]Agricola Carrillo'!H33+'[1]Agricola Cañas'!H33</f>
        <v>0.42000000000000004</v>
      </c>
      <c r="H57" s="109">
        <v>0.05</v>
      </c>
      <c r="I57" s="110">
        <f t="shared" si="0"/>
        <v>0.32100000000000001</v>
      </c>
      <c r="J57" s="110">
        <f>+I57*6</f>
        <v>1.9260000000000002</v>
      </c>
      <c r="K57" s="111">
        <f>+I57*3000000</f>
        <v>963000</v>
      </c>
      <c r="L57" s="141">
        <v>3</v>
      </c>
      <c r="M57" s="130" t="s">
        <v>156</v>
      </c>
      <c r="N57" s="130" t="s">
        <v>238</v>
      </c>
      <c r="O57" s="142">
        <f>10*38000+10*52000</f>
        <v>900000</v>
      </c>
    </row>
    <row r="58" spans="1:15" ht="21" customHeight="1" thickBot="1" x14ac:dyDescent="0.25">
      <c r="A58" s="573" t="s">
        <v>239</v>
      </c>
      <c r="B58" s="574"/>
      <c r="C58" s="574"/>
      <c r="D58" s="574"/>
      <c r="E58" s="574"/>
      <c r="F58" s="574"/>
      <c r="G58" s="574"/>
      <c r="H58" s="574"/>
      <c r="I58" s="574"/>
      <c r="J58" s="574"/>
      <c r="K58" s="574"/>
      <c r="L58" s="574"/>
      <c r="M58" s="574"/>
      <c r="N58" s="574"/>
      <c r="O58" s="575"/>
    </row>
    <row r="59" spans="1:15" ht="29.25" customHeight="1" thickBot="1" x14ac:dyDescent="0.25">
      <c r="A59" s="138" t="s">
        <v>240</v>
      </c>
      <c r="B59" s="137" t="s">
        <v>241</v>
      </c>
      <c r="C59" s="106" t="s">
        <v>242</v>
      </c>
      <c r="D59" s="107">
        <f>+'[1]Agricola Abangares'!E34+'[1]Agricola La Cruz'!E34+'[1]Agricola Bagaces'!E34+'[1]Agricola Hojancha'!E34+'[1]Agricola Tilaran'!E34+'[1]Agricola Liberia'!E34+'[1]Agricola Sta Cruz'!E34+'[1]Agricola Nicoya'!E34+'[1]Agricola Nandayure'!E34+'[1]Agricola Carrillo'!E34+'[1]Agricola Cañas'!E34</f>
        <v>3</v>
      </c>
      <c r="E59" s="107">
        <v>5</v>
      </c>
      <c r="F59" s="108">
        <f>+'[1]Agricola Abangares'!G34+'[1]Agricola La Cruz'!G34+'[1]Agricola Bagaces'!G34+'[1]Agricola Hojancha'!G34+'[1]Agricola Tilaran'!G34+'[1]Agricola Liberia'!G34+'[1]Agricola Sta Cruz'!G34+'[1]Agricola Nicoya'!G34+'[1]Agricola Nandayure'!G34+'[1]Agricola Carrillo'!G34+'[1]Agricola Cañas'!G34</f>
        <v>1</v>
      </c>
      <c r="G59" s="108">
        <f>+'[1]Agricola Abangares'!H34+'[1]Agricola La Cruz'!H34+'[1]Agricola Bagaces'!H34+'[1]Agricola Hojancha'!H34+'[1]Agricola Tilaran'!H34+'[1]Agricola Liberia'!H34+'[1]Agricola Sta Cruz'!H34+'[1]Agricola Nicoya'!H34+'[1]Agricola Nandayure'!H34+'[1]Agricola Carrillo'!H34+'[1]Agricola Cañas'!H34</f>
        <v>4</v>
      </c>
      <c r="H59" s="109">
        <v>0.1</v>
      </c>
      <c r="I59" s="110">
        <f t="shared" si="0"/>
        <v>1.4</v>
      </c>
      <c r="J59" s="110">
        <f>+I59*4</f>
        <v>5.6</v>
      </c>
      <c r="K59" s="111">
        <f>+I59*3000000</f>
        <v>4200000</v>
      </c>
      <c r="L59" s="129">
        <v>3</v>
      </c>
      <c r="M59" s="132" t="s">
        <v>156</v>
      </c>
      <c r="N59" s="132" t="s">
        <v>243</v>
      </c>
      <c r="O59" s="136">
        <f>20*7000</f>
        <v>140000</v>
      </c>
    </row>
    <row r="60" spans="1:15" ht="20.25" customHeight="1" thickBot="1" x14ac:dyDescent="0.25">
      <c r="A60" s="573" t="s">
        <v>244</v>
      </c>
      <c r="B60" s="574"/>
      <c r="C60" s="574"/>
      <c r="D60" s="574"/>
      <c r="E60" s="574"/>
      <c r="F60" s="574"/>
      <c r="G60" s="574"/>
      <c r="H60" s="574"/>
      <c r="I60" s="574"/>
      <c r="J60" s="574"/>
      <c r="K60" s="574"/>
      <c r="L60" s="574"/>
      <c r="M60" s="574"/>
      <c r="N60" s="574"/>
      <c r="O60" s="575"/>
    </row>
    <row r="61" spans="1:15" ht="47.25" customHeight="1" thickBot="1" x14ac:dyDescent="0.25">
      <c r="A61" s="143" t="s">
        <v>245</v>
      </c>
      <c r="B61" s="132" t="s">
        <v>246</v>
      </c>
      <c r="C61" s="106" t="s">
        <v>247</v>
      </c>
      <c r="D61" s="107">
        <f>+'[1]Agricola Abangares'!E35+'[1]Agricola La Cruz'!E35+'[1]Agricola Bagaces'!E35+'[1]Agricola Hojancha'!E35+'[1]Agricola Tilaran'!E35+'[1]Agricola Liberia'!E35+'[1]Agricola Sta Cruz'!E35+'[1]Agricola Nicoya'!E35+'[1]Agricola Nandayure'!E35+'[1]Agricola Carrillo'!E35+'[1]Agricola Cañas'!E35</f>
        <v>404</v>
      </c>
      <c r="E61" s="107">
        <v>603</v>
      </c>
      <c r="F61" s="108">
        <f>+'[1]Agricola Abangares'!G35+'[1]Agricola La Cruz'!G35+'[1]Agricola Bagaces'!G35+'[1]Agricola Hojancha'!G35+'[1]Agricola Tilaran'!G35+'[1]Agricola Liberia'!G35+'[1]Agricola Sta Cruz'!G35+'[1]Agricola Nicoya'!G35+'[1]Agricola Nandayure'!G35+'[1]Agricola Carrillo'!G35+'[1]Agricola Cañas'!G35</f>
        <v>2.5</v>
      </c>
      <c r="G61" s="108">
        <f>+'[1]Agricola Abangares'!H35+'[1]Agricola La Cruz'!H35+'[1]Agricola Bagaces'!H35+'[1]Agricola Hojancha'!H35+'[1]Agricola Tilaran'!H35+'[1]Agricola Liberia'!H35+'[1]Agricola Sta Cruz'!H35+'[1]Agricola Nicoya'!H35+'[1]Agricola Nandayure'!H35+'[1]Agricola Carrillo'!H35+'[1]Agricola Cañas'!H35</f>
        <v>600</v>
      </c>
      <c r="H61" s="109">
        <v>0.25</v>
      </c>
      <c r="I61" s="110">
        <f t="shared" si="0"/>
        <v>152.5</v>
      </c>
      <c r="J61" s="110">
        <f>+I61*6</f>
        <v>915</v>
      </c>
      <c r="K61" s="111">
        <f>+I61*1500000</f>
        <v>228750000</v>
      </c>
      <c r="L61" s="129">
        <v>2</v>
      </c>
      <c r="M61" s="132" t="s">
        <v>156</v>
      </c>
      <c r="N61" s="105" t="s">
        <v>248</v>
      </c>
      <c r="O61" s="136">
        <f>200*14300+200*14000</f>
        <v>5660000</v>
      </c>
    </row>
    <row r="62" spans="1:15" ht="20.25" customHeight="1" thickBot="1" x14ac:dyDescent="0.25">
      <c r="A62" s="573" t="s">
        <v>249</v>
      </c>
      <c r="B62" s="574"/>
      <c r="C62" s="574"/>
      <c r="D62" s="574"/>
      <c r="E62" s="574"/>
      <c r="F62" s="574"/>
      <c r="G62" s="574"/>
      <c r="H62" s="574"/>
      <c r="I62" s="574"/>
      <c r="J62" s="574"/>
      <c r="K62" s="574"/>
      <c r="L62" s="574"/>
      <c r="M62" s="574"/>
      <c r="N62" s="574"/>
      <c r="O62" s="575"/>
    </row>
    <row r="63" spans="1:15" ht="21.75" customHeight="1" x14ac:dyDescent="0.2">
      <c r="A63" s="596" t="s">
        <v>250</v>
      </c>
      <c r="B63" s="598" t="s">
        <v>251</v>
      </c>
      <c r="C63" s="106" t="s">
        <v>252</v>
      </c>
      <c r="D63" s="107">
        <f>+'[1]Agricola Abangares'!E36+'[1]Agricola La Cruz'!E36+'[1]Agricola Bagaces'!E36+'[1]Agricola Hojancha'!E36+'[1]Agricola Tilaran'!E36+'[1]Agricola Liberia'!E36+'[1]Agricola Sta Cruz'!E36+'[1]Agricola Nicoya'!E36+'[1]Agricola Nandayure'!E36+'[1]Agricola Carrillo'!E36+'[1]Agricola Cañas'!E36</f>
        <v>22</v>
      </c>
      <c r="E63" s="107">
        <v>41</v>
      </c>
      <c r="F63" s="108">
        <f>+'[1]Agricola Abangares'!G36+'[1]Agricola La Cruz'!G36+'[1]Agricola Bagaces'!G36+'[1]Agricola Hojancha'!G36+'[1]Agricola Tilaran'!G36+'[1]Agricola Liberia'!G36+'[1]Agricola Sta Cruz'!G36+'[1]Agricola Nicoya'!G36+'[1]Agricola Nandayure'!G36+'[1]Agricola Carrillo'!G36+'[1]Agricola Cañas'!G36</f>
        <v>0.75</v>
      </c>
      <c r="G63" s="108">
        <f>+'[1]Agricola Abangares'!H36+'[1]Agricola La Cruz'!H36+'[1]Agricola Bagaces'!H36+'[1]Agricola Hojancha'!H36+'[1]Agricola Tilaran'!H36+'[1]Agricola Liberia'!H36+'[1]Agricola Sta Cruz'!H36+'[1]Agricola Nicoya'!H36+'[1]Agricola Nandayure'!H36+'[1]Agricola Carrillo'!H36+'[1]Agricola Cañas'!H36</f>
        <v>40</v>
      </c>
      <c r="H63" s="109">
        <v>0.25</v>
      </c>
      <c r="I63" s="110">
        <f t="shared" si="0"/>
        <v>10.75</v>
      </c>
      <c r="J63" s="110">
        <f>+I63*6</f>
        <v>64.5</v>
      </c>
      <c r="K63" s="111">
        <f>+I63*1500000</f>
        <v>16125000</v>
      </c>
      <c r="L63" s="129">
        <v>3</v>
      </c>
      <c r="M63" s="132"/>
      <c r="N63" s="132"/>
      <c r="O63" s="131"/>
    </row>
    <row r="64" spans="1:15" ht="18" customHeight="1" thickBot="1" x14ac:dyDescent="0.25">
      <c r="A64" s="597"/>
      <c r="B64" s="599"/>
      <c r="C64" s="106" t="s">
        <v>119</v>
      </c>
      <c r="D64" s="107">
        <f>+'[1]Agricola Abangares'!E37+'[1]Agricola La Cruz'!E37+'[1]Agricola Bagaces'!E37+'[1]Agricola Hojancha'!E37+'[1]Agricola Tilaran'!E37+'[1]Agricola Liberia'!E37+'[1]Agricola Sta Cruz'!E37+'[1]Agricola Nicoya'!E37+'[1]Agricola Nandayure'!E37+'[1]Agricola Carrillo'!E37+'[1]Agricola Cañas'!E37</f>
        <v>0</v>
      </c>
      <c r="E64" s="107"/>
      <c r="F64" s="108">
        <f>+'[1]Agricola Abangares'!G37+'[1]Agricola La Cruz'!G37+'[1]Agricola Bagaces'!G37+'[1]Agricola Hojancha'!G37+'[1]Agricola Tilaran'!G37+'[1]Agricola Liberia'!G37+'[1]Agricola Sta Cruz'!G37+'[1]Agricola Nicoya'!G37+'[1]Agricola Nandayure'!G37+'[1]Agricola Carrillo'!G37+'[1]Agricola Cañas'!G37</f>
        <v>0</v>
      </c>
      <c r="G64" s="108">
        <f>+'[1]Agricola Abangares'!H37+'[1]Agricola La Cruz'!H37+'[1]Agricola Bagaces'!H37+'[1]Agricola Hojancha'!H37+'[1]Agricola Tilaran'!H37+'[1]Agricola Liberia'!H37+'[1]Agricola Sta Cruz'!H37+'[1]Agricola Nicoya'!H37+'[1]Agricola Nandayure'!H37+'[1]Agricola Carrillo'!H37+'[1]Agricola Cañas'!H37</f>
        <v>0</v>
      </c>
      <c r="H64" s="109">
        <v>0</v>
      </c>
      <c r="I64" s="110">
        <f t="shared" si="0"/>
        <v>0</v>
      </c>
      <c r="J64" s="110">
        <f>+I64*10</f>
        <v>0</v>
      </c>
      <c r="K64" s="111">
        <f>+I64*3000000</f>
        <v>0</v>
      </c>
      <c r="L64" s="129"/>
      <c r="M64" s="132"/>
      <c r="N64" s="132"/>
      <c r="O64" s="131"/>
    </row>
    <row r="65" spans="1:15" ht="20.25" customHeight="1" thickBot="1" x14ac:dyDescent="0.25">
      <c r="A65" s="573" t="s">
        <v>253</v>
      </c>
      <c r="B65" s="574"/>
      <c r="C65" s="574"/>
      <c r="D65" s="574"/>
      <c r="E65" s="574"/>
      <c r="F65" s="574"/>
      <c r="G65" s="574"/>
      <c r="H65" s="574"/>
      <c r="I65" s="574"/>
      <c r="J65" s="574"/>
      <c r="K65" s="574"/>
      <c r="L65" s="574"/>
      <c r="M65" s="574"/>
      <c r="N65" s="574"/>
      <c r="O65" s="575"/>
    </row>
    <row r="66" spans="1:15" ht="39" customHeight="1" thickBot="1" x14ac:dyDescent="0.25">
      <c r="A66" s="143" t="s">
        <v>254</v>
      </c>
      <c r="B66" s="132" t="s">
        <v>255</v>
      </c>
      <c r="C66" s="106" t="s">
        <v>256</v>
      </c>
      <c r="D66" s="107">
        <f>+'[1]Agricola Abangares'!E38+'[1]Agricola La Cruz'!E38+'[1]Agricola Bagaces'!E38+'[1]Agricola Hojancha'!E38+'[1]Agricola Tilaran'!E38+'[1]Agricola Liberia'!E38+'[1]Agricola Sta Cruz'!E38+'[1]Agricola Nicoya'!E38+'[1]Agricola Nandayure'!E38+'[1]Agricola Carrillo'!E38+'[1]Agricola Cañas'!E38</f>
        <v>79</v>
      </c>
      <c r="E66" s="107">
        <v>250</v>
      </c>
      <c r="F66" s="108">
        <f>+'[1]Agricola Abangares'!G38+'[1]Agricola La Cruz'!G38+'[1]Agricola Bagaces'!G38+'[1]Agricola Hojancha'!G38+'[1]Agricola Tilaran'!G38+'[1]Agricola Liberia'!G38+'[1]Agricola Sta Cruz'!G38+'[1]Agricola Nicoya'!G38+'[1]Agricola Nandayure'!G38+'[1]Agricola Carrillo'!G38+'[1]Agricola Cañas'!G38</f>
        <v>1</v>
      </c>
      <c r="G66" s="108">
        <f>+'[1]Agricola Abangares'!H38+'[1]Agricola La Cruz'!H38+'[1]Agricola Bagaces'!H38+'[1]Agricola Hojancha'!H38+'[1]Agricola Tilaran'!H38+'[1]Agricola Liberia'!H38+'[1]Agricola Sta Cruz'!H38+'[1]Agricola Nicoya'!H38+'[1]Agricola Nandayure'!H38+'[1]Agricola Carrillo'!H38+'[1]Agricola Cañas'!H38</f>
        <v>150</v>
      </c>
      <c r="H66" s="109">
        <v>0.25</v>
      </c>
      <c r="I66" s="110">
        <f t="shared" si="0"/>
        <v>38.5</v>
      </c>
      <c r="J66" s="110">
        <f>+I66*5.5</f>
        <v>211.75</v>
      </c>
      <c r="K66" s="111">
        <f>+I66*2000000</f>
        <v>77000000</v>
      </c>
      <c r="L66" s="129">
        <v>3</v>
      </c>
      <c r="M66" s="132"/>
      <c r="N66" s="132"/>
      <c r="O66" s="131"/>
    </row>
    <row r="67" spans="1:15" ht="18.75" customHeight="1" thickBot="1" x14ac:dyDescent="0.25">
      <c r="A67" s="573" t="s">
        <v>153</v>
      </c>
      <c r="B67" s="574"/>
      <c r="C67" s="574"/>
      <c r="D67" s="574"/>
      <c r="E67" s="574"/>
      <c r="F67" s="574"/>
      <c r="G67" s="574"/>
      <c r="H67" s="574"/>
      <c r="I67" s="574"/>
      <c r="J67" s="574"/>
      <c r="K67" s="574"/>
      <c r="L67" s="574"/>
      <c r="M67" s="574"/>
      <c r="N67" s="574"/>
      <c r="O67" s="575"/>
    </row>
    <row r="68" spans="1:15" ht="188.25" customHeight="1" thickBot="1" x14ac:dyDescent="0.25">
      <c r="A68" s="127"/>
      <c r="B68" s="128"/>
      <c r="C68" s="106" t="s">
        <v>257</v>
      </c>
      <c r="D68" s="107">
        <f>+'[1]Agricola Abangares'!E39+'[1]Agricola La Cruz'!E39+'[1]Agricola Bagaces'!E39+'[1]Agricola Hojancha'!E39+'[1]Agricola Tilaran'!E39+'[1]Agricola Liberia'!E39+'[1]Agricola Sta Cruz'!E39+'[1]Agricola Nicoya'!E39+'[1]Agricola Nandayure'!E39+'[1]Agricola Carrillo'!E39+'[1]Agricola Cañas'!E39</f>
        <v>20</v>
      </c>
      <c r="E68" s="107">
        <v>8</v>
      </c>
      <c r="F68" s="108">
        <f>+'[1]Agricola Abangares'!G39+'[1]Agricola La Cruz'!G39+'[1]Agricola Bagaces'!G39+'[1]Agricola Hojancha'!G39+'[1]Agricola Tilaran'!G39+'[1]Agricola Liberia'!G39+'[1]Agricola Sta Cruz'!G39+'[1]Agricola Nicoya'!G39+'[1]Agricola Nandayure'!G39+'[1]Agricola Carrillo'!G39+'[1]Agricola Cañas'!G39</f>
        <v>0</v>
      </c>
      <c r="G68" s="108">
        <f>+'[1]Agricola Abangares'!H39+'[1]Agricola La Cruz'!H39+'[1]Agricola Bagaces'!H39+'[1]Agricola Hojancha'!H39+'[1]Agricola Tilaran'!H39+'[1]Agricola Liberia'!H39+'[1]Agricola Sta Cruz'!H39+'[1]Agricola Nicoya'!H39+'[1]Agricola Nandayure'!H39+'[1]Agricola Carrillo'!H39+'[1]Agricola Cañas'!H39</f>
        <v>5</v>
      </c>
      <c r="H68" s="109">
        <v>0.25</v>
      </c>
      <c r="I68" s="110">
        <f t="shared" si="0"/>
        <v>1.25</v>
      </c>
      <c r="J68" s="110">
        <f>+I68*5</f>
        <v>6.25</v>
      </c>
      <c r="K68" s="111">
        <f>+I68*1500000</f>
        <v>1875000</v>
      </c>
      <c r="L68" s="129">
        <v>1</v>
      </c>
      <c r="M68" s="132" t="s">
        <v>151</v>
      </c>
      <c r="N68" s="105" t="s">
        <v>258</v>
      </c>
      <c r="O68" s="136">
        <f>200*14300+200*14000+300*500000+25*350000</f>
        <v>164410000</v>
      </c>
    </row>
    <row r="69" spans="1:15" ht="18" customHeight="1" thickBot="1" x14ac:dyDescent="0.25">
      <c r="A69" s="573" t="s">
        <v>259</v>
      </c>
      <c r="B69" s="574"/>
      <c r="C69" s="574"/>
      <c r="D69" s="574"/>
      <c r="E69" s="574"/>
      <c r="F69" s="574"/>
      <c r="G69" s="574"/>
      <c r="H69" s="574"/>
      <c r="I69" s="574"/>
      <c r="J69" s="574"/>
      <c r="K69" s="574"/>
      <c r="L69" s="574"/>
      <c r="M69" s="574"/>
      <c r="N69" s="574"/>
      <c r="O69" s="575"/>
    </row>
    <row r="70" spans="1:15" ht="17.25" customHeight="1" thickBot="1" x14ac:dyDescent="0.25">
      <c r="A70" s="127"/>
      <c r="B70" s="128"/>
      <c r="C70" s="106" t="s">
        <v>260</v>
      </c>
      <c r="D70" s="107">
        <f>+'[1]Agricola Abangares'!E40+'[1]Agricola La Cruz'!E40+'[1]Agricola Bagaces'!E40+'[1]Agricola Hojancha'!E40+'[1]Agricola Tilaran'!E40+'[1]Agricola Liberia'!E40+'[1]Agricola Sta Cruz'!E40+'[1]Agricola Nicoya'!E40+'[1]Agricola Nandayure'!E40+'[1]Agricola Carrillo'!E40+'[1]Agricola Cañas'!E40</f>
        <v>0</v>
      </c>
      <c r="E70" s="107"/>
      <c r="F70" s="108">
        <f>+'[1]Agricola Abangares'!G40+'[1]Agricola La Cruz'!G40+'[1]Agricola Bagaces'!G40+'[1]Agricola Hojancha'!G40+'[1]Agricola Tilaran'!G40+'[1]Agricola Liberia'!G40+'[1]Agricola Sta Cruz'!G40+'[1]Agricola Nicoya'!G40+'[1]Agricola Nandayure'!G40+'[1]Agricola Carrillo'!G40+'[1]Agricola Cañas'!G40</f>
        <v>0</v>
      </c>
      <c r="G70" s="108">
        <f>+'[1]Agricola Abangares'!H40+'[1]Agricola La Cruz'!H40+'[1]Agricola Bagaces'!H40+'[1]Agricola Hojancha'!H40+'[1]Agricola Tilaran'!H40+'[1]Agricola Liberia'!H40+'[1]Agricola Sta Cruz'!H40+'[1]Agricola Nicoya'!H40+'[1]Agricola Nandayure'!H40+'[1]Agricola Carrillo'!H40+'[1]Agricola Cañas'!H40</f>
        <v>0</v>
      </c>
      <c r="H70" s="109">
        <v>0</v>
      </c>
      <c r="I70" s="110">
        <f t="shared" si="0"/>
        <v>0</v>
      </c>
      <c r="J70" s="110"/>
      <c r="K70" s="111">
        <f>+I70*1000000</f>
        <v>0</v>
      </c>
      <c r="L70" s="129"/>
      <c r="M70" s="132"/>
      <c r="N70" s="132"/>
      <c r="O70" s="131"/>
    </row>
    <row r="71" spans="1:15" ht="18.75" customHeight="1" thickBot="1" x14ac:dyDescent="0.25">
      <c r="A71" s="573" t="s">
        <v>206</v>
      </c>
      <c r="B71" s="574"/>
      <c r="C71" s="574"/>
      <c r="D71" s="574"/>
      <c r="E71" s="574"/>
      <c r="F71" s="574"/>
      <c r="G71" s="574"/>
      <c r="H71" s="574"/>
      <c r="I71" s="574"/>
      <c r="J71" s="574"/>
      <c r="K71" s="574"/>
      <c r="L71" s="574"/>
      <c r="M71" s="574"/>
      <c r="N71" s="574"/>
      <c r="O71" s="575"/>
    </row>
    <row r="72" spans="1:15" ht="24" customHeight="1" thickBot="1" x14ac:dyDescent="0.25">
      <c r="A72" s="143" t="s">
        <v>261</v>
      </c>
      <c r="B72" s="132" t="s">
        <v>261</v>
      </c>
      <c r="C72" s="106" t="s">
        <v>262</v>
      </c>
      <c r="D72" s="107">
        <f>+'[1]Agricola Abangares'!E41+'[1]Agricola La Cruz'!E41+'[1]Agricola Bagaces'!E41+'[1]Agricola Hojancha'!E41+'[1]Agricola Tilaran'!E41+'[1]Agricola Liberia'!E41+'[1]Agricola Sta Cruz'!E41+'[1]Agricola Nicoya'!E41+'[1]Agricola Nandayure'!E41+'[1]Agricola Carrillo'!E41+'[1]Agricola Cañas'!E41</f>
        <v>1</v>
      </c>
      <c r="E72" s="107">
        <v>2</v>
      </c>
      <c r="F72" s="108">
        <f>+'[1]Agricola Abangares'!G41+'[1]Agricola La Cruz'!G41+'[1]Agricola Bagaces'!G41+'[1]Agricola Hojancha'!G41+'[1]Agricola Tilaran'!G41+'[1]Agricola Liberia'!G41+'[1]Agricola Sta Cruz'!G41+'[1]Agricola Nicoya'!G41+'[1]Agricola Nandayure'!G41+'[1]Agricola Carrillo'!G41+'[1]Agricola Cañas'!G41</f>
        <v>0</v>
      </c>
      <c r="G72" s="108">
        <f>+'[1]Agricola Abangares'!H41+'[1]Agricola La Cruz'!H41+'[1]Agricola Bagaces'!H41+'[1]Agricola Hojancha'!H41+'[1]Agricola Tilaran'!H41+'[1]Agricola Liberia'!H41+'[1]Agricola Sta Cruz'!H41+'[1]Agricola Nicoya'!H41+'[1]Agricola Nandayure'!H41+'[1]Agricola Carrillo'!H41+'[1]Agricola Cañas'!H41</f>
        <v>2</v>
      </c>
      <c r="H72" s="109">
        <v>0.25</v>
      </c>
      <c r="I72" s="110">
        <f t="shared" si="0"/>
        <v>0.5</v>
      </c>
      <c r="J72" s="110">
        <f>+I72*1.5</f>
        <v>0.75</v>
      </c>
      <c r="K72" s="111">
        <f>+I72*2000000</f>
        <v>1000000</v>
      </c>
      <c r="L72" s="129">
        <v>3</v>
      </c>
      <c r="M72" s="132"/>
      <c r="N72" s="132"/>
      <c r="O72" s="131"/>
    </row>
    <row r="73" spans="1:15" ht="21" customHeight="1" thickBot="1" x14ac:dyDescent="0.25">
      <c r="A73" s="573" t="s">
        <v>153</v>
      </c>
      <c r="B73" s="574"/>
      <c r="C73" s="574"/>
      <c r="D73" s="574"/>
      <c r="E73" s="574"/>
      <c r="F73" s="574"/>
      <c r="G73" s="574"/>
      <c r="H73" s="574"/>
      <c r="I73" s="574"/>
      <c r="J73" s="574"/>
      <c r="K73" s="574"/>
      <c r="L73" s="574"/>
      <c r="M73" s="574"/>
      <c r="N73" s="574"/>
      <c r="O73" s="575"/>
    </row>
    <row r="74" spans="1:15" ht="49.5" customHeight="1" thickBot="1" x14ac:dyDescent="0.25">
      <c r="A74" s="127" t="s">
        <v>263</v>
      </c>
      <c r="B74" s="132" t="s">
        <v>264</v>
      </c>
      <c r="C74" s="106" t="s">
        <v>265</v>
      </c>
      <c r="D74" s="107">
        <f>+'[1]Agricola Abangares'!E42+'[1]Agricola La Cruz'!E42+'[1]Agricola Bagaces'!E42+'[1]Agricola Hojancha'!E42+'[1]Agricola Tilaran'!E42+'[1]Agricola Liberia'!E42+'[1]Agricola Sta Cruz'!E42+'[1]Agricola Nicoya'!E42+'[1]Agricola Nandayure'!E42+'[1]Agricola Carrillo'!E42+'[1]Agricola Cañas'!E42</f>
        <v>76</v>
      </c>
      <c r="E74" s="107">
        <v>110</v>
      </c>
      <c r="F74" s="108">
        <f>+'[1]Agricola Abangares'!G42+'[1]Agricola La Cruz'!G42+'[1]Agricola Bagaces'!G42+'[1]Agricola Hojancha'!G42+'[1]Agricola Tilaran'!G42+'[1]Agricola Liberia'!G42+'[1]Agricola Sta Cruz'!G42+'[1]Agricola Nicoya'!G42+'[1]Agricola Nandayure'!G42+'[1]Agricola Carrillo'!G42+'[1]Agricola Cañas'!G42</f>
        <v>65</v>
      </c>
      <c r="G74" s="108">
        <f>+'[1]Agricola Abangares'!H42+'[1]Agricola La Cruz'!H42+'[1]Agricola Bagaces'!H42+'[1]Agricola Hojancha'!H42+'[1]Agricola Tilaran'!H42+'[1]Agricola Liberia'!H42+'[1]Agricola Sta Cruz'!H42+'[1]Agricola Nicoya'!H42+'[1]Agricola Nandayure'!H42+'[1]Agricola Carrillo'!H42+'[1]Agricola Cañas'!H42</f>
        <v>45</v>
      </c>
      <c r="H74" s="109">
        <v>0.4</v>
      </c>
      <c r="I74" s="110">
        <f t="shared" si="0"/>
        <v>83</v>
      </c>
      <c r="J74" s="110">
        <f>+I74*6</f>
        <v>498</v>
      </c>
      <c r="K74" s="111">
        <f>+I74*500000</f>
        <v>41500000</v>
      </c>
      <c r="L74" s="129">
        <v>2</v>
      </c>
      <c r="M74" s="132" t="s">
        <v>156</v>
      </c>
      <c r="N74" s="105" t="s">
        <v>189</v>
      </c>
      <c r="O74" s="117">
        <f>200*14300+200*14000</f>
        <v>5660000</v>
      </c>
    </row>
    <row r="75" spans="1:15" ht="19.5" customHeight="1" thickBot="1" x14ac:dyDescent="0.25">
      <c r="A75" s="573" t="s">
        <v>201</v>
      </c>
      <c r="B75" s="574"/>
      <c r="C75" s="574"/>
      <c r="D75" s="574"/>
      <c r="E75" s="574"/>
      <c r="F75" s="574"/>
      <c r="G75" s="574"/>
      <c r="H75" s="574"/>
      <c r="I75" s="574"/>
      <c r="J75" s="574"/>
      <c r="K75" s="574"/>
      <c r="L75" s="574"/>
      <c r="M75" s="574"/>
      <c r="N75" s="574"/>
      <c r="O75" s="575"/>
    </row>
    <row r="76" spans="1:15" ht="21" customHeight="1" thickBot="1" x14ac:dyDescent="0.25">
      <c r="A76" s="143" t="s">
        <v>266</v>
      </c>
      <c r="B76" s="132" t="s">
        <v>266</v>
      </c>
      <c r="C76" s="132" t="s">
        <v>267</v>
      </c>
      <c r="D76" s="107">
        <f>+'[1]Agricola Abangares'!E43+'[1]Agricola La Cruz'!E43+'[1]Agricola Bagaces'!E43+'[1]Agricola Hojancha'!E43+'[1]Agricola Tilaran'!E43+'[1]Agricola Liberia'!E43+'[1]Agricola Sta Cruz'!E43+'[1]Agricola Nicoya'!E43+'[1]Agricola Nandayure'!E43+'[1]Agricola Carrillo'!E43+'[1]Agricola Cañas'!E43</f>
        <v>20</v>
      </c>
      <c r="E76" s="107">
        <v>60</v>
      </c>
      <c r="F76" s="108">
        <f>+'[1]Agricola Abangares'!G43+'[1]Agricola La Cruz'!G43+'[1]Agricola Bagaces'!G43+'[1]Agricola Hojancha'!G43+'[1]Agricola Tilaran'!G43+'[1]Agricola Liberia'!G43+'[1]Agricola Sta Cruz'!G43+'[1]Agricola Nicoya'!G43+'[1]Agricola Nandayure'!G43+'[1]Agricola Carrillo'!G43+'[1]Agricola Cañas'!G43</f>
        <v>0</v>
      </c>
      <c r="G76" s="108">
        <f>+'[1]Agricola Abangares'!H43+'[1]Agricola La Cruz'!H43+'[1]Agricola Bagaces'!H43+'[1]Agricola Hojancha'!H43+'[1]Agricola Tilaran'!H43+'[1]Agricola Liberia'!H43+'[1]Agricola Sta Cruz'!H43+'[1]Agricola Nicoya'!H43+'[1]Agricola Nandayure'!H43+'[1]Agricola Carrillo'!H43+'[1]Agricola Cañas'!H43</f>
        <v>60</v>
      </c>
      <c r="H76" s="109">
        <v>0.25</v>
      </c>
      <c r="I76" s="110">
        <f t="shared" si="0"/>
        <v>15</v>
      </c>
      <c r="J76" s="110">
        <f>+I76*6</f>
        <v>90</v>
      </c>
      <c r="K76" s="111">
        <f>+I76*1000000</f>
        <v>15000000</v>
      </c>
      <c r="L76" s="129">
        <v>3</v>
      </c>
      <c r="M76" s="132"/>
      <c r="N76" s="132"/>
      <c r="O76" s="131"/>
    </row>
    <row r="77" spans="1:15" ht="21.75" customHeight="1" thickBot="1" x14ac:dyDescent="0.25">
      <c r="A77" s="573" t="s">
        <v>153</v>
      </c>
      <c r="B77" s="574"/>
      <c r="C77" s="574"/>
      <c r="D77" s="574"/>
      <c r="E77" s="574"/>
      <c r="F77" s="574"/>
      <c r="G77" s="574"/>
      <c r="H77" s="574"/>
      <c r="I77" s="574"/>
      <c r="J77" s="574"/>
      <c r="K77" s="574"/>
      <c r="L77" s="574"/>
      <c r="M77" s="574"/>
      <c r="N77" s="574"/>
      <c r="O77" s="575"/>
    </row>
    <row r="78" spans="1:15" ht="24" customHeight="1" x14ac:dyDescent="0.2">
      <c r="A78" s="144"/>
      <c r="B78" s="145"/>
      <c r="C78" s="130" t="s">
        <v>268</v>
      </c>
      <c r="D78" s="107">
        <f>+'[1]Agricola Abangares'!E44+'[1]Agricola La Cruz'!E44+'[1]Agricola Bagaces'!E44+'[1]Agricola Hojancha'!E44+'[1]Agricola Tilaran'!E44+'[1]Agricola Liberia'!E44+'[1]Agricola Sta Cruz'!E44+'[1]Agricola Nicoya'!E44+'[1]Agricola Nandayure'!E44+'[1]Agricola Carrillo'!E44+'[1]Agricola Cañas'!E44</f>
        <v>0</v>
      </c>
      <c r="E78" s="107"/>
      <c r="F78" s="108">
        <f>+'[1]Agricola Abangares'!G44+'[1]Agricola La Cruz'!G44+'[1]Agricola Bagaces'!G44+'[1]Agricola Hojancha'!G44+'[1]Agricola Tilaran'!G44+'[1]Agricola Liberia'!G44+'[1]Agricola Sta Cruz'!G44+'[1]Agricola Nicoya'!G44+'[1]Agricola Nandayure'!G44+'[1]Agricola Carrillo'!G44+'[1]Agricola Cañas'!G44</f>
        <v>0</v>
      </c>
      <c r="G78" s="108">
        <f>+'[1]Agricola Abangares'!H44+'[1]Agricola La Cruz'!H44+'[1]Agricola Bagaces'!H44+'[1]Agricola Hojancha'!H44+'[1]Agricola Tilaran'!H44+'[1]Agricola Liberia'!H44+'[1]Agricola Sta Cruz'!H44+'[1]Agricola Nicoya'!H44+'[1]Agricola Nandayure'!H44+'[1]Agricola Carrillo'!H44+'[1]Agricola Cañas'!H44</f>
        <v>0</v>
      </c>
      <c r="H78" s="109">
        <v>0.25</v>
      </c>
      <c r="I78" s="110">
        <f t="shared" si="0"/>
        <v>0</v>
      </c>
      <c r="J78" s="110">
        <f>+I78*2</f>
        <v>0</v>
      </c>
      <c r="K78" s="111">
        <f>+I78*1000000</f>
        <v>0</v>
      </c>
      <c r="L78" s="129"/>
      <c r="M78" s="130"/>
      <c r="N78" s="130"/>
      <c r="O78" s="146"/>
    </row>
    <row r="79" spans="1:15" ht="24" customHeight="1" x14ac:dyDescent="0.2">
      <c r="A79" s="576"/>
      <c r="B79" s="577"/>
      <c r="C79" s="577"/>
      <c r="D79" s="577"/>
      <c r="E79" s="577"/>
      <c r="F79" s="577"/>
      <c r="G79" s="577"/>
      <c r="H79" s="577"/>
      <c r="I79" s="577"/>
      <c r="J79" s="577"/>
      <c r="K79" s="578"/>
      <c r="L79" s="147"/>
      <c r="M79" s="148"/>
      <c r="N79" s="149" t="s">
        <v>269</v>
      </c>
      <c r="O79" s="150"/>
    </row>
    <row r="80" spans="1:15" ht="57" customHeight="1" x14ac:dyDescent="0.2">
      <c r="A80" s="579"/>
      <c r="B80" s="580"/>
      <c r="C80" s="580"/>
      <c r="D80" s="580"/>
      <c r="E80" s="580"/>
      <c r="F80" s="580"/>
      <c r="G80" s="580"/>
      <c r="H80" s="580"/>
      <c r="I80" s="580"/>
      <c r="J80" s="580"/>
      <c r="K80" s="581"/>
      <c r="L80" s="129">
        <v>1</v>
      </c>
      <c r="M80" s="151"/>
      <c r="N80" s="132" t="s">
        <v>270</v>
      </c>
      <c r="O80" s="117">
        <v>1241209350</v>
      </c>
    </row>
    <row r="81" spans="1:16" ht="21.75" customHeight="1" x14ac:dyDescent="0.2">
      <c r="A81" s="582"/>
      <c r="B81" s="583"/>
      <c r="C81" s="583"/>
      <c r="D81" s="583"/>
      <c r="E81" s="583"/>
      <c r="F81" s="583"/>
      <c r="G81" s="583"/>
      <c r="H81" s="583"/>
      <c r="I81" s="583"/>
      <c r="J81" s="583"/>
      <c r="K81" s="584"/>
      <c r="L81" s="129">
        <v>1</v>
      </c>
      <c r="M81" s="151"/>
      <c r="N81" s="132" t="s">
        <v>271</v>
      </c>
      <c r="O81" s="117">
        <v>25000000</v>
      </c>
    </row>
    <row r="82" spans="1:16" ht="32.25" customHeight="1" x14ac:dyDescent="0.2">
      <c r="A82" s="582"/>
      <c r="B82" s="583"/>
      <c r="C82" s="583"/>
      <c r="D82" s="583"/>
      <c r="E82" s="583"/>
      <c r="F82" s="583"/>
      <c r="G82" s="583"/>
      <c r="H82" s="583"/>
      <c r="I82" s="583"/>
      <c r="J82" s="583"/>
      <c r="K82" s="584"/>
      <c r="L82" s="129">
        <v>1</v>
      </c>
      <c r="M82" s="151"/>
      <c r="N82" s="132" t="s">
        <v>272</v>
      </c>
      <c r="O82" s="117">
        <v>600000000</v>
      </c>
    </row>
    <row r="83" spans="1:16" ht="60" customHeight="1" thickBot="1" x14ac:dyDescent="0.25">
      <c r="A83" s="585"/>
      <c r="B83" s="586"/>
      <c r="C83" s="586"/>
      <c r="D83" s="586"/>
      <c r="E83" s="586"/>
      <c r="F83" s="586"/>
      <c r="G83" s="586"/>
      <c r="H83" s="586"/>
      <c r="I83" s="586"/>
      <c r="J83" s="586"/>
      <c r="K83" s="587"/>
      <c r="L83" s="152">
        <v>1</v>
      </c>
      <c r="M83" s="151"/>
      <c r="N83" s="153" t="s">
        <v>273</v>
      </c>
      <c r="O83" s="117">
        <v>300000000</v>
      </c>
    </row>
    <row r="84" spans="1:16" ht="21.75" customHeight="1" thickBot="1" x14ac:dyDescent="0.25">
      <c r="A84" s="588" t="s">
        <v>274</v>
      </c>
      <c r="B84" s="589"/>
      <c r="C84" s="154"/>
      <c r="D84" s="155">
        <f>SUM(D7:D78)</f>
        <v>5317</v>
      </c>
      <c r="E84" s="155"/>
      <c r="F84" s="155">
        <f>SUM(F7:F78)</f>
        <v>3911.62</v>
      </c>
      <c r="G84" s="155">
        <f>SUM(G7:G78)</f>
        <v>13189.369999999999</v>
      </c>
      <c r="H84" s="156"/>
      <c r="I84" s="157">
        <f>SUM(I7:I78)</f>
        <v>8635.5660000000007</v>
      </c>
      <c r="J84" s="157">
        <f>SUM(J7:J78)</f>
        <v>46037.940999999999</v>
      </c>
      <c r="K84" s="158">
        <f>SUM(K7:K78)</f>
        <v>7209062000</v>
      </c>
      <c r="L84" s="590" t="s">
        <v>274</v>
      </c>
      <c r="M84" s="591"/>
      <c r="N84" s="592"/>
      <c r="O84" s="159">
        <f>SUM(O7:O83)</f>
        <v>2975410350</v>
      </c>
      <c r="P84" s="160"/>
    </row>
  </sheetData>
  <sheetProtection selectLockedCells="1"/>
  <dataConsolidate/>
  <mergeCells count="49">
    <mergeCell ref="A1:O1"/>
    <mergeCell ref="A2:O2"/>
    <mergeCell ref="A3:O3"/>
    <mergeCell ref="A4:A5"/>
    <mergeCell ref="B4:B5"/>
    <mergeCell ref="C4:K4"/>
    <mergeCell ref="L4:O4"/>
    <mergeCell ref="A28:O28"/>
    <mergeCell ref="A6:O6"/>
    <mergeCell ref="A8:O8"/>
    <mergeCell ref="A10:O10"/>
    <mergeCell ref="A12:O12"/>
    <mergeCell ref="A14:O14"/>
    <mergeCell ref="A16:O16"/>
    <mergeCell ref="A18:O18"/>
    <mergeCell ref="A20:O20"/>
    <mergeCell ref="A22:O22"/>
    <mergeCell ref="A24:O24"/>
    <mergeCell ref="A26:O26"/>
    <mergeCell ref="A52:O52"/>
    <mergeCell ref="A30:O30"/>
    <mergeCell ref="A32:O32"/>
    <mergeCell ref="A34:O34"/>
    <mergeCell ref="A36:O36"/>
    <mergeCell ref="A38:O38"/>
    <mergeCell ref="A40:O40"/>
    <mergeCell ref="A42:O42"/>
    <mergeCell ref="A44:O44"/>
    <mergeCell ref="A46:O46"/>
    <mergeCell ref="A48:O48"/>
    <mergeCell ref="A50:O50"/>
    <mergeCell ref="A75:O75"/>
    <mergeCell ref="A54:O54"/>
    <mergeCell ref="A56:O56"/>
    <mergeCell ref="A58:O58"/>
    <mergeCell ref="A60:O60"/>
    <mergeCell ref="A62:O62"/>
    <mergeCell ref="A63:A64"/>
    <mergeCell ref="B63:B64"/>
    <mergeCell ref="A65:O65"/>
    <mergeCell ref="A67:O67"/>
    <mergeCell ref="A69:O69"/>
    <mergeCell ref="A71:O71"/>
    <mergeCell ref="A73:O73"/>
    <mergeCell ref="A77:O77"/>
    <mergeCell ref="A79:K79"/>
    <mergeCell ref="A80:K83"/>
    <mergeCell ref="A84:B84"/>
    <mergeCell ref="L84:N84"/>
  </mergeCells>
  <printOptions horizontalCentered="1" verticalCentered="1"/>
  <pageMargins left="0.31496062992125984" right="0.31496062992125984" top="0.74803149606299213" bottom="0.74803149606299213" header="0.31496062992125984" footer="0.31496062992125984"/>
  <pageSetup scale="70" orientation="landscape" r:id="rId1"/>
  <headerFooter>
    <oddHeader>&amp;LComisión Nacional de Prevención de Riesgos y Atención de Emergencias
Unidad de Desarrollo Estratégico&amp;R&amp;D
&amp;T</oddHeader>
    <oddFooter>&amp;C&amp;P/&amp;N</oddFooter>
  </headerFooter>
  <rowBreaks count="5" manualBreakCount="5">
    <brk id="13" max="16383" man="1"/>
    <brk id="19" max="16383" man="1"/>
    <brk id="35" max="16383" man="1"/>
    <brk id="55" max="16383" man="1"/>
    <brk id="70" max="16383"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10" zoomScaleNormal="100" workbookViewId="0">
      <selection sqref="A1:M1"/>
    </sheetView>
  </sheetViews>
  <sheetFormatPr baseColWidth="10" defaultRowHeight="12.75" x14ac:dyDescent="0.2"/>
  <cols>
    <col min="1" max="1" width="14.85546875" customWidth="1"/>
    <col min="2" max="2" width="13.5703125" style="65" customWidth="1"/>
    <col min="3" max="3" width="11.7109375" bestFit="1" customWidth="1"/>
    <col min="4" max="4" width="14" customWidth="1"/>
    <col min="5" max="5" width="3.85546875" hidden="1" customWidth="1"/>
    <col min="6" max="6" width="5.7109375" hidden="1" customWidth="1"/>
    <col min="7" max="7" width="4.5703125" hidden="1" customWidth="1"/>
    <col min="8" max="8" width="9.5703125" bestFit="1" customWidth="1"/>
    <col min="9" max="9" width="3.140625" hidden="1" customWidth="1"/>
    <col min="10" max="10" width="17.7109375" customWidth="1"/>
    <col min="12" max="12" width="22.42578125" customWidth="1"/>
    <col min="13" max="13" width="16.28515625" customWidth="1"/>
  </cols>
  <sheetData>
    <row r="1" spans="1:13" ht="15" x14ac:dyDescent="0.2">
      <c r="A1" s="565" t="s">
        <v>705</v>
      </c>
      <c r="B1" s="565"/>
      <c r="C1" s="565"/>
      <c r="D1" s="565"/>
      <c r="E1" s="565"/>
      <c r="F1" s="565"/>
      <c r="G1" s="565"/>
      <c r="H1" s="565"/>
      <c r="I1" s="565"/>
      <c r="J1" s="565"/>
      <c r="K1" s="565"/>
      <c r="L1" s="565"/>
      <c r="M1" s="565"/>
    </row>
    <row r="2" spans="1:13" ht="15" x14ac:dyDescent="0.2">
      <c r="A2" s="565" t="s">
        <v>5</v>
      </c>
      <c r="B2" s="565"/>
      <c r="C2" s="565"/>
      <c r="D2" s="565"/>
      <c r="E2" s="565"/>
      <c r="F2" s="565"/>
      <c r="G2" s="565"/>
      <c r="H2" s="565"/>
      <c r="I2" s="565"/>
      <c r="J2" s="565"/>
      <c r="K2" s="565"/>
      <c r="L2" s="565"/>
      <c r="M2" s="565"/>
    </row>
    <row r="3" spans="1:13" ht="15.75" customHeight="1" thickBot="1" x14ac:dyDescent="0.25">
      <c r="A3" s="566" t="s">
        <v>135</v>
      </c>
      <c r="B3" s="566"/>
      <c r="C3" s="566"/>
      <c r="D3" s="566"/>
      <c r="E3" s="566"/>
      <c r="F3" s="566"/>
      <c r="G3" s="566"/>
      <c r="H3" s="566"/>
      <c r="I3" s="566"/>
      <c r="J3" s="566"/>
      <c r="K3" s="566"/>
      <c r="L3" s="566"/>
      <c r="M3" s="566"/>
    </row>
    <row r="4" spans="1:13" ht="13.5" thickBot="1" x14ac:dyDescent="0.25">
      <c r="A4" s="563" t="s">
        <v>0</v>
      </c>
      <c r="B4" s="615" t="s">
        <v>6</v>
      </c>
      <c r="C4" s="569" t="s">
        <v>1</v>
      </c>
      <c r="D4" s="570"/>
      <c r="E4" s="571"/>
      <c r="F4" s="571"/>
      <c r="G4" s="571"/>
      <c r="H4" s="571"/>
      <c r="I4" s="571"/>
      <c r="J4" s="572"/>
      <c r="K4" s="569" t="s">
        <v>2</v>
      </c>
      <c r="L4" s="571"/>
      <c r="M4" s="572"/>
    </row>
    <row r="5" spans="1:13" ht="39.75" customHeight="1" thickBot="1" x14ac:dyDescent="0.25">
      <c r="A5" s="564"/>
      <c r="B5" s="616"/>
      <c r="C5" s="2" t="s">
        <v>14</v>
      </c>
      <c r="D5" s="3" t="s">
        <v>10</v>
      </c>
      <c r="E5" s="3" t="s">
        <v>16</v>
      </c>
      <c r="F5" s="3" t="s">
        <v>15</v>
      </c>
      <c r="G5" s="3" t="s">
        <v>9</v>
      </c>
      <c r="H5" s="3" t="s">
        <v>12</v>
      </c>
      <c r="I5" s="3" t="s">
        <v>8</v>
      </c>
      <c r="J5" s="67" t="s">
        <v>3</v>
      </c>
      <c r="K5" s="2" t="s">
        <v>4</v>
      </c>
      <c r="L5" s="3" t="s">
        <v>11</v>
      </c>
      <c r="M5" s="4" t="s">
        <v>7</v>
      </c>
    </row>
    <row r="6" spans="1:13" ht="19.5" customHeight="1" thickBot="1" x14ac:dyDescent="0.25">
      <c r="A6" s="545" t="s">
        <v>101</v>
      </c>
      <c r="B6" s="546"/>
      <c r="C6" s="546"/>
      <c r="D6" s="546"/>
      <c r="E6" s="546"/>
      <c r="F6" s="546"/>
      <c r="G6" s="546"/>
      <c r="H6" s="546"/>
      <c r="I6" s="546"/>
      <c r="J6" s="546"/>
      <c r="K6" s="546"/>
      <c r="L6" s="546"/>
      <c r="M6" s="547"/>
    </row>
    <row r="7" spans="1:13" ht="27.75" customHeight="1" thickBot="1" x14ac:dyDescent="0.25">
      <c r="A7" s="6" t="s">
        <v>129</v>
      </c>
      <c r="B7" s="5"/>
      <c r="C7" s="11" t="s">
        <v>115</v>
      </c>
      <c r="D7" s="7">
        <v>50</v>
      </c>
      <c r="E7" s="8"/>
      <c r="F7" s="8"/>
      <c r="G7" s="8"/>
      <c r="H7" s="8">
        <v>225</v>
      </c>
      <c r="I7" s="9"/>
      <c r="J7" s="10">
        <v>391680000</v>
      </c>
      <c r="K7" s="11">
        <v>2</v>
      </c>
      <c r="L7" s="8" t="s">
        <v>116</v>
      </c>
      <c r="M7" s="12">
        <v>84821708</v>
      </c>
    </row>
    <row r="8" spans="1:13" ht="20.25" customHeight="1" thickBot="1" x14ac:dyDescent="0.25">
      <c r="A8" s="545" t="s">
        <v>46</v>
      </c>
      <c r="B8" s="546"/>
      <c r="C8" s="546"/>
      <c r="D8" s="546"/>
      <c r="E8" s="546"/>
      <c r="F8" s="546"/>
      <c r="G8" s="546"/>
      <c r="H8" s="546"/>
      <c r="I8" s="546"/>
      <c r="J8" s="546"/>
      <c r="K8" s="546"/>
      <c r="L8" s="546"/>
      <c r="M8" s="547"/>
    </row>
    <row r="9" spans="1:13" ht="41.25" customHeight="1" thickBot="1" x14ac:dyDescent="0.25">
      <c r="A9" s="13" t="s">
        <v>113</v>
      </c>
      <c r="B9" s="61"/>
      <c r="C9" s="11" t="s">
        <v>54</v>
      </c>
      <c r="D9" s="14">
        <v>140</v>
      </c>
      <c r="E9" s="15">
        <v>350</v>
      </c>
      <c r="F9" s="15" t="s">
        <v>55</v>
      </c>
      <c r="G9" s="15" t="s">
        <v>56</v>
      </c>
      <c r="H9" s="15">
        <v>270</v>
      </c>
      <c r="I9" s="16" t="s">
        <v>112</v>
      </c>
      <c r="J9" s="17">
        <v>171360000</v>
      </c>
      <c r="K9" s="18">
        <v>3</v>
      </c>
      <c r="L9" s="15" t="s">
        <v>114</v>
      </c>
      <c r="M9" s="19">
        <v>90000000</v>
      </c>
    </row>
    <row r="10" spans="1:13" ht="19.5" customHeight="1" thickBot="1" x14ac:dyDescent="0.25">
      <c r="A10" s="545" t="s">
        <v>17</v>
      </c>
      <c r="B10" s="546"/>
      <c r="C10" s="546"/>
      <c r="D10" s="546"/>
      <c r="E10" s="546"/>
      <c r="F10" s="546"/>
      <c r="G10" s="546"/>
      <c r="H10" s="546"/>
      <c r="I10" s="546"/>
      <c r="J10" s="546"/>
      <c r="K10" s="546"/>
      <c r="L10" s="546"/>
      <c r="M10" s="547"/>
    </row>
    <row r="11" spans="1:13" ht="41.25" customHeight="1" x14ac:dyDescent="0.2">
      <c r="A11" s="20" t="s">
        <v>18</v>
      </c>
      <c r="B11" s="62" t="s">
        <v>23</v>
      </c>
      <c r="C11" s="57" t="s">
        <v>24</v>
      </c>
      <c r="D11" s="21">
        <v>91</v>
      </c>
      <c r="E11" s="22">
        <v>4400</v>
      </c>
      <c r="F11" s="23" t="s">
        <v>108</v>
      </c>
      <c r="G11" s="23" t="s">
        <v>111</v>
      </c>
      <c r="H11" s="22">
        <v>2000</v>
      </c>
      <c r="I11" s="24" t="s">
        <v>112</v>
      </c>
      <c r="J11" s="25">
        <v>25000000</v>
      </c>
      <c r="K11" s="26">
        <v>1</v>
      </c>
      <c r="L11" s="23" t="s">
        <v>25</v>
      </c>
      <c r="M11" s="27">
        <f>J11</f>
        <v>25000000</v>
      </c>
    </row>
    <row r="12" spans="1:13" ht="22.5" customHeight="1" x14ac:dyDescent="0.2">
      <c r="A12" s="28" t="s">
        <v>78</v>
      </c>
      <c r="B12" s="63" t="s">
        <v>79</v>
      </c>
      <c r="C12" s="33" t="s">
        <v>68</v>
      </c>
      <c r="D12" s="29">
        <v>38</v>
      </c>
      <c r="E12" s="30">
        <v>1800</v>
      </c>
      <c r="F12" s="30" t="s">
        <v>85</v>
      </c>
      <c r="G12" s="30" t="s">
        <v>86</v>
      </c>
      <c r="H12" s="30">
        <v>1800</v>
      </c>
      <c r="I12" s="31" t="s">
        <v>112</v>
      </c>
      <c r="J12" s="32">
        <v>100000000</v>
      </c>
      <c r="K12" s="33">
        <v>1</v>
      </c>
      <c r="L12" s="30" t="s">
        <v>87</v>
      </c>
      <c r="M12" s="34">
        <f>J12</f>
        <v>100000000</v>
      </c>
    </row>
    <row r="13" spans="1:13" ht="27.75" customHeight="1" x14ac:dyDescent="0.2">
      <c r="A13" s="35" t="s">
        <v>75</v>
      </c>
      <c r="B13" s="60"/>
      <c r="C13" s="39" t="s">
        <v>68</v>
      </c>
      <c r="D13" s="36">
        <v>10</v>
      </c>
      <c r="E13" s="37">
        <v>330</v>
      </c>
      <c r="F13" s="37" t="s">
        <v>55</v>
      </c>
      <c r="G13" s="37" t="s">
        <v>69</v>
      </c>
      <c r="H13" s="37">
        <v>265</v>
      </c>
      <c r="I13" s="38" t="s">
        <v>112</v>
      </c>
      <c r="J13" s="32">
        <v>183600000</v>
      </c>
      <c r="K13" s="39">
        <v>1</v>
      </c>
      <c r="L13" s="37" t="s">
        <v>73</v>
      </c>
      <c r="M13" s="34">
        <v>100000000</v>
      </c>
    </row>
    <row r="14" spans="1:13" ht="18" customHeight="1" x14ac:dyDescent="0.2">
      <c r="A14" s="35" t="s">
        <v>95</v>
      </c>
      <c r="B14" s="60"/>
      <c r="C14" s="39" t="s">
        <v>41</v>
      </c>
      <c r="D14" s="36">
        <v>55</v>
      </c>
      <c r="E14" s="37">
        <v>1700</v>
      </c>
      <c r="F14" s="37" t="s">
        <v>108</v>
      </c>
      <c r="G14" s="37" t="s">
        <v>96</v>
      </c>
      <c r="H14" s="37">
        <v>1181</v>
      </c>
      <c r="I14" s="38" t="s">
        <v>112</v>
      </c>
      <c r="J14" s="32">
        <v>208080000</v>
      </c>
      <c r="K14" s="39">
        <v>1</v>
      </c>
      <c r="L14" s="37" t="s">
        <v>97</v>
      </c>
      <c r="M14" s="34">
        <v>90000000</v>
      </c>
    </row>
    <row r="15" spans="1:13" ht="54" customHeight="1" x14ac:dyDescent="0.2">
      <c r="A15" s="555" t="s">
        <v>40</v>
      </c>
      <c r="B15" s="60" t="s">
        <v>30</v>
      </c>
      <c r="C15" s="39" t="s">
        <v>41</v>
      </c>
      <c r="D15" s="36">
        <v>9</v>
      </c>
      <c r="E15" s="37">
        <v>150</v>
      </c>
      <c r="F15" s="37" t="s">
        <v>108</v>
      </c>
      <c r="G15" s="37" t="s">
        <v>109</v>
      </c>
      <c r="H15" s="37">
        <v>220</v>
      </c>
      <c r="I15" s="38" t="s">
        <v>112</v>
      </c>
      <c r="J15" s="32">
        <v>223600000</v>
      </c>
      <c r="K15" s="39">
        <v>1</v>
      </c>
      <c r="L15" s="37" t="s">
        <v>128</v>
      </c>
      <c r="M15" s="34">
        <v>60000000</v>
      </c>
    </row>
    <row r="16" spans="1:13" ht="18.75" customHeight="1" x14ac:dyDescent="0.2">
      <c r="A16" s="556"/>
      <c r="B16" s="60" t="s">
        <v>32</v>
      </c>
      <c r="C16" s="39" t="s">
        <v>41</v>
      </c>
      <c r="D16" s="36">
        <v>10</v>
      </c>
      <c r="E16" s="37">
        <v>200</v>
      </c>
      <c r="F16" s="37" t="s">
        <v>108</v>
      </c>
      <c r="G16" s="37" t="s">
        <v>110</v>
      </c>
      <c r="H16" s="37">
        <v>210</v>
      </c>
      <c r="I16" s="38" t="s">
        <v>112</v>
      </c>
      <c r="J16" s="32">
        <v>227200000</v>
      </c>
      <c r="K16" s="39">
        <v>2</v>
      </c>
      <c r="L16" s="37" t="s">
        <v>42</v>
      </c>
      <c r="M16" s="34">
        <v>35000000</v>
      </c>
    </row>
    <row r="17" spans="1:13" ht="20.25" customHeight="1" thickBot="1" x14ac:dyDescent="0.25">
      <c r="A17" s="557"/>
      <c r="B17" s="64" t="s">
        <v>43</v>
      </c>
      <c r="C17" s="44" t="s">
        <v>41</v>
      </c>
      <c r="D17" s="40">
        <v>8</v>
      </c>
      <c r="E17" s="41">
        <v>125</v>
      </c>
      <c r="F17" s="41" t="s">
        <v>108</v>
      </c>
      <c r="G17" s="41" t="s">
        <v>72</v>
      </c>
      <c r="H17" s="41">
        <v>157</v>
      </c>
      <c r="I17" s="42" t="s">
        <v>112</v>
      </c>
      <c r="J17" s="43">
        <v>100000000</v>
      </c>
      <c r="K17" s="44">
        <v>2</v>
      </c>
      <c r="L17" s="41" t="s">
        <v>42</v>
      </c>
      <c r="M17" s="45">
        <v>30000000</v>
      </c>
    </row>
    <row r="18" spans="1:13" ht="23.25" customHeight="1" thickBot="1" x14ac:dyDescent="0.25">
      <c r="A18" s="545" t="s">
        <v>58</v>
      </c>
      <c r="B18" s="546"/>
      <c r="C18" s="546"/>
      <c r="D18" s="546"/>
      <c r="E18" s="546"/>
      <c r="F18" s="546"/>
      <c r="G18" s="546"/>
      <c r="H18" s="546"/>
      <c r="I18" s="546"/>
      <c r="J18" s="546"/>
      <c r="K18" s="546"/>
      <c r="L18" s="546"/>
      <c r="M18" s="547"/>
    </row>
    <row r="19" spans="1:13" ht="24.75" customHeight="1" x14ac:dyDescent="0.2">
      <c r="A19" s="46" t="s">
        <v>67</v>
      </c>
      <c r="B19" s="59"/>
      <c r="C19" s="58" t="s">
        <v>68</v>
      </c>
      <c r="D19" s="47">
        <v>16</v>
      </c>
      <c r="E19" s="48">
        <v>360</v>
      </c>
      <c r="F19" s="48" t="s">
        <v>55</v>
      </c>
      <c r="G19" s="48" t="s">
        <v>69</v>
      </c>
      <c r="H19" s="48">
        <v>70</v>
      </c>
      <c r="I19" s="49" t="s">
        <v>112</v>
      </c>
      <c r="J19" s="25">
        <v>69000000</v>
      </c>
      <c r="K19" s="50">
        <v>3</v>
      </c>
      <c r="L19" s="48" t="s">
        <v>70</v>
      </c>
      <c r="M19" s="27">
        <v>30000000</v>
      </c>
    </row>
    <row r="20" spans="1:13" ht="19.5" customHeight="1" x14ac:dyDescent="0.2">
      <c r="A20" s="35" t="s">
        <v>71</v>
      </c>
      <c r="B20" s="60"/>
      <c r="C20" s="39" t="s">
        <v>68</v>
      </c>
      <c r="D20" s="36">
        <v>15</v>
      </c>
      <c r="E20" s="37">
        <v>660</v>
      </c>
      <c r="F20" s="37" t="s">
        <v>55</v>
      </c>
      <c r="G20" s="37" t="s">
        <v>69</v>
      </c>
      <c r="H20" s="37">
        <v>75</v>
      </c>
      <c r="I20" s="38" t="s">
        <v>112</v>
      </c>
      <c r="J20" s="32">
        <v>108856000</v>
      </c>
      <c r="K20" s="39">
        <v>3</v>
      </c>
      <c r="L20" s="37" t="s">
        <v>70</v>
      </c>
      <c r="M20" s="34">
        <v>20000000</v>
      </c>
    </row>
    <row r="21" spans="1:13" ht="20.25" customHeight="1" x14ac:dyDescent="0.2">
      <c r="A21" s="35" t="s">
        <v>61</v>
      </c>
      <c r="B21" s="60"/>
      <c r="C21" s="39" t="s">
        <v>68</v>
      </c>
      <c r="D21" s="36">
        <v>22</v>
      </c>
      <c r="E21" s="37">
        <v>1570</v>
      </c>
      <c r="F21" s="37" t="s">
        <v>55</v>
      </c>
      <c r="G21" s="37" t="s">
        <v>72</v>
      </c>
      <c r="H21" s="37">
        <v>100</v>
      </c>
      <c r="I21" s="38" t="s">
        <v>112</v>
      </c>
      <c r="J21" s="32">
        <v>75000000</v>
      </c>
      <c r="K21" s="39">
        <v>3</v>
      </c>
      <c r="L21" s="37" t="s">
        <v>73</v>
      </c>
      <c r="M21" s="34">
        <v>15000000</v>
      </c>
    </row>
    <row r="22" spans="1:13" ht="21.75" customHeight="1" x14ac:dyDescent="0.2">
      <c r="A22" s="35" t="s">
        <v>32</v>
      </c>
      <c r="B22" s="60"/>
      <c r="C22" s="39" t="s">
        <v>68</v>
      </c>
      <c r="D22" s="36">
        <v>35</v>
      </c>
      <c r="E22" s="37">
        <v>590</v>
      </c>
      <c r="F22" s="37" t="s">
        <v>55</v>
      </c>
      <c r="G22" s="37" t="s">
        <v>74</v>
      </c>
      <c r="H22" s="37">
        <v>200</v>
      </c>
      <c r="I22" s="38" t="s">
        <v>112</v>
      </c>
      <c r="J22" s="32">
        <v>150000000</v>
      </c>
      <c r="K22" s="39">
        <v>1</v>
      </c>
      <c r="L22" s="37" t="s">
        <v>73</v>
      </c>
      <c r="M22" s="34">
        <v>12000000</v>
      </c>
    </row>
    <row r="23" spans="1:13" ht="20.25" customHeight="1" thickBot="1" x14ac:dyDescent="0.25">
      <c r="A23" s="51" t="s">
        <v>59</v>
      </c>
      <c r="B23" s="64"/>
      <c r="C23" s="44" t="s">
        <v>68</v>
      </c>
      <c r="D23" s="40">
        <v>40</v>
      </c>
      <c r="E23" s="41">
        <v>1680</v>
      </c>
      <c r="F23" s="41" t="s">
        <v>55</v>
      </c>
      <c r="G23" s="41" t="s">
        <v>69</v>
      </c>
      <c r="H23" s="41">
        <v>160</v>
      </c>
      <c r="I23" s="42" t="s">
        <v>112</v>
      </c>
      <c r="J23" s="43">
        <v>110000000</v>
      </c>
      <c r="K23" s="44">
        <v>1</v>
      </c>
      <c r="L23" s="41" t="s">
        <v>73</v>
      </c>
      <c r="M23" s="45">
        <v>45000000</v>
      </c>
    </row>
    <row r="24" spans="1:13" ht="15" customHeight="1" thickBot="1" x14ac:dyDescent="0.25">
      <c r="A24" s="545" t="s">
        <v>33</v>
      </c>
      <c r="B24" s="546"/>
      <c r="C24" s="546"/>
      <c r="D24" s="546"/>
      <c r="E24" s="546"/>
      <c r="F24" s="546"/>
      <c r="G24" s="546"/>
      <c r="H24" s="546"/>
      <c r="I24" s="546"/>
      <c r="J24" s="546"/>
      <c r="K24" s="546"/>
      <c r="L24" s="546"/>
      <c r="M24" s="547"/>
    </row>
    <row r="25" spans="1:13" ht="24.75" customHeight="1" x14ac:dyDescent="0.2">
      <c r="A25" s="556" t="s">
        <v>45</v>
      </c>
      <c r="B25" s="613" t="s">
        <v>38</v>
      </c>
      <c r="C25" s="58" t="s">
        <v>41</v>
      </c>
      <c r="D25" s="47">
        <v>15</v>
      </c>
      <c r="E25" s="48">
        <v>350</v>
      </c>
      <c r="F25" s="48" t="s">
        <v>108</v>
      </c>
      <c r="G25" s="48" t="s">
        <v>111</v>
      </c>
      <c r="H25" s="48">
        <v>200</v>
      </c>
      <c r="I25" s="49" t="s">
        <v>112</v>
      </c>
      <c r="J25" s="25">
        <v>43000000</v>
      </c>
      <c r="K25" s="50">
        <v>2</v>
      </c>
      <c r="L25" s="48" t="s">
        <v>42</v>
      </c>
      <c r="M25" s="27">
        <v>17000000</v>
      </c>
    </row>
    <row r="26" spans="1:13" ht="40.5" customHeight="1" x14ac:dyDescent="0.2">
      <c r="A26" s="562"/>
      <c r="B26" s="614"/>
      <c r="C26" s="39" t="s">
        <v>26</v>
      </c>
      <c r="D26" s="36">
        <v>25</v>
      </c>
      <c r="E26" s="37">
        <v>145</v>
      </c>
      <c r="F26" s="37" t="s">
        <v>108</v>
      </c>
      <c r="G26" s="37" t="s">
        <v>111</v>
      </c>
      <c r="H26" s="37">
        <v>170</v>
      </c>
      <c r="I26" s="38" t="s">
        <v>112</v>
      </c>
      <c r="J26" s="32">
        <v>95000000</v>
      </c>
      <c r="K26" s="39">
        <v>1</v>
      </c>
      <c r="L26" s="37" t="s">
        <v>25</v>
      </c>
      <c r="M26" s="34">
        <f>J26</f>
        <v>95000000</v>
      </c>
    </row>
    <row r="27" spans="1:13" ht="24" customHeight="1" x14ac:dyDescent="0.2">
      <c r="A27" s="555" t="s">
        <v>34</v>
      </c>
      <c r="B27" s="60" t="s">
        <v>35</v>
      </c>
      <c r="C27" s="39" t="s">
        <v>41</v>
      </c>
      <c r="D27" s="36">
        <v>20</v>
      </c>
      <c r="E27" s="37">
        <v>120</v>
      </c>
      <c r="F27" s="37" t="s">
        <v>108</v>
      </c>
      <c r="G27" s="37" t="s">
        <v>111</v>
      </c>
      <c r="H27" s="37">
        <v>25</v>
      </c>
      <c r="I27" s="38" t="s">
        <v>112</v>
      </c>
      <c r="J27" s="32">
        <v>15000000</v>
      </c>
      <c r="K27" s="39">
        <v>2</v>
      </c>
      <c r="L27" s="37" t="s">
        <v>42</v>
      </c>
      <c r="M27" s="34">
        <v>20000000</v>
      </c>
    </row>
    <row r="28" spans="1:13" ht="22.5" customHeight="1" x14ac:dyDescent="0.2">
      <c r="A28" s="556"/>
      <c r="B28" s="60" t="s">
        <v>44</v>
      </c>
      <c r="C28" s="39" t="s">
        <v>41</v>
      </c>
      <c r="D28" s="36">
        <v>12</v>
      </c>
      <c r="E28" s="37">
        <v>250</v>
      </c>
      <c r="F28" s="37" t="s">
        <v>108</v>
      </c>
      <c r="G28" s="37" t="s">
        <v>111</v>
      </c>
      <c r="H28" s="37">
        <v>40</v>
      </c>
      <c r="I28" s="38" t="s">
        <v>112</v>
      </c>
      <c r="J28" s="32">
        <v>20000000</v>
      </c>
      <c r="K28" s="39">
        <v>2</v>
      </c>
      <c r="L28" s="37" t="s">
        <v>42</v>
      </c>
      <c r="M28" s="34">
        <v>12000000</v>
      </c>
    </row>
    <row r="29" spans="1:13" ht="22.5" customHeight="1" x14ac:dyDescent="0.2">
      <c r="A29" s="562"/>
      <c r="B29" s="60" t="s">
        <v>76</v>
      </c>
      <c r="C29" s="39" t="s">
        <v>41</v>
      </c>
      <c r="D29" s="36">
        <v>10</v>
      </c>
      <c r="E29" s="37"/>
      <c r="F29" s="37" t="s">
        <v>24</v>
      </c>
      <c r="G29" s="37" t="s">
        <v>111</v>
      </c>
      <c r="H29" s="37">
        <v>20</v>
      </c>
      <c r="I29" s="38" t="s">
        <v>112</v>
      </c>
      <c r="J29" s="32">
        <v>60000000</v>
      </c>
      <c r="K29" s="39">
        <v>2</v>
      </c>
      <c r="L29" s="37" t="s">
        <v>77</v>
      </c>
      <c r="M29" s="34">
        <f>J29</f>
        <v>60000000</v>
      </c>
    </row>
    <row r="30" spans="1:13" ht="21.75" customHeight="1" thickBot="1" x14ac:dyDescent="0.25">
      <c r="A30" s="618" t="s">
        <v>27</v>
      </c>
      <c r="B30" s="549"/>
      <c r="C30" s="44" t="s">
        <v>28</v>
      </c>
      <c r="D30" s="40">
        <v>28</v>
      </c>
      <c r="E30" s="41">
        <v>5866</v>
      </c>
      <c r="F30" s="41" t="s">
        <v>108</v>
      </c>
      <c r="G30" s="41" t="s">
        <v>111</v>
      </c>
      <c r="H30" s="41">
        <v>28</v>
      </c>
      <c r="I30" s="42" t="s">
        <v>112</v>
      </c>
      <c r="J30" s="43">
        <v>48520000</v>
      </c>
      <c r="K30" s="44">
        <v>1</v>
      </c>
      <c r="L30" s="41" t="s">
        <v>29</v>
      </c>
      <c r="M30" s="45">
        <f>J30</f>
        <v>48520000</v>
      </c>
    </row>
    <row r="31" spans="1:13" ht="18" customHeight="1" thickBot="1" x14ac:dyDescent="0.25">
      <c r="A31" s="545" t="s">
        <v>88</v>
      </c>
      <c r="B31" s="619"/>
      <c r="C31" s="619"/>
      <c r="D31" s="619"/>
      <c r="E31" s="619"/>
      <c r="F31" s="619"/>
      <c r="G31" s="619"/>
      <c r="H31" s="619"/>
      <c r="I31" s="619"/>
      <c r="J31" s="619"/>
      <c r="K31" s="619"/>
      <c r="L31" s="619"/>
      <c r="M31" s="620"/>
    </row>
    <row r="32" spans="1:13" ht="21" customHeight="1" thickBot="1" x14ac:dyDescent="0.25">
      <c r="A32" s="6" t="s">
        <v>92</v>
      </c>
      <c r="B32" s="5"/>
      <c r="C32" s="11" t="s">
        <v>54</v>
      </c>
      <c r="D32" s="7">
        <v>80</v>
      </c>
      <c r="E32" s="8">
        <v>800</v>
      </c>
      <c r="F32" s="8" t="s">
        <v>93</v>
      </c>
      <c r="G32" s="8" t="s">
        <v>94</v>
      </c>
      <c r="H32" s="8">
        <v>640</v>
      </c>
      <c r="I32" s="9" t="s">
        <v>112</v>
      </c>
      <c r="J32" s="10">
        <v>306000000</v>
      </c>
      <c r="K32" s="11">
        <v>3</v>
      </c>
      <c r="L32" s="8" t="s">
        <v>107</v>
      </c>
      <c r="M32" s="52">
        <v>56000000</v>
      </c>
    </row>
    <row r="33" spans="1:13" ht="19.5" customHeight="1" thickBot="1" x14ac:dyDescent="0.25">
      <c r="A33" s="610" t="s">
        <v>13</v>
      </c>
      <c r="B33" s="611"/>
      <c r="C33" s="612"/>
      <c r="D33" s="1">
        <f>SUM(D7:D32)</f>
        <v>729</v>
      </c>
      <c r="E33" s="53">
        <f>SUM(E14:E32)</f>
        <v>14566</v>
      </c>
      <c r="F33" s="54"/>
      <c r="G33" s="1" t="s">
        <v>13</v>
      </c>
      <c r="H33" s="1">
        <f>SUM(H7:H32)</f>
        <v>8056</v>
      </c>
      <c r="I33" s="1" t="s">
        <v>13</v>
      </c>
      <c r="J33" s="55">
        <f>SUM(J7:J32)</f>
        <v>2730896000</v>
      </c>
      <c r="K33" s="617" t="s">
        <v>13</v>
      </c>
      <c r="L33" s="617"/>
      <c r="M33" s="56">
        <f>SUM(M7:M32)</f>
        <v>1045341708</v>
      </c>
    </row>
  </sheetData>
  <mergeCells count="20">
    <mergeCell ref="A1:M1"/>
    <mergeCell ref="A2:M2"/>
    <mergeCell ref="A4:A5"/>
    <mergeCell ref="B4:B5"/>
    <mergeCell ref="C4:J4"/>
    <mergeCell ref="K4:M4"/>
    <mergeCell ref="A3:M3"/>
    <mergeCell ref="A33:C33"/>
    <mergeCell ref="B25:B26"/>
    <mergeCell ref="A6:M6"/>
    <mergeCell ref="A8:M8"/>
    <mergeCell ref="A10:M10"/>
    <mergeCell ref="A24:M24"/>
    <mergeCell ref="K33:L33"/>
    <mergeCell ref="A15:A17"/>
    <mergeCell ref="A25:A26"/>
    <mergeCell ref="A30:B30"/>
    <mergeCell ref="A27:A29"/>
    <mergeCell ref="A31:M31"/>
    <mergeCell ref="A18:M18"/>
  </mergeCells>
  <printOptions horizontalCentered="1" verticalCentered="1"/>
  <pageMargins left="0.70866141732283472" right="0.70866141732283472" top="0.74803149606299213" bottom="0.74803149606299213" header="0.31496062992125984" footer="0.31496062992125984"/>
  <pageSetup paperSize="9" orientation="landscape" r:id="rId1"/>
  <headerFooter>
    <oddHeader>&amp;LComisión Nacional de Prevención de Riesgos y Atención de Emergencias
Unidad de Desarrollo Estratégico&amp;R&amp;D
&amp;T</oddHeader>
    <oddFooter>&amp;C&amp;P/&amp;N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44"/>
  <sheetViews>
    <sheetView topLeftCell="A22" zoomScaleNormal="100" workbookViewId="0">
      <selection sqref="A1:N1"/>
    </sheetView>
  </sheetViews>
  <sheetFormatPr baseColWidth="10" defaultRowHeight="12.75" x14ac:dyDescent="0.2"/>
  <cols>
    <col min="1" max="1" width="19.28515625" style="85" customWidth="1"/>
    <col min="2" max="2" width="44.140625" style="85" customWidth="1"/>
    <col min="3" max="3" width="10" style="85" customWidth="1"/>
    <col min="4" max="4" width="11.140625" style="85" customWidth="1"/>
    <col min="5" max="5" width="9.28515625" style="85" customWidth="1"/>
    <col min="6" max="6" width="0.140625" style="85" hidden="1" customWidth="1"/>
    <col min="7" max="7" width="9.42578125" style="85" hidden="1" customWidth="1"/>
    <col min="8" max="8" width="8.7109375" style="85" hidden="1" customWidth="1"/>
    <col min="9" max="9" width="10.85546875" style="85" customWidth="1"/>
    <col min="10" max="10" width="18.5703125" style="85" customWidth="1"/>
    <col min="11" max="11" width="13.28515625" style="161" customWidth="1"/>
    <col min="12" max="12" width="8.140625" style="85" customWidth="1"/>
    <col min="13" max="13" width="19.28515625" style="162" customWidth="1"/>
    <col min="14" max="14" width="14.5703125" style="161" customWidth="1"/>
    <col min="15" max="16384" width="11.42578125" style="85"/>
  </cols>
  <sheetData>
    <row r="1" spans="1:14" ht="18" customHeight="1" x14ac:dyDescent="0.2">
      <c r="A1" s="600" t="s">
        <v>703</v>
      </c>
      <c r="B1" s="600"/>
      <c r="C1" s="600"/>
      <c r="D1" s="600"/>
      <c r="E1" s="600"/>
      <c r="F1" s="600"/>
      <c r="G1" s="600"/>
      <c r="H1" s="600"/>
      <c r="I1" s="600"/>
      <c r="J1" s="600"/>
      <c r="K1" s="600"/>
      <c r="L1" s="600"/>
      <c r="M1" s="600"/>
      <c r="N1" s="600"/>
    </row>
    <row r="2" spans="1:14" ht="18" customHeight="1" x14ac:dyDescent="0.2">
      <c r="A2" s="600" t="s">
        <v>5</v>
      </c>
      <c r="B2" s="600"/>
      <c r="C2" s="600"/>
      <c r="D2" s="600"/>
      <c r="E2" s="600"/>
      <c r="F2" s="600"/>
      <c r="G2" s="600"/>
      <c r="H2" s="600"/>
      <c r="I2" s="600"/>
      <c r="J2" s="600"/>
      <c r="K2" s="600"/>
      <c r="L2" s="600"/>
      <c r="M2" s="600"/>
      <c r="N2" s="600"/>
    </row>
    <row r="3" spans="1:14" ht="18" customHeight="1" thickBot="1" x14ac:dyDescent="0.25">
      <c r="A3" s="601" t="s">
        <v>135</v>
      </c>
      <c r="B3" s="601"/>
      <c r="C3" s="601"/>
      <c r="D3" s="601"/>
      <c r="E3" s="601"/>
      <c r="F3" s="601"/>
      <c r="G3" s="601"/>
      <c r="H3" s="601"/>
      <c r="I3" s="601"/>
      <c r="J3" s="601"/>
      <c r="K3" s="601"/>
      <c r="L3" s="601"/>
      <c r="M3" s="601"/>
      <c r="N3" s="601"/>
    </row>
    <row r="4" spans="1:14" ht="21" customHeight="1" thickBot="1" x14ac:dyDescent="0.25">
      <c r="A4" s="638" t="s">
        <v>0</v>
      </c>
      <c r="B4" s="638" t="s">
        <v>6</v>
      </c>
      <c r="C4" s="605" t="s">
        <v>1</v>
      </c>
      <c r="D4" s="605"/>
      <c r="E4" s="640"/>
      <c r="F4" s="640"/>
      <c r="G4" s="640"/>
      <c r="H4" s="640"/>
      <c r="I4" s="640"/>
      <c r="J4" s="640"/>
      <c r="K4" s="641"/>
      <c r="L4" s="604" t="s">
        <v>137</v>
      </c>
      <c r="M4" s="640"/>
      <c r="N4" s="641"/>
    </row>
    <row r="5" spans="1:14" ht="52.5" customHeight="1" thickBot="1" x14ac:dyDescent="0.25">
      <c r="A5" s="639"/>
      <c r="B5" s="639"/>
      <c r="C5" s="163" t="s">
        <v>275</v>
      </c>
      <c r="D5" s="87" t="s">
        <v>10</v>
      </c>
      <c r="E5" s="87" t="s">
        <v>276</v>
      </c>
      <c r="F5" s="164" t="s">
        <v>140</v>
      </c>
      <c r="G5" s="165" t="s">
        <v>141</v>
      </c>
      <c r="H5" s="165" t="s">
        <v>142</v>
      </c>
      <c r="I5" s="89" t="s">
        <v>277</v>
      </c>
      <c r="J5" s="87" t="s">
        <v>8</v>
      </c>
      <c r="K5" s="90" t="s">
        <v>3</v>
      </c>
      <c r="L5" s="91" t="s">
        <v>4</v>
      </c>
      <c r="M5" s="87" t="s">
        <v>11</v>
      </c>
      <c r="N5" s="90" t="s">
        <v>7</v>
      </c>
    </row>
    <row r="6" spans="1:14" ht="24" customHeight="1" thickBot="1" x14ac:dyDescent="0.25">
      <c r="A6" s="573" t="s">
        <v>278</v>
      </c>
      <c r="B6" s="574"/>
      <c r="C6" s="574"/>
      <c r="D6" s="574"/>
      <c r="E6" s="574"/>
      <c r="F6" s="574"/>
      <c r="G6" s="574"/>
      <c r="H6" s="574"/>
      <c r="I6" s="574"/>
      <c r="J6" s="574"/>
      <c r="K6" s="574"/>
      <c r="L6" s="574"/>
      <c r="M6" s="574"/>
      <c r="N6" s="575"/>
    </row>
    <row r="7" spans="1:14" ht="24" customHeight="1" thickBot="1" x14ac:dyDescent="0.25">
      <c r="A7" s="573" t="s">
        <v>153</v>
      </c>
      <c r="B7" s="574"/>
      <c r="C7" s="574"/>
      <c r="D7" s="574"/>
      <c r="E7" s="574"/>
      <c r="F7" s="574"/>
      <c r="G7" s="574"/>
      <c r="H7" s="574"/>
      <c r="I7" s="574"/>
      <c r="J7" s="574"/>
      <c r="K7" s="574"/>
      <c r="L7" s="574"/>
      <c r="M7" s="574"/>
      <c r="N7" s="575"/>
    </row>
    <row r="8" spans="1:14" ht="376.5" customHeight="1" thickBot="1" x14ac:dyDescent="0.25">
      <c r="A8" s="166" t="s">
        <v>279</v>
      </c>
      <c r="B8" s="167" t="s">
        <v>280</v>
      </c>
      <c r="C8" s="168" t="s">
        <v>281</v>
      </c>
      <c r="D8" s="169">
        <f>+[2]ABANGARES!E9+[2]BAGACES!E9+[2]CARRILLO!E9+[2]HOJANCHA!E9+'[2]LA CRUZ'!E9+[2]LIBERIA!E9+[2]NANDAYURE!E9+[2]NICOYA!E9+'[2]SANTA CRUZ'!E9+[2]TILARAN!E9+[2]CAÑAS!E9</f>
        <v>4951</v>
      </c>
      <c r="E8" s="169">
        <f>+[2]ABANGARES!F9+[2]BAGACES!F9+[2]CARRILLO!F9+[2]HOJANCHA!F9+'[2]LA CRUZ'!F9+[2]LIBERIA!F9+[2]NANDAYURE!F9+[2]NICOYA!F9+'[2]SANTA CRUZ'!F9+[2]TILARAN!F9+[2]CAÑAS!F9</f>
        <v>208415</v>
      </c>
      <c r="F8" s="169">
        <f>+[2]ABANGARES!G9+[2]BAGACES!G9+[2]CARRILLO!G9+[2]HOJANCHA!G9+'[2]LA CRUZ'!G9+[2]LIBERIA!G9+[2]NANDAYURE!G9+[2]NICOYA!G9+'[2]SANTA CRUZ'!G9+[2]TILARAN!G9+[2]CAÑAS!G9</f>
        <v>2146</v>
      </c>
      <c r="G8" s="169">
        <f>+[2]ABANGARES!H9+[2]BAGACES!H9+[2]CARRILLO!H9+[2]HOJANCHA!H9+'[2]LA CRUZ'!H9+[2]LIBERIA!H9+[2]NANDAYURE!H9+[2]NICOYA!H9+'[2]SANTA CRUZ'!H9+[2]TILARAN!H9+[2]CAÑAS!H9</f>
        <v>184019.5</v>
      </c>
      <c r="H8" s="170">
        <v>0.43988338300000002</v>
      </c>
      <c r="I8" s="171">
        <f t="shared" ref="I8:I13" si="0">(F8+(G8*H8))</f>
        <v>83093.120197968499</v>
      </c>
      <c r="J8" s="172" t="s">
        <v>282</v>
      </c>
      <c r="K8" s="173">
        <f>+(((F8*100000)+((G8*H8)*(4000*2))))</f>
        <v>862176961.58374798</v>
      </c>
      <c r="L8" s="174">
        <v>1</v>
      </c>
      <c r="M8" s="175" t="s">
        <v>283</v>
      </c>
      <c r="N8" s="176">
        <f>+[3]Hoja1!$E$38</f>
        <v>60000000</v>
      </c>
    </row>
    <row r="9" spans="1:14" ht="148.5" customHeight="1" thickBot="1" x14ac:dyDescent="0.25">
      <c r="A9" s="177" t="s">
        <v>284</v>
      </c>
      <c r="B9" s="178" t="s">
        <v>285</v>
      </c>
      <c r="C9" s="168" t="s">
        <v>286</v>
      </c>
      <c r="D9" s="169">
        <f>+[2]ABANGARES!E10+[2]BAGACES!E10+[2]CARRILLO!E10+[2]HOJANCHA!E10+'[2]LA CRUZ'!E10+[2]LIBERIA!E10+[2]NANDAYURE!E10+[2]NICOYA!E10+'[2]SANTA CRUZ'!E10+[2]TILARAN!E10+[2]CAÑAS!E10</f>
        <v>863</v>
      </c>
      <c r="E9" s="169">
        <f>+[2]ABANGARES!F10+[2]BAGACES!F10+[2]CARRILLO!F10+[2]HOJANCHA!F10+'[2]LA CRUZ'!F10+[2]LIBERIA!F10+[2]NANDAYURE!F10+[2]NICOYA!F10+'[2]SANTA CRUZ'!F10+[2]TILARAN!F10+[2]CAÑAS!F10</f>
        <v>1500</v>
      </c>
      <c r="F9" s="169">
        <f>+[2]ABANGARES!G10+[2]BAGACES!G10+[2]CARRILLO!G10+[2]HOJANCHA!G10+'[2]LA CRUZ'!G10+[2]LIBERIA!G10+[2]NANDAYURE!G10+[2]NICOYA!G10+'[2]SANTA CRUZ'!G10+[2]TILARAN!G10+[2]CAÑAS!G10</f>
        <v>664.4</v>
      </c>
      <c r="G9" s="169">
        <f>+[2]ABANGARES!H10+[2]BAGACES!H10+[2]CARRILLO!H10+[2]HOJANCHA!H10+'[2]LA CRUZ'!H10+[2]LIBERIA!H10+[2]NANDAYURE!H10+[2]NICOYA!H10+'[2]SANTA CRUZ'!H10+[2]TILARAN!H10+[2]CAÑAS!H10</f>
        <v>3356</v>
      </c>
      <c r="H9" s="179">
        <v>0.63959475600000004</v>
      </c>
      <c r="I9" s="171">
        <f t="shared" si="0"/>
        <v>2810.8800011360004</v>
      </c>
      <c r="J9" s="180" t="s">
        <v>287</v>
      </c>
      <c r="K9" s="173">
        <f>+I9*250*1500</f>
        <v>1054080000.4260001</v>
      </c>
      <c r="L9" s="181">
        <v>2</v>
      </c>
      <c r="M9" s="182" t="s">
        <v>288</v>
      </c>
      <c r="N9" s="183">
        <f>+[3]Hoja1!$E$40</f>
        <v>210000000</v>
      </c>
    </row>
    <row r="10" spans="1:14" ht="162.75" customHeight="1" x14ac:dyDescent="0.2">
      <c r="A10" s="94" t="s">
        <v>289</v>
      </c>
      <c r="B10" s="184" t="s">
        <v>290</v>
      </c>
      <c r="C10" s="185" t="s">
        <v>291</v>
      </c>
      <c r="D10" s="186">
        <f>+[2]ABANGARES!E11+[2]BAGACES!E11+[2]CARRILLO!E11+[2]HOJANCHA!E11+'[2]LA CRUZ'!E11+[2]LIBERIA!E11+[2]NANDAYURE!E11+[2]NICOYA!E11+'[2]SANTA CRUZ'!E11+[2]TILARAN!E11+[2]CAÑAS!E11</f>
        <v>384</v>
      </c>
      <c r="E10" s="186">
        <f>+[2]ABANGARES!F11+[2]BAGACES!F11+[2]CARRILLO!F11+[2]HOJANCHA!F11+'[2]LA CRUZ'!F11+[2]LIBERIA!F11+[2]NANDAYURE!F11+[2]NICOYA!F11+'[2]SANTA CRUZ'!F11+[2]TILARAN!F11+[2]CAÑAS!F11</f>
        <v>894</v>
      </c>
      <c r="F10" s="186">
        <f>+[2]ABANGARES!G11+[2]BAGACES!G11+[2]CARRILLO!G11+[2]HOJANCHA!G11+'[2]LA CRUZ'!G11+[2]LIBERIA!G11+[2]NANDAYURE!G11+[2]NICOYA!G11+'[2]SANTA CRUZ'!G11+[2]TILARAN!G11+[2]CAÑAS!G11</f>
        <v>16.100000000000001</v>
      </c>
      <c r="G10" s="186">
        <f>+[2]ABANGARES!H11+[2]BAGACES!H11+[2]CARRILLO!H11+[2]HOJANCHA!H11+'[2]LA CRUZ'!H11+[2]LIBERIA!H11+[2]NANDAYURE!H11+[2]NICOYA!H11+'[2]SANTA CRUZ'!H11+[2]TILARAN!H11+[2]CAÑAS!H11</f>
        <v>162</v>
      </c>
      <c r="H10" s="187">
        <v>0.4</v>
      </c>
      <c r="I10" s="188">
        <f t="shared" si="0"/>
        <v>80.900000000000006</v>
      </c>
      <c r="J10" s="189"/>
      <c r="K10" s="190">
        <f>+(((F10*300000)+((G10*H10)*(50000))))</f>
        <v>8070000</v>
      </c>
      <c r="L10" s="191">
        <v>1</v>
      </c>
      <c r="M10" s="189" t="s">
        <v>292</v>
      </c>
      <c r="N10" s="192">
        <f>200*20000</f>
        <v>4000000</v>
      </c>
    </row>
    <row r="11" spans="1:14" ht="168.75" customHeight="1" thickBot="1" x14ac:dyDescent="0.25">
      <c r="A11" s="94" t="s">
        <v>293</v>
      </c>
      <c r="B11" s="193" t="s">
        <v>294</v>
      </c>
      <c r="C11" s="194" t="s">
        <v>295</v>
      </c>
      <c r="D11" s="195">
        <f>+[2]ABANGARES!E12+[2]BAGACES!E12+[2]CARRILLO!E12+[2]HOJANCHA!E12+'[2]LA CRUZ'!E12+[2]LIBERIA!E12+[2]NANDAYURE!E12+[2]NICOYA!E12+'[2]SANTA CRUZ'!E12+[2]TILARAN!E12+[2]CAÑAS!E12</f>
        <v>389</v>
      </c>
      <c r="E11" s="195">
        <f>+[2]ABANGARES!F12+[2]BAGACES!F12+[2]CARRILLO!F12+[2]HOJANCHA!F12+'[2]LA CRUZ'!F12+[2]LIBERIA!F12+[2]NANDAYURE!F12+[2]NICOYA!F12+'[2]SANTA CRUZ'!F12+[2]TILARAN!F12+[2]CAÑAS!F12</f>
        <v>1425</v>
      </c>
      <c r="F11" s="196">
        <f>+[2]ABANGARES!G12+[2]BAGACES!G12+[2]CARRILLO!G12+[2]HOJANCHA!G12+'[2]LA CRUZ'!G12+[2]LIBERIA!G12+[2]NANDAYURE!G12+[2]NICOYA!G12+'[2]SANTA CRUZ'!G12+[2]TILARAN!G12+[2]CAÑAS!G12</f>
        <v>2</v>
      </c>
      <c r="G11" s="196">
        <f>+[2]ABANGARES!H12+[2]BAGACES!H12+[2]CARRILLO!H12+[2]HOJANCHA!H12+'[2]LA CRUZ'!H12+[2]LIBERIA!H12+[2]NANDAYURE!H12+[2]NICOYA!H12+'[2]SANTA CRUZ'!H12+[2]TILARAN!H12+[2]CAÑAS!H12</f>
        <v>234</v>
      </c>
      <c r="H11" s="197">
        <v>0.3</v>
      </c>
      <c r="I11" s="198">
        <f t="shared" si="0"/>
        <v>72.2</v>
      </c>
      <c r="J11" s="199"/>
      <c r="K11" s="200">
        <f>+(((F11*300000)+((G11*H11)*(50000))))</f>
        <v>4110000</v>
      </c>
      <c r="L11" s="201">
        <v>1</v>
      </c>
      <c r="M11" s="199" t="s">
        <v>296</v>
      </c>
      <c r="N11" s="202">
        <f>100*92000+100*700000</f>
        <v>79200000</v>
      </c>
    </row>
    <row r="12" spans="1:14" ht="39.75" customHeight="1" thickBot="1" x14ac:dyDescent="0.25">
      <c r="A12" s="203"/>
      <c r="B12" s="204"/>
      <c r="C12" s="185" t="s">
        <v>297</v>
      </c>
      <c r="D12" s="205">
        <f>+[2]ABANGARES!E13+[2]BAGACES!E13+[2]CARRILLO!E13+[2]HOJANCHA!E13+'[2]LA CRUZ'!E13+[2]LIBERIA!E13+[2]NANDAYURE!E13+[2]NICOYA!E13+'[2]SANTA CRUZ'!E13+[2]TILARAN!E13+[2]CAÑAS!E13</f>
        <v>10</v>
      </c>
      <c r="E12" s="195">
        <f>+[2]ABANGARES!F13+[2]BAGACES!F13+[2]CARRILLO!F13+[2]HOJANCHA!F13+'[2]LA CRUZ'!F13+[2]LIBERIA!F13+[2]NANDAYURE!F13+[2]NICOYA!F13+'[2]SANTA CRUZ'!F13+[2]TILARAN!F13+[2]CAÑAS!F13</f>
        <v>300</v>
      </c>
      <c r="F12" s="206">
        <f>+[2]ABANGARES!G13+[2]BAGACES!G13+[2]CARRILLO!G13+[2]HOJANCHA!G13+'[2]LA CRUZ'!G13+[2]LIBERIA!G13+[2]NANDAYURE!G13+[2]NICOYA!G13+'[2]SANTA CRUZ'!G13+[2]TILARAN!G13+[2]CAÑAS!G13</f>
        <v>0</v>
      </c>
      <c r="G12" s="206">
        <f>+[2]ABANGARES!H13+[2]BAGACES!H13+[2]CARRILLO!H13+[2]HOJANCHA!H13+'[2]LA CRUZ'!H13+[2]LIBERIA!H13+[2]NANDAYURE!H13+[2]NICOYA!H13+'[2]SANTA CRUZ'!H13+[2]TILARAN!H13+[2]CAÑAS!H13</f>
        <v>3</v>
      </c>
      <c r="H12" s="197">
        <v>0.3</v>
      </c>
      <c r="I12" s="198">
        <f t="shared" si="0"/>
        <v>0.89999999999999991</v>
      </c>
      <c r="J12" s="199"/>
      <c r="K12" s="200">
        <f>+(((F12*300000)+((G12*H12)*(50000))))</f>
        <v>44999.999999999993</v>
      </c>
      <c r="L12" s="207"/>
      <c r="M12" s="208"/>
      <c r="N12" s="209"/>
    </row>
    <row r="13" spans="1:14" ht="29.25" customHeight="1" thickBot="1" x14ac:dyDescent="0.25">
      <c r="A13" s="210" t="s">
        <v>298</v>
      </c>
      <c r="B13" s="211" t="s">
        <v>299</v>
      </c>
      <c r="C13" s="212" t="s">
        <v>300</v>
      </c>
      <c r="D13" s="213">
        <f>+[2]ABANGARES!E14+[2]BAGACES!E14+[2]CARRILLO!E14+[2]HOJANCHA!E14+'[2]LA CRUZ'!E14+[2]LIBERIA!E14+[2]NANDAYURE!E14+[2]NICOYA!E14+'[2]SANTA CRUZ'!E14+[2]TILARAN!E14+[2]CAÑAS!E14</f>
        <v>65</v>
      </c>
      <c r="E13" s="213">
        <f>+[2]ABANGARES!F14+[2]BAGACES!F14+[2]CARRILLO!F14+[2]HOJANCHA!F14+'[2]LA CRUZ'!F14+[2]LIBERIA!F14+[2]NANDAYURE!F14+[2]NICOYA!F14+'[2]SANTA CRUZ'!F14+[2]TILARAN!F14+[2]CAÑAS!F14</f>
        <v>0</v>
      </c>
      <c r="F13" s="214">
        <f>+[2]ABANGARES!G14+[2]BAGACES!G14+[2]CARRILLO!G14+[2]HOJANCHA!G14+'[2]LA CRUZ'!G14+[2]LIBERIA!G14+[2]NANDAYURE!G14+[2]NICOYA!G14+'[2]SANTA CRUZ'!G14+[2]TILARAN!G14+[2]CAÑAS!G14</f>
        <v>0</v>
      </c>
      <c r="G13" s="214">
        <f>+[2]ABANGARES!H14+[2]BAGACES!H14+[2]CARRILLO!H14+[2]HOJANCHA!H14+'[2]LA CRUZ'!H14+[2]LIBERIA!H14+[2]NANDAYURE!H14+[2]NICOYA!H14+'[2]SANTA CRUZ'!H14+[2]TILARAN!H14+[2]CAÑAS!H14</f>
        <v>2</v>
      </c>
      <c r="H13" s="215">
        <v>0.3</v>
      </c>
      <c r="I13" s="216">
        <f t="shared" si="0"/>
        <v>0.6</v>
      </c>
      <c r="J13" s="217"/>
      <c r="K13" s="218">
        <f>+(((F13*300000)+((G13*H13)*(50000))))</f>
        <v>30000</v>
      </c>
      <c r="L13" s="219"/>
      <c r="M13" s="220"/>
      <c r="N13" s="221"/>
    </row>
    <row r="14" spans="1:14" ht="15" customHeight="1" thickBot="1" x14ac:dyDescent="0.25">
      <c r="A14" s="632" t="s">
        <v>301</v>
      </c>
      <c r="B14" s="634"/>
      <c r="C14" s="222"/>
      <c r="D14" s="223">
        <f>SUM(D8:D13)</f>
        <v>6662</v>
      </c>
      <c r="E14" s="223">
        <f>SUM(E8:E13)</f>
        <v>212534</v>
      </c>
      <c r="F14" s="223">
        <f>SUM(F8:F13)</f>
        <v>2828.5</v>
      </c>
      <c r="G14" s="223">
        <f>SUM(G8:G13)</f>
        <v>187776.5</v>
      </c>
      <c r="H14" s="223"/>
      <c r="I14" s="223">
        <f>SUM(I8:I13)</f>
        <v>86058.60019910449</v>
      </c>
      <c r="J14" s="224">
        <f>SUM(J8:J13)</f>
        <v>0</v>
      </c>
      <c r="K14" s="225">
        <f>SUM(K8:K13)</f>
        <v>1928511962.009748</v>
      </c>
      <c r="L14" s="226"/>
      <c r="M14" s="224"/>
      <c r="N14" s="227">
        <f>SUM(N8:N13)</f>
        <v>353200000</v>
      </c>
    </row>
    <row r="15" spans="1:14" ht="24.75" customHeight="1" thickBot="1" x14ac:dyDescent="0.25">
      <c r="A15" s="635" t="s">
        <v>302</v>
      </c>
      <c r="B15" s="636"/>
      <c r="C15" s="636"/>
      <c r="D15" s="636"/>
      <c r="E15" s="636"/>
      <c r="F15" s="636"/>
      <c r="G15" s="636"/>
      <c r="H15" s="636"/>
      <c r="I15" s="636"/>
      <c r="J15" s="636"/>
      <c r="K15" s="636"/>
      <c r="L15" s="636"/>
      <c r="M15" s="636"/>
      <c r="N15" s="637"/>
    </row>
    <row r="16" spans="1:14" ht="21.75" customHeight="1" thickBot="1" x14ac:dyDescent="0.25">
      <c r="A16" s="573" t="s">
        <v>303</v>
      </c>
      <c r="B16" s="574"/>
      <c r="C16" s="574"/>
      <c r="D16" s="574"/>
      <c r="E16" s="574"/>
      <c r="F16" s="574"/>
      <c r="G16" s="574"/>
      <c r="H16" s="574"/>
      <c r="I16" s="574"/>
      <c r="J16" s="574"/>
      <c r="K16" s="574"/>
      <c r="L16" s="574"/>
      <c r="M16" s="574"/>
      <c r="N16" s="575"/>
    </row>
    <row r="17" spans="1:14" ht="279.75" customHeight="1" thickBot="1" x14ac:dyDescent="0.25">
      <c r="A17" s="228" t="s">
        <v>304</v>
      </c>
      <c r="B17" s="229" t="s">
        <v>305</v>
      </c>
      <c r="C17" s="230" t="s">
        <v>306</v>
      </c>
      <c r="D17" s="231">
        <f>+[2]ABANGARES!E20+[2]BAGACES!E20+[2]CARRILLO!E20+[2]HOJANCHA!E20+'[2]LA CRUZ'!E20+[2]LIBERIA!E20+[2]NANDAYURE!E20+[2]NICOYA!E20+'[2]SANTA CRUZ'!E20+[2]TILARAN!E20+[2]CAÑAS!E20</f>
        <v>1378</v>
      </c>
      <c r="E17" s="231">
        <f>+[2]ABANGARES!F20+[2]BAGACES!F20+[2]CARRILLO!F20+[2]HOJANCHA!F20+'[2]LA CRUZ'!F20+[2]LIBERIA!F20+[2]NANDAYURE!F20+[2]NICOYA!F20+'[2]SANTA CRUZ'!F20+[2]TILARAN!F20+[2]CAÑAS!F20</f>
        <v>38509.5</v>
      </c>
      <c r="F17" s="232">
        <v>8318052</v>
      </c>
      <c r="G17" s="233"/>
      <c r="H17" s="233"/>
      <c r="I17" s="234">
        <f>+F17</f>
        <v>8318052</v>
      </c>
      <c r="J17" s="235" t="s">
        <v>307</v>
      </c>
      <c r="K17" s="236">
        <f>+I17*200</f>
        <v>1663610400</v>
      </c>
      <c r="L17" s="237">
        <v>1</v>
      </c>
      <c r="M17" s="235" t="s">
        <v>308</v>
      </c>
      <c r="N17" s="238"/>
    </row>
    <row r="18" spans="1:14" ht="21.75" customHeight="1" thickBot="1" x14ac:dyDescent="0.25">
      <c r="A18" s="626" t="s">
        <v>309</v>
      </c>
      <c r="B18" s="627"/>
      <c r="C18" s="627"/>
      <c r="D18" s="627"/>
      <c r="E18" s="627"/>
      <c r="F18" s="627"/>
      <c r="G18" s="627"/>
      <c r="H18" s="627"/>
      <c r="I18" s="627"/>
      <c r="J18" s="627"/>
      <c r="K18" s="627"/>
      <c r="L18" s="627"/>
      <c r="M18" s="627"/>
      <c r="N18" s="628"/>
    </row>
    <row r="19" spans="1:14" ht="244.5" customHeight="1" thickBot="1" x14ac:dyDescent="0.25">
      <c r="A19" s="239" t="s">
        <v>310</v>
      </c>
      <c r="B19" s="167" t="s">
        <v>311</v>
      </c>
      <c r="C19" s="240" t="s">
        <v>312</v>
      </c>
      <c r="D19" s="169">
        <f>+[2]ABANGARES!E21+[2]BAGACES!E21+[2]CARRILLO!E21+[2]HOJANCHA!E21+'[2]LA CRUZ'!E21+[2]LIBERIA!E21+[2]NANDAYURE!E21+[2]NICOYA!E21+'[2]SANTA CRUZ'!E21+[2]TILARAN!E21+[2]CAÑAS!E21</f>
        <v>4254</v>
      </c>
      <c r="E19" s="169">
        <f>+[2]ABANGARES!F21+[2]BAGACES!F21+[2]CARRILLO!F21+[2]HOJANCHA!F21+'[2]LA CRUZ'!F21+[2]LIBERIA!F21+[2]NANDAYURE!F21+[2]NICOYA!F21+'[2]SANTA CRUZ'!F21+[2]TILARAN!F21+[2]CAÑAS!F21</f>
        <v>164346</v>
      </c>
      <c r="F19" s="241">
        <f>+(E19*0.3)*75</f>
        <v>3697784.9999999995</v>
      </c>
      <c r="G19" s="171"/>
      <c r="H19" s="171"/>
      <c r="I19" s="171">
        <f>+F19</f>
        <v>3697784.9999999995</v>
      </c>
      <c r="J19" s="180" t="s">
        <v>313</v>
      </c>
      <c r="K19" s="242">
        <v>4437342000</v>
      </c>
      <c r="L19" s="243">
        <v>1</v>
      </c>
      <c r="M19" s="244" t="s">
        <v>314</v>
      </c>
      <c r="N19" s="245">
        <f>+[3]Hoja1!$E$41</f>
        <v>1200000000</v>
      </c>
    </row>
    <row r="20" spans="1:14" ht="48" customHeight="1" x14ac:dyDescent="0.2">
      <c r="A20" s="246"/>
      <c r="B20" s="247"/>
      <c r="C20" s="185"/>
      <c r="D20" s="248"/>
      <c r="E20" s="249"/>
      <c r="F20" s="250"/>
      <c r="G20" s="251"/>
      <c r="H20" s="251"/>
      <c r="I20" s="188"/>
      <c r="J20" s="189"/>
      <c r="K20" s="252"/>
      <c r="L20" s="253">
        <v>1</v>
      </c>
      <c r="M20" s="95" t="s">
        <v>315</v>
      </c>
      <c r="N20" s="114">
        <f>+[3]Hoja1!$E$42</f>
        <v>467173913.04347825</v>
      </c>
    </row>
    <row r="21" spans="1:14" ht="25.5" customHeight="1" x14ac:dyDescent="0.2">
      <c r="A21" s="246"/>
      <c r="B21" s="247"/>
      <c r="C21" s="185"/>
      <c r="D21" s="248"/>
      <c r="E21" s="249"/>
      <c r="F21" s="250"/>
      <c r="G21" s="251"/>
      <c r="H21" s="251"/>
      <c r="I21" s="188"/>
      <c r="J21" s="189"/>
      <c r="K21" s="252"/>
      <c r="L21" s="253">
        <v>1</v>
      </c>
      <c r="M21" s="95" t="s">
        <v>316</v>
      </c>
      <c r="N21" s="114">
        <f>+[3]Hoja1!$E$43</f>
        <v>236111480</v>
      </c>
    </row>
    <row r="22" spans="1:14" ht="27.75" customHeight="1" x14ac:dyDescent="0.2">
      <c r="A22" s="254"/>
      <c r="B22" s="247"/>
      <c r="C22" s="194"/>
      <c r="D22" s="255"/>
      <c r="E22" s="256"/>
      <c r="F22" s="257"/>
      <c r="G22" s="258"/>
      <c r="H22" s="258"/>
      <c r="I22" s="198"/>
      <c r="J22" s="199"/>
      <c r="K22" s="259"/>
      <c r="L22" s="260">
        <v>2</v>
      </c>
      <c r="M22" s="105" t="s">
        <v>317</v>
      </c>
      <c r="N22" s="122">
        <f>+[3]Hoja1!$E$44</f>
        <v>8704530</v>
      </c>
    </row>
    <row r="23" spans="1:14" ht="37.5" customHeight="1" x14ac:dyDescent="0.2">
      <c r="A23" s="254"/>
      <c r="B23" s="247"/>
      <c r="C23" s="194"/>
      <c r="D23" s="255"/>
      <c r="E23" s="256"/>
      <c r="F23" s="257"/>
      <c r="G23" s="258"/>
      <c r="H23" s="258"/>
      <c r="I23" s="198"/>
      <c r="J23" s="199"/>
      <c r="K23" s="259"/>
      <c r="L23" s="260">
        <v>2</v>
      </c>
      <c r="M23" s="105" t="s">
        <v>318</v>
      </c>
      <c r="N23" s="122">
        <f>+[3]Hoja1!$E$45</f>
        <v>108323040</v>
      </c>
    </row>
    <row r="24" spans="1:14" ht="34.5" customHeight="1" x14ac:dyDescent="0.2">
      <c r="A24" s="254"/>
      <c r="B24" s="247"/>
      <c r="C24" s="194"/>
      <c r="D24" s="255"/>
      <c r="E24" s="256"/>
      <c r="F24" s="257"/>
      <c r="G24" s="258"/>
      <c r="H24" s="258"/>
      <c r="I24" s="198"/>
      <c r="J24" s="199"/>
      <c r="K24" s="259"/>
      <c r="L24" s="260">
        <v>2</v>
      </c>
      <c r="M24" s="105" t="s">
        <v>319</v>
      </c>
      <c r="N24" s="122">
        <f>+[3]Hoja1!$E$46</f>
        <v>128633610</v>
      </c>
    </row>
    <row r="25" spans="1:14" ht="43.5" customHeight="1" x14ac:dyDescent="0.2">
      <c r="A25" s="254"/>
      <c r="B25" s="261"/>
      <c r="C25" s="194"/>
      <c r="D25" s="255"/>
      <c r="E25" s="256"/>
      <c r="F25" s="257"/>
      <c r="G25" s="258"/>
      <c r="H25" s="258"/>
      <c r="I25" s="198"/>
      <c r="J25" s="199"/>
      <c r="K25" s="259"/>
      <c r="L25" s="260">
        <v>1</v>
      </c>
      <c r="M25" s="105" t="s">
        <v>320</v>
      </c>
      <c r="N25" s="122">
        <f>+[3]Hoja1!$E$47</f>
        <v>4000000</v>
      </c>
    </row>
    <row r="26" spans="1:14" ht="51" customHeight="1" x14ac:dyDescent="0.2">
      <c r="A26" s="254"/>
      <c r="B26" s="262"/>
      <c r="C26" s="194"/>
      <c r="D26" s="255"/>
      <c r="E26" s="256"/>
      <c r="F26" s="257"/>
      <c r="G26" s="258"/>
      <c r="H26" s="258"/>
      <c r="I26" s="198"/>
      <c r="J26" s="199"/>
      <c r="K26" s="259"/>
      <c r="L26" s="260">
        <v>1</v>
      </c>
      <c r="M26" s="105" t="s">
        <v>321</v>
      </c>
      <c r="N26" s="122">
        <f>+[3]Hoja1!$E$48</f>
        <v>14354400</v>
      </c>
    </row>
    <row r="27" spans="1:14" ht="54" customHeight="1" x14ac:dyDescent="0.2">
      <c r="A27" s="254"/>
      <c r="B27" s="262"/>
      <c r="C27" s="194"/>
      <c r="D27" s="255"/>
      <c r="E27" s="256"/>
      <c r="F27" s="257"/>
      <c r="G27" s="258"/>
      <c r="H27" s="258"/>
      <c r="I27" s="198"/>
      <c r="J27" s="199"/>
      <c r="K27" s="259"/>
      <c r="L27" s="260">
        <v>1</v>
      </c>
      <c r="M27" s="105" t="s">
        <v>322</v>
      </c>
      <c r="N27" s="122">
        <f>+[3]Hoja1!$E$68</f>
        <v>40000000</v>
      </c>
    </row>
    <row r="28" spans="1:14" ht="48" customHeight="1" thickBot="1" x14ac:dyDescent="0.25">
      <c r="A28" s="263"/>
      <c r="B28" s="264"/>
      <c r="C28" s="265"/>
      <c r="D28" s="266"/>
      <c r="E28" s="267"/>
      <c r="F28" s="268"/>
      <c r="G28" s="269"/>
      <c r="H28" s="269"/>
      <c r="I28" s="270"/>
      <c r="J28" s="271"/>
      <c r="K28" s="272"/>
      <c r="L28" s="273">
        <v>1</v>
      </c>
      <c r="M28" s="274" t="s">
        <v>323</v>
      </c>
      <c r="N28" s="275">
        <f>+[3]Hoja1!$E$69</f>
        <v>4000000</v>
      </c>
    </row>
    <row r="29" spans="1:14" ht="21" customHeight="1" thickBot="1" x14ac:dyDescent="0.25">
      <c r="A29" s="626" t="s">
        <v>195</v>
      </c>
      <c r="B29" s="627"/>
      <c r="C29" s="627"/>
      <c r="D29" s="627"/>
      <c r="E29" s="627"/>
      <c r="F29" s="627"/>
      <c r="G29" s="627"/>
      <c r="H29" s="627"/>
      <c r="I29" s="627"/>
      <c r="J29" s="627"/>
      <c r="K29" s="627"/>
      <c r="L29" s="627"/>
      <c r="M29" s="627"/>
      <c r="N29" s="628"/>
    </row>
    <row r="30" spans="1:14" ht="93.75" customHeight="1" x14ac:dyDescent="0.2">
      <c r="A30" s="629"/>
      <c r="B30" s="528" t="s">
        <v>324</v>
      </c>
      <c r="C30" s="276" t="s">
        <v>325</v>
      </c>
      <c r="D30" s="277">
        <f>+[2]ABANGARES!E22+[2]BAGACES!E22+[2]CARRILLO!E22+[2]HOJANCHA!E22+'[2]LA CRUZ'!E22+[2]LIBERIA!E22+[2]NANDAYURE!E22+[2]NICOYA!E22+'[2]SANTA CRUZ'!E22+[2]TILARAN!E22+[2]CAÑAS!E22</f>
        <v>1</v>
      </c>
      <c r="E30" s="277">
        <f>+[2]ABANGARES!F22+[2]BAGACES!F22+[2]CARRILLO!F22+[2]HOJANCHA!F22+'[2]LA CRUZ'!F22+[2]LIBERIA!F22+[2]NANDAYURE!F22+[2]NICOYA!F22+'[2]SANTA CRUZ'!F22+[2]TILARAN!F22+[2]CAÑAS!F22</f>
        <v>1000</v>
      </c>
      <c r="F30" s="278"/>
      <c r="G30" s="279"/>
      <c r="H30" s="279"/>
      <c r="I30" s="280">
        <v>1000</v>
      </c>
      <c r="J30" s="281"/>
      <c r="K30" s="282">
        <f>+I30*1000</f>
        <v>1000000</v>
      </c>
      <c r="L30" s="529">
        <v>3</v>
      </c>
      <c r="M30" s="113" t="s">
        <v>326</v>
      </c>
      <c r="N30" s="530">
        <f>+[3]Hoja1!$E$53</f>
        <v>80000000</v>
      </c>
    </row>
    <row r="31" spans="1:14" ht="19.5" customHeight="1" x14ac:dyDescent="0.2">
      <c r="A31" s="630"/>
      <c r="B31" s="262" t="s">
        <v>327</v>
      </c>
      <c r="C31" s="194" t="s">
        <v>328</v>
      </c>
      <c r="D31" s="205">
        <f>+[2]ABANGARES!E23+[2]BAGACES!E23+[2]CARRILLO!E23+[2]HOJANCHA!E23+'[2]LA CRUZ'!E23+[2]LIBERIA!E23+[2]NANDAYURE!E23+[2]NICOYA!E23+'[2]SANTA CRUZ'!E23+[2]TILARAN!E23+[2]CAÑAS!E23</f>
        <v>5</v>
      </c>
      <c r="E31" s="205">
        <f>+[2]ABANGARES!F23+[2]BAGACES!F23+[2]CARRILLO!F23+[2]HOJANCHA!F23+'[2]LA CRUZ'!F23+[2]LIBERIA!F23+[2]NANDAYURE!F23+[2]NICOYA!F23+'[2]SANTA CRUZ'!F23+[2]TILARAN!F23+[2]CAÑAS!F23</f>
        <v>27</v>
      </c>
      <c r="F31" s="257"/>
      <c r="G31" s="258"/>
      <c r="H31" s="258"/>
      <c r="I31" s="198">
        <f>+E31*60</f>
        <v>1620</v>
      </c>
      <c r="J31" s="283"/>
      <c r="K31" s="259">
        <f>+I31*1200</f>
        <v>1944000</v>
      </c>
      <c r="L31" s="284"/>
      <c r="M31" s="208"/>
      <c r="N31" s="209"/>
    </row>
    <row r="32" spans="1:14" ht="15.75" customHeight="1" x14ac:dyDescent="0.2">
      <c r="A32" s="630"/>
      <c r="B32" s="262"/>
      <c r="C32" s="194" t="s">
        <v>329</v>
      </c>
      <c r="D32" s="205">
        <f>+[2]ABANGARES!E24+[2]BAGACES!E24+[2]CARRILLO!E24+[2]HOJANCHA!E24+'[2]LA CRUZ'!E24+[2]LIBERIA!E24+[2]NANDAYURE!E24+[2]NICOYA!E24+'[2]SANTA CRUZ'!E24+[2]TILARAN!E24+[2]CAÑAS!E24</f>
        <v>0</v>
      </c>
      <c r="E32" s="205">
        <f>+[2]ABANGARES!F24+[2]BAGACES!F24+[2]CARRILLO!F24+[2]HOJANCHA!F24+'[2]LA CRUZ'!F24+[2]LIBERIA!F24+[2]NANDAYURE!F24+[2]NICOYA!F24+'[2]SANTA CRUZ'!F24+[2]TILARAN!F24+[2]CAÑAS!F24</f>
        <v>0</v>
      </c>
      <c r="F32" s="257"/>
      <c r="G32" s="258"/>
      <c r="H32" s="258"/>
      <c r="I32" s="198">
        <f>+F32</f>
        <v>0</v>
      </c>
      <c r="J32" s="283"/>
      <c r="K32" s="259">
        <f>+I32*1500</f>
        <v>0</v>
      </c>
      <c r="L32" s="284"/>
      <c r="M32" s="208"/>
      <c r="N32" s="209"/>
    </row>
    <row r="33" spans="1:14" ht="19.5" customHeight="1" thickBot="1" x14ac:dyDescent="0.25">
      <c r="A33" s="631"/>
      <c r="B33" s="531" t="s">
        <v>330</v>
      </c>
      <c r="C33" s="265" t="s">
        <v>331</v>
      </c>
      <c r="D33" s="532">
        <f>+[2]ABANGARES!E25+[2]BAGACES!E25+[2]CARRILLO!E25+[2]HOJANCHA!E25+'[2]LA CRUZ'!E25+[2]LIBERIA!E25+[2]NANDAYURE!E25+[2]NICOYA!E25+'[2]SANTA CRUZ'!E25+[2]TILARAN!E25+[2]CAÑAS!E25</f>
        <v>2</v>
      </c>
      <c r="E33" s="532">
        <f>+[2]ABANGARES!F25+[2]BAGACES!F25+[2]CARRILLO!F25+[2]HOJANCHA!F25+'[2]LA CRUZ'!F25+[2]LIBERIA!F25+[2]NANDAYURE!F25+[2]NICOYA!F25+'[2]SANTA CRUZ'!F25+[2]TILARAN!F25+[2]CAÑAS!F25</f>
        <v>285</v>
      </c>
      <c r="F33" s="268"/>
      <c r="G33" s="269"/>
      <c r="H33" s="269"/>
      <c r="I33" s="270">
        <f>+E33*25</f>
        <v>7125</v>
      </c>
      <c r="J33" s="299"/>
      <c r="K33" s="272">
        <f>+I33*1500</f>
        <v>10687500</v>
      </c>
      <c r="L33" s="533"/>
      <c r="M33" s="534"/>
      <c r="N33" s="535"/>
    </row>
    <row r="34" spans="1:14" ht="21.75" customHeight="1" thickBot="1" x14ac:dyDescent="0.25">
      <c r="A34" s="626" t="s">
        <v>332</v>
      </c>
      <c r="B34" s="627"/>
      <c r="C34" s="627"/>
      <c r="D34" s="627"/>
      <c r="E34" s="627"/>
      <c r="F34" s="627"/>
      <c r="G34" s="627"/>
      <c r="H34" s="627"/>
      <c r="I34" s="627"/>
      <c r="J34" s="627"/>
      <c r="K34" s="627"/>
      <c r="L34" s="627"/>
      <c r="M34" s="627"/>
      <c r="N34" s="628"/>
    </row>
    <row r="35" spans="1:14" ht="123" customHeight="1" thickBot="1" x14ac:dyDescent="0.25">
      <c r="A35" s="287" t="s">
        <v>333</v>
      </c>
      <c r="B35" s="288" t="s">
        <v>334</v>
      </c>
      <c r="C35" s="289" t="s">
        <v>335</v>
      </c>
      <c r="D35" s="231">
        <f>+[2]ABANGARES!E26+[2]BAGACES!E26+[2]CARRILLO!E26+[2]HOJANCHA!E26+'[2]LA CRUZ'!E26+[2]LIBERIA!E26+[2]NANDAYURE!E26+[2]NICOYA!E26+'[2]SANTA CRUZ'!E26+[2]TILARAN!E26+[2]CAÑAS!E26</f>
        <v>82</v>
      </c>
      <c r="E35" s="231">
        <f>+[2]ABANGARES!F26+[2]BAGACES!F26+[2]CARRILLO!F26+[2]HOJANCHA!F26+'[2]LA CRUZ'!F26+[2]LIBERIA!F26+[2]NANDAYURE!F26+[2]NICOYA!F26+'[2]SANTA CRUZ'!F26+[2]TILARAN!F26+[2]CAÑAS!F26</f>
        <v>4744</v>
      </c>
      <c r="F35" s="232">
        <f>+E35*30*40%</f>
        <v>56928</v>
      </c>
      <c r="G35" s="233"/>
      <c r="H35" s="234"/>
      <c r="I35" s="234">
        <f>+F35</f>
        <v>56928</v>
      </c>
      <c r="J35" s="290"/>
      <c r="K35" s="236">
        <f>+I35*3500</f>
        <v>199248000</v>
      </c>
      <c r="L35" s="237">
        <v>1</v>
      </c>
      <c r="M35" s="291" t="s">
        <v>336</v>
      </c>
      <c r="N35" s="292">
        <f>3000*20000+240*50000</f>
        <v>72000000</v>
      </c>
    </row>
    <row r="36" spans="1:14" ht="21.75" customHeight="1" thickBot="1" x14ac:dyDescent="0.25">
      <c r="A36" s="626" t="s">
        <v>337</v>
      </c>
      <c r="B36" s="627"/>
      <c r="C36" s="627"/>
      <c r="D36" s="627"/>
      <c r="E36" s="627"/>
      <c r="F36" s="627"/>
      <c r="G36" s="627"/>
      <c r="H36" s="627"/>
      <c r="I36" s="627"/>
      <c r="J36" s="627"/>
      <c r="K36" s="627"/>
      <c r="L36" s="627"/>
      <c r="M36" s="627"/>
      <c r="N36" s="628"/>
    </row>
    <row r="37" spans="1:14" ht="56.25" customHeight="1" x14ac:dyDescent="0.2">
      <c r="A37" s="630" t="s">
        <v>338</v>
      </c>
      <c r="B37" s="247" t="s">
        <v>339</v>
      </c>
      <c r="C37" s="185" t="s">
        <v>340</v>
      </c>
      <c r="D37" s="213">
        <f>+[2]ABANGARES!E27+[2]BAGACES!E27+[2]CARRILLO!E27+[2]HOJANCHA!E27+'[2]LA CRUZ'!E27+[2]LIBERIA!E27+[2]NANDAYURE!E27+[2]NICOYA!E27+'[2]SANTA CRUZ'!E27+[2]TILARAN!E27+[2]CAÑAS!E27</f>
        <v>40</v>
      </c>
      <c r="E37" s="213">
        <f>+[2]ABANGARES!F27+[2]BAGACES!F27+[2]CARRILLO!F27+[2]HOJANCHA!F27+'[2]LA CRUZ'!F27+[2]LIBERIA!F27+[2]NANDAYURE!F27+[2]NICOYA!F27+'[2]SANTA CRUZ'!F27+[2]TILARAN!F27+[2]CAÑAS!F27</f>
        <v>83</v>
      </c>
      <c r="F37" s="250"/>
      <c r="G37" s="251" t="s">
        <v>341</v>
      </c>
      <c r="H37" s="251" t="s">
        <v>341</v>
      </c>
      <c r="I37" s="188">
        <f>+E37*300</f>
        <v>24900</v>
      </c>
      <c r="J37" s="293"/>
      <c r="K37" s="252">
        <f>+I37*1000</f>
        <v>24900000</v>
      </c>
      <c r="L37" s="294"/>
      <c r="M37" s="295"/>
      <c r="N37" s="296"/>
    </row>
    <row r="38" spans="1:14" ht="24" customHeight="1" x14ac:dyDescent="0.2">
      <c r="A38" s="630"/>
      <c r="B38" s="262" t="s">
        <v>342</v>
      </c>
      <c r="C38" s="194" t="s">
        <v>343</v>
      </c>
      <c r="D38" s="205">
        <f>+[2]ABANGARES!E28+[2]BAGACES!E28+[2]CARRILLO!E28+[2]HOJANCHA!E28+'[2]LA CRUZ'!E28+[2]LIBERIA!E28+[2]NANDAYURE!E28+[2]NICOYA!E28+'[2]SANTA CRUZ'!E28+[2]TILARAN!E28+[2]CAÑAS!E28</f>
        <v>13</v>
      </c>
      <c r="E38" s="205">
        <f>+[2]ABANGARES!F28+[2]BAGACES!F28+[2]CARRILLO!F28+[2]HOJANCHA!F28+'[2]LA CRUZ'!F28+[2]LIBERIA!F28+[2]NANDAYURE!F28+[2]NICOYA!F28+'[2]SANTA CRUZ'!F28+[2]TILARAN!F28+[2]CAÑAS!F28</f>
        <v>1238</v>
      </c>
      <c r="F38" s="285"/>
      <c r="G38" s="258"/>
      <c r="H38" s="258"/>
      <c r="I38" s="198">
        <f>+E38*1.5</f>
        <v>1857</v>
      </c>
      <c r="J38" s="286"/>
      <c r="K38" s="259">
        <f>+I38*1500</f>
        <v>2785500</v>
      </c>
      <c r="L38" s="297"/>
      <c r="M38" s="220"/>
      <c r="N38" s="221"/>
    </row>
    <row r="39" spans="1:14" ht="24" customHeight="1" thickBot="1" x14ac:dyDescent="0.25">
      <c r="A39" s="630"/>
      <c r="B39" s="261" t="s">
        <v>324</v>
      </c>
      <c r="C39" s="265" t="s">
        <v>344</v>
      </c>
      <c r="D39" s="298">
        <f>+[2]ABANGARES!E29+[2]BAGACES!E29+[2]CARRILLO!E29+[2]HOJANCHA!E29+'[2]LA CRUZ'!E29+[2]LIBERIA!E29+[2]NANDAYURE!E29+[2]NICOYA!E29+'[2]SANTA CRUZ'!E29+[2]TILARAN!E29+[2]CAÑAS!E29</f>
        <v>13</v>
      </c>
      <c r="E39" s="298">
        <f>+[2]ABANGARES!F29+[2]BAGACES!F29+[2]CARRILLO!F29+[2]HOJANCHA!F29+'[2]LA CRUZ'!F29+[2]LIBERIA!F29+[2]NANDAYURE!F29+[2]NICOYA!F29+'[2]SANTA CRUZ'!F29+[2]TILARAN!F29+[2]CAÑAS!F29</f>
        <v>366</v>
      </c>
      <c r="F39" s="268"/>
      <c r="G39" s="269" t="s">
        <v>341</v>
      </c>
      <c r="H39" s="269" t="s">
        <v>341</v>
      </c>
      <c r="I39" s="270">
        <f>+E39*1.5</f>
        <v>549</v>
      </c>
      <c r="J39" s="299"/>
      <c r="K39" s="272">
        <f>+I39*1500</f>
        <v>823500</v>
      </c>
      <c r="L39" s="297"/>
      <c r="M39" s="220"/>
      <c r="N39" s="221"/>
    </row>
    <row r="40" spans="1:14" ht="15" customHeight="1" thickBot="1" x14ac:dyDescent="0.25">
      <c r="A40" s="632" t="s">
        <v>301</v>
      </c>
      <c r="B40" s="633"/>
      <c r="C40" s="224"/>
      <c r="D40" s="223">
        <f>SUM(D17:D39)</f>
        <v>5788</v>
      </c>
      <c r="E40" s="223">
        <f>SUM(E17:E39)</f>
        <v>210598.5</v>
      </c>
      <c r="F40" s="223">
        <f>SUM(F17:F39)</f>
        <v>12072765</v>
      </c>
      <c r="G40" s="300"/>
      <c r="H40" s="300"/>
      <c r="I40" s="223">
        <f>SUM(I17:I39)</f>
        <v>12109816</v>
      </c>
      <c r="J40" s="224"/>
      <c r="K40" s="301">
        <f>SUM(K17:K39)</f>
        <v>6342340900</v>
      </c>
      <c r="L40" s="302"/>
      <c r="M40" s="224"/>
      <c r="N40" s="227">
        <f>SUM(N17:N39)</f>
        <v>2363300973.043478</v>
      </c>
    </row>
    <row r="41" spans="1:14" ht="15.75" customHeight="1" thickBot="1" x14ac:dyDescent="0.25">
      <c r="A41" s="621" t="s">
        <v>345</v>
      </c>
      <c r="B41" s="622"/>
      <c r="C41" s="303"/>
      <c r="D41" s="304">
        <f>+D14+D40</f>
        <v>12450</v>
      </c>
      <c r="E41" s="304">
        <f>+E40</f>
        <v>210598.5</v>
      </c>
      <c r="F41" s="304">
        <f>+F40</f>
        <v>12072765</v>
      </c>
      <c r="G41" s="305"/>
      <c r="H41" s="305"/>
      <c r="I41" s="304">
        <f>+I14+I40</f>
        <v>12195874.600199105</v>
      </c>
      <c r="J41" s="303"/>
      <c r="K41" s="306">
        <f>K40+K14</f>
        <v>8270852862.0097485</v>
      </c>
      <c r="L41" s="307"/>
      <c r="M41" s="303"/>
      <c r="N41" s="308">
        <f>+N14+N40</f>
        <v>2716500973.043478</v>
      </c>
    </row>
    <row r="42" spans="1:14" ht="15.75" thickBot="1" x14ac:dyDescent="0.25">
      <c r="A42" s="309" t="s">
        <v>346</v>
      </c>
      <c r="B42" s="310"/>
      <c r="C42" s="310"/>
      <c r="D42" s="310"/>
      <c r="E42" s="310"/>
      <c r="F42" s="310"/>
      <c r="G42" s="310"/>
      <c r="H42" s="310"/>
      <c r="I42" s="310"/>
      <c r="J42" s="310"/>
      <c r="K42" s="311"/>
      <c r="L42" s="310"/>
      <c r="M42" s="312"/>
      <c r="N42" s="311"/>
    </row>
    <row r="43" spans="1:14" ht="62.25" customHeight="1" thickBot="1" x14ac:dyDescent="0.25">
      <c r="A43" s="623" t="s">
        <v>347</v>
      </c>
      <c r="B43" s="624"/>
      <c r="C43" s="624"/>
      <c r="D43" s="624"/>
      <c r="E43" s="624"/>
      <c r="F43" s="624"/>
      <c r="G43" s="624"/>
      <c r="H43" s="624"/>
      <c r="I43" s="624"/>
      <c r="J43" s="624"/>
      <c r="K43" s="624"/>
      <c r="L43" s="624"/>
      <c r="M43" s="624"/>
      <c r="N43" s="625"/>
    </row>
    <row r="44" spans="1:14" x14ac:dyDescent="0.2">
      <c r="A44" s="313"/>
      <c r="B44" s="313"/>
      <c r="C44" s="313"/>
      <c r="D44" s="313"/>
      <c r="E44" s="313"/>
      <c r="F44" s="313"/>
      <c r="G44" s="313"/>
      <c r="H44" s="313"/>
      <c r="I44" s="313"/>
      <c r="J44" s="313"/>
      <c r="K44" s="314"/>
      <c r="L44" s="313"/>
      <c r="M44" s="315"/>
      <c r="N44" s="314"/>
    </row>
  </sheetData>
  <mergeCells count="21">
    <mergeCell ref="A18:N18"/>
    <mergeCell ref="A1:N1"/>
    <mergeCell ref="A2:N2"/>
    <mergeCell ref="A3:N3"/>
    <mergeCell ref="A4:A5"/>
    <mergeCell ref="B4:B5"/>
    <mergeCell ref="C4:K4"/>
    <mergeCell ref="L4:N4"/>
    <mergeCell ref="A6:N6"/>
    <mergeCell ref="A7:N7"/>
    <mergeCell ref="A14:B14"/>
    <mergeCell ref="A15:N15"/>
    <mergeCell ref="A16:N16"/>
    <mergeCell ref="A41:B41"/>
    <mergeCell ref="A43:N43"/>
    <mergeCell ref="A29:N29"/>
    <mergeCell ref="A30:A33"/>
    <mergeCell ref="A34:N34"/>
    <mergeCell ref="A36:N36"/>
    <mergeCell ref="A37:A39"/>
    <mergeCell ref="A40:B40"/>
  </mergeCells>
  <printOptions horizontalCentered="1" verticalCentered="1"/>
  <pageMargins left="0.70866141732283472" right="0.70866141732283472" top="0.74803149606299213" bottom="0.74803149606299213" header="0.31496062992125984" footer="0.31496062992125984"/>
  <pageSetup scale="70" orientation="landscape" horizontalDpi="4294967293" verticalDpi="4294967293" r:id="rId1"/>
  <headerFooter>
    <oddHeader>&amp;LComisión Nacional de Prevención de Riesgos y Atención de Emergencias
Unidad de Desarrollo Estratégico&amp;R&amp;D
&amp;T</oddHeader>
    <oddFooter>&amp;C&amp;P/&amp;N</oddFooter>
  </headerFooter>
  <rowBreaks count="2" manualBreakCount="2">
    <brk id="14" max="16383" man="1"/>
    <brk id="33" max="16383"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77"/>
  <sheetViews>
    <sheetView workbookViewId="0">
      <selection activeCell="E36" sqref="E36"/>
    </sheetView>
  </sheetViews>
  <sheetFormatPr baseColWidth="10" defaultRowHeight="12.75" x14ac:dyDescent="0.2"/>
  <cols>
    <col min="2" max="2" width="13.28515625" customWidth="1"/>
    <col min="3" max="3" width="13.140625" customWidth="1"/>
    <col min="6" max="6" width="14.140625" customWidth="1"/>
    <col min="7" max="7" width="13.42578125" customWidth="1"/>
    <col min="10" max="10" width="15.7109375" customWidth="1"/>
    <col min="11" max="11" width="4" customWidth="1"/>
    <col min="12" max="12" width="4.28515625" customWidth="1"/>
    <col min="13" max="13" width="4.5703125" customWidth="1"/>
    <col min="14" max="14" width="10.140625" customWidth="1"/>
    <col min="15" max="15" width="10.7109375" customWidth="1"/>
    <col min="16" max="16" width="10.140625" customWidth="1"/>
  </cols>
  <sheetData>
    <row r="1" spans="1:16" x14ac:dyDescent="0.2">
      <c r="A1" s="663" t="s">
        <v>706</v>
      </c>
      <c r="B1" s="663"/>
      <c r="C1" s="663"/>
      <c r="D1" s="663"/>
      <c r="E1" s="663"/>
      <c r="F1" s="663"/>
      <c r="G1" s="663"/>
      <c r="H1" s="663"/>
      <c r="I1" s="663"/>
      <c r="J1" s="663"/>
      <c r="K1" s="663"/>
      <c r="L1" s="663"/>
      <c r="M1" s="663"/>
      <c r="N1" s="663"/>
      <c r="O1" s="663"/>
      <c r="P1" s="663"/>
    </row>
    <row r="2" spans="1:16" x14ac:dyDescent="0.2">
      <c r="A2" s="663" t="s">
        <v>348</v>
      </c>
      <c r="B2" s="663"/>
      <c r="C2" s="663"/>
      <c r="D2" s="663"/>
      <c r="E2" s="663"/>
      <c r="F2" s="663"/>
      <c r="G2" s="663"/>
      <c r="H2" s="663"/>
      <c r="I2" s="663"/>
      <c r="J2" s="663"/>
      <c r="K2" s="663"/>
      <c r="L2" s="663"/>
      <c r="M2" s="663"/>
      <c r="N2" s="663"/>
      <c r="O2" s="663"/>
      <c r="P2" s="663"/>
    </row>
    <row r="3" spans="1:16" ht="13.5" thickBot="1" x14ac:dyDescent="0.25">
      <c r="A3" s="663" t="s">
        <v>349</v>
      </c>
      <c r="B3" s="663"/>
      <c r="C3" s="663"/>
      <c r="D3" s="663"/>
      <c r="E3" s="663"/>
      <c r="F3" s="663"/>
      <c r="G3" s="663"/>
      <c r="H3" s="663"/>
      <c r="I3" s="663"/>
      <c r="J3" s="663"/>
      <c r="K3" s="663"/>
      <c r="L3" s="663"/>
      <c r="M3" s="663"/>
      <c r="N3" s="663"/>
      <c r="O3" s="663"/>
      <c r="P3" s="663"/>
    </row>
    <row r="4" spans="1:16" x14ac:dyDescent="0.2">
      <c r="A4" s="664" t="s">
        <v>350</v>
      </c>
      <c r="B4" s="667" t="s">
        <v>351</v>
      </c>
      <c r="C4" s="668"/>
      <c r="D4" s="669" t="s">
        <v>352</v>
      </c>
      <c r="E4" s="660" t="s">
        <v>353</v>
      </c>
      <c r="F4" s="660" t="s">
        <v>1</v>
      </c>
      <c r="G4" s="661" t="s">
        <v>2</v>
      </c>
      <c r="H4" s="661"/>
      <c r="I4" s="661"/>
      <c r="J4" s="661"/>
      <c r="K4" s="661"/>
      <c r="L4" s="661"/>
      <c r="M4" s="661"/>
      <c r="N4" s="661"/>
      <c r="O4" s="661"/>
      <c r="P4" s="662"/>
    </row>
    <row r="5" spans="1:16" ht="34.5" customHeight="1" x14ac:dyDescent="0.2">
      <c r="A5" s="665"/>
      <c r="B5" s="656" t="s">
        <v>0</v>
      </c>
      <c r="C5" s="656" t="s">
        <v>354</v>
      </c>
      <c r="D5" s="670"/>
      <c r="E5" s="656"/>
      <c r="F5" s="656"/>
      <c r="G5" s="656" t="s">
        <v>4</v>
      </c>
      <c r="H5" s="656" t="s">
        <v>355</v>
      </c>
      <c r="I5" s="656" t="s">
        <v>356</v>
      </c>
      <c r="J5" s="656" t="s">
        <v>357</v>
      </c>
      <c r="K5" s="656" t="s">
        <v>358</v>
      </c>
      <c r="L5" s="656"/>
      <c r="M5" s="656"/>
      <c r="N5" s="656" t="s">
        <v>359</v>
      </c>
      <c r="O5" s="656" t="s">
        <v>360</v>
      </c>
      <c r="P5" s="658" t="s">
        <v>361</v>
      </c>
    </row>
    <row r="6" spans="1:16" ht="20.25" customHeight="1" thickBot="1" x14ac:dyDescent="0.25">
      <c r="A6" s="666"/>
      <c r="B6" s="657"/>
      <c r="C6" s="657"/>
      <c r="D6" s="671"/>
      <c r="E6" s="657"/>
      <c r="F6" s="657"/>
      <c r="G6" s="657"/>
      <c r="H6" s="657"/>
      <c r="I6" s="657"/>
      <c r="J6" s="657"/>
      <c r="K6" s="316" t="s">
        <v>362</v>
      </c>
      <c r="L6" s="317" t="s">
        <v>363</v>
      </c>
      <c r="M6" s="317" t="s">
        <v>364</v>
      </c>
      <c r="N6" s="657"/>
      <c r="O6" s="657"/>
      <c r="P6" s="659"/>
    </row>
    <row r="7" spans="1:16" ht="13.5" thickBot="1" x14ac:dyDescent="0.25">
      <c r="A7" s="642" t="s">
        <v>365</v>
      </c>
      <c r="B7" s="648" t="s">
        <v>366</v>
      </c>
      <c r="C7" s="546"/>
      <c r="D7" s="546"/>
      <c r="E7" s="546"/>
      <c r="F7" s="546"/>
      <c r="G7" s="546"/>
      <c r="H7" s="546"/>
      <c r="I7" s="546"/>
      <c r="J7" s="546"/>
      <c r="K7" s="546"/>
      <c r="L7" s="546"/>
      <c r="M7" s="546"/>
      <c r="N7" s="546"/>
      <c r="O7" s="546"/>
      <c r="P7" s="547"/>
    </row>
    <row r="8" spans="1:16" ht="13.5" thickBot="1" x14ac:dyDescent="0.25">
      <c r="A8" s="643"/>
      <c r="B8" s="648" t="s">
        <v>367</v>
      </c>
      <c r="C8" s="546"/>
      <c r="D8" s="546"/>
      <c r="E8" s="546"/>
      <c r="F8" s="546"/>
      <c r="G8" s="546"/>
      <c r="H8" s="546"/>
      <c r="I8" s="546"/>
      <c r="J8" s="546"/>
      <c r="K8" s="546"/>
      <c r="L8" s="546"/>
      <c r="M8" s="546"/>
      <c r="N8" s="546"/>
      <c r="O8" s="546"/>
      <c r="P8" s="547"/>
    </row>
    <row r="9" spans="1:16" x14ac:dyDescent="0.2">
      <c r="A9" s="643"/>
      <c r="B9" s="318" t="s">
        <v>367</v>
      </c>
      <c r="C9" s="319" t="s">
        <v>367</v>
      </c>
      <c r="D9" s="318">
        <v>1</v>
      </c>
      <c r="E9" s="319" t="s">
        <v>368</v>
      </c>
      <c r="F9" s="645" t="s">
        <v>373</v>
      </c>
      <c r="G9" s="318">
        <v>1</v>
      </c>
      <c r="H9" s="645" t="s">
        <v>370</v>
      </c>
      <c r="I9" s="318">
        <v>8</v>
      </c>
      <c r="J9" s="318">
        <v>3000</v>
      </c>
      <c r="K9" s="318"/>
      <c r="L9" s="318"/>
      <c r="M9" s="318">
        <v>1</v>
      </c>
      <c r="N9" s="321">
        <v>0.4</v>
      </c>
      <c r="O9" s="321">
        <v>1.1000000000000001</v>
      </c>
      <c r="P9" s="322">
        <v>1.5</v>
      </c>
    </row>
    <row r="10" spans="1:16" ht="20.25" customHeight="1" x14ac:dyDescent="0.2">
      <c r="A10" s="643"/>
      <c r="B10" s="323" t="s">
        <v>367</v>
      </c>
      <c r="C10" s="324" t="s">
        <v>367</v>
      </c>
      <c r="D10" s="323">
        <v>1</v>
      </c>
      <c r="E10" s="324" t="s">
        <v>523</v>
      </c>
      <c r="F10" s="646"/>
      <c r="G10" s="323">
        <v>1</v>
      </c>
      <c r="H10" s="646"/>
      <c r="I10" s="323">
        <v>95</v>
      </c>
      <c r="J10" s="323">
        <v>21375</v>
      </c>
      <c r="K10" s="323">
        <v>1</v>
      </c>
      <c r="L10" s="323"/>
      <c r="M10" s="323"/>
      <c r="N10" s="325">
        <v>2</v>
      </c>
      <c r="O10" s="325">
        <v>1.1000000000000001</v>
      </c>
      <c r="P10" s="326">
        <v>3.1</v>
      </c>
    </row>
    <row r="11" spans="1:16" ht="23.25" customHeight="1" thickBot="1" x14ac:dyDescent="0.25">
      <c r="A11" s="643"/>
      <c r="B11" s="327" t="s">
        <v>371</v>
      </c>
      <c r="C11" s="328" t="s">
        <v>371</v>
      </c>
      <c r="D11" s="327">
        <v>1</v>
      </c>
      <c r="E11" s="324" t="s">
        <v>523</v>
      </c>
      <c r="F11" s="647"/>
      <c r="G11" s="327">
        <v>1</v>
      </c>
      <c r="H11" s="647"/>
      <c r="I11" s="327">
        <v>81</v>
      </c>
      <c r="J11" s="327">
        <v>18225</v>
      </c>
      <c r="K11" s="327">
        <v>1</v>
      </c>
      <c r="L11" s="327"/>
      <c r="M11" s="327"/>
      <c r="N11" s="330">
        <v>2</v>
      </c>
      <c r="O11" s="330">
        <v>1.1000000000000001</v>
      </c>
      <c r="P11" s="331">
        <v>3.1</v>
      </c>
    </row>
    <row r="12" spans="1:16" ht="13.5" thickBot="1" x14ac:dyDescent="0.25">
      <c r="A12" s="643"/>
      <c r="B12" s="648" t="s">
        <v>372</v>
      </c>
      <c r="C12" s="546"/>
      <c r="D12" s="546"/>
      <c r="E12" s="546"/>
      <c r="F12" s="546"/>
      <c r="G12" s="546"/>
      <c r="H12" s="546"/>
      <c r="I12" s="546"/>
      <c r="J12" s="546"/>
      <c r="K12" s="546"/>
      <c r="L12" s="546"/>
      <c r="M12" s="546"/>
      <c r="N12" s="546"/>
      <c r="O12" s="546"/>
      <c r="P12" s="547"/>
    </row>
    <row r="13" spans="1:16" ht="13.5" thickBot="1" x14ac:dyDescent="0.25">
      <c r="A13" s="643"/>
      <c r="B13" s="648" t="s">
        <v>101</v>
      </c>
      <c r="C13" s="546"/>
      <c r="D13" s="546"/>
      <c r="E13" s="546"/>
      <c r="F13" s="546"/>
      <c r="G13" s="546"/>
      <c r="H13" s="546"/>
      <c r="I13" s="546"/>
      <c r="J13" s="546"/>
      <c r="K13" s="546"/>
      <c r="L13" s="546"/>
      <c r="M13" s="546"/>
      <c r="N13" s="546"/>
      <c r="O13" s="546"/>
      <c r="P13" s="547"/>
    </row>
    <row r="14" spans="1:16" ht="24" customHeight="1" x14ac:dyDescent="0.2">
      <c r="A14" s="643"/>
      <c r="B14" s="323" t="s">
        <v>130</v>
      </c>
      <c r="C14" s="324" t="s">
        <v>102</v>
      </c>
      <c r="D14" s="324">
        <v>1</v>
      </c>
      <c r="E14" s="324" t="s">
        <v>523</v>
      </c>
      <c r="F14" s="645" t="s">
        <v>373</v>
      </c>
      <c r="G14" s="323">
        <v>1</v>
      </c>
      <c r="H14" s="645" t="s">
        <v>370</v>
      </c>
      <c r="I14" s="323">
        <v>39</v>
      </c>
      <c r="J14" s="323">
        <v>8875</v>
      </c>
      <c r="K14" s="323"/>
      <c r="L14" s="323">
        <v>1</v>
      </c>
      <c r="M14" s="323"/>
      <c r="N14" s="325">
        <v>0.8</v>
      </c>
      <c r="O14" s="325">
        <v>1.1000000000000001</v>
      </c>
      <c r="P14" s="326">
        <v>1.9000000000000001</v>
      </c>
    </row>
    <row r="15" spans="1:16" ht="35.25" customHeight="1" thickBot="1" x14ac:dyDescent="0.25">
      <c r="A15" s="643"/>
      <c r="B15" s="332" t="s">
        <v>101</v>
      </c>
      <c r="C15" s="333" t="s">
        <v>101</v>
      </c>
      <c r="D15" s="333">
        <v>1</v>
      </c>
      <c r="E15" s="324" t="s">
        <v>523</v>
      </c>
      <c r="F15" s="647"/>
      <c r="G15" s="332">
        <v>1</v>
      </c>
      <c r="H15" s="647"/>
      <c r="I15" s="332">
        <v>56</v>
      </c>
      <c r="J15" s="332">
        <v>12600</v>
      </c>
      <c r="K15" s="332">
        <v>1</v>
      </c>
      <c r="L15" s="332"/>
      <c r="M15" s="332"/>
      <c r="N15" s="334">
        <v>2</v>
      </c>
      <c r="O15" s="334">
        <v>1.1000000000000001</v>
      </c>
      <c r="P15" s="335">
        <v>3.1</v>
      </c>
    </row>
    <row r="16" spans="1:16" ht="13.5" thickBot="1" x14ac:dyDescent="0.25">
      <c r="A16" s="643"/>
      <c r="B16" s="648" t="s">
        <v>46</v>
      </c>
      <c r="C16" s="546"/>
      <c r="D16" s="546"/>
      <c r="E16" s="546"/>
      <c r="F16" s="546"/>
      <c r="G16" s="546"/>
      <c r="H16" s="546"/>
      <c r="I16" s="546"/>
      <c r="J16" s="546"/>
      <c r="K16" s="546"/>
      <c r="L16" s="546"/>
      <c r="M16" s="546"/>
      <c r="N16" s="546"/>
      <c r="O16" s="546"/>
      <c r="P16" s="547"/>
    </row>
    <row r="17" spans="1:16" ht="24" customHeight="1" x14ac:dyDescent="0.2">
      <c r="A17" s="643"/>
      <c r="B17" s="332" t="s">
        <v>374</v>
      </c>
      <c r="C17" s="333"/>
      <c r="D17" s="333">
        <v>1</v>
      </c>
      <c r="E17" s="333" t="s">
        <v>368</v>
      </c>
      <c r="F17" s="645" t="s">
        <v>373</v>
      </c>
      <c r="G17" s="332">
        <v>1</v>
      </c>
      <c r="H17" s="645" t="s">
        <v>370</v>
      </c>
      <c r="I17" s="332">
        <v>34</v>
      </c>
      <c r="J17" s="332">
        <v>12750</v>
      </c>
      <c r="K17" s="332">
        <v>1</v>
      </c>
      <c r="L17" s="332"/>
      <c r="M17" s="332"/>
      <c r="N17" s="334">
        <v>2</v>
      </c>
      <c r="O17" s="334">
        <v>1.1000000000000001</v>
      </c>
      <c r="P17" s="335">
        <v>1.9000000000000001</v>
      </c>
    </row>
    <row r="18" spans="1:16" ht="20.25" customHeight="1" x14ac:dyDescent="0.2">
      <c r="A18" s="643"/>
      <c r="B18" s="323" t="s">
        <v>46</v>
      </c>
      <c r="C18" s="324" t="s">
        <v>46</v>
      </c>
      <c r="D18" s="324">
        <v>1</v>
      </c>
      <c r="E18" s="324" t="s">
        <v>523</v>
      </c>
      <c r="F18" s="646"/>
      <c r="G18" s="323">
        <v>1</v>
      </c>
      <c r="H18" s="646"/>
      <c r="I18" s="323">
        <v>146</v>
      </c>
      <c r="J18" s="323">
        <v>32850</v>
      </c>
      <c r="K18" s="323">
        <v>1</v>
      </c>
      <c r="L18" s="323"/>
      <c r="M18" s="323"/>
      <c r="N18" s="325">
        <v>2</v>
      </c>
      <c r="O18" s="325">
        <v>1.1000000000000001</v>
      </c>
      <c r="P18" s="326">
        <v>3.1</v>
      </c>
    </row>
    <row r="19" spans="1:16" x14ac:dyDescent="0.2">
      <c r="A19" s="643"/>
      <c r="B19" s="332" t="s">
        <v>46</v>
      </c>
      <c r="C19" s="333" t="s">
        <v>375</v>
      </c>
      <c r="D19" s="333">
        <v>1</v>
      </c>
      <c r="E19" s="324" t="s">
        <v>523</v>
      </c>
      <c r="F19" s="646"/>
      <c r="G19" s="332">
        <v>1</v>
      </c>
      <c r="H19" s="646"/>
      <c r="I19" s="332">
        <v>4</v>
      </c>
      <c r="J19" s="332">
        <v>900</v>
      </c>
      <c r="K19" s="332"/>
      <c r="L19" s="332"/>
      <c r="M19" s="332">
        <v>1</v>
      </c>
      <c r="N19" s="334">
        <v>0.4</v>
      </c>
      <c r="O19" s="334">
        <v>1.1000000000000001</v>
      </c>
      <c r="P19" s="335">
        <v>1.5</v>
      </c>
    </row>
    <row r="20" spans="1:16" ht="19.5" customHeight="1" thickBot="1" x14ac:dyDescent="0.25">
      <c r="A20" s="644"/>
      <c r="B20" s="336" t="s">
        <v>376</v>
      </c>
      <c r="C20" s="337" t="s">
        <v>376</v>
      </c>
      <c r="D20" s="337">
        <v>1</v>
      </c>
      <c r="E20" s="324" t="s">
        <v>523</v>
      </c>
      <c r="F20" s="647"/>
      <c r="G20" s="336">
        <v>1</v>
      </c>
      <c r="H20" s="647"/>
      <c r="I20" s="336">
        <v>95</v>
      </c>
      <c r="J20" s="336">
        <v>21150</v>
      </c>
      <c r="K20" s="336">
        <v>1</v>
      </c>
      <c r="L20" s="336"/>
      <c r="M20" s="336"/>
      <c r="N20" s="338">
        <v>2</v>
      </c>
      <c r="O20" s="338">
        <v>1.1000000000000001</v>
      </c>
      <c r="P20" s="339">
        <v>3.1</v>
      </c>
    </row>
    <row r="21" spans="1:16" ht="13.5" thickBot="1" x14ac:dyDescent="0.25">
      <c r="A21" s="642" t="s">
        <v>17</v>
      </c>
      <c r="B21" s="648" t="s">
        <v>17</v>
      </c>
      <c r="C21" s="546"/>
      <c r="D21" s="546"/>
      <c r="E21" s="546"/>
      <c r="F21" s="546"/>
      <c r="G21" s="546"/>
      <c r="H21" s="546"/>
      <c r="I21" s="546"/>
      <c r="J21" s="546"/>
      <c r="K21" s="546"/>
      <c r="L21" s="546"/>
      <c r="M21" s="546"/>
      <c r="N21" s="546"/>
      <c r="O21" s="546"/>
      <c r="P21" s="547"/>
    </row>
    <row r="22" spans="1:16" ht="12.75" customHeight="1" x14ac:dyDescent="0.2">
      <c r="A22" s="643"/>
      <c r="B22" s="318" t="s">
        <v>374</v>
      </c>
      <c r="C22" s="319"/>
      <c r="D22" s="319">
        <v>1</v>
      </c>
      <c r="E22" s="319" t="s">
        <v>377</v>
      </c>
      <c r="F22" s="645" t="s">
        <v>369</v>
      </c>
      <c r="G22" s="318">
        <v>1</v>
      </c>
      <c r="H22" s="645" t="s">
        <v>370</v>
      </c>
      <c r="I22" s="318">
        <v>70</v>
      </c>
      <c r="J22" s="318">
        <v>26250</v>
      </c>
      <c r="K22" s="318">
        <v>1</v>
      </c>
      <c r="L22" s="318"/>
      <c r="M22" s="318"/>
      <c r="N22" s="321">
        <v>2</v>
      </c>
      <c r="O22" s="321">
        <v>1.1000000000000001</v>
      </c>
      <c r="P22" s="322">
        <v>3.1</v>
      </c>
    </row>
    <row r="23" spans="1:16" x14ac:dyDescent="0.2">
      <c r="A23" s="643"/>
      <c r="B23" s="332" t="s">
        <v>374</v>
      </c>
      <c r="C23" s="333"/>
      <c r="D23" s="333">
        <v>1</v>
      </c>
      <c r="E23" s="333" t="s">
        <v>368</v>
      </c>
      <c r="F23" s="646"/>
      <c r="G23" s="332">
        <v>1</v>
      </c>
      <c r="H23" s="646"/>
      <c r="I23" s="332">
        <v>40</v>
      </c>
      <c r="J23" s="332">
        <v>15000</v>
      </c>
      <c r="K23" s="332">
        <v>1</v>
      </c>
      <c r="L23" s="332"/>
      <c r="M23" s="332"/>
      <c r="N23" s="334">
        <v>2</v>
      </c>
      <c r="O23" s="334">
        <v>1.1000000000000001</v>
      </c>
      <c r="P23" s="335">
        <v>1.9000000000000001</v>
      </c>
    </row>
    <row r="24" spans="1:16" x14ac:dyDescent="0.2">
      <c r="A24" s="643"/>
      <c r="B24" s="332" t="s">
        <v>374</v>
      </c>
      <c r="C24" s="333" t="s">
        <v>17</v>
      </c>
      <c r="D24" s="333">
        <v>1</v>
      </c>
      <c r="E24" s="333" t="s">
        <v>378</v>
      </c>
      <c r="F24" s="646"/>
      <c r="G24" s="332">
        <v>1</v>
      </c>
      <c r="H24" s="646"/>
      <c r="I24" s="332">
        <v>281</v>
      </c>
      <c r="J24" s="332">
        <v>63225</v>
      </c>
      <c r="K24" s="332">
        <v>1</v>
      </c>
      <c r="L24" s="332"/>
      <c r="M24" s="332"/>
      <c r="N24" s="334">
        <v>2</v>
      </c>
      <c r="O24" s="334">
        <v>1.1000000000000001</v>
      </c>
      <c r="P24" s="335">
        <v>3.1</v>
      </c>
    </row>
    <row r="25" spans="1:16" x14ac:dyDescent="0.2">
      <c r="A25" s="643"/>
      <c r="B25" s="332" t="s">
        <v>212</v>
      </c>
      <c r="C25" s="333" t="s">
        <v>379</v>
      </c>
      <c r="D25" s="333">
        <v>1</v>
      </c>
      <c r="E25" s="324" t="s">
        <v>523</v>
      </c>
      <c r="F25" s="646"/>
      <c r="G25" s="332">
        <v>1</v>
      </c>
      <c r="H25" s="646"/>
      <c r="I25" s="332">
        <v>100</v>
      </c>
      <c r="J25" s="332">
        <v>23625</v>
      </c>
      <c r="K25" s="332">
        <v>1</v>
      </c>
      <c r="L25" s="332"/>
      <c r="M25" s="332"/>
      <c r="N25" s="334">
        <v>2</v>
      </c>
      <c r="O25" s="334">
        <v>1.1000000000000001</v>
      </c>
      <c r="P25" s="335">
        <v>3.1</v>
      </c>
    </row>
    <row r="26" spans="1:16" x14ac:dyDescent="0.2">
      <c r="A26" s="643"/>
      <c r="B26" s="332" t="s">
        <v>212</v>
      </c>
      <c r="C26" s="333" t="s">
        <v>212</v>
      </c>
      <c r="D26" s="333">
        <v>1</v>
      </c>
      <c r="E26" s="324" t="s">
        <v>523</v>
      </c>
      <c r="F26" s="646"/>
      <c r="G26" s="332">
        <v>1</v>
      </c>
      <c r="H26" s="646"/>
      <c r="I26" s="332">
        <v>59</v>
      </c>
      <c r="J26" s="332">
        <v>13275</v>
      </c>
      <c r="K26" s="332">
        <v>1</v>
      </c>
      <c r="L26" s="332"/>
      <c r="M26" s="332"/>
      <c r="N26" s="334">
        <v>2</v>
      </c>
      <c r="O26" s="334">
        <v>1.1000000000000001</v>
      </c>
      <c r="P26" s="335">
        <v>3.1</v>
      </c>
    </row>
    <row r="27" spans="1:16" x14ac:dyDescent="0.2">
      <c r="A27" s="643"/>
      <c r="B27" s="332" t="s">
        <v>380</v>
      </c>
      <c r="C27" s="333" t="s">
        <v>380</v>
      </c>
      <c r="D27" s="333">
        <v>1</v>
      </c>
      <c r="E27" s="324" t="s">
        <v>523</v>
      </c>
      <c r="F27" s="646"/>
      <c r="G27" s="332">
        <v>1</v>
      </c>
      <c r="H27" s="646"/>
      <c r="I27" s="332">
        <v>141</v>
      </c>
      <c r="J27" s="332">
        <v>31725</v>
      </c>
      <c r="K27" s="332">
        <v>1</v>
      </c>
      <c r="L27" s="332"/>
      <c r="M27" s="332"/>
      <c r="N27" s="334">
        <v>2</v>
      </c>
      <c r="O27" s="334">
        <v>1.1000000000000001</v>
      </c>
      <c r="P27" s="335">
        <v>3.1</v>
      </c>
    </row>
    <row r="28" spans="1:16" x14ac:dyDescent="0.2">
      <c r="A28" s="643"/>
      <c r="B28" s="332" t="s">
        <v>18</v>
      </c>
      <c r="C28" s="333" t="s">
        <v>381</v>
      </c>
      <c r="D28" s="333">
        <v>1</v>
      </c>
      <c r="E28" s="333" t="s">
        <v>368</v>
      </c>
      <c r="F28" s="646"/>
      <c r="G28" s="332">
        <v>1</v>
      </c>
      <c r="H28" s="646"/>
      <c r="I28" s="332">
        <v>25</v>
      </c>
      <c r="J28" s="332">
        <v>9375</v>
      </c>
      <c r="K28" s="332"/>
      <c r="L28" s="332">
        <v>1</v>
      </c>
      <c r="M28" s="332"/>
      <c r="N28" s="334">
        <v>0.8</v>
      </c>
      <c r="O28" s="334">
        <v>1.1000000000000001</v>
      </c>
      <c r="P28" s="335">
        <v>1.9000000000000001</v>
      </c>
    </row>
    <row r="29" spans="1:16" x14ac:dyDescent="0.2">
      <c r="A29" s="643"/>
      <c r="B29" s="23" t="s">
        <v>18</v>
      </c>
      <c r="C29" s="324" t="s">
        <v>381</v>
      </c>
      <c r="D29" s="324">
        <v>1</v>
      </c>
      <c r="E29" s="324" t="s">
        <v>523</v>
      </c>
      <c r="F29" s="646"/>
      <c r="G29" s="23">
        <v>1</v>
      </c>
      <c r="H29" s="646"/>
      <c r="I29" s="340">
        <v>65</v>
      </c>
      <c r="J29" s="340">
        <v>14625</v>
      </c>
      <c r="K29" s="323">
        <v>1</v>
      </c>
      <c r="L29" s="323"/>
      <c r="M29" s="323"/>
      <c r="N29" s="341">
        <v>2</v>
      </c>
      <c r="O29" s="341">
        <v>1.1000000000000001</v>
      </c>
      <c r="P29" s="342">
        <v>3.1</v>
      </c>
    </row>
    <row r="30" spans="1:16" x14ac:dyDescent="0.2">
      <c r="A30" s="643"/>
      <c r="B30" s="332" t="s">
        <v>18</v>
      </c>
      <c r="C30" s="333" t="s">
        <v>382</v>
      </c>
      <c r="D30" s="333">
        <v>1</v>
      </c>
      <c r="E30" s="324" t="s">
        <v>523</v>
      </c>
      <c r="F30" s="646"/>
      <c r="G30" s="332">
        <v>1</v>
      </c>
      <c r="H30" s="646"/>
      <c r="I30" s="332">
        <v>47</v>
      </c>
      <c r="J30" s="332">
        <v>10575</v>
      </c>
      <c r="K30" s="332"/>
      <c r="L30" s="332">
        <v>1</v>
      </c>
      <c r="M30" s="332"/>
      <c r="N30" s="334">
        <v>0.8</v>
      </c>
      <c r="O30" s="334">
        <v>1.1000000000000001</v>
      </c>
      <c r="P30" s="335">
        <v>1.9000000000000001</v>
      </c>
    </row>
    <row r="31" spans="1:16" x14ac:dyDescent="0.2">
      <c r="A31" s="643"/>
      <c r="B31" s="332" t="s">
        <v>18</v>
      </c>
      <c r="C31" s="333" t="s">
        <v>383</v>
      </c>
      <c r="D31" s="333">
        <v>1</v>
      </c>
      <c r="E31" s="324" t="s">
        <v>523</v>
      </c>
      <c r="F31" s="646"/>
      <c r="G31" s="332">
        <v>1</v>
      </c>
      <c r="H31" s="646"/>
      <c r="I31" s="332">
        <v>5</v>
      </c>
      <c r="J31" s="332">
        <v>1125</v>
      </c>
      <c r="K31" s="332"/>
      <c r="L31" s="332"/>
      <c r="M31" s="332">
        <v>1</v>
      </c>
      <c r="N31" s="334">
        <v>0.4</v>
      </c>
      <c r="O31" s="334">
        <v>1.1000000000000001</v>
      </c>
      <c r="P31" s="335">
        <v>1.5</v>
      </c>
    </row>
    <row r="32" spans="1:16" x14ac:dyDescent="0.2">
      <c r="A32" s="643"/>
      <c r="B32" s="332" t="s">
        <v>18</v>
      </c>
      <c r="C32" s="37" t="s">
        <v>384</v>
      </c>
      <c r="D32" s="37">
        <v>1</v>
      </c>
      <c r="E32" s="324" t="s">
        <v>523</v>
      </c>
      <c r="F32" s="646"/>
      <c r="G32" s="332">
        <v>1</v>
      </c>
      <c r="H32" s="646"/>
      <c r="I32" s="332">
        <v>69</v>
      </c>
      <c r="J32" s="332">
        <v>15525</v>
      </c>
      <c r="K32" s="332">
        <v>1</v>
      </c>
      <c r="L32" s="332"/>
      <c r="M32" s="332"/>
      <c r="N32" s="334">
        <v>2</v>
      </c>
      <c r="O32" s="334">
        <v>1.1000000000000001</v>
      </c>
      <c r="P32" s="335">
        <v>3.1</v>
      </c>
    </row>
    <row r="33" spans="1:16" x14ac:dyDescent="0.2">
      <c r="A33" s="643"/>
      <c r="B33" s="332" t="s">
        <v>18</v>
      </c>
      <c r="C33" s="37" t="s">
        <v>18</v>
      </c>
      <c r="D33" s="37">
        <v>1</v>
      </c>
      <c r="E33" s="324" t="s">
        <v>523</v>
      </c>
      <c r="F33" s="646"/>
      <c r="G33" s="332">
        <v>1</v>
      </c>
      <c r="H33" s="646"/>
      <c r="I33" s="332">
        <v>136</v>
      </c>
      <c r="J33" s="332">
        <v>30600</v>
      </c>
      <c r="K33" s="332">
        <v>1</v>
      </c>
      <c r="L33" s="332"/>
      <c r="M33" s="332"/>
      <c r="N33" s="334">
        <v>2</v>
      </c>
      <c r="O33" s="334">
        <v>1.1000000000000001</v>
      </c>
      <c r="P33" s="335">
        <v>3.1</v>
      </c>
    </row>
    <row r="34" spans="1:16" ht="22.5" customHeight="1" x14ac:dyDescent="0.2">
      <c r="A34" s="643"/>
      <c r="B34" s="332" t="s">
        <v>18</v>
      </c>
      <c r="C34" s="37" t="s">
        <v>385</v>
      </c>
      <c r="D34" s="37">
        <v>1</v>
      </c>
      <c r="E34" s="324" t="s">
        <v>523</v>
      </c>
      <c r="F34" s="646"/>
      <c r="G34" s="332">
        <v>1</v>
      </c>
      <c r="H34" s="646"/>
      <c r="I34" s="332">
        <v>13</v>
      </c>
      <c r="J34" s="332">
        <v>2925</v>
      </c>
      <c r="K34" s="332"/>
      <c r="L34" s="332"/>
      <c r="M34" s="332">
        <v>1</v>
      </c>
      <c r="N34" s="334">
        <v>0.4</v>
      </c>
      <c r="O34" s="334">
        <v>1.1000000000000001</v>
      </c>
      <c r="P34" s="335">
        <v>1.5</v>
      </c>
    </row>
    <row r="35" spans="1:16" x14ac:dyDescent="0.2">
      <c r="A35" s="643"/>
      <c r="B35" s="332" t="s">
        <v>78</v>
      </c>
      <c r="C35" s="37" t="s">
        <v>78</v>
      </c>
      <c r="D35" s="37">
        <v>1</v>
      </c>
      <c r="E35" s="324" t="s">
        <v>523</v>
      </c>
      <c r="F35" s="646"/>
      <c r="G35" s="332">
        <v>1</v>
      </c>
      <c r="H35" s="646"/>
      <c r="I35" s="332">
        <v>105</v>
      </c>
      <c r="J35" s="332">
        <v>23625</v>
      </c>
      <c r="K35" s="332">
        <v>1</v>
      </c>
      <c r="L35" s="332"/>
      <c r="M35" s="332"/>
      <c r="N35" s="334">
        <v>2</v>
      </c>
      <c r="O35" s="334">
        <v>1.1000000000000001</v>
      </c>
      <c r="P35" s="335">
        <v>3.1</v>
      </c>
    </row>
    <row r="36" spans="1:16" x14ac:dyDescent="0.2">
      <c r="A36" s="643"/>
      <c r="B36" s="332" t="s">
        <v>78</v>
      </c>
      <c r="C36" s="37" t="s">
        <v>386</v>
      </c>
      <c r="D36" s="37">
        <v>1</v>
      </c>
      <c r="E36" s="324" t="s">
        <v>523</v>
      </c>
      <c r="F36" s="646"/>
      <c r="G36" s="332">
        <v>1</v>
      </c>
      <c r="H36" s="646"/>
      <c r="I36" s="332">
        <v>116</v>
      </c>
      <c r="J36" s="332">
        <v>26100</v>
      </c>
      <c r="K36" s="332">
        <v>1</v>
      </c>
      <c r="L36" s="332"/>
      <c r="M36" s="332"/>
      <c r="N36" s="334">
        <v>2</v>
      </c>
      <c r="O36" s="334">
        <v>1.1000000000000001</v>
      </c>
      <c r="P36" s="335">
        <v>3.1</v>
      </c>
    </row>
    <row r="37" spans="1:16" x14ac:dyDescent="0.2">
      <c r="A37" s="643"/>
      <c r="B37" s="332" t="s">
        <v>387</v>
      </c>
      <c r="C37" s="333" t="s">
        <v>388</v>
      </c>
      <c r="D37" s="333">
        <v>1</v>
      </c>
      <c r="E37" s="324" t="s">
        <v>523</v>
      </c>
      <c r="F37" s="646"/>
      <c r="G37" s="332">
        <v>1</v>
      </c>
      <c r="H37" s="646"/>
      <c r="I37" s="332">
        <v>51</v>
      </c>
      <c r="J37" s="332">
        <v>11475</v>
      </c>
      <c r="K37" s="332">
        <v>1</v>
      </c>
      <c r="L37" s="332"/>
      <c r="M37" s="332"/>
      <c r="N37" s="334">
        <v>2</v>
      </c>
      <c r="O37" s="334">
        <v>1.1000000000000001</v>
      </c>
      <c r="P37" s="335">
        <v>3.1</v>
      </c>
    </row>
    <row r="38" spans="1:16" x14ac:dyDescent="0.2">
      <c r="A38" s="643"/>
      <c r="B38" s="332" t="s">
        <v>387</v>
      </c>
      <c r="C38" s="37" t="s">
        <v>389</v>
      </c>
      <c r="D38" s="37">
        <v>1</v>
      </c>
      <c r="E38" s="324" t="s">
        <v>523</v>
      </c>
      <c r="F38" s="646"/>
      <c r="G38" s="332">
        <v>1</v>
      </c>
      <c r="H38" s="646"/>
      <c r="I38" s="332">
        <v>147</v>
      </c>
      <c r="J38" s="332">
        <v>33075</v>
      </c>
      <c r="K38" s="332">
        <v>1</v>
      </c>
      <c r="L38" s="332"/>
      <c r="M38" s="332"/>
      <c r="N38" s="334">
        <v>2</v>
      </c>
      <c r="O38" s="334">
        <v>1.1000000000000001</v>
      </c>
      <c r="P38" s="335">
        <v>3.1</v>
      </c>
    </row>
    <row r="39" spans="1:16" x14ac:dyDescent="0.2">
      <c r="A39" s="643"/>
      <c r="B39" s="332" t="s">
        <v>387</v>
      </c>
      <c r="C39" s="333" t="s">
        <v>387</v>
      </c>
      <c r="D39" s="333">
        <v>1</v>
      </c>
      <c r="E39" s="324" t="s">
        <v>523</v>
      </c>
      <c r="F39" s="646"/>
      <c r="G39" s="332">
        <v>1</v>
      </c>
      <c r="H39" s="646"/>
      <c r="I39" s="332">
        <v>89</v>
      </c>
      <c r="J39" s="332">
        <v>20025</v>
      </c>
      <c r="K39" s="332">
        <v>1</v>
      </c>
      <c r="L39" s="332"/>
      <c r="M39" s="332"/>
      <c r="N39" s="334">
        <v>2</v>
      </c>
      <c r="O39" s="334">
        <v>1.1000000000000001</v>
      </c>
      <c r="P39" s="335">
        <v>3.1</v>
      </c>
    </row>
    <row r="40" spans="1:16" x14ac:dyDescent="0.2">
      <c r="A40" s="643"/>
      <c r="B40" s="332" t="s">
        <v>75</v>
      </c>
      <c r="C40" s="333" t="s">
        <v>390</v>
      </c>
      <c r="D40" s="333">
        <v>1</v>
      </c>
      <c r="E40" s="333" t="s">
        <v>378</v>
      </c>
      <c r="F40" s="646"/>
      <c r="G40" s="332">
        <v>1</v>
      </c>
      <c r="H40" s="646"/>
      <c r="I40" s="332">
        <v>369</v>
      </c>
      <c r="J40" s="332">
        <v>83025</v>
      </c>
      <c r="K40" s="332">
        <v>1</v>
      </c>
      <c r="L40" s="332"/>
      <c r="M40" s="332"/>
      <c r="N40" s="334">
        <v>2</v>
      </c>
      <c r="O40" s="334">
        <v>1.1000000000000001</v>
      </c>
      <c r="P40" s="335">
        <v>3.1</v>
      </c>
    </row>
    <row r="41" spans="1:16" x14ac:dyDescent="0.2">
      <c r="A41" s="643"/>
      <c r="B41" s="332" t="s">
        <v>391</v>
      </c>
      <c r="C41" s="333"/>
      <c r="D41" s="333">
        <v>1</v>
      </c>
      <c r="E41" s="333" t="s">
        <v>368</v>
      </c>
      <c r="F41" s="646"/>
      <c r="G41" s="332">
        <v>1</v>
      </c>
      <c r="H41" s="646"/>
      <c r="I41" s="332">
        <v>28</v>
      </c>
      <c r="J41" s="332">
        <v>10500</v>
      </c>
      <c r="K41" s="332"/>
      <c r="L41" s="332">
        <v>1</v>
      </c>
      <c r="M41" s="332"/>
      <c r="N41" s="334">
        <v>0.8</v>
      </c>
      <c r="O41" s="334">
        <v>1.1000000000000001</v>
      </c>
      <c r="P41" s="335">
        <v>1.9000000000000001</v>
      </c>
    </row>
    <row r="42" spans="1:16" ht="18.75" customHeight="1" x14ac:dyDescent="0.2">
      <c r="A42" s="643"/>
      <c r="B42" s="323" t="s">
        <v>75</v>
      </c>
      <c r="C42" s="324" t="s">
        <v>75</v>
      </c>
      <c r="D42" s="324">
        <v>1</v>
      </c>
      <c r="E42" s="324" t="s">
        <v>523</v>
      </c>
      <c r="F42" s="646"/>
      <c r="G42" s="323">
        <v>1</v>
      </c>
      <c r="H42" s="646"/>
      <c r="I42" s="323">
        <v>103</v>
      </c>
      <c r="J42" s="323">
        <v>23625</v>
      </c>
      <c r="K42" s="323">
        <v>1</v>
      </c>
      <c r="L42" s="323"/>
      <c r="M42" s="323"/>
      <c r="N42" s="325">
        <v>2</v>
      </c>
      <c r="O42" s="325">
        <v>1.1000000000000001</v>
      </c>
      <c r="P42" s="326">
        <v>3.1</v>
      </c>
    </row>
    <row r="43" spans="1:16" ht="15" customHeight="1" x14ac:dyDescent="0.2">
      <c r="A43" s="643"/>
      <c r="B43" s="332" t="s">
        <v>95</v>
      </c>
      <c r="C43" s="333" t="s">
        <v>374</v>
      </c>
      <c r="D43" s="333">
        <v>1</v>
      </c>
      <c r="E43" s="333" t="s">
        <v>368</v>
      </c>
      <c r="F43" s="646"/>
      <c r="G43" s="332">
        <v>1</v>
      </c>
      <c r="H43" s="646"/>
      <c r="I43" s="332">
        <v>3</v>
      </c>
      <c r="J43" s="332">
        <v>1125</v>
      </c>
      <c r="K43" s="332"/>
      <c r="L43" s="332"/>
      <c r="M43" s="332">
        <v>1</v>
      </c>
      <c r="N43" s="334">
        <v>0.4</v>
      </c>
      <c r="O43" s="334">
        <v>1.1000000000000001</v>
      </c>
      <c r="P43" s="335">
        <v>1.5</v>
      </c>
    </row>
    <row r="44" spans="1:16" x14ac:dyDescent="0.2">
      <c r="A44" s="643"/>
      <c r="B44" s="332" t="s">
        <v>392</v>
      </c>
      <c r="C44" s="333" t="s">
        <v>393</v>
      </c>
      <c r="D44" s="333">
        <v>1</v>
      </c>
      <c r="E44" s="324" t="s">
        <v>523</v>
      </c>
      <c r="F44" s="646"/>
      <c r="G44" s="332">
        <v>1</v>
      </c>
      <c r="H44" s="646"/>
      <c r="I44" s="332">
        <v>35</v>
      </c>
      <c r="J44" s="332">
        <v>7875</v>
      </c>
      <c r="K44" s="332"/>
      <c r="L44" s="332">
        <v>1</v>
      </c>
      <c r="M44" s="332"/>
      <c r="N44" s="334">
        <v>0.8</v>
      </c>
      <c r="O44" s="334">
        <v>1.1000000000000001</v>
      </c>
      <c r="P44" s="335">
        <v>1.9000000000000001</v>
      </c>
    </row>
    <row r="45" spans="1:16" ht="18" customHeight="1" x14ac:dyDescent="0.2">
      <c r="A45" s="643"/>
      <c r="B45" s="332" t="s">
        <v>394</v>
      </c>
      <c r="C45" s="37" t="s">
        <v>395</v>
      </c>
      <c r="D45" s="37">
        <v>1</v>
      </c>
      <c r="E45" s="324" t="s">
        <v>523</v>
      </c>
      <c r="F45" s="646"/>
      <c r="G45" s="332">
        <v>1</v>
      </c>
      <c r="H45" s="646"/>
      <c r="I45" s="332">
        <v>202</v>
      </c>
      <c r="J45" s="332">
        <v>45225</v>
      </c>
      <c r="K45" s="332">
        <v>1</v>
      </c>
      <c r="L45" s="332"/>
      <c r="M45" s="332"/>
      <c r="N45" s="334">
        <v>2</v>
      </c>
      <c r="O45" s="334">
        <v>1.1000000000000001</v>
      </c>
      <c r="P45" s="335">
        <v>3.1</v>
      </c>
    </row>
    <row r="46" spans="1:16" ht="15.75" customHeight="1" thickBot="1" x14ac:dyDescent="0.25">
      <c r="A46" s="644"/>
      <c r="B46" s="336" t="s">
        <v>394</v>
      </c>
      <c r="C46" s="337" t="s">
        <v>396</v>
      </c>
      <c r="D46" s="337">
        <v>1</v>
      </c>
      <c r="E46" s="353" t="s">
        <v>523</v>
      </c>
      <c r="F46" s="647"/>
      <c r="G46" s="336">
        <v>1</v>
      </c>
      <c r="H46" s="647"/>
      <c r="I46" s="336">
        <v>94</v>
      </c>
      <c r="J46" s="336">
        <v>21150</v>
      </c>
      <c r="K46" s="336">
        <v>1</v>
      </c>
      <c r="L46" s="336"/>
      <c r="M46" s="336"/>
      <c r="N46" s="338">
        <v>2</v>
      </c>
      <c r="O46" s="338">
        <v>1.1000000000000001</v>
      </c>
      <c r="P46" s="339">
        <v>3.1</v>
      </c>
    </row>
    <row r="47" spans="1:16" ht="24" customHeight="1" x14ac:dyDescent="0.2">
      <c r="A47" s="643" t="s">
        <v>17</v>
      </c>
      <c r="B47" s="323" t="s">
        <v>397</v>
      </c>
      <c r="C47" s="48" t="s">
        <v>398</v>
      </c>
      <c r="D47" s="48">
        <v>1</v>
      </c>
      <c r="E47" s="324" t="s">
        <v>523</v>
      </c>
      <c r="F47" s="646" t="s">
        <v>373</v>
      </c>
      <c r="G47" s="323">
        <v>1</v>
      </c>
      <c r="H47" s="645" t="s">
        <v>370</v>
      </c>
      <c r="I47" s="323">
        <v>118</v>
      </c>
      <c r="J47" s="323">
        <v>26100</v>
      </c>
      <c r="K47" s="323">
        <v>1</v>
      </c>
      <c r="L47" s="323"/>
      <c r="M47" s="323"/>
      <c r="N47" s="325">
        <v>2</v>
      </c>
      <c r="O47" s="325">
        <v>1.1000000000000001</v>
      </c>
      <c r="P47" s="326">
        <v>3.1</v>
      </c>
    </row>
    <row r="48" spans="1:16" ht="22.5" customHeight="1" x14ac:dyDescent="0.2">
      <c r="A48" s="643"/>
      <c r="B48" s="332" t="s">
        <v>399</v>
      </c>
      <c r="C48" s="37" t="s">
        <v>400</v>
      </c>
      <c r="D48" s="37">
        <v>1</v>
      </c>
      <c r="E48" s="333" t="s">
        <v>378</v>
      </c>
      <c r="F48" s="646"/>
      <c r="G48" s="332">
        <v>1</v>
      </c>
      <c r="H48" s="646"/>
      <c r="I48" s="332">
        <v>201</v>
      </c>
      <c r="J48" s="332">
        <v>45225</v>
      </c>
      <c r="K48" s="332">
        <v>1</v>
      </c>
      <c r="L48" s="332"/>
      <c r="M48" s="332"/>
      <c r="N48" s="334">
        <v>2</v>
      </c>
      <c r="O48" s="334">
        <v>1.1000000000000001</v>
      </c>
      <c r="P48" s="335">
        <v>3.1</v>
      </c>
    </row>
    <row r="49" spans="1:16" ht="20.25" customHeight="1" thickBot="1" x14ac:dyDescent="0.25">
      <c r="A49" s="643"/>
      <c r="B49" s="336" t="s">
        <v>399</v>
      </c>
      <c r="C49" s="337" t="s">
        <v>401</v>
      </c>
      <c r="D49" s="337">
        <v>1</v>
      </c>
      <c r="E49" s="337" t="s">
        <v>378</v>
      </c>
      <c r="F49" s="647"/>
      <c r="G49" s="336">
        <v>1</v>
      </c>
      <c r="H49" s="647"/>
      <c r="I49" s="336">
        <v>10</v>
      </c>
      <c r="J49" s="336">
        <v>2250</v>
      </c>
      <c r="K49" s="336"/>
      <c r="L49" s="336"/>
      <c r="M49" s="336">
        <v>1</v>
      </c>
      <c r="N49" s="338">
        <v>0.4</v>
      </c>
      <c r="O49" s="338">
        <v>1.1000000000000001</v>
      </c>
      <c r="P49" s="339">
        <v>1.5</v>
      </c>
    </row>
    <row r="50" spans="1:16" ht="13.5" thickBot="1" x14ac:dyDescent="0.25">
      <c r="A50" s="643"/>
      <c r="B50" s="653" t="s">
        <v>58</v>
      </c>
      <c r="C50" s="654"/>
      <c r="D50" s="654"/>
      <c r="E50" s="654"/>
      <c r="F50" s="654"/>
      <c r="G50" s="654"/>
      <c r="H50" s="654"/>
      <c r="I50" s="654"/>
      <c r="J50" s="654"/>
      <c r="K50" s="654"/>
      <c r="L50" s="654"/>
      <c r="M50" s="654"/>
      <c r="N50" s="654"/>
      <c r="O50" s="654"/>
      <c r="P50" s="655"/>
    </row>
    <row r="51" spans="1:16" ht="21.75" customHeight="1" x14ac:dyDescent="0.2">
      <c r="A51" s="643"/>
      <c r="B51" s="332" t="s">
        <v>374</v>
      </c>
      <c r="C51" s="333"/>
      <c r="D51" s="333">
        <v>1</v>
      </c>
      <c r="E51" s="333" t="s">
        <v>368</v>
      </c>
      <c r="F51" s="645" t="s">
        <v>373</v>
      </c>
      <c r="G51" s="332">
        <v>1</v>
      </c>
      <c r="H51" s="645" t="s">
        <v>370</v>
      </c>
      <c r="I51" s="332">
        <v>23</v>
      </c>
      <c r="J51" s="332">
        <v>8625</v>
      </c>
      <c r="K51" s="332"/>
      <c r="L51" s="332">
        <v>1</v>
      </c>
      <c r="M51" s="332"/>
      <c r="N51" s="334">
        <v>0.8</v>
      </c>
      <c r="O51" s="334">
        <v>1.1000000000000001</v>
      </c>
      <c r="P51" s="335">
        <v>1.9000000000000001</v>
      </c>
    </row>
    <row r="52" spans="1:16" ht="17.25" customHeight="1" x14ac:dyDescent="0.2">
      <c r="A52" s="643"/>
      <c r="B52" s="332" t="s">
        <v>402</v>
      </c>
      <c r="C52" s="333" t="s">
        <v>403</v>
      </c>
      <c r="D52" s="333">
        <v>1</v>
      </c>
      <c r="E52" s="333" t="s">
        <v>378</v>
      </c>
      <c r="F52" s="646"/>
      <c r="G52" s="332">
        <v>1</v>
      </c>
      <c r="H52" s="646"/>
      <c r="I52" s="332">
        <v>225</v>
      </c>
      <c r="J52" s="332">
        <v>50625</v>
      </c>
      <c r="K52" s="332">
        <v>1</v>
      </c>
      <c r="L52" s="332"/>
      <c r="M52" s="332"/>
      <c r="N52" s="334">
        <v>2</v>
      </c>
      <c r="O52" s="334">
        <v>1.1000000000000001</v>
      </c>
      <c r="P52" s="335">
        <v>3.1</v>
      </c>
    </row>
    <row r="53" spans="1:16" ht="18.75" customHeight="1" thickBot="1" x14ac:dyDescent="0.25">
      <c r="A53" s="643"/>
      <c r="B53" s="332" t="s">
        <v>402</v>
      </c>
      <c r="C53" s="333" t="s">
        <v>404</v>
      </c>
      <c r="D53" s="333">
        <v>1</v>
      </c>
      <c r="E53" s="324" t="s">
        <v>523</v>
      </c>
      <c r="F53" s="647"/>
      <c r="G53" s="332">
        <v>1</v>
      </c>
      <c r="H53" s="647"/>
      <c r="I53" s="332">
        <v>82</v>
      </c>
      <c r="J53" s="332">
        <v>18450</v>
      </c>
      <c r="K53" s="332">
        <v>1</v>
      </c>
      <c r="L53" s="332"/>
      <c r="M53" s="332"/>
      <c r="N53" s="334">
        <v>2</v>
      </c>
      <c r="O53" s="334">
        <v>1.1000000000000001</v>
      </c>
      <c r="P53" s="335">
        <v>3.1</v>
      </c>
    </row>
    <row r="54" spans="1:16" ht="13.5" thickBot="1" x14ac:dyDescent="0.25">
      <c r="A54" s="643"/>
      <c r="B54" s="648" t="s">
        <v>405</v>
      </c>
      <c r="C54" s="546"/>
      <c r="D54" s="546"/>
      <c r="E54" s="546"/>
      <c r="F54" s="546"/>
      <c r="G54" s="546"/>
      <c r="H54" s="546"/>
      <c r="I54" s="546"/>
      <c r="J54" s="546"/>
      <c r="K54" s="546"/>
      <c r="L54" s="546"/>
      <c r="M54" s="546"/>
      <c r="N54" s="546"/>
      <c r="O54" s="546"/>
      <c r="P54" s="547"/>
    </row>
    <row r="55" spans="1:16" x14ac:dyDescent="0.2">
      <c r="A55" s="643"/>
      <c r="B55" s="332" t="s">
        <v>406</v>
      </c>
      <c r="C55" s="333"/>
      <c r="D55" s="333">
        <v>1</v>
      </c>
      <c r="E55" s="333" t="s">
        <v>368</v>
      </c>
      <c r="F55" s="645" t="s">
        <v>373</v>
      </c>
      <c r="G55" s="332">
        <v>1</v>
      </c>
      <c r="H55" s="645" t="s">
        <v>370</v>
      </c>
      <c r="I55" s="332">
        <v>25</v>
      </c>
      <c r="J55" s="332">
        <v>9375</v>
      </c>
      <c r="K55" s="332"/>
      <c r="L55" s="332">
        <v>1</v>
      </c>
      <c r="M55" s="332"/>
      <c r="N55" s="334">
        <v>0.8</v>
      </c>
      <c r="O55" s="334">
        <v>1.1000000000000001</v>
      </c>
      <c r="P55" s="335">
        <v>1.9000000000000001</v>
      </c>
    </row>
    <row r="56" spans="1:16" x14ac:dyDescent="0.2">
      <c r="A56" s="643"/>
      <c r="B56" s="332" t="s">
        <v>406</v>
      </c>
      <c r="C56" s="333" t="s">
        <v>407</v>
      </c>
      <c r="D56" s="333">
        <v>1</v>
      </c>
      <c r="E56" s="324" t="s">
        <v>523</v>
      </c>
      <c r="F56" s="646"/>
      <c r="G56" s="332">
        <v>1</v>
      </c>
      <c r="H56" s="646"/>
      <c r="I56" s="332">
        <v>30</v>
      </c>
      <c r="J56" s="332">
        <v>6750</v>
      </c>
      <c r="K56" s="332"/>
      <c r="L56" s="332">
        <v>1</v>
      </c>
      <c r="M56" s="332"/>
      <c r="N56" s="334">
        <v>0.8</v>
      </c>
      <c r="O56" s="334">
        <v>1.1000000000000001</v>
      </c>
      <c r="P56" s="335">
        <v>1.9000000000000001</v>
      </c>
    </row>
    <row r="57" spans="1:16" x14ac:dyDescent="0.2">
      <c r="A57" s="643"/>
      <c r="B57" s="332" t="s">
        <v>406</v>
      </c>
      <c r="C57" s="333" t="s">
        <v>406</v>
      </c>
      <c r="D57" s="333">
        <v>1</v>
      </c>
      <c r="E57" s="324" t="s">
        <v>523</v>
      </c>
      <c r="F57" s="646"/>
      <c r="G57" s="332">
        <v>1</v>
      </c>
      <c r="H57" s="646"/>
      <c r="I57" s="332">
        <v>115</v>
      </c>
      <c r="J57" s="332">
        <v>26100</v>
      </c>
      <c r="K57" s="332">
        <v>1</v>
      </c>
      <c r="L57" s="332"/>
      <c r="M57" s="332"/>
      <c r="N57" s="334">
        <v>2</v>
      </c>
      <c r="O57" s="334">
        <v>1.1000000000000001</v>
      </c>
      <c r="P57" s="335">
        <v>3.1</v>
      </c>
    </row>
    <row r="58" spans="1:16" x14ac:dyDescent="0.2">
      <c r="A58" s="643"/>
      <c r="B58" s="332" t="s">
        <v>406</v>
      </c>
      <c r="C58" s="333" t="s">
        <v>408</v>
      </c>
      <c r="D58" s="333">
        <v>1</v>
      </c>
      <c r="E58" s="324" t="s">
        <v>523</v>
      </c>
      <c r="F58" s="646"/>
      <c r="G58" s="332">
        <v>1</v>
      </c>
      <c r="H58" s="646"/>
      <c r="I58" s="332">
        <v>105</v>
      </c>
      <c r="J58" s="332">
        <v>23625</v>
      </c>
      <c r="K58" s="332">
        <v>1</v>
      </c>
      <c r="L58" s="332"/>
      <c r="M58" s="332"/>
      <c r="N58" s="334">
        <v>2</v>
      </c>
      <c r="O58" s="334">
        <v>1.1000000000000001</v>
      </c>
      <c r="P58" s="335">
        <v>3.1</v>
      </c>
    </row>
    <row r="59" spans="1:16" x14ac:dyDescent="0.2">
      <c r="A59" s="643"/>
      <c r="B59" s="332" t="s">
        <v>409</v>
      </c>
      <c r="C59" s="333" t="s">
        <v>410</v>
      </c>
      <c r="D59" s="333">
        <v>1</v>
      </c>
      <c r="E59" s="324" t="s">
        <v>523</v>
      </c>
      <c r="F59" s="646"/>
      <c r="G59" s="332">
        <v>1</v>
      </c>
      <c r="H59" s="646"/>
      <c r="I59" s="332">
        <v>99</v>
      </c>
      <c r="J59" s="332">
        <v>23625</v>
      </c>
      <c r="K59" s="332">
        <v>1</v>
      </c>
      <c r="L59" s="332"/>
      <c r="M59" s="332"/>
      <c r="N59" s="334">
        <v>2</v>
      </c>
      <c r="O59" s="334">
        <v>1.1000000000000001</v>
      </c>
      <c r="P59" s="335">
        <v>3.1</v>
      </c>
    </row>
    <row r="60" spans="1:16" ht="13.5" thickBot="1" x14ac:dyDescent="0.25">
      <c r="A60" s="643"/>
      <c r="B60" s="332" t="s">
        <v>411</v>
      </c>
      <c r="C60" s="333" t="s">
        <v>412</v>
      </c>
      <c r="D60" s="333">
        <v>1</v>
      </c>
      <c r="E60" s="324" t="s">
        <v>523</v>
      </c>
      <c r="F60" s="647"/>
      <c r="G60" s="332">
        <v>1</v>
      </c>
      <c r="H60" s="647"/>
      <c r="I60" s="332">
        <v>47</v>
      </c>
      <c r="J60" s="332">
        <v>10575</v>
      </c>
      <c r="K60" s="332"/>
      <c r="L60" s="332">
        <v>1</v>
      </c>
      <c r="M60" s="332"/>
      <c r="N60" s="334">
        <v>0.8</v>
      </c>
      <c r="O60" s="334">
        <v>1.1000000000000001</v>
      </c>
      <c r="P60" s="335">
        <v>1.9000000000000001</v>
      </c>
    </row>
    <row r="61" spans="1:16" ht="13.5" thickBot="1" x14ac:dyDescent="0.25">
      <c r="A61" s="643"/>
      <c r="B61" s="648" t="s">
        <v>33</v>
      </c>
      <c r="C61" s="546"/>
      <c r="D61" s="546"/>
      <c r="E61" s="546"/>
      <c r="F61" s="546"/>
      <c r="G61" s="546"/>
      <c r="H61" s="546"/>
      <c r="I61" s="546"/>
      <c r="J61" s="546"/>
      <c r="K61" s="546"/>
      <c r="L61" s="546"/>
      <c r="M61" s="546"/>
      <c r="N61" s="546"/>
      <c r="O61" s="546"/>
      <c r="P61" s="547"/>
    </row>
    <row r="62" spans="1:16" ht="23.25" customHeight="1" x14ac:dyDescent="0.2">
      <c r="A62" s="643"/>
      <c r="B62" s="332" t="s">
        <v>37</v>
      </c>
      <c r="C62" s="333"/>
      <c r="D62" s="333">
        <v>1</v>
      </c>
      <c r="E62" s="333" t="s">
        <v>368</v>
      </c>
      <c r="F62" s="645" t="s">
        <v>373</v>
      </c>
      <c r="G62" s="332">
        <v>1</v>
      </c>
      <c r="H62" s="645" t="s">
        <v>370</v>
      </c>
      <c r="I62" s="332">
        <v>23</v>
      </c>
      <c r="J62" s="332">
        <v>8625</v>
      </c>
      <c r="K62" s="332"/>
      <c r="L62" s="332">
        <v>1</v>
      </c>
      <c r="M62" s="332"/>
      <c r="N62" s="334">
        <v>0.8</v>
      </c>
      <c r="O62" s="334">
        <v>1.1000000000000001</v>
      </c>
      <c r="P62" s="335">
        <v>1.9000000000000001</v>
      </c>
    </row>
    <row r="63" spans="1:16" ht="18.75" customHeight="1" x14ac:dyDescent="0.2">
      <c r="A63" s="643"/>
      <c r="B63" s="323" t="s">
        <v>37</v>
      </c>
      <c r="C63" s="324" t="s">
        <v>37</v>
      </c>
      <c r="D63" s="324">
        <v>1</v>
      </c>
      <c r="E63" s="324" t="s">
        <v>523</v>
      </c>
      <c r="F63" s="646"/>
      <c r="G63" s="323">
        <v>1</v>
      </c>
      <c r="H63" s="646"/>
      <c r="I63" s="323">
        <v>83</v>
      </c>
      <c r="J63" s="323">
        <v>18450</v>
      </c>
      <c r="K63" s="323">
        <v>1</v>
      </c>
      <c r="L63" s="323"/>
      <c r="M63" s="323"/>
      <c r="N63" s="325">
        <v>2</v>
      </c>
      <c r="O63" s="325">
        <v>1.1000000000000001</v>
      </c>
      <c r="P63" s="326">
        <v>3.1</v>
      </c>
    </row>
    <row r="64" spans="1:16" ht="28.5" customHeight="1" thickBot="1" x14ac:dyDescent="0.25">
      <c r="A64" s="643"/>
      <c r="B64" s="323" t="s">
        <v>413</v>
      </c>
      <c r="C64" s="324" t="s">
        <v>414</v>
      </c>
      <c r="D64" s="324">
        <v>1</v>
      </c>
      <c r="E64" s="324" t="s">
        <v>523</v>
      </c>
      <c r="F64" s="647"/>
      <c r="G64" s="323">
        <v>1</v>
      </c>
      <c r="H64" s="647"/>
      <c r="I64" s="323">
        <v>106</v>
      </c>
      <c r="J64" s="323">
        <v>23625</v>
      </c>
      <c r="K64" s="323">
        <v>1</v>
      </c>
      <c r="L64" s="323"/>
      <c r="M64" s="323"/>
      <c r="N64" s="325">
        <v>2</v>
      </c>
      <c r="O64" s="325">
        <v>1.1000000000000001</v>
      </c>
      <c r="P64" s="326">
        <v>3.1</v>
      </c>
    </row>
    <row r="65" spans="1:16" ht="13.5" thickBot="1" x14ac:dyDescent="0.25">
      <c r="A65" s="643"/>
      <c r="B65" s="648" t="s">
        <v>88</v>
      </c>
      <c r="C65" s="546"/>
      <c r="D65" s="546"/>
      <c r="E65" s="546"/>
      <c r="F65" s="546"/>
      <c r="G65" s="546"/>
      <c r="H65" s="546"/>
      <c r="I65" s="546"/>
      <c r="J65" s="546"/>
      <c r="K65" s="546"/>
      <c r="L65" s="546"/>
      <c r="M65" s="546"/>
      <c r="N65" s="546"/>
      <c r="O65" s="546"/>
      <c r="P65" s="547"/>
    </row>
    <row r="66" spans="1:16" x14ac:dyDescent="0.2">
      <c r="A66" s="643"/>
      <c r="B66" s="318" t="s">
        <v>131</v>
      </c>
      <c r="C66" s="319"/>
      <c r="D66" s="319">
        <v>1</v>
      </c>
      <c r="E66" s="319" t="s">
        <v>368</v>
      </c>
      <c r="F66" s="645" t="s">
        <v>373</v>
      </c>
      <c r="G66" s="318">
        <v>1</v>
      </c>
      <c r="H66" s="645" t="s">
        <v>370</v>
      </c>
      <c r="I66" s="318">
        <v>15</v>
      </c>
      <c r="J66" s="318">
        <v>5625</v>
      </c>
      <c r="K66" s="318"/>
      <c r="L66" s="318">
        <v>1</v>
      </c>
      <c r="M66" s="318"/>
      <c r="N66" s="321">
        <v>0.8</v>
      </c>
      <c r="O66" s="321">
        <v>1.1000000000000001</v>
      </c>
      <c r="P66" s="322">
        <v>1.9000000000000001</v>
      </c>
    </row>
    <row r="67" spans="1:16" ht="18" customHeight="1" x14ac:dyDescent="0.2">
      <c r="A67" s="643"/>
      <c r="B67" s="332" t="s">
        <v>131</v>
      </c>
      <c r="C67" s="333" t="s">
        <v>131</v>
      </c>
      <c r="D67" s="333">
        <v>1</v>
      </c>
      <c r="E67" s="324" t="s">
        <v>523</v>
      </c>
      <c r="F67" s="646"/>
      <c r="G67" s="332">
        <v>1</v>
      </c>
      <c r="H67" s="646"/>
      <c r="I67" s="332">
        <v>166</v>
      </c>
      <c r="J67" s="332">
        <v>37350</v>
      </c>
      <c r="K67" s="332">
        <v>1</v>
      </c>
      <c r="L67" s="332"/>
      <c r="M67" s="332"/>
      <c r="N67" s="334">
        <v>2</v>
      </c>
      <c r="O67" s="334">
        <v>1.1000000000000001</v>
      </c>
      <c r="P67" s="335">
        <v>3.1</v>
      </c>
    </row>
    <row r="68" spans="1:16" x14ac:dyDescent="0.2">
      <c r="A68" s="643"/>
      <c r="B68" s="332" t="s">
        <v>132</v>
      </c>
      <c r="C68" s="333" t="s">
        <v>132</v>
      </c>
      <c r="D68" s="333">
        <v>1</v>
      </c>
      <c r="E68" s="324" t="s">
        <v>523</v>
      </c>
      <c r="F68" s="646"/>
      <c r="G68" s="332">
        <v>1</v>
      </c>
      <c r="H68" s="646"/>
      <c r="I68" s="332">
        <v>143</v>
      </c>
      <c r="J68" s="332">
        <v>32175</v>
      </c>
      <c r="K68" s="332">
        <v>1</v>
      </c>
      <c r="L68" s="332"/>
      <c r="M68" s="332"/>
      <c r="N68" s="334">
        <v>2</v>
      </c>
      <c r="O68" s="334">
        <v>1.1000000000000001</v>
      </c>
      <c r="P68" s="335">
        <v>3.1</v>
      </c>
    </row>
    <row r="69" spans="1:16" ht="21.75" customHeight="1" thickBot="1" x14ac:dyDescent="0.25">
      <c r="A69" s="644"/>
      <c r="B69" s="336" t="s">
        <v>132</v>
      </c>
      <c r="C69" s="337" t="s">
        <v>415</v>
      </c>
      <c r="D69" s="337">
        <v>1</v>
      </c>
      <c r="E69" s="353" t="s">
        <v>523</v>
      </c>
      <c r="F69" s="647"/>
      <c r="G69" s="336">
        <v>1</v>
      </c>
      <c r="H69" s="647"/>
      <c r="I69" s="336">
        <v>117</v>
      </c>
      <c r="J69" s="336">
        <v>26100</v>
      </c>
      <c r="K69" s="336">
        <v>1</v>
      </c>
      <c r="L69" s="336"/>
      <c r="M69" s="336"/>
      <c r="N69" s="338">
        <v>2</v>
      </c>
      <c r="O69" s="338">
        <v>1.1000000000000001</v>
      </c>
      <c r="P69" s="339">
        <v>3.1</v>
      </c>
    </row>
    <row r="70" spans="1:16" ht="13.5" thickBot="1" x14ac:dyDescent="0.25">
      <c r="A70" s="643" t="s">
        <v>365</v>
      </c>
      <c r="B70" s="648" t="s">
        <v>416</v>
      </c>
      <c r="C70" s="546"/>
      <c r="D70" s="546"/>
      <c r="E70" s="546"/>
      <c r="F70" s="546"/>
      <c r="G70" s="546"/>
      <c r="H70" s="546"/>
      <c r="I70" s="546"/>
      <c r="J70" s="546"/>
      <c r="K70" s="546"/>
      <c r="L70" s="546"/>
      <c r="M70" s="546"/>
      <c r="N70" s="546"/>
      <c r="O70" s="546"/>
      <c r="P70" s="547"/>
    </row>
    <row r="71" spans="1:16" ht="13.5" thickBot="1" x14ac:dyDescent="0.25">
      <c r="A71" s="643"/>
      <c r="B71" s="648" t="s">
        <v>417</v>
      </c>
      <c r="C71" s="546"/>
      <c r="D71" s="546"/>
      <c r="E71" s="546"/>
      <c r="F71" s="546"/>
      <c r="G71" s="546"/>
      <c r="H71" s="546"/>
      <c r="I71" s="546"/>
      <c r="J71" s="546"/>
      <c r="K71" s="546"/>
      <c r="L71" s="546"/>
      <c r="M71" s="546"/>
      <c r="N71" s="546"/>
      <c r="O71" s="546"/>
      <c r="P71" s="547"/>
    </row>
    <row r="72" spans="1:16" ht="57" thickBot="1" x14ac:dyDescent="0.25">
      <c r="A72" s="644"/>
      <c r="B72" s="318" t="s">
        <v>417</v>
      </c>
      <c r="C72" s="319"/>
      <c r="D72" s="319">
        <v>1</v>
      </c>
      <c r="E72" s="319" t="s">
        <v>368</v>
      </c>
      <c r="F72" s="320" t="s">
        <v>418</v>
      </c>
      <c r="G72" s="318">
        <v>1</v>
      </c>
      <c r="H72" s="320" t="s">
        <v>370</v>
      </c>
      <c r="I72" s="318">
        <v>16</v>
      </c>
      <c r="J72" s="318">
        <v>6000</v>
      </c>
      <c r="K72" s="318"/>
      <c r="L72" s="318">
        <v>1</v>
      </c>
      <c r="M72" s="318"/>
      <c r="N72" s="321">
        <v>0.8</v>
      </c>
      <c r="O72" s="321">
        <v>1.1000000000000001</v>
      </c>
      <c r="P72" s="322">
        <v>1.9000000000000001</v>
      </c>
    </row>
    <row r="73" spans="1:16" ht="13.5" thickBot="1" x14ac:dyDescent="0.25">
      <c r="A73" s="642" t="s">
        <v>419</v>
      </c>
      <c r="B73" s="648" t="s">
        <v>416</v>
      </c>
      <c r="C73" s="546"/>
      <c r="D73" s="546"/>
      <c r="E73" s="546"/>
      <c r="F73" s="546"/>
      <c r="G73" s="546"/>
      <c r="H73" s="546"/>
      <c r="I73" s="546"/>
      <c r="J73" s="546"/>
      <c r="K73" s="546"/>
      <c r="L73" s="546"/>
      <c r="M73" s="546"/>
      <c r="N73" s="546"/>
      <c r="O73" s="546"/>
      <c r="P73" s="547"/>
    </row>
    <row r="74" spans="1:16" ht="13.5" thickBot="1" x14ac:dyDescent="0.25">
      <c r="A74" s="643"/>
      <c r="B74" s="648" t="s">
        <v>195</v>
      </c>
      <c r="C74" s="546"/>
      <c r="D74" s="546"/>
      <c r="E74" s="546"/>
      <c r="F74" s="546"/>
      <c r="G74" s="546"/>
      <c r="H74" s="546"/>
      <c r="I74" s="546"/>
      <c r="J74" s="546"/>
      <c r="K74" s="546"/>
      <c r="L74" s="546"/>
      <c r="M74" s="546"/>
      <c r="N74" s="546"/>
      <c r="O74" s="546"/>
      <c r="P74" s="547"/>
    </row>
    <row r="75" spans="1:16" ht="33.75" x14ac:dyDescent="0.2">
      <c r="A75" s="643"/>
      <c r="B75" s="323"/>
      <c r="C75" s="324"/>
      <c r="D75" s="324">
        <v>1</v>
      </c>
      <c r="E75" s="48" t="s">
        <v>420</v>
      </c>
      <c r="F75" s="645" t="s">
        <v>373</v>
      </c>
      <c r="G75" s="323">
        <v>1</v>
      </c>
      <c r="H75" s="645" t="s">
        <v>370</v>
      </c>
      <c r="I75" s="323">
        <v>70</v>
      </c>
      <c r="J75" s="323">
        <v>26250</v>
      </c>
      <c r="K75" s="323">
        <v>1</v>
      </c>
      <c r="L75" s="323"/>
      <c r="M75" s="323"/>
      <c r="N75" s="325">
        <v>2</v>
      </c>
      <c r="O75" s="325">
        <v>1.1000000000000001</v>
      </c>
      <c r="P75" s="326">
        <v>3.1</v>
      </c>
    </row>
    <row r="76" spans="1:16" x14ac:dyDescent="0.2">
      <c r="A76" s="643"/>
      <c r="B76" s="332" t="s">
        <v>195</v>
      </c>
      <c r="C76" s="333" t="s">
        <v>195</v>
      </c>
      <c r="D76" s="333">
        <v>1</v>
      </c>
      <c r="E76" s="324" t="s">
        <v>523</v>
      </c>
      <c r="F76" s="646"/>
      <c r="G76" s="332">
        <v>1</v>
      </c>
      <c r="H76" s="646"/>
      <c r="I76" s="332">
        <v>124</v>
      </c>
      <c r="J76" s="332">
        <v>27900</v>
      </c>
      <c r="K76" s="332">
        <v>1</v>
      </c>
      <c r="L76" s="332"/>
      <c r="M76" s="332"/>
      <c r="N76" s="334">
        <v>2</v>
      </c>
      <c r="O76" s="334">
        <v>1.1000000000000001</v>
      </c>
      <c r="P76" s="335">
        <v>3.1</v>
      </c>
    </row>
    <row r="77" spans="1:16" x14ac:dyDescent="0.2">
      <c r="A77" s="643"/>
      <c r="B77" s="332" t="s">
        <v>195</v>
      </c>
      <c r="C77" s="333" t="s">
        <v>421</v>
      </c>
      <c r="D77" s="333">
        <v>1</v>
      </c>
      <c r="E77" s="324" t="s">
        <v>523</v>
      </c>
      <c r="F77" s="646"/>
      <c r="G77" s="332">
        <v>1</v>
      </c>
      <c r="H77" s="646"/>
      <c r="I77" s="332">
        <v>157</v>
      </c>
      <c r="J77" s="332">
        <v>35325</v>
      </c>
      <c r="K77" s="332">
        <v>1</v>
      </c>
      <c r="L77" s="332"/>
      <c r="M77" s="332"/>
      <c r="N77" s="334">
        <v>2</v>
      </c>
      <c r="O77" s="334">
        <v>1.1000000000000001</v>
      </c>
      <c r="P77" s="335">
        <v>3.1</v>
      </c>
    </row>
    <row r="78" spans="1:16" x14ac:dyDescent="0.2">
      <c r="A78" s="643"/>
      <c r="B78" s="332" t="s">
        <v>195</v>
      </c>
      <c r="C78" s="333" t="s">
        <v>422</v>
      </c>
      <c r="D78" s="333">
        <v>1</v>
      </c>
      <c r="E78" s="324" t="s">
        <v>523</v>
      </c>
      <c r="F78" s="646"/>
      <c r="G78" s="332">
        <v>1</v>
      </c>
      <c r="H78" s="646"/>
      <c r="I78" s="332">
        <v>198</v>
      </c>
      <c r="J78" s="332">
        <v>44550</v>
      </c>
      <c r="K78" s="332">
        <v>1</v>
      </c>
      <c r="L78" s="332"/>
      <c r="M78" s="332"/>
      <c r="N78" s="334">
        <v>2</v>
      </c>
      <c r="O78" s="334">
        <v>1.1000000000000001</v>
      </c>
      <c r="P78" s="335">
        <v>3.1</v>
      </c>
    </row>
    <row r="79" spans="1:16" ht="13.5" thickBot="1" x14ac:dyDescent="0.25">
      <c r="A79" s="643"/>
      <c r="B79" s="332" t="s">
        <v>423</v>
      </c>
      <c r="C79" s="333" t="s">
        <v>424</v>
      </c>
      <c r="D79" s="333">
        <v>1</v>
      </c>
      <c r="E79" s="324" t="s">
        <v>523</v>
      </c>
      <c r="F79" s="647"/>
      <c r="G79" s="332">
        <v>1</v>
      </c>
      <c r="H79" s="647"/>
      <c r="I79" s="332">
        <v>90</v>
      </c>
      <c r="J79" s="332">
        <v>20250</v>
      </c>
      <c r="K79" s="332">
        <v>1</v>
      </c>
      <c r="L79" s="332"/>
      <c r="M79" s="332"/>
      <c r="N79" s="334">
        <v>2</v>
      </c>
      <c r="O79" s="334">
        <v>1.1000000000000001</v>
      </c>
      <c r="P79" s="335">
        <v>3.1</v>
      </c>
    </row>
    <row r="80" spans="1:16" ht="13.5" thickBot="1" x14ac:dyDescent="0.25">
      <c r="A80" s="643"/>
      <c r="B80" s="648" t="s">
        <v>425</v>
      </c>
      <c r="C80" s="546"/>
      <c r="D80" s="546"/>
      <c r="E80" s="546"/>
      <c r="F80" s="546"/>
      <c r="G80" s="546"/>
      <c r="H80" s="546"/>
      <c r="I80" s="546"/>
      <c r="J80" s="546"/>
      <c r="K80" s="546"/>
      <c r="L80" s="546"/>
      <c r="M80" s="546"/>
      <c r="N80" s="546"/>
      <c r="O80" s="546"/>
      <c r="P80" s="547"/>
    </row>
    <row r="81" spans="1:16" ht="12.75" customHeight="1" x14ac:dyDescent="0.2">
      <c r="A81" s="643"/>
      <c r="B81" s="332" t="s">
        <v>425</v>
      </c>
      <c r="C81" s="333"/>
      <c r="D81" s="333">
        <v>1</v>
      </c>
      <c r="E81" s="333" t="s">
        <v>368</v>
      </c>
      <c r="F81" s="645" t="s">
        <v>369</v>
      </c>
      <c r="G81" s="332">
        <v>1</v>
      </c>
      <c r="H81" s="645" t="s">
        <v>370</v>
      </c>
      <c r="I81" s="332">
        <v>23</v>
      </c>
      <c r="J81" s="332">
        <v>8625</v>
      </c>
      <c r="K81" s="332"/>
      <c r="L81" s="332">
        <v>1</v>
      </c>
      <c r="M81" s="332"/>
      <c r="N81" s="334">
        <v>0.8</v>
      </c>
      <c r="O81" s="334">
        <v>1.1000000000000001</v>
      </c>
      <c r="P81" s="335">
        <v>1.9000000000000001</v>
      </c>
    </row>
    <row r="82" spans="1:16" x14ac:dyDescent="0.2">
      <c r="A82" s="643"/>
      <c r="B82" s="332" t="s">
        <v>425</v>
      </c>
      <c r="C82" s="333" t="s">
        <v>426</v>
      </c>
      <c r="D82" s="333">
        <v>1</v>
      </c>
      <c r="E82" s="324" t="s">
        <v>523</v>
      </c>
      <c r="F82" s="646"/>
      <c r="G82" s="332">
        <v>1</v>
      </c>
      <c r="H82" s="646"/>
      <c r="I82" s="332">
        <v>172</v>
      </c>
      <c r="J82" s="332">
        <v>38700</v>
      </c>
      <c r="K82" s="332">
        <v>1</v>
      </c>
      <c r="L82" s="332"/>
      <c r="M82" s="332"/>
      <c r="N82" s="334">
        <v>2</v>
      </c>
      <c r="O82" s="334">
        <v>1.1000000000000001</v>
      </c>
      <c r="P82" s="335">
        <v>3.1</v>
      </c>
    </row>
    <row r="83" spans="1:16" x14ac:dyDescent="0.2">
      <c r="A83" s="643"/>
      <c r="B83" s="332" t="s">
        <v>425</v>
      </c>
      <c r="C83" s="333" t="s">
        <v>427</v>
      </c>
      <c r="D83" s="333">
        <v>1</v>
      </c>
      <c r="E83" s="324" t="s">
        <v>523</v>
      </c>
      <c r="F83" s="646"/>
      <c r="G83" s="332">
        <v>1</v>
      </c>
      <c r="H83" s="646"/>
      <c r="I83" s="332">
        <v>152</v>
      </c>
      <c r="J83" s="332">
        <v>34200</v>
      </c>
      <c r="K83" s="332">
        <v>1</v>
      </c>
      <c r="L83" s="332"/>
      <c r="M83" s="332"/>
      <c r="N83" s="334">
        <v>2</v>
      </c>
      <c r="O83" s="334">
        <v>1.1000000000000001</v>
      </c>
      <c r="P83" s="335">
        <v>3.1</v>
      </c>
    </row>
    <row r="84" spans="1:16" x14ac:dyDescent="0.2">
      <c r="A84" s="643"/>
      <c r="B84" s="332" t="s">
        <v>425</v>
      </c>
      <c r="C84" s="333" t="s">
        <v>428</v>
      </c>
      <c r="D84" s="333">
        <v>1</v>
      </c>
      <c r="E84" s="324" t="s">
        <v>523</v>
      </c>
      <c r="F84" s="646"/>
      <c r="G84" s="332">
        <v>1</v>
      </c>
      <c r="H84" s="646"/>
      <c r="I84" s="332">
        <v>78</v>
      </c>
      <c r="J84" s="332">
        <v>17550</v>
      </c>
      <c r="K84" s="332">
        <v>1</v>
      </c>
      <c r="L84" s="332"/>
      <c r="M84" s="332"/>
      <c r="N84" s="334">
        <v>2</v>
      </c>
      <c r="O84" s="334">
        <v>1.1000000000000001</v>
      </c>
      <c r="P84" s="335">
        <v>3.1</v>
      </c>
    </row>
    <row r="85" spans="1:16" x14ac:dyDescent="0.2">
      <c r="A85" s="643"/>
      <c r="B85" s="332" t="s">
        <v>425</v>
      </c>
      <c r="C85" s="333" t="s">
        <v>430</v>
      </c>
      <c r="D85" s="333">
        <v>1</v>
      </c>
      <c r="E85" s="324" t="s">
        <v>523</v>
      </c>
      <c r="F85" s="646"/>
      <c r="G85" s="332">
        <v>1</v>
      </c>
      <c r="H85" s="646"/>
      <c r="I85" s="332">
        <v>69</v>
      </c>
      <c r="J85" s="332">
        <v>15525</v>
      </c>
      <c r="K85" s="332">
        <v>1</v>
      </c>
      <c r="L85" s="332"/>
      <c r="M85" s="332"/>
      <c r="N85" s="334">
        <v>2</v>
      </c>
      <c r="O85" s="334">
        <v>1.1000000000000001</v>
      </c>
      <c r="P85" s="335">
        <v>3.1</v>
      </c>
    </row>
    <row r="86" spans="1:16" x14ac:dyDescent="0.2">
      <c r="A86" s="643"/>
      <c r="B86" s="332" t="s">
        <v>425</v>
      </c>
      <c r="C86" s="333" t="s">
        <v>431</v>
      </c>
      <c r="D86" s="333">
        <v>1</v>
      </c>
      <c r="E86" s="324" t="s">
        <v>523</v>
      </c>
      <c r="F86" s="646"/>
      <c r="G86" s="332">
        <v>1</v>
      </c>
      <c r="H86" s="646"/>
      <c r="I86" s="332">
        <v>81</v>
      </c>
      <c r="J86" s="332">
        <v>18225</v>
      </c>
      <c r="K86" s="332">
        <v>1</v>
      </c>
      <c r="L86" s="332"/>
      <c r="M86" s="332"/>
      <c r="N86" s="334">
        <v>2</v>
      </c>
      <c r="O86" s="334">
        <v>1.1000000000000001</v>
      </c>
      <c r="P86" s="335">
        <v>3.1</v>
      </c>
    </row>
    <row r="87" spans="1:16" x14ac:dyDescent="0.2">
      <c r="A87" s="643"/>
      <c r="B87" s="332" t="s">
        <v>425</v>
      </c>
      <c r="C87" s="333" t="s">
        <v>432</v>
      </c>
      <c r="D87" s="333">
        <v>1</v>
      </c>
      <c r="E87" s="324" t="s">
        <v>523</v>
      </c>
      <c r="F87" s="646"/>
      <c r="G87" s="332">
        <v>1</v>
      </c>
      <c r="H87" s="646"/>
      <c r="I87" s="332">
        <v>92</v>
      </c>
      <c r="J87" s="332">
        <v>20700</v>
      </c>
      <c r="K87" s="332">
        <v>1</v>
      </c>
      <c r="L87" s="332"/>
      <c r="M87" s="332"/>
      <c r="N87" s="334">
        <v>2</v>
      </c>
      <c r="O87" s="334">
        <v>1.1000000000000001</v>
      </c>
      <c r="P87" s="335">
        <v>3.1</v>
      </c>
    </row>
    <row r="88" spans="1:16" x14ac:dyDescent="0.2">
      <c r="A88" s="643"/>
      <c r="B88" s="332" t="s">
        <v>425</v>
      </c>
      <c r="C88" s="333" t="s">
        <v>433</v>
      </c>
      <c r="D88" s="333">
        <v>1</v>
      </c>
      <c r="E88" s="324" t="s">
        <v>523</v>
      </c>
      <c r="F88" s="646"/>
      <c r="G88" s="332">
        <v>1</v>
      </c>
      <c r="H88" s="646"/>
      <c r="I88" s="332">
        <v>122</v>
      </c>
      <c r="J88" s="332">
        <v>27450</v>
      </c>
      <c r="K88" s="332">
        <v>1</v>
      </c>
      <c r="L88" s="332"/>
      <c r="M88" s="332"/>
      <c r="N88" s="334">
        <v>2</v>
      </c>
      <c r="O88" s="334">
        <v>1.1000000000000001</v>
      </c>
      <c r="P88" s="335">
        <v>3.1</v>
      </c>
    </row>
    <row r="89" spans="1:16" x14ac:dyDescent="0.2">
      <c r="A89" s="643"/>
      <c r="B89" s="332" t="s">
        <v>425</v>
      </c>
      <c r="C89" s="333" t="s">
        <v>434</v>
      </c>
      <c r="D89" s="333">
        <v>1</v>
      </c>
      <c r="E89" s="324" t="s">
        <v>523</v>
      </c>
      <c r="F89" s="646"/>
      <c r="G89" s="332">
        <v>1</v>
      </c>
      <c r="H89" s="646"/>
      <c r="I89" s="332">
        <v>235</v>
      </c>
      <c r="J89" s="332">
        <v>53580</v>
      </c>
      <c r="K89" s="332">
        <v>1</v>
      </c>
      <c r="L89" s="332"/>
      <c r="M89" s="332"/>
      <c r="N89" s="334">
        <v>2</v>
      </c>
      <c r="O89" s="334">
        <v>1.1000000000000001</v>
      </c>
      <c r="P89" s="335">
        <v>3.1</v>
      </c>
    </row>
    <row r="90" spans="1:16" x14ac:dyDescent="0.2">
      <c r="A90" s="643"/>
      <c r="B90" s="332" t="s">
        <v>435</v>
      </c>
      <c r="C90" s="333" t="s">
        <v>436</v>
      </c>
      <c r="D90" s="333">
        <v>1</v>
      </c>
      <c r="E90" s="324" t="s">
        <v>523</v>
      </c>
      <c r="F90" s="646"/>
      <c r="G90" s="332">
        <v>1</v>
      </c>
      <c r="H90" s="646"/>
      <c r="I90" s="332">
        <v>50</v>
      </c>
      <c r="J90" s="332">
        <v>11250</v>
      </c>
      <c r="K90" s="332">
        <v>1</v>
      </c>
      <c r="L90" s="332"/>
      <c r="M90" s="332"/>
      <c r="N90" s="334">
        <v>2</v>
      </c>
      <c r="O90" s="334">
        <v>1.1000000000000001</v>
      </c>
      <c r="P90" s="335">
        <v>3.1</v>
      </c>
    </row>
    <row r="91" spans="1:16" x14ac:dyDescent="0.2">
      <c r="A91" s="643"/>
      <c r="B91" s="332" t="s">
        <v>435</v>
      </c>
      <c r="C91" s="333" t="s">
        <v>437</v>
      </c>
      <c r="D91" s="333">
        <v>1</v>
      </c>
      <c r="E91" s="324" t="s">
        <v>523</v>
      </c>
      <c r="F91" s="646"/>
      <c r="G91" s="332">
        <v>1</v>
      </c>
      <c r="H91" s="646"/>
      <c r="I91" s="332">
        <v>2</v>
      </c>
      <c r="J91" s="332">
        <v>450</v>
      </c>
      <c r="K91" s="332"/>
      <c r="L91" s="332"/>
      <c r="M91" s="332">
        <v>1</v>
      </c>
      <c r="N91" s="334">
        <v>0.8</v>
      </c>
      <c r="O91" s="334">
        <v>1.1000000000000001</v>
      </c>
      <c r="P91" s="335">
        <v>1.9000000000000001</v>
      </c>
    </row>
    <row r="92" spans="1:16" x14ac:dyDescent="0.2">
      <c r="A92" s="643"/>
      <c r="B92" s="332" t="s">
        <v>435</v>
      </c>
      <c r="C92" s="333" t="s">
        <v>438</v>
      </c>
      <c r="D92" s="333">
        <v>1</v>
      </c>
      <c r="E92" s="324" t="s">
        <v>523</v>
      </c>
      <c r="F92" s="646"/>
      <c r="G92" s="332">
        <v>1</v>
      </c>
      <c r="H92" s="646"/>
      <c r="I92" s="332">
        <v>66</v>
      </c>
      <c r="J92" s="332">
        <v>14850</v>
      </c>
      <c r="K92" s="332">
        <v>1</v>
      </c>
      <c r="L92" s="332"/>
      <c r="M92" s="332"/>
      <c r="N92" s="334">
        <v>2</v>
      </c>
      <c r="O92" s="334">
        <v>1.1000000000000001</v>
      </c>
      <c r="P92" s="335">
        <v>3.1</v>
      </c>
    </row>
    <row r="93" spans="1:16" x14ac:dyDescent="0.2">
      <c r="A93" s="643"/>
      <c r="B93" s="332" t="s">
        <v>435</v>
      </c>
      <c r="C93" s="333" t="s">
        <v>439</v>
      </c>
      <c r="D93" s="333">
        <v>1</v>
      </c>
      <c r="E93" s="324" t="s">
        <v>523</v>
      </c>
      <c r="F93" s="646"/>
      <c r="G93" s="332">
        <v>1</v>
      </c>
      <c r="H93" s="646"/>
      <c r="I93" s="332">
        <v>92</v>
      </c>
      <c r="J93" s="332">
        <v>20700</v>
      </c>
      <c r="K93" s="332">
        <v>1</v>
      </c>
      <c r="L93" s="332"/>
      <c r="M93" s="332"/>
      <c r="N93" s="334">
        <v>2</v>
      </c>
      <c r="O93" s="334">
        <v>1.1000000000000001</v>
      </c>
      <c r="P93" s="335">
        <v>3.1</v>
      </c>
    </row>
    <row r="94" spans="1:16" x14ac:dyDescent="0.2">
      <c r="A94" s="643"/>
      <c r="B94" s="323" t="s">
        <v>440</v>
      </c>
      <c r="C94" s="324" t="s">
        <v>441</v>
      </c>
      <c r="D94" s="324">
        <v>1</v>
      </c>
      <c r="E94" s="324" t="s">
        <v>523</v>
      </c>
      <c r="F94" s="646"/>
      <c r="G94" s="323">
        <v>1</v>
      </c>
      <c r="H94" s="646"/>
      <c r="I94" s="323">
        <v>135</v>
      </c>
      <c r="J94" s="323">
        <v>30375</v>
      </c>
      <c r="K94" s="323">
        <v>1</v>
      </c>
      <c r="L94" s="323"/>
      <c r="M94" s="323"/>
      <c r="N94" s="325">
        <v>2</v>
      </c>
      <c r="O94" s="325">
        <v>1.1000000000000001</v>
      </c>
      <c r="P94" s="326">
        <v>3.1</v>
      </c>
    </row>
    <row r="95" spans="1:16" x14ac:dyDescent="0.2">
      <c r="A95" s="643"/>
      <c r="B95" s="323" t="s">
        <v>440</v>
      </c>
      <c r="C95" s="324" t="s">
        <v>442</v>
      </c>
      <c r="D95" s="324">
        <v>1</v>
      </c>
      <c r="E95" s="324" t="s">
        <v>523</v>
      </c>
      <c r="F95" s="646"/>
      <c r="G95" s="323">
        <v>1</v>
      </c>
      <c r="H95" s="646"/>
      <c r="I95" s="323">
        <v>89</v>
      </c>
      <c r="J95" s="323">
        <v>20025</v>
      </c>
      <c r="K95" s="323">
        <v>1</v>
      </c>
      <c r="L95" s="323"/>
      <c r="M95" s="323"/>
      <c r="N95" s="325">
        <v>2</v>
      </c>
      <c r="O95" s="325">
        <v>1.1000000000000001</v>
      </c>
      <c r="P95" s="326">
        <v>3.1</v>
      </c>
    </row>
    <row r="96" spans="1:16" x14ac:dyDescent="0.2">
      <c r="A96" s="643"/>
      <c r="B96" s="332" t="s">
        <v>440</v>
      </c>
      <c r="C96" s="333" t="s">
        <v>443</v>
      </c>
      <c r="D96" s="333">
        <v>1</v>
      </c>
      <c r="E96" s="324" t="s">
        <v>523</v>
      </c>
      <c r="F96" s="646"/>
      <c r="G96" s="332">
        <v>1</v>
      </c>
      <c r="H96" s="646"/>
      <c r="I96" s="332">
        <v>89</v>
      </c>
      <c r="J96" s="332">
        <v>20025</v>
      </c>
      <c r="K96" s="332">
        <v>1</v>
      </c>
      <c r="L96" s="332"/>
      <c r="M96" s="332"/>
      <c r="N96" s="334">
        <v>2</v>
      </c>
      <c r="O96" s="334">
        <v>1.1000000000000001</v>
      </c>
      <c r="P96" s="335">
        <v>3.1</v>
      </c>
    </row>
    <row r="97" spans="1:16" x14ac:dyDescent="0.2">
      <c r="A97" s="643"/>
      <c r="B97" s="332" t="s">
        <v>440</v>
      </c>
      <c r="C97" s="333" t="s">
        <v>444</v>
      </c>
      <c r="D97" s="333">
        <v>1</v>
      </c>
      <c r="E97" s="324" t="s">
        <v>523</v>
      </c>
      <c r="F97" s="646"/>
      <c r="G97" s="332">
        <v>1</v>
      </c>
      <c r="H97" s="646"/>
      <c r="I97" s="332">
        <v>70</v>
      </c>
      <c r="J97" s="332">
        <v>15750</v>
      </c>
      <c r="K97" s="332">
        <v>1</v>
      </c>
      <c r="L97" s="332"/>
      <c r="M97" s="332"/>
      <c r="N97" s="334">
        <v>2</v>
      </c>
      <c r="O97" s="334">
        <v>1.1000000000000001</v>
      </c>
      <c r="P97" s="335">
        <v>3.1</v>
      </c>
    </row>
    <row r="98" spans="1:16" x14ac:dyDescent="0.2">
      <c r="A98" s="643"/>
      <c r="B98" s="332" t="s">
        <v>440</v>
      </c>
      <c r="C98" s="333" t="s">
        <v>440</v>
      </c>
      <c r="D98" s="333">
        <v>1</v>
      </c>
      <c r="E98" s="324" t="s">
        <v>523</v>
      </c>
      <c r="F98" s="646"/>
      <c r="G98" s="332">
        <v>1</v>
      </c>
      <c r="H98" s="646"/>
      <c r="I98" s="332">
        <v>87</v>
      </c>
      <c r="J98" s="332">
        <v>19575</v>
      </c>
      <c r="K98" s="332">
        <v>1</v>
      </c>
      <c r="L98" s="332"/>
      <c r="M98" s="332"/>
      <c r="N98" s="334">
        <v>2</v>
      </c>
      <c r="O98" s="334">
        <v>1.1000000000000001</v>
      </c>
      <c r="P98" s="335">
        <v>3.1</v>
      </c>
    </row>
    <row r="99" spans="1:16" x14ac:dyDescent="0.2">
      <c r="A99" s="643"/>
      <c r="B99" s="332" t="s">
        <v>440</v>
      </c>
      <c r="C99" s="333" t="s">
        <v>445</v>
      </c>
      <c r="D99" s="333">
        <v>1</v>
      </c>
      <c r="E99" s="324" t="s">
        <v>523</v>
      </c>
      <c r="F99" s="646"/>
      <c r="G99" s="332">
        <v>1</v>
      </c>
      <c r="H99" s="646"/>
      <c r="I99" s="332">
        <v>156</v>
      </c>
      <c r="J99" s="332">
        <v>35100</v>
      </c>
      <c r="K99" s="332">
        <v>1</v>
      </c>
      <c r="L99" s="332"/>
      <c r="M99" s="332"/>
      <c r="N99" s="334">
        <v>2</v>
      </c>
      <c r="O99" s="334">
        <v>1.1000000000000001</v>
      </c>
      <c r="P99" s="335">
        <v>3.1</v>
      </c>
    </row>
    <row r="100" spans="1:16" x14ac:dyDescent="0.2">
      <c r="A100" s="643"/>
      <c r="B100" s="332" t="s">
        <v>446</v>
      </c>
      <c r="C100" s="333" t="s">
        <v>447</v>
      </c>
      <c r="D100" s="333">
        <v>1</v>
      </c>
      <c r="E100" s="324" t="s">
        <v>523</v>
      </c>
      <c r="F100" s="646"/>
      <c r="G100" s="332">
        <v>1</v>
      </c>
      <c r="H100" s="646"/>
      <c r="I100" s="332">
        <v>27</v>
      </c>
      <c r="J100" s="332">
        <v>6075</v>
      </c>
      <c r="K100" s="332"/>
      <c r="L100" s="332">
        <v>1</v>
      </c>
      <c r="M100" s="332"/>
      <c r="N100" s="334">
        <v>0.8</v>
      </c>
      <c r="O100" s="334">
        <v>1.1000000000000001</v>
      </c>
      <c r="P100" s="335">
        <v>1.9000000000000001</v>
      </c>
    </row>
    <row r="101" spans="1:16" x14ac:dyDescent="0.2">
      <c r="A101" s="643"/>
      <c r="B101" s="332" t="s">
        <v>446</v>
      </c>
      <c r="C101" s="333" t="s">
        <v>448</v>
      </c>
      <c r="D101" s="333">
        <v>1</v>
      </c>
      <c r="E101" s="324" t="s">
        <v>523</v>
      </c>
      <c r="F101" s="646"/>
      <c r="G101" s="332">
        <v>1</v>
      </c>
      <c r="H101" s="646"/>
      <c r="I101" s="332">
        <v>33</v>
      </c>
      <c r="J101" s="332">
        <v>7425</v>
      </c>
      <c r="K101" s="332"/>
      <c r="L101" s="332">
        <v>1</v>
      </c>
      <c r="M101" s="332"/>
      <c r="N101" s="334">
        <v>0.8</v>
      </c>
      <c r="O101" s="334">
        <v>1.1000000000000001</v>
      </c>
      <c r="P101" s="335">
        <v>1.9000000000000001</v>
      </c>
    </row>
    <row r="102" spans="1:16" ht="13.5" thickBot="1" x14ac:dyDescent="0.25">
      <c r="A102" s="643"/>
      <c r="B102" s="336" t="s">
        <v>449</v>
      </c>
      <c r="C102" s="337" t="s">
        <v>450</v>
      </c>
      <c r="D102" s="337">
        <v>1</v>
      </c>
      <c r="E102" s="337" t="s">
        <v>523</v>
      </c>
      <c r="F102" s="647"/>
      <c r="G102" s="336">
        <v>1</v>
      </c>
      <c r="H102" s="343"/>
      <c r="I102" s="336">
        <v>82</v>
      </c>
      <c r="J102" s="336">
        <v>18450</v>
      </c>
      <c r="K102" s="336">
        <v>1</v>
      </c>
      <c r="L102" s="336"/>
      <c r="M102" s="336"/>
      <c r="N102" s="338">
        <v>2</v>
      </c>
      <c r="O102" s="338">
        <v>1.1000000000000001</v>
      </c>
      <c r="P102" s="339">
        <v>3.1</v>
      </c>
    </row>
    <row r="103" spans="1:16" ht="13.5" thickBot="1" x14ac:dyDescent="0.25">
      <c r="A103" s="643"/>
      <c r="B103" s="653" t="s">
        <v>451</v>
      </c>
      <c r="C103" s="654"/>
      <c r="D103" s="654"/>
      <c r="E103" s="654"/>
      <c r="F103" s="654"/>
      <c r="G103" s="654"/>
      <c r="H103" s="654"/>
      <c r="I103" s="654"/>
      <c r="J103" s="654"/>
      <c r="K103" s="654"/>
      <c r="L103" s="654"/>
      <c r="M103" s="654"/>
      <c r="N103" s="654"/>
      <c r="O103" s="654"/>
      <c r="P103" s="655"/>
    </row>
    <row r="104" spans="1:16" ht="12.75" customHeight="1" x14ac:dyDescent="0.2">
      <c r="A104" s="643"/>
      <c r="B104" s="323" t="s">
        <v>451</v>
      </c>
      <c r="C104" s="324" t="s">
        <v>452</v>
      </c>
      <c r="D104" s="324">
        <v>1</v>
      </c>
      <c r="E104" s="324" t="s">
        <v>523</v>
      </c>
      <c r="F104" s="645" t="s">
        <v>369</v>
      </c>
      <c r="G104" s="323">
        <v>1</v>
      </c>
      <c r="H104" s="645" t="s">
        <v>370</v>
      </c>
      <c r="I104" s="323">
        <v>107</v>
      </c>
      <c r="J104" s="323">
        <v>24075</v>
      </c>
      <c r="K104" s="323">
        <v>1</v>
      </c>
      <c r="L104" s="323"/>
      <c r="M104" s="323"/>
      <c r="N104" s="325">
        <v>2</v>
      </c>
      <c r="O104" s="325">
        <v>1.1000000000000001</v>
      </c>
      <c r="P104" s="326">
        <v>3.1</v>
      </c>
    </row>
    <row r="105" spans="1:16" x14ac:dyDescent="0.2">
      <c r="A105" s="643"/>
      <c r="B105" s="332" t="s">
        <v>451</v>
      </c>
      <c r="C105" s="333" t="s">
        <v>453</v>
      </c>
      <c r="D105" s="333">
        <v>1</v>
      </c>
      <c r="E105" s="324" t="s">
        <v>523</v>
      </c>
      <c r="F105" s="646"/>
      <c r="G105" s="332">
        <v>1</v>
      </c>
      <c r="H105" s="646"/>
      <c r="I105" s="332">
        <v>138</v>
      </c>
      <c r="J105" s="332">
        <v>31050</v>
      </c>
      <c r="K105" s="332">
        <v>1</v>
      </c>
      <c r="L105" s="332"/>
      <c r="M105" s="332"/>
      <c r="N105" s="334">
        <v>2</v>
      </c>
      <c r="O105" s="334">
        <v>1.1000000000000001</v>
      </c>
      <c r="P105" s="335">
        <v>3.1</v>
      </c>
    </row>
    <row r="106" spans="1:16" x14ac:dyDescent="0.2">
      <c r="A106" s="643"/>
      <c r="B106" s="332" t="s">
        <v>451</v>
      </c>
      <c r="C106" s="333" t="s">
        <v>454</v>
      </c>
      <c r="D106" s="333">
        <v>1</v>
      </c>
      <c r="E106" s="324" t="s">
        <v>523</v>
      </c>
      <c r="F106" s="646"/>
      <c r="G106" s="332">
        <v>1</v>
      </c>
      <c r="H106" s="646"/>
      <c r="I106" s="332">
        <v>58</v>
      </c>
      <c r="J106" s="332">
        <v>13050</v>
      </c>
      <c r="K106" s="332">
        <v>1</v>
      </c>
      <c r="L106" s="332"/>
      <c r="M106" s="332"/>
      <c r="N106" s="334">
        <v>2</v>
      </c>
      <c r="O106" s="334">
        <v>1.1000000000000001</v>
      </c>
      <c r="P106" s="335">
        <v>3.1</v>
      </c>
    </row>
    <row r="107" spans="1:16" x14ac:dyDescent="0.2">
      <c r="A107" s="643"/>
      <c r="B107" s="332" t="s">
        <v>451</v>
      </c>
      <c r="C107" s="333" t="s">
        <v>455</v>
      </c>
      <c r="D107" s="333">
        <v>1</v>
      </c>
      <c r="E107" s="324" t="s">
        <v>523</v>
      </c>
      <c r="F107" s="646"/>
      <c r="G107" s="332">
        <v>1</v>
      </c>
      <c r="H107" s="646"/>
      <c r="I107" s="332">
        <v>77</v>
      </c>
      <c r="J107" s="332">
        <v>17325</v>
      </c>
      <c r="K107" s="332">
        <v>1</v>
      </c>
      <c r="L107" s="332"/>
      <c r="M107" s="332"/>
      <c r="N107" s="334">
        <v>2</v>
      </c>
      <c r="O107" s="334">
        <v>1.1000000000000001</v>
      </c>
      <c r="P107" s="335">
        <v>3.1</v>
      </c>
    </row>
    <row r="108" spans="1:16" x14ac:dyDescent="0.2">
      <c r="A108" s="643"/>
      <c r="B108" s="332" t="s">
        <v>451</v>
      </c>
      <c r="C108" s="333" t="s">
        <v>456</v>
      </c>
      <c r="D108" s="333">
        <v>1</v>
      </c>
      <c r="E108" s="324" t="s">
        <v>523</v>
      </c>
      <c r="F108" s="646"/>
      <c r="G108" s="332">
        <v>1</v>
      </c>
      <c r="H108" s="646"/>
      <c r="I108" s="332">
        <v>99</v>
      </c>
      <c r="J108" s="332">
        <v>22275</v>
      </c>
      <c r="K108" s="332">
        <v>1</v>
      </c>
      <c r="L108" s="332"/>
      <c r="M108" s="332"/>
      <c r="N108" s="334">
        <v>2</v>
      </c>
      <c r="O108" s="334">
        <v>1.1000000000000001</v>
      </c>
      <c r="P108" s="335">
        <v>3.1</v>
      </c>
    </row>
    <row r="109" spans="1:16" x14ac:dyDescent="0.2">
      <c r="A109" s="643"/>
      <c r="B109" s="332" t="s">
        <v>457</v>
      </c>
      <c r="C109" s="333" t="s">
        <v>458</v>
      </c>
      <c r="D109" s="333">
        <v>1</v>
      </c>
      <c r="E109" s="324" t="s">
        <v>523</v>
      </c>
      <c r="F109" s="646"/>
      <c r="G109" s="332">
        <v>1</v>
      </c>
      <c r="H109" s="646"/>
      <c r="I109" s="332">
        <v>79</v>
      </c>
      <c r="J109" s="332">
        <v>17775</v>
      </c>
      <c r="K109" s="332">
        <v>1</v>
      </c>
      <c r="L109" s="332"/>
      <c r="M109" s="332"/>
      <c r="N109" s="334">
        <v>2</v>
      </c>
      <c r="O109" s="334">
        <v>1.1000000000000001</v>
      </c>
      <c r="P109" s="335">
        <v>3.1</v>
      </c>
    </row>
    <row r="110" spans="1:16" x14ac:dyDescent="0.2">
      <c r="A110" s="643"/>
      <c r="B110" s="332" t="s">
        <v>457</v>
      </c>
      <c r="C110" s="333" t="s">
        <v>459</v>
      </c>
      <c r="D110" s="333">
        <v>1</v>
      </c>
      <c r="E110" s="324" t="s">
        <v>523</v>
      </c>
      <c r="F110" s="646"/>
      <c r="G110" s="332">
        <v>1</v>
      </c>
      <c r="H110" s="646"/>
      <c r="I110" s="332">
        <v>87</v>
      </c>
      <c r="J110" s="332">
        <v>19575</v>
      </c>
      <c r="K110" s="332">
        <v>1</v>
      </c>
      <c r="L110" s="332"/>
      <c r="M110" s="332"/>
      <c r="N110" s="334">
        <v>2</v>
      </c>
      <c r="O110" s="334">
        <v>1.1000000000000001</v>
      </c>
      <c r="P110" s="335">
        <v>3.1</v>
      </c>
    </row>
    <row r="111" spans="1:16" x14ac:dyDescent="0.2">
      <c r="A111" s="643"/>
      <c r="B111" s="332" t="s">
        <v>460</v>
      </c>
      <c r="C111" s="333" t="s">
        <v>461</v>
      </c>
      <c r="D111" s="333">
        <v>1</v>
      </c>
      <c r="E111" s="324" t="s">
        <v>523</v>
      </c>
      <c r="F111" s="646"/>
      <c r="G111" s="332">
        <v>1</v>
      </c>
      <c r="H111" s="646"/>
      <c r="I111" s="332">
        <v>126</v>
      </c>
      <c r="J111" s="332">
        <v>28350</v>
      </c>
      <c r="K111" s="332">
        <v>1</v>
      </c>
      <c r="L111" s="332"/>
      <c r="M111" s="332"/>
      <c r="N111" s="334">
        <v>2</v>
      </c>
      <c r="O111" s="334">
        <v>1.1000000000000001</v>
      </c>
      <c r="P111" s="335">
        <v>3.1</v>
      </c>
    </row>
    <row r="112" spans="1:16" ht="13.5" thickBot="1" x14ac:dyDescent="0.25">
      <c r="A112" s="644"/>
      <c r="B112" s="336" t="s">
        <v>460</v>
      </c>
      <c r="C112" s="337" t="s">
        <v>462</v>
      </c>
      <c r="D112" s="337">
        <v>1</v>
      </c>
      <c r="E112" s="353" t="s">
        <v>523</v>
      </c>
      <c r="F112" s="647"/>
      <c r="G112" s="336">
        <v>1</v>
      </c>
      <c r="H112" s="647"/>
      <c r="I112" s="336">
        <v>81</v>
      </c>
      <c r="J112" s="336">
        <v>18225</v>
      </c>
      <c r="K112" s="336">
        <v>1</v>
      </c>
      <c r="L112" s="336"/>
      <c r="M112" s="336"/>
      <c r="N112" s="338">
        <v>2</v>
      </c>
      <c r="O112" s="338">
        <v>1.1000000000000001</v>
      </c>
      <c r="P112" s="339">
        <v>3.1</v>
      </c>
    </row>
    <row r="113" spans="1:16" x14ac:dyDescent="0.2">
      <c r="A113" s="642" t="s">
        <v>419</v>
      </c>
      <c r="B113" s="318" t="s">
        <v>460</v>
      </c>
      <c r="C113" s="319" t="s">
        <v>463</v>
      </c>
      <c r="D113" s="319">
        <v>1</v>
      </c>
      <c r="E113" s="319" t="s">
        <v>523</v>
      </c>
      <c r="F113" s="645" t="s">
        <v>418</v>
      </c>
      <c r="G113" s="318">
        <v>1</v>
      </c>
      <c r="H113" s="645" t="s">
        <v>370</v>
      </c>
      <c r="I113" s="318">
        <v>3</v>
      </c>
      <c r="J113" s="318">
        <v>675</v>
      </c>
      <c r="K113" s="318"/>
      <c r="L113" s="318">
        <v>1</v>
      </c>
      <c r="M113" s="318"/>
      <c r="N113" s="321">
        <v>0.8</v>
      </c>
      <c r="O113" s="321">
        <v>1.1000000000000001</v>
      </c>
      <c r="P113" s="322">
        <v>1.9000000000000001</v>
      </c>
    </row>
    <row r="114" spans="1:16" x14ac:dyDescent="0.2">
      <c r="A114" s="643"/>
      <c r="B114" s="332" t="s">
        <v>460</v>
      </c>
      <c r="C114" s="333" t="s">
        <v>464</v>
      </c>
      <c r="D114" s="333">
        <v>1</v>
      </c>
      <c r="E114" s="324" t="s">
        <v>523</v>
      </c>
      <c r="F114" s="646"/>
      <c r="G114" s="332">
        <v>1</v>
      </c>
      <c r="H114" s="646"/>
      <c r="I114" s="332">
        <v>75</v>
      </c>
      <c r="J114" s="332">
        <v>16875</v>
      </c>
      <c r="K114" s="332">
        <v>1</v>
      </c>
      <c r="L114" s="332"/>
      <c r="M114" s="332"/>
      <c r="N114" s="334">
        <v>2</v>
      </c>
      <c r="O114" s="334">
        <v>1.1000000000000001</v>
      </c>
      <c r="P114" s="335">
        <v>3.1</v>
      </c>
    </row>
    <row r="115" spans="1:16" x14ac:dyDescent="0.2">
      <c r="A115" s="643"/>
      <c r="B115" s="332" t="s">
        <v>465</v>
      </c>
      <c r="C115" s="333" t="s">
        <v>466</v>
      </c>
      <c r="D115" s="333">
        <v>1</v>
      </c>
      <c r="E115" s="324" t="s">
        <v>523</v>
      </c>
      <c r="F115" s="646"/>
      <c r="G115" s="332">
        <v>1</v>
      </c>
      <c r="H115" s="646"/>
      <c r="I115" s="332">
        <v>106</v>
      </c>
      <c r="J115" s="332">
        <v>23850</v>
      </c>
      <c r="K115" s="332">
        <v>1</v>
      </c>
      <c r="L115" s="332"/>
      <c r="M115" s="332"/>
      <c r="N115" s="334">
        <v>2</v>
      </c>
      <c r="O115" s="334">
        <v>1.1000000000000001</v>
      </c>
      <c r="P115" s="335">
        <v>3.1</v>
      </c>
    </row>
    <row r="116" spans="1:16" x14ac:dyDescent="0.2">
      <c r="A116" s="643"/>
      <c r="B116" s="332" t="s">
        <v>465</v>
      </c>
      <c r="C116" s="333" t="s">
        <v>467</v>
      </c>
      <c r="D116" s="333">
        <v>1</v>
      </c>
      <c r="E116" s="324" t="s">
        <v>523</v>
      </c>
      <c r="F116" s="646"/>
      <c r="G116" s="332">
        <v>1</v>
      </c>
      <c r="H116" s="646"/>
      <c r="I116" s="332">
        <v>105</v>
      </c>
      <c r="J116" s="332">
        <v>23625</v>
      </c>
      <c r="K116" s="332">
        <v>1</v>
      </c>
      <c r="L116" s="332"/>
      <c r="M116" s="332"/>
      <c r="N116" s="334">
        <v>2</v>
      </c>
      <c r="O116" s="334">
        <v>1.1000000000000001</v>
      </c>
      <c r="P116" s="335">
        <v>3.1</v>
      </c>
    </row>
    <row r="117" spans="1:16" x14ac:dyDescent="0.2">
      <c r="A117" s="643"/>
      <c r="B117" s="332" t="s">
        <v>465</v>
      </c>
      <c r="C117" s="333" t="s">
        <v>468</v>
      </c>
      <c r="D117" s="333">
        <v>1</v>
      </c>
      <c r="E117" s="324" t="s">
        <v>523</v>
      </c>
      <c r="F117" s="646"/>
      <c r="G117" s="332">
        <v>1</v>
      </c>
      <c r="H117" s="646"/>
      <c r="I117" s="332">
        <v>85</v>
      </c>
      <c r="J117" s="332">
        <v>19125</v>
      </c>
      <c r="K117" s="332">
        <v>1</v>
      </c>
      <c r="L117" s="332"/>
      <c r="M117" s="332"/>
      <c r="N117" s="334">
        <v>2</v>
      </c>
      <c r="O117" s="334">
        <v>1.1000000000000001</v>
      </c>
      <c r="P117" s="335">
        <v>3.1</v>
      </c>
    </row>
    <row r="118" spans="1:16" x14ac:dyDescent="0.2">
      <c r="A118" s="643"/>
      <c r="B118" s="332" t="s">
        <v>465</v>
      </c>
      <c r="C118" s="333" t="s">
        <v>469</v>
      </c>
      <c r="D118" s="333">
        <v>1</v>
      </c>
      <c r="E118" s="324" t="s">
        <v>523</v>
      </c>
      <c r="F118" s="646"/>
      <c r="G118" s="332">
        <v>1</v>
      </c>
      <c r="H118" s="646"/>
      <c r="I118" s="332">
        <v>112</v>
      </c>
      <c r="J118" s="332">
        <v>25200</v>
      </c>
      <c r="K118" s="332">
        <v>1</v>
      </c>
      <c r="L118" s="332"/>
      <c r="M118" s="332"/>
      <c r="N118" s="334">
        <v>2</v>
      </c>
      <c r="O118" s="334">
        <v>1.1000000000000001</v>
      </c>
      <c r="P118" s="335">
        <v>3.1</v>
      </c>
    </row>
    <row r="119" spans="1:16" x14ac:dyDescent="0.2">
      <c r="A119" s="643"/>
      <c r="B119" s="323" t="s">
        <v>470</v>
      </c>
      <c r="C119" s="324" t="s">
        <v>470</v>
      </c>
      <c r="D119" s="324">
        <v>1</v>
      </c>
      <c r="E119" s="324" t="s">
        <v>523</v>
      </c>
      <c r="F119" s="652"/>
      <c r="G119" s="323">
        <v>1</v>
      </c>
      <c r="H119" s="652"/>
      <c r="I119" s="323">
        <v>94</v>
      </c>
      <c r="J119" s="323">
        <v>21150</v>
      </c>
      <c r="K119" s="323">
        <v>1</v>
      </c>
      <c r="L119" s="323"/>
      <c r="M119" s="323"/>
      <c r="N119" s="325">
        <v>2</v>
      </c>
      <c r="O119" s="325">
        <v>1.1000000000000001</v>
      </c>
      <c r="P119" s="326">
        <v>3.1</v>
      </c>
    </row>
    <row r="120" spans="1:16" ht="17.25" customHeight="1" x14ac:dyDescent="0.2">
      <c r="A120" s="643"/>
      <c r="B120" s="323" t="s">
        <v>470</v>
      </c>
      <c r="C120" s="324" t="s">
        <v>471</v>
      </c>
      <c r="D120" s="324">
        <v>1</v>
      </c>
      <c r="E120" s="324" t="s">
        <v>523</v>
      </c>
      <c r="F120" s="646" t="s">
        <v>369</v>
      </c>
      <c r="G120" s="323">
        <v>1</v>
      </c>
      <c r="H120" s="646" t="s">
        <v>370</v>
      </c>
      <c r="I120" s="323">
        <v>129</v>
      </c>
      <c r="J120" s="323">
        <v>29025</v>
      </c>
      <c r="K120" s="323">
        <v>1</v>
      </c>
      <c r="L120" s="323"/>
      <c r="M120" s="323"/>
      <c r="N120" s="325">
        <v>2</v>
      </c>
      <c r="O120" s="325">
        <v>1.1000000000000001</v>
      </c>
      <c r="P120" s="326">
        <v>3.1</v>
      </c>
    </row>
    <row r="121" spans="1:16" x14ac:dyDescent="0.2">
      <c r="A121" s="643"/>
      <c r="B121" s="332" t="s">
        <v>472</v>
      </c>
      <c r="C121" s="333" t="s">
        <v>473</v>
      </c>
      <c r="D121" s="333">
        <v>1</v>
      </c>
      <c r="E121" s="324" t="s">
        <v>523</v>
      </c>
      <c r="F121" s="646"/>
      <c r="G121" s="332">
        <v>1</v>
      </c>
      <c r="H121" s="646"/>
      <c r="I121" s="332">
        <v>35</v>
      </c>
      <c r="J121" s="332">
        <v>7875</v>
      </c>
      <c r="K121" s="332"/>
      <c r="L121" s="332">
        <v>1</v>
      </c>
      <c r="M121" s="332"/>
      <c r="N121" s="334">
        <v>0.8</v>
      </c>
      <c r="O121" s="334">
        <v>1.1000000000000001</v>
      </c>
      <c r="P121" s="335">
        <v>1.9000000000000001</v>
      </c>
    </row>
    <row r="122" spans="1:16" x14ac:dyDescent="0.2">
      <c r="A122" s="643"/>
      <c r="B122" s="332" t="s">
        <v>474</v>
      </c>
      <c r="C122" s="333" t="s">
        <v>475</v>
      </c>
      <c r="D122" s="333">
        <v>1</v>
      </c>
      <c r="E122" s="324" t="s">
        <v>523</v>
      </c>
      <c r="F122" s="646"/>
      <c r="G122" s="332">
        <v>1</v>
      </c>
      <c r="H122" s="646"/>
      <c r="I122" s="332">
        <v>79</v>
      </c>
      <c r="J122" s="332">
        <v>17775</v>
      </c>
      <c r="K122" s="332">
        <v>1</v>
      </c>
      <c r="L122" s="332"/>
      <c r="M122" s="332"/>
      <c r="N122" s="334">
        <v>2</v>
      </c>
      <c r="O122" s="334">
        <v>1.1000000000000001</v>
      </c>
      <c r="P122" s="335">
        <v>3.1</v>
      </c>
    </row>
    <row r="123" spans="1:16" x14ac:dyDescent="0.2">
      <c r="A123" s="643"/>
      <c r="B123" s="332" t="s">
        <v>476</v>
      </c>
      <c r="C123" s="333" t="s">
        <v>477</v>
      </c>
      <c r="D123" s="333">
        <v>1</v>
      </c>
      <c r="E123" s="324" t="s">
        <v>523</v>
      </c>
      <c r="F123" s="646"/>
      <c r="G123" s="332">
        <v>1</v>
      </c>
      <c r="H123" s="646"/>
      <c r="I123" s="332">
        <v>114</v>
      </c>
      <c r="J123" s="332">
        <v>25650</v>
      </c>
      <c r="K123" s="332">
        <v>1</v>
      </c>
      <c r="L123" s="332"/>
      <c r="M123" s="332"/>
      <c r="N123" s="334">
        <v>2</v>
      </c>
      <c r="O123" s="334">
        <v>1.1000000000000001</v>
      </c>
      <c r="P123" s="335">
        <v>3.1</v>
      </c>
    </row>
    <row r="124" spans="1:16" x14ac:dyDescent="0.2">
      <c r="A124" s="643"/>
      <c r="B124" s="332" t="s">
        <v>478</v>
      </c>
      <c r="C124" s="333" t="s">
        <v>479</v>
      </c>
      <c r="D124" s="333">
        <v>1</v>
      </c>
      <c r="E124" s="324" t="s">
        <v>523</v>
      </c>
      <c r="F124" s="646"/>
      <c r="G124" s="332">
        <v>1</v>
      </c>
      <c r="H124" s="646"/>
      <c r="I124" s="332">
        <v>129</v>
      </c>
      <c r="J124" s="332">
        <v>29025</v>
      </c>
      <c r="K124" s="332">
        <v>1</v>
      </c>
      <c r="L124" s="332"/>
      <c r="M124" s="332"/>
      <c r="N124" s="334">
        <v>2</v>
      </c>
      <c r="O124" s="334">
        <v>1.1000000000000001</v>
      </c>
      <c r="P124" s="335">
        <v>3.1</v>
      </c>
    </row>
    <row r="125" spans="1:16" x14ac:dyDescent="0.2">
      <c r="A125" s="643"/>
      <c r="B125" s="332" t="s">
        <v>478</v>
      </c>
      <c r="C125" s="333" t="s">
        <v>480</v>
      </c>
      <c r="D125" s="333">
        <v>1</v>
      </c>
      <c r="E125" s="324" t="s">
        <v>523</v>
      </c>
      <c r="F125" s="646"/>
      <c r="G125" s="332">
        <v>1</v>
      </c>
      <c r="H125" s="646"/>
      <c r="I125" s="332">
        <v>72</v>
      </c>
      <c r="J125" s="332">
        <v>16200</v>
      </c>
      <c r="K125" s="332">
        <v>1</v>
      </c>
      <c r="L125" s="332"/>
      <c r="M125" s="332"/>
      <c r="N125" s="334">
        <v>2</v>
      </c>
      <c r="O125" s="334">
        <v>1.1000000000000001</v>
      </c>
      <c r="P125" s="335">
        <v>3.1</v>
      </c>
    </row>
    <row r="126" spans="1:16" x14ac:dyDescent="0.2">
      <c r="A126" s="643"/>
      <c r="B126" s="332" t="s">
        <v>478</v>
      </c>
      <c r="C126" s="333" t="s">
        <v>481</v>
      </c>
      <c r="D126" s="333">
        <v>1</v>
      </c>
      <c r="E126" s="324" t="s">
        <v>523</v>
      </c>
      <c r="F126" s="646"/>
      <c r="G126" s="332">
        <v>1</v>
      </c>
      <c r="H126" s="646"/>
      <c r="I126" s="332">
        <v>94</v>
      </c>
      <c r="J126" s="332">
        <v>21150</v>
      </c>
      <c r="K126" s="332">
        <v>1</v>
      </c>
      <c r="L126" s="332"/>
      <c r="M126" s="332"/>
      <c r="N126" s="334">
        <v>2</v>
      </c>
      <c r="O126" s="334">
        <v>1.1000000000000001</v>
      </c>
      <c r="P126" s="335">
        <v>3.1</v>
      </c>
    </row>
    <row r="127" spans="1:16" ht="13.5" thickBot="1" x14ac:dyDescent="0.25">
      <c r="A127" s="643"/>
      <c r="B127" s="332" t="s">
        <v>478</v>
      </c>
      <c r="C127" s="333" t="s">
        <v>482</v>
      </c>
      <c r="D127" s="333">
        <v>1</v>
      </c>
      <c r="E127" s="324" t="s">
        <v>523</v>
      </c>
      <c r="F127" s="647"/>
      <c r="G127" s="332">
        <v>1</v>
      </c>
      <c r="H127" s="647"/>
      <c r="I127" s="332">
        <v>49</v>
      </c>
      <c r="J127" s="332">
        <v>11025</v>
      </c>
      <c r="K127" s="332">
        <v>1</v>
      </c>
      <c r="L127" s="332"/>
      <c r="M127" s="332"/>
      <c r="N127" s="334">
        <v>2</v>
      </c>
      <c r="O127" s="334">
        <v>1.1000000000000001</v>
      </c>
      <c r="P127" s="335">
        <v>3.1</v>
      </c>
    </row>
    <row r="128" spans="1:16" ht="13.5" thickBot="1" x14ac:dyDescent="0.25">
      <c r="A128" s="643"/>
      <c r="B128" s="648" t="s">
        <v>213</v>
      </c>
      <c r="C128" s="546"/>
      <c r="D128" s="546"/>
      <c r="E128" s="546"/>
      <c r="F128" s="546"/>
      <c r="G128" s="546"/>
      <c r="H128" s="546"/>
      <c r="I128" s="546"/>
      <c r="J128" s="546"/>
      <c r="K128" s="546"/>
      <c r="L128" s="546"/>
      <c r="M128" s="546"/>
      <c r="N128" s="546"/>
      <c r="O128" s="546"/>
      <c r="P128" s="547"/>
    </row>
    <row r="129" spans="1:16" x14ac:dyDescent="0.2">
      <c r="A129" s="643"/>
      <c r="B129" s="332" t="s">
        <v>213</v>
      </c>
      <c r="C129" s="333" t="s">
        <v>105</v>
      </c>
      <c r="D129" s="333">
        <v>1</v>
      </c>
      <c r="E129" s="333" t="s">
        <v>368</v>
      </c>
      <c r="F129" s="645" t="s">
        <v>373</v>
      </c>
      <c r="G129" s="332">
        <v>1</v>
      </c>
      <c r="H129" s="645" t="s">
        <v>370</v>
      </c>
      <c r="I129" s="332">
        <v>14</v>
      </c>
      <c r="J129" s="332">
        <v>5250</v>
      </c>
      <c r="K129" s="332"/>
      <c r="L129" s="332">
        <v>1</v>
      </c>
      <c r="M129" s="332"/>
      <c r="N129" s="334">
        <v>0.8</v>
      </c>
      <c r="O129" s="334">
        <v>1.1000000000000001</v>
      </c>
      <c r="P129" s="335">
        <v>1.9000000000000001</v>
      </c>
    </row>
    <row r="130" spans="1:16" ht="21.75" customHeight="1" x14ac:dyDescent="0.2">
      <c r="A130" s="643"/>
      <c r="B130" s="332" t="s">
        <v>483</v>
      </c>
      <c r="C130" s="333" t="s">
        <v>213</v>
      </c>
      <c r="D130" s="333">
        <v>1</v>
      </c>
      <c r="E130" s="324" t="s">
        <v>523</v>
      </c>
      <c r="F130" s="646"/>
      <c r="G130" s="332">
        <v>1</v>
      </c>
      <c r="H130" s="646"/>
      <c r="I130" s="332">
        <v>106</v>
      </c>
      <c r="J130" s="332">
        <v>23850</v>
      </c>
      <c r="K130" s="332">
        <v>1</v>
      </c>
      <c r="L130" s="332"/>
      <c r="M130" s="332"/>
      <c r="N130" s="334">
        <v>2</v>
      </c>
      <c r="O130" s="334">
        <v>1.1000000000000001</v>
      </c>
      <c r="P130" s="335">
        <v>3.1</v>
      </c>
    </row>
    <row r="131" spans="1:16" ht="18.75" customHeight="1" x14ac:dyDescent="0.2">
      <c r="A131" s="643"/>
      <c r="B131" s="332" t="s">
        <v>484</v>
      </c>
      <c r="C131" s="333" t="s">
        <v>484</v>
      </c>
      <c r="D131" s="333">
        <v>1</v>
      </c>
      <c r="E131" s="324" t="s">
        <v>523</v>
      </c>
      <c r="F131" s="646"/>
      <c r="G131" s="332">
        <v>1</v>
      </c>
      <c r="H131" s="646"/>
      <c r="I131" s="332">
        <v>102</v>
      </c>
      <c r="J131" s="332">
        <v>22950</v>
      </c>
      <c r="K131" s="332">
        <v>1</v>
      </c>
      <c r="L131" s="332"/>
      <c r="M131" s="332"/>
      <c r="N131" s="334">
        <v>2</v>
      </c>
      <c r="O131" s="334">
        <v>1.1000000000000001</v>
      </c>
      <c r="P131" s="335">
        <v>3.1</v>
      </c>
    </row>
    <row r="132" spans="1:16" ht="23.25" customHeight="1" thickBot="1" x14ac:dyDescent="0.25">
      <c r="A132" s="643"/>
      <c r="B132" s="332" t="s">
        <v>485</v>
      </c>
      <c r="C132" s="333" t="s">
        <v>486</v>
      </c>
      <c r="D132" s="333">
        <v>1</v>
      </c>
      <c r="E132" s="324" t="s">
        <v>523</v>
      </c>
      <c r="F132" s="647"/>
      <c r="G132" s="332">
        <v>1</v>
      </c>
      <c r="H132" s="647"/>
      <c r="I132" s="332">
        <v>85</v>
      </c>
      <c r="J132" s="332">
        <v>19125</v>
      </c>
      <c r="K132" s="332">
        <v>1</v>
      </c>
      <c r="L132" s="332"/>
      <c r="M132" s="332"/>
      <c r="N132" s="334">
        <v>2</v>
      </c>
      <c r="O132" s="334">
        <v>1.1000000000000001</v>
      </c>
      <c r="P132" s="335">
        <v>3.1</v>
      </c>
    </row>
    <row r="133" spans="1:16" ht="13.5" thickBot="1" x14ac:dyDescent="0.25">
      <c r="A133" s="643"/>
      <c r="B133" s="648" t="s">
        <v>487</v>
      </c>
      <c r="C133" s="546"/>
      <c r="D133" s="546"/>
      <c r="E133" s="546"/>
      <c r="F133" s="546"/>
      <c r="G133" s="546"/>
      <c r="H133" s="546"/>
      <c r="I133" s="546"/>
      <c r="J133" s="546"/>
      <c r="K133" s="546"/>
      <c r="L133" s="546"/>
      <c r="M133" s="546"/>
      <c r="N133" s="546"/>
      <c r="O133" s="546"/>
      <c r="P133" s="547"/>
    </row>
    <row r="134" spans="1:16" x14ac:dyDescent="0.2">
      <c r="A134" s="643"/>
      <c r="B134" s="332" t="s">
        <v>488</v>
      </c>
      <c r="C134" s="333" t="s">
        <v>489</v>
      </c>
      <c r="D134" s="333">
        <v>1</v>
      </c>
      <c r="E134" s="333" t="s">
        <v>368</v>
      </c>
      <c r="F134" s="645" t="s">
        <v>373</v>
      </c>
      <c r="G134" s="332">
        <v>1</v>
      </c>
      <c r="H134" s="645" t="s">
        <v>370</v>
      </c>
      <c r="I134" s="332">
        <v>24</v>
      </c>
      <c r="J134" s="332">
        <v>9000</v>
      </c>
      <c r="K134" s="332"/>
      <c r="L134" s="332">
        <v>1</v>
      </c>
      <c r="M134" s="332"/>
      <c r="N134" s="334">
        <v>0.8</v>
      </c>
      <c r="O134" s="334">
        <v>1.1000000000000001</v>
      </c>
      <c r="P134" s="335">
        <v>1.9000000000000001</v>
      </c>
    </row>
    <row r="135" spans="1:16" x14ac:dyDescent="0.2">
      <c r="A135" s="643"/>
      <c r="B135" s="332" t="s">
        <v>488</v>
      </c>
      <c r="C135" s="333" t="s">
        <v>489</v>
      </c>
      <c r="D135" s="333">
        <v>1</v>
      </c>
      <c r="E135" s="333" t="s">
        <v>378</v>
      </c>
      <c r="F135" s="646"/>
      <c r="G135" s="332">
        <v>1</v>
      </c>
      <c r="H135" s="646"/>
      <c r="I135" s="332">
        <v>142</v>
      </c>
      <c r="J135" s="332">
        <v>31950</v>
      </c>
      <c r="K135" s="332">
        <v>1</v>
      </c>
      <c r="L135" s="332"/>
      <c r="M135" s="332"/>
      <c r="N135" s="334">
        <v>2</v>
      </c>
      <c r="O135" s="334">
        <v>1.1000000000000001</v>
      </c>
      <c r="P135" s="335">
        <v>3.1</v>
      </c>
    </row>
    <row r="136" spans="1:16" x14ac:dyDescent="0.2">
      <c r="A136" s="643"/>
      <c r="B136" s="332" t="s">
        <v>379</v>
      </c>
      <c r="C136" s="333" t="s">
        <v>379</v>
      </c>
      <c r="D136" s="333">
        <v>1</v>
      </c>
      <c r="E136" s="324" t="s">
        <v>523</v>
      </c>
      <c r="F136" s="646"/>
      <c r="G136" s="332">
        <v>1</v>
      </c>
      <c r="H136" s="646"/>
      <c r="I136" s="332">
        <v>169</v>
      </c>
      <c r="J136" s="332">
        <v>38025</v>
      </c>
      <c r="K136" s="332">
        <v>1</v>
      </c>
      <c r="L136" s="332"/>
      <c r="M136" s="332"/>
      <c r="N136" s="334">
        <v>2</v>
      </c>
      <c r="O136" s="334">
        <v>1.1000000000000001</v>
      </c>
      <c r="P136" s="335">
        <v>3.1</v>
      </c>
    </row>
    <row r="137" spans="1:16" x14ac:dyDescent="0.2">
      <c r="A137" s="643"/>
      <c r="B137" s="332" t="s">
        <v>379</v>
      </c>
      <c r="C137" s="333" t="s">
        <v>490</v>
      </c>
      <c r="D137" s="333">
        <v>1</v>
      </c>
      <c r="E137" s="324" t="s">
        <v>523</v>
      </c>
      <c r="F137" s="646"/>
      <c r="G137" s="332">
        <v>1</v>
      </c>
      <c r="H137" s="646"/>
      <c r="I137" s="332">
        <v>173</v>
      </c>
      <c r="J137" s="332">
        <v>38925</v>
      </c>
      <c r="K137" s="332">
        <v>1</v>
      </c>
      <c r="L137" s="332"/>
      <c r="M137" s="332"/>
      <c r="N137" s="334">
        <v>2</v>
      </c>
      <c r="O137" s="334">
        <v>1.1000000000000001</v>
      </c>
      <c r="P137" s="335">
        <v>3.1</v>
      </c>
    </row>
    <row r="138" spans="1:16" x14ac:dyDescent="0.2">
      <c r="A138" s="643"/>
      <c r="B138" s="332" t="s">
        <v>491</v>
      </c>
      <c r="C138" s="333" t="s">
        <v>492</v>
      </c>
      <c r="D138" s="333">
        <v>1</v>
      </c>
      <c r="E138" s="324" t="s">
        <v>523</v>
      </c>
      <c r="F138" s="646"/>
      <c r="G138" s="332">
        <v>1</v>
      </c>
      <c r="H138" s="646"/>
      <c r="I138" s="332">
        <v>161</v>
      </c>
      <c r="J138" s="332">
        <v>36225</v>
      </c>
      <c r="K138" s="332">
        <v>1</v>
      </c>
      <c r="L138" s="332"/>
      <c r="M138" s="332"/>
      <c r="N138" s="334">
        <v>2</v>
      </c>
      <c r="O138" s="334">
        <v>1.1000000000000001</v>
      </c>
      <c r="P138" s="335">
        <v>3.1</v>
      </c>
    </row>
    <row r="139" spans="1:16" ht="13.5" thickBot="1" x14ac:dyDescent="0.25">
      <c r="A139" s="643"/>
      <c r="B139" s="336" t="s">
        <v>491</v>
      </c>
      <c r="C139" s="337" t="s">
        <v>493</v>
      </c>
      <c r="D139" s="337">
        <v>1</v>
      </c>
      <c r="E139" s="337" t="s">
        <v>523</v>
      </c>
      <c r="F139" s="647"/>
      <c r="G139" s="336">
        <v>1</v>
      </c>
      <c r="H139" s="647"/>
      <c r="I139" s="336">
        <v>80</v>
      </c>
      <c r="J139" s="336">
        <v>18000</v>
      </c>
      <c r="K139" s="336">
        <v>1</v>
      </c>
      <c r="L139" s="336"/>
      <c r="M139" s="336"/>
      <c r="N139" s="338">
        <v>2</v>
      </c>
      <c r="O139" s="338">
        <v>1.1000000000000001</v>
      </c>
      <c r="P139" s="339">
        <v>3.1</v>
      </c>
    </row>
    <row r="140" spans="1:16" ht="13.5" thickBot="1" x14ac:dyDescent="0.25">
      <c r="A140" s="643"/>
      <c r="B140" s="653" t="s">
        <v>494</v>
      </c>
      <c r="C140" s="654"/>
      <c r="D140" s="654"/>
      <c r="E140" s="654"/>
      <c r="F140" s="654"/>
      <c r="G140" s="654"/>
      <c r="H140" s="654"/>
      <c r="I140" s="654"/>
      <c r="J140" s="654"/>
      <c r="K140" s="654"/>
      <c r="L140" s="654"/>
      <c r="M140" s="654"/>
      <c r="N140" s="654"/>
      <c r="O140" s="654"/>
      <c r="P140" s="655"/>
    </row>
    <row r="141" spans="1:16" ht="25.5" customHeight="1" x14ac:dyDescent="0.2">
      <c r="A141" s="643"/>
      <c r="B141" s="332" t="s">
        <v>494</v>
      </c>
      <c r="C141" s="333" t="s">
        <v>105</v>
      </c>
      <c r="D141" s="333">
        <v>1</v>
      </c>
      <c r="E141" s="333" t="s">
        <v>368</v>
      </c>
      <c r="F141" s="645" t="s">
        <v>373</v>
      </c>
      <c r="G141" s="332">
        <v>1</v>
      </c>
      <c r="H141" s="645" t="s">
        <v>370</v>
      </c>
      <c r="I141" s="332">
        <v>20</v>
      </c>
      <c r="J141" s="332">
        <v>7500</v>
      </c>
      <c r="K141" s="332"/>
      <c r="L141" s="332">
        <v>1</v>
      </c>
      <c r="M141" s="332"/>
      <c r="N141" s="334">
        <v>0.8</v>
      </c>
      <c r="O141" s="334">
        <v>1.1000000000000001</v>
      </c>
      <c r="P141" s="335">
        <v>1.9000000000000001</v>
      </c>
    </row>
    <row r="142" spans="1:16" ht="19.5" customHeight="1" x14ac:dyDescent="0.2">
      <c r="A142" s="643"/>
      <c r="B142" s="332" t="s">
        <v>494</v>
      </c>
      <c r="C142" s="333" t="s">
        <v>495</v>
      </c>
      <c r="D142" s="333">
        <v>1</v>
      </c>
      <c r="E142" s="324" t="s">
        <v>523</v>
      </c>
      <c r="F142" s="646"/>
      <c r="G142" s="332">
        <v>1</v>
      </c>
      <c r="H142" s="646"/>
      <c r="I142" s="332">
        <v>231</v>
      </c>
      <c r="J142" s="332">
        <v>51975</v>
      </c>
      <c r="K142" s="332">
        <v>1</v>
      </c>
      <c r="L142" s="332"/>
      <c r="M142" s="332"/>
      <c r="N142" s="334">
        <v>2</v>
      </c>
      <c r="O142" s="334">
        <v>1.1000000000000001</v>
      </c>
      <c r="P142" s="335">
        <v>3.1</v>
      </c>
    </row>
    <row r="143" spans="1:16" ht="21" customHeight="1" thickBot="1" x14ac:dyDescent="0.25">
      <c r="A143" s="643"/>
      <c r="B143" s="336" t="s">
        <v>496</v>
      </c>
      <c r="C143" s="337" t="s">
        <v>496</v>
      </c>
      <c r="D143" s="337">
        <v>1</v>
      </c>
      <c r="E143" s="337" t="s">
        <v>523</v>
      </c>
      <c r="F143" s="647"/>
      <c r="G143" s="336">
        <v>1</v>
      </c>
      <c r="H143" s="647"/>
      <c r="I143" s="336">
        <v>109</v>
      </c>
      <c r="J143" s="336">
        <v>24525</v>
      </c>
      <c r="K143" s="336">
        <v>1</v>
      </c>
      <c r="L143" s="336"/>
      <c r="M143" s="336"/>
      <c r="N143" s="338">
        <v>2</v>
      </c>
      <c r="O143" s="338">
        <v>1.1000000000000001</v>
      </c>
      <c r="P143" s="339">
        <v>3.1</v>
      </c>
    </row>
    <row r="144" spans="1:16" ht="13.5" thickBot="1" x14ac:dyDescent="0.25">
      <c r="A144" s="643"/>
      <c r="B144" s="653" t="s">
        <v>497</v>
      </c>
      <c r="C144" s="654"/>
      <c r="D144" s="654"/>
      <c r="E144" s="654"/>
      <c r="F144" s="654"/>
      <c r="G144" s="654"/>
      <c r="H144" s="654"/>
      <c r="I144" s="654"/>
      <c r="J144" s="654"/>
      <c r="K144" s="654"/>
      <c r="L144" s="654"/>
      <c r="M144" s="654"/>
      <c r="N144" s="654"/>
      <c r="O144" s="654"/>
      <c r="P144" s="655"/>
    </row>
    <row r="145" spans="1:16" x14ac:dyDescent="0.2">
      <c r="A145" s="643"/>
      <c r="B145" s="318" t="s">
        <v>498</v>
      </c>
      <c r="C145" s="319" t="s">
        <v>105</v>
      </c>
      <c r="D145" s="319">
        <v>1</v>
      </c>
      <c r="E145" s="319" t="s">
        <v>368</v>
      </c>
      <c r="F145" s="645" t="s">
        <v>373</v>
      </c>
      <c r="G145" s="318">
        <v>1</v>
      </c>
      <c r="H145" s="645" t="s">
        <v>370</v>
      </c>
      <c r="I145" s="318">
        <v>13</v>
      </c>
      <c r="J145" s="318">
        <v>4875</v>
      </c>
      <c r="K145" s="318"/>
      <c r="L145" s="318"/>
      <c r="M145" s="318">
        <v>1</v>
      </c>
      <c r="N145" s="321">
        <v>0.4</v>
      </c>
      <c r="O145" s="321">
        <v>1.1000000000000001</v>
      </c>
      <c r="P145" s="322">
        <v>1.5</v>
      </c>
    </row>
    <row r="146" spans="1:16" x14ac:dyDescent="0.2">
      <c r="A146" s="643"/>
      <c r="B146" s="332" t="s">
        <v>498</v>
      </c>
      <c r="C146" s="333" t="s">
        <v>499</v>
      </c>
      <c r="D146" s="333">
        <v>1</v>
      </c>
      <c r="E146" s="324" t="s">
        <v>523</v>
      </c>
      <c r="F146" s="646"/>
      <c r="G146" s="332">
        <v>1</v>
      </c>
      <c r="H146" s="646"/>
      <c r="I146" s="332">
        <v>92</v>
      </c>
      <c r="J146" s="332">
        <v>20700</v>
      </c>
      <c r="K146" s="332">
        <v>1</v>
      </c>
      <c r="L146" s="332"/>
      <c r="M146" s="332"/>
      <c r="N146" s="334">
        <v>2</v>
      </c>
      <c r="O146" s="334">
        <v>1.1000000000000001</v>
      </c>
      <c r="P146" s="335">
        <v>3.1</v>
      </c>
    </row>
    <row r="147" spans="1:16" ht="16.5" customHeight="1" x14ac:dyDescent="0.2">
      <c r="A147" s="643"/>
      <c r="B147" s="332" t="s">
        <v>498</v>
      </c>
      <c r="C147" s="333" t="s">
        <v>500</v>
      </c>
      <c r="D147" s="333">
        <v>1</v>
      </c>
      <c r="E147" s="324" t="s">
        <v>523</v>
      </c>
      <c r="F147" s="646"/>
      <c r="G147" s="332">
        <v>1</v>
      </c>
      <c r="H147" s="646"/>
      <c r="I147" s="332">
        <v>105</v>
      </c>
      <c r="J147" s="332">
        <v>23625</v>
      </c>
      <c r="K147" s="332">
        <v>1</v>
      </c>
      <c r="L147" s="332"/>
      <c r="M147" s="332"/>
      <c r="N147" s="334">
        <v>2</v>
      </c>
      <c r="O147" s="334">
        <v>1.1000000000000001</v>
      </c>
      <c r="P147" s="335">
        <v>3.1</v>
      </c>
    </row>
    <row r="148" spans="1:16" ht="21" customHeight="1" thickBot="1" x14ac:dyDescent="0.25">
      <c r="A148" s="644"/>
      <c r="B148" s="336" t="s">
        <v>500</v>
      </c>
      <c r="C148" s="337" t="s">
        <v>501</v>
      </c>
      <c r="D148" s="337">
        <v>1</v>
      </c>
      <c r="E148" s="353" t="s">
        <v>523</v>
      </c>
      <c r="F148" s="647"/>
      <c r="G148" s="336">
        <v>1</v>
      </c>
      <c r="H148" s="647"/>
      <c r="I148" s="336">
        <v>88</v>
      </c>
      <c r="J148" s="336">
        <v>19800</v>
      </c>
      <c r="K148" s="336">
        <v>1</v>
      </c>
      <c r="L148" s="336"/>
      <c r="M148" s="336"/>
      <c r="N148" s="338">
        <v>2</v>
      </c>
      <c r="O148" s="338">
        <v>1.1000000000000001</v>
      </c>
      <c r="P148" s="339">
        <v>3.1</v>
      </c>
    </row>
    <row r="149" spans="1:16" ht="13.5" thickBot="1" x14ac:dyDescent="0.25">
      <c r="A149" s="642" t="s">
        <v>419</v>
      </c>
      <c r="B149" s="653" t="s">
        <v>203</v>
      </c>
      <c r="C149" s="654"/>
      <c r="D149" s="654"/>
      <c r="E149" s="654"/>
      <c r="F149" s="654"/>
      <c r="G149" s="654"/>
      <c r="H149" s="654"/>
      <c r="I149" s="654"/>
      <c r="J149" s="654"/>
      <c r="K149" s="654"/>
      <c r="L149" s="654"/>
      <c r="M149" s="654"/>
      <c r="N149" s="654"/>
      <c r="O149" s="654"/>
      <c r="P149" s="655"/>
    </row>
    <row r="150" spans="1:16" x14ac:dyDescent="0.2">
      <c r="A150" s="643"/>
      <c r="B150" s="332" t="s">
        <v>203</v>
      </c>
      <c r="C150" s="333" t="s">
        <v>105</v>
      </c>
      <c r="D150" s="333">
        <v>1</v>
      </c>
      <c r="E150" s="333" t="s">
        <v>368</v>
      </c>
      <c r="F150" s="645" t="s">
        <v>373</v>
      </c>
      <c r="G150" s="332">
        <v>1</v>
      </c>
      <c r="H150" s="645" t="s">
        <v>370</v>
      </c>
      <c r="I150" s="332">
        <v>11</v>
      </c>
      <c r="J150" s="332">
        <v>4125</v>
      </c>
      <c r="K150" s="332"/>
      <c r="L150" s="332"/>
      <c r="M150" s="332">
        <v>1</v>
      </c>
      <c r="N150" s="334">
        <v>0.4</v>
      </c>
      <c r="O150" s="334">
        <v>1.1000000000000001</v>
      </c>
      <c r="P150" s="335">
        <v>1.5</v>
      </c>
    </row>
    <row r="151" spans="1:16" x14ac:dyDescent="0.2">
      <c r="A151" s="643"/>
      <c r="B151" s="332" t="s">
        <v>203</v>
      </c>
      <c r="C151" s="333" t="s">
        <v>203</v>
      </c>
      <c r="D151" s="333">
        <v>1</v>
      </c>
      <c r="E151" s="324" t="s">
        <v>523</v>
      </c>
      <c r="F151" s="646"/>
      <c r="G151" s="332">
        <v>1</v>
      </c>
      <c r="H151" s="646"/>
      <c r="I151" s="332">
        <v>156</v>
      </c>
      <c r="J151" s="332">
        <v>35100</v>
      </c>
      <c r="K151" s="332">
        <v>1</v>
      </c>
      <c r="L151" s="332"/>
      <c r="M151" s="332"/>
      <c r="N151" s="334">
        <v>2</v>
      </c>
      <c r="O151" s="334">
        <v>1.1000000000000001</v>
      </c>
      <c r="P151" s="335">
        <v>3.1</v>
      </c>
    </row>
    <row r="152" spans="1:16" x14ac:dyDescent="0.2">
      <c r="A152" s="643"/>
      <c r="B152" s="332" t="s">
        <v>502</v>
      </c>
      <c r="C152" s="333" t="s">
        <v>502</v>
      </c>
      <c r="D152" s="333">
        <v>1</v>
      </c>
      <c r="E152" s="324" t="s">
        <v>523</v>
      </c>
      <c r="F152" s="646"/>
      <c r="G152" s="332">
        <v>1</v>
      </c>
      <c r="H152" s="646"/>
      <c r="I152" s="332">
        <v>2</v>
      </c>
      <c r="J152" s="332">
        <v>450</v>
      </c>
      <c r="K152" s="332"/>
      <c r="L152" s="332"/>
      <c r="M152" s="332">
        <v>1</v>
      </c>
      <c r="N152" s="334">
        <v>0.4</v>
      </c>
      <c r="O152" s="334">
        <v>1.1000000000000001</v>
      </c>
      <c r="P152" s="335">
        <v>1.5</v>
      </c>
    </row>
    <row r="153" spans="1:16" x14ac:dyDescent="0.2">
      <c r="A153" s="643"/>
      <c r="B153" s="332" t="s">
        <v>503</v>
      </c>
      <c r="C153" s="333" t="s">
        <v>503</v>
      </c>
      <c r="D153" s="333">
        <v>1</v>
      </c>
      <c r="E153" s="324" t="s">
        <v>523</v>
      </c>
      <c r="F153" s="646"/>
      <c r="G153" s="332">
        <v>1</v>
      </c>
      <c r="H153" s="646"/>
      <c r="I153" s="332">
        <v>90</v>
      </c>
      <c r="J153" s="332">
        <v>20250</v>
      </c>
      <c r="K153" s="332">
        <v>1</v>
      </c>
      <c r="L153" s="332"/>
      <c r="M153" s="332"/>
      <c r="N153" s="334">
        <v>2</v>
      </c>
      <c r="O153" s="334">
        <v>1.1000000000000001</v>
      </c>
      <c r="P153" s="335">
        <v>3.1</v>
      </c>
    </row>
    <row r="154" spans="1:16" x14ac:dyDescent="0.2">
      <c r="A154" s="643"/>
      <c r="B154" s="332" t="s">
        <v>504</v>
      </c>
      <c r="C154" s="333" t="s">
        <v>504</v>
      </c>
      <c r="D154" s="333">
        <v>1</v>
      </c>
      <c r="E154" s="324" t="s">
        <v>523</v>
      </c>
      <c r="F154" s="646"/>
      <c r="G154" s="332">
        <v>1</v>
      </c>
      <c r="H154" s="646"/>
      <c r="I154" s="332">
        <v>25</v>
      </c>
      <c r="J154" s="332">
        <v>5625</v>
      </c>
      <c r="K154" s="332"/>
      <c r="L154" s="332">
        <v>1</v>
      </c>
      <c r="M154" s="332"/>
      <c r="N154" s="334">
        <v>0.8</v>
      </c>
      <c r="O154" s="334">
        <v>1.1000000000000001</v>
      </c>
      <c r="P154" s="335">
        <v>1.9000000000000001</v>
      </c>
    </row>
    <row r="155" spans="1:16" x14ac:dyDescent="0.2">
      <c r="A155" s="643"/>
      <c r="B155" s="332" t="s">
        <v>505</v>
      </c>
      <c r="C155" s="333" t="s">
        <v>505</v>
      </c>
      <c r="D155" s="333">
        <v>1</v>
      </c>
      <c r="E155" s="324" t="s">
        <v>523</v>
      </c>
      <c r="F155" s="646"/>
      <c r="G155" s="332">
        <v>1</v>
      </c>
      <c r="H155" s="646"/>
      <c r="I155" s="332">
        <v>19</v>
      </c>
      <c r="J155" s="332">
        <v>4275</v>
      </c>
      <c r="K155" s="332"/>
      <c r="L155" s="332"/>
      <c r="M155" s="332">
        <v>1</v>
      </c>
      <c r="N155" s="334">
        <v>0.4</v>
      </c>
      <c r="O155" s="334">
        <v>1.1000000000000001</v>
      </c>
      <c r="P155" s="335">
        <v>1.5</v>
      </c>
    </row>
    <row r="156" spans="1:16" ht="13.5" thickBot="1" x14ac:dyDescent="0.25">
      <c r="A156" s="643"/>
      <c r="B156" s="332" t="s">
        <v>506</v>
      </c>
      <c r="C156" s="333" t="s">
        <v>506</v>
      </c>
      <c r="D156" s="333">
        <v>1</v>
      </c>
      <c r="E156" s="324" t="s">
        <v>523</v>
      </c>
      <c r="F156" s="647"/>
      <c r="G156" s="332">
        <v>1</v>
      </c>
      <c r="H156" s="647"/>
      <c r="I156" s="332">
        <v>60</v>
      </c>
      <c r="J156" s="332">
        <v>13500</v>
      </c>
      <c r="K156" s="332">
        <v>1</v>
      </c>
      <c r="L156" s="332"/>
      <c r="M156" s="332"/>
      <c r="N156" s="334">
        <v>2</v>
      </c>
      <c r="O156" s="334">
        <v>1.1000000000000001</v>
      </c>
      <c r="P156" s="335">
        <v>3.1</v>
      </c>
    </row>
    <row r="157" spans="1:16" ht="13.5" thickBot="1" x14ac:dyDescent="0.25">
      <c r="A157" s="643"/>
      <c r="B157" s="648" t="s">
        <v>206</v>
      </c>
      <c r="C157" s="546"/>
      <c r="D157" s="546"/>
      <c r="E157" s="546"/>
      <c r="F157" s="546"/>
      <c r="G157" s="546"/>
      <c r="H157" s="546"/>
      <c r="I157" s="546"/>
      <c r="J157" s="546"/>
      <c r="K157" s="546"/>
      <c r="L157" s="546"/>
      <c r="M157" s="546"/>
      <c r="N157" s="546"/>
      <c r="O157" s="546"/>
      <c r="P157" s="547"/>
    </row>
    <row r="158" spans="1:16" x14ac:dyDescent="0.2">
      <c r="A158" s="643"/>
      <c r="B158" s="332" t="s">
        <v>507</v>
      </c>
      <c r="C158" s="333" t="s">
        <v>105</v>
      </c>
      <c r="D158" s="333">
        <v>1</v>
      </c>
      <c r="E158" s="333" t="s">
        <v>368</v>
      </c>
      <c r="F158" s="645" t="s">
        <v>373</v>
      </c>
      <c r="G158" s="332">
        <v>1</v>
      </c>
      <c r="H158" s="645" t="s">
        <v>370</v>
      </c>
      <c r="I158" s="332">
        <v>12</v>
      </c>
      <c r="J158" s="332">
        <v>4500</v>
      </c>
      <c r="K158" s="332"/>
      <c r="L158" s="332"/>
      <c r="M158" s="332">
        <v>1</v>
      </c>
      <c r="N158" s="334">
        <v>0.4</v>
      </c>
      <c r="O158" s="334">
        <v>1.1000000000000001</v>
      </c>
      <c r="P158" s="335">
        <v>1.5</v>
      </c>
    </row>
    <row r="159" spans="1:16" x14ac:dyDescent="0.2">
      <c r="A159" s="643"/>
      <c r="B159" s="332" t="s">
        <v>507</v>
      </c>
      <c r="C159" s="333" t="s">
        <v>508</v>
      </c>
      <c r="D159" s="333">
        <v>1</v>
      </c>
      <c r="E159" s="324" t="s">
        <v>523</v>
      </c>
      <c r="F159" s="646"/>
      <c r="G159" s="332">
        <v>1</v>
      </c>
      <c r="H159" s="646"/>
      <c r="I159" s="332">
        <v>115</v>
      </c>
      <c r="J159" s="332">
        <v>25875</v>
      </c>
      <c r="K159" s="332">
        <v>1</v>
      </c>
      <c r="L159" s="332"/>
      <c r="M159" s="332"/>
      <c r="N159" s="334">
        <v>2</v>
      </c>
      <c r="O159" s="334">
        <v>1.1000000000000001</v>
      </c>
      <c r="P159" s="335">
        <v>3.1</v>
      </c>
    </row>
    <row r="160" spans="1:16" x14ac:dyDescent="0.2">
      <c r="A160" s="643"/>
      <c r="B160" s="332" t="s">
        <v>261</v>
      </c>
      <c r="C160" s="333" t="s">
        <v>261</v>
      </c>
      <c r="D160" s="333">
        <v>1</v>
      </c>
      <c r="E160" s="324" t="s">
        <v>523</v>
      </c>
      <c r="F160" s="646"/>
      <c r="G160" s="332">
        <v>1</v>
      </c>
      <c r="H160" s="646"/>
      <c r="I160" s="332">
        <v>59</v>
      </c>
      <c r="J160" s="332">
        <v>13275</v>
      </c>
      <c r="K160" s="332">
        <v>1</v>
      </c>
      <c r="L160" s="332"/>
      <c r="M160" s="332"/>
      <c r="N160" s="334">
        <v>2</v>
      </c>
      <c r="O160" s="334">
        <v>1.1000000000000001</v>
      </c>
      <c r="P160" s="335">
        <v>3.1</v>
      </c>
    </row>
    <row r="161" spans="1:16" x14ac:dyDescent="0.2">
      <c r="A161" s="643"/>
      <c r="B161" s="332" t="s">
        <v>207</v>
      </c>
      <c r="C161" s="333" t="s">
        <v>207</v>
      </c>
      <c r="D161" s="333">
        <v>1</v>
      </c>
      <c r="E161" s="324" t="s">
        <v>523</v>
      </c>
      <c r="F161" s="646"/>
      <c r="G161" s="332">
        <v>1</v>
      </c>
      <c r="H161" s="646"/>
      <c r="I161" s="332">
        <v>57</v>
      </c>
      <c r="J161" s="332">
        <v>12825</v>
      </c>
      <c r="K161" s="332">
        <v>1</v>
      </c>
      <c r="L161" s="332"/>
      <c r="M161" s="332"/>
      <c r="N161" s="334">
        <v>2</v>
      </c>
      <c r="O161" s="334">
        <v>1.1000000000000001</v>
      </c>
      <c r="P161" s="335">
        <v>3.1</v>
      </c>
    </row>
    <row r="162" spans="1:16" x14ac:dyDescent="0.2">
      <c r="A162" s="643"/>
      <c r="B162" s="332" t="s">
        <v>207</v>
      </c>
      <c r="C162" s="333" t="s">
        <v>509</v>
      </c>
      <c r="D162" s="333">
        <v>1</v>
      </c>
      <c r="E162" s="324" t="s">
        <v>523</v>
      </c>
      <c r="F162" s="646"/>
      <c r="G162" s="332">
        <v>1</v>
      </c>
      <c r="H162" s="646"/>
      <c r="I162" s="332">
        <v>39</v>
      </c>
      <c r="J162" s="332">
        <v>8775</v>
      </c>
      <c r="K162" s="332"/>
      <c r="L162" s="332">
        <v>1</v>
      </c>
      <c r="M162" s="332"/>
      <c r="N162" s="334">
        <v>0.8</v>
      </c>
      <c r="O162" s="334">
        <v>1.1000000000000001</v>
      </c>
      <c r="P162" s="335">
        <v>1.9000000000000001</v>
      </c>
    </row>
    <row r="163" spans="1:16" x14ac:dyDescent="0.2">
      <c r="A163" s="643"/>
      <c r="B163" s="332" t="s">
        <v>510</v>
      </c>
      <c r="C163" s="333" t="s">
        <v>511</v>
      </c>
      <c r="D163" s="333">
        <v>1</v>
      </c>
      <c r="E163" s="333" t="s">
        <v>429</v>
      </c>
      <c r="F163" s="646"/>
      <c r="G163" s="332">
        <v>1</v>
      </c>
      <c r="H163" s="646"/>
      <c r="I163" s="332">
        <v>76</v>
      </c>
      <c r="J163" s="332">
        <v>17100</v>
      </c>
      <c r="K163" s="332">
        <v>1</v>
      </c>
      <c r="L163" s="332"/>
      <c r="M163" s="332"/>
      <c r="N163" s="334">
        <v>2</v>
      </c>
      <c r="O163" s="334">
        <v>1.1000000000000001</v>
      </c>
      <c r="P163" s="335">
        <v>3.1</v>
      </c>
    </row>
    <row r="164" spans="1:16" x14ac:dyDescent="0.2">
      <c r="A164" s="643"/>
      <c r="B164" s="332" t="s">
        <v>510</v>
      </c>
      <c r="C164" s="333" t="s">
        <v>512</v>
      </c>
      <c r="D164" s="333">
        <v>1</v>
      </c>
      <c r="E164" s="333" t="s">
        <v>429</v>
      </c>
      <c r="F164" s="646"/>
      <c r="G164" s="332">
        <v>1</v>
      </c>
      <c r="H164" s="646"/>
      <c r="I164" s="332">
        <v>45</v>
      </c>
      <c r="J164" s="332">
        <v>10125</v>
      </c>
      <c r="K164" s="332"/>
      <c r="L164" s="332">
        <v>1</v>
      </c>
      <c r="M164" s="332"/>
      <c r="N164" s="334">
        <v>0.8</v>
      </c>
      <c r="O164" s="334">
        <v>1.1000000000000001</v>
      </c>
      <c r="P164" s="335">
        <v>1.9000000000000001</v>
      </c>
    </row>
    <row r="165" spans="1:16" ht="13.5" thickBot="1" x14ac:dyDescent="0.25">
      <c r="A165" s="643"/>
      <c r="B165" s="332" t="s">
        <v>510</v>
      </c>
      <c r="C165" s="333" t="s">
        <v>513</v>
      </c>
      <c r="D165" s="333">
        <v>1</v>
      </c>
      <c r="E165" s="324" t="s">
        <v>523</v>
      </c>
      <c r="F165" s="647"/>
      <c r="G165" s="332">
        <v>1</v>
      </c>
      <c r="H165" s="647"/>
      <c r="I165" s="332">
        <v>27</v>
      </c>
      <c r="J165" s="332">
        <v>6075</v>
      </c>
      <c r="K165" s="332"/>
      <c r="L165" s="332">
        <v>1</v>
      </c>
      <c r="M165" s="332"/>
      <c r="N165" s="334">
        <v>0.8</v>
      </c>
      <c r="O165" s="334">
        <v>1.1000000000000001</v>
      </c>
      <c r="P165" s="335">
        <v>1.9000000000000001</v>
      </c>
    </row>
    <row r="166" spans="1:16" ht="13.5" thickBot="1" x14ac:dyDescent="0.25">
      <c r="A166" s="643"/>
      <c r="B166" s="648" t="s">
        <v>201</v>
      </c>
      <c r="C166" s="546"/>
      <c r="D166" s="546"/>
      <c r="E166" s="546"/>
      <c r="F166" s="546"/>
      <c r="G166" s="546"/>
      <c r="H166" s="546"/>
      <c r="I166" s="546"/>
      <c r="J166" s="546"/>
      <c r="K166" s="546"/>
      <c r="L166" s="546"/>
      <c r="M166" s="546"/>
      <c r="N166" s="546"/>
      <c r="O166" s="546"/>
      <c r="P166" s="547"/>
    </row>
    <row r="167" spans="1:16" x14ac:dyDescent="0.2">
      <c r="A167" s="643"/>
      <c r="B167" s="332" t="s">
        <v>201</v>
      </c>
      <c r="C167" s="333" t="s">
        <v>105</v>
      </c>
      <c r="D167" s="333">
        <v>1</v>
      </c>
      <c r="E167" s="333" t="s">
        <v>368</v>
      </c>
      <c r="F167" s="645" t="s">
        <v>373</v>
      </c>
      <c r="G167" s="332">
        <v>1</v>
      </c>
      <c r="H167" s="645" t="s">
        <v>370</v>
      </c>
      <c r="I167" s="332">
        <v>17</v>
      </c>
      <c r="J167" s="332">
        <v>6375</v>
      </c>
      <c r="K167" s="332"/>
      <c r="L167" s="332">
        <v>1</v>
      </c>
      <c r="M167" s="332"/>
      <c r="N167" s="334">
        <v>0.8</v>
      </c>
      <c r="O167" s="334">
        <v>1.1000000000000001</v>
      </c>
      <c r="P167" s="335">
        <v>1.9000000000000001</v>
      </c>
    </row>
    <row r="168" spans="1:16" ht="22.5" customHeight="1" x14ac:dyDescent="0.2">
      <c r="A168" s="643"/>
      <c r="B168" s="332" t="s">
        <v>514</v>
      </c>
      <c r="C168" s="333" t="s">
        <v>515</v>
      </c>
      <c r="D168" s="333">
        <v>1</v>
      </c>
      <c r="E168" s="324" t="s">
        <v>523</v>
      </c>
      <c r="F168" s="646"/>
      <c r="G168" s="332">
        <v>1</v>
      </c>
      <c r="H168" s="646"/>
      <c r="I168" s="332">
        <v>150</v>
      </c>
      <c r="J168" s="332">
        <v>33750</v>
      </c>
      <c r="K168" s="332">
        <v>1</v>
      </c>
      <c r="L168" s="332"/>
      <c r="M168" s="332"/>
      <c r="N168" s="334">
        <v>2</v>
      </c>
      <c r="O168" s="334">
        <v>1.1000000000000001</v>
      </c>
      <c r="P168" s="335">
        <v>3.1</v>
      </c>
    </row>
    <row r="169" spans="1:16" ht="19.5" customHeight="1" x14ac:dyDescent="0.2">
      <c r="A169" s="643"/>
      <c r="B169" s="332" t="s">
        <v>516</v>
      </c>
      <c r="C169" s="333" t="s">
        <v>516</v>
      </c>
      <c r="D169" s="333">
        <v>1</v>
      </c>
      <c r="E169" s="324" t="s">
        <v>523</v>
      </c>
      <c r="F169" s="646"/>
      <c r="G169" s="332">
        <v>1</v>
      </c>
      <c r="H169" s="646"/>
      <c r="I169" s="332">
        <v>74</v>
      </c>
      <c r="J169" s="332">
        <v>16650</v>
      </c>
      <c r="K169" s="332">
        <v>1</v>
      </c>
      <c r="L169" s="332"/>
      <c r="M169" s="332"/>
      <c r="N169" s="334">
        <v>2</v>
      </c>
      <c r="O169" s="334">
        <v>1.1000000000000001</v>
      </c>
      <c r="P169" s="335">
        <v>3.1</v>
      </c>
    </row>
    <row r="170" spans="1:16" ht="13.5" thickBot="1" x14ac:dyDescent="0.25">
      <c r="A170" s="643"/>
      <c r="B170" s="323" t="s">
        <v>517</v>
      </c>
      <c r="C170" s="324" t="s">
        <v>472</v>
      </c>
      <c r="D170" s="324">
        <v>1</v>
      </c>
      <c r="E170" s="324" t="s">
        <v>523</v>
      </c>
      <c r="F170" s="647"/>
      <c r="G170" s="323">
        <v>1</v>
      </c>
      <c r="H170" s="647"/>
      <c r="I170" s="323">
        <v>94</v>
      </c>
      <c r="J170" s="323">
        <v>21150</v>
      </c>
      <c r="K170" s="323">
        <v>1</v>
      </c>
      <c r="L170" s="323"/>
      <c r="M170" s="323"/>
      <c r="N170" s="325">
        <v>2</v>
      </c>
      <c r="O170" s="325">
        <v>1.1000000000000001</v>
      </c>
      <c r="P170" s="326">
        <v>3.1</v>
      </c>
    </row>
    <row r="171" spans="1:16" ht="13.5" thickBot="1" x14ac:dyDescent="0.25">
      <c r="A171" s="643"/>
      <c r="B171" s="648" t="s">
        <v>518</v>
      </c>
      <c r="C171" s="546"/>
      <c r="D171" s="546"/>
      <c r="E171" s="546"/>
      <c r="F171" s="546"/>
      <c r="G171" s="546"/>
      <c r="H171" s="546"/>
      <c r="I171" s="546"/>
      <c r="J171" s="546"/>
      <c r="K171" s="546"/>
      <c r="L171" s="546"/>
      <c r="M171" s="546"/>
      <c r="N171" s="546"/>
      <c r="O171" s="546"/>
      <c r="P171" s="547"/>
    </row>
    <row r="172" spans="1:16" x14ac:dyDescent="0.2">
      <c r="A172" s="643"/>
      <c r="B172" s="332" t="s">
        <v>518</v>
      </c>
      <c r="C172" s="333" t="s">
        <v>105</v>
      </c>
      <c r="D172" s="333">
        <v>1</v>
      </c>
      <c r="E172" s="333" t="s">
        <v>368</v>
      </c>
      <c r="F172" s="645" t="s">
        <v>373</v>
      </c>
      <c r="G172" s="332">
        <v>1</v>
      </c>
      <c r="H172" s="645" t="s">
        <v>370</v>
      </c>
      <c r="I172" s="332">
        <v>9</v>
      </c>
      <c r="J172" s="332">
        <v>3375</v>
      </c>
      <c r="K172" s="332"/>
      <c r="L172" s="332"/>
      <c r="M172" s="332">
        <v>1</v>
      </c>
      <c r="N172" s="334">
        <v>0.4</v>
      </c>
      <c r="O172" s="334">
        <v>1.1000000000000001</v>
      </c>
      <c r="P172" s="335">
        <v>1.5</v>
      </c>
    </row>
    <row r="173" spans="1:16" x14ac:dyDescent="0.2">
      <c r="A173" s="643"/>
      <c r="B173" s="332" t="s">
        <v>518</v>
      </c>
      <c r="C173" s="333" t="s">
        <v>519</v>
      </c>
      <c r="D173" s="333">
        <v>1</v>
      </c>
      <c r="E173" s="324" t="s">
        <v>523</v>
      </c>
      <c r="F173" s="646"/>
      <c r="G173" s="332">
        <v>1</v>
      </c>
      <c r="H173" s="646"/>
      <c r="I173" s="332">
        <v>171</v>
      </c>
      <c r="J173" s="332">
        <v>38475</v>
      </c>
      <c r="K173" s="332">
        <v>1</v>
      </c>
      <c r="L173" s="332"/>
      <c r="M173" s="332"/>
      <c r="N173" s="334">
        <v>2</v>
      </c>
      <c r="O173" s="334">
        <v>1.1000000000000001</v>
      </c>
      <c r="P173" s="335">
        <v>3.1</v>
      </c>
    </row>
    <row r="174" spans="1:16" x14ac:dyDescent="0.2">
      <c r="A174" s="643"/>
      <c r="B174" s="332" t="s">
        <v>518</v>
      </c>
      <c r="C174" s="333" t="s">
        <v>520</v>
      </c>
      <c r="D174" s="333">
        <v>1</v>
      </c>
      <c r="E174" s="324" t="s">
        <v>523</v>
      </c>
      <c r="F174" s="646"/>
      <c r="G174" s="332">
        <v>1</v>
      </c>
      <c r="H174" s="646"/>
      <c r="I174" s="332">
        <v>95</v>
      </c>
      <c r="J174" s="332">
        <v>21375</v>
      </c>
      <c r="K174" s="332">
        <v>1</v>
      </c>
      <c r="L174" s="332"/>
      <c r="M174" s="332"/>
      <c r="N174" s="334">
        <v>2</v>
      </c>
      <c r="O174" s="334">
        <v>1.1000000000000001</v>
      </c>
      <c r="P174" s="335">
        <v>3.1</v>
      </c>
    </row>
    <row r="175" spans="1:16" x14ac:dyDescent="0.2">
      <c r="A175" s="643"/>
      <c r="B175" s="332" t="s">
        <v>521</v>
      </c>
      <c r="C175" s="333" t="s">
        <v>521</v>
      </c>
      <c r="D175" s="333">
        <v>1</v>
      </c>
      <c r="E175" s="324" t="s">
        <v>523</v>
      </c>
      <c r="F175" s="646"/>
      <c r="G175" s="332">
        <v>1</v>
      </c>
      <c r="H175" s="646"/>
      <c r="I175" s="332">
        <v>43</v>
      </c>
      <c r="J175" s="332">
        <v>9675</v>
      </c>
      <c r="K175" s="332"/>
      <c r="L175" s="332">
        <v>1</v>
      </c>
      <c r="M175" s="332"/>
      <c r="N175" s="334">
        <v>0.8</v>
      </c>
      <c r="O175" s="334">
        <v>1.1000000000000001</v>
      </c>
      <c r="P175" s="335">
        <v>1.9000000000000001</v>
      </c>
    </row>
    <row r="176" spans="1:16" ht="13.5" thickBot="1" x14ac:dyDescent="0.25">
      <c r="A176" s="644"/>
      <c r="B176" s="344" t="s">
        <v>522</v>
      </c>
      <c r="C176" s="345" t="s">
        <v>105</v>
      </c>
      <c r="D176" s="345">
        <v>1</v>
      </c>
      <c r="E176" s="324" t="s">
        <v>523</v>
      </c>
      <c r="F176" s="647"/>
      <c r="G176" s="344">
        <v>1</v>
      </c>
      <c r="H176" s="647"/>
      <c r="I176" s="344">
        <v>21</v>
      </c>
      <c r="J176" s="344">
        <v>4725</v>
      </c>
      <c r="K176" s="344"/>
      <c r="L176" s="344"/>
      <c r="M176" s="344">
        <v>1</v>
      </c>
      <c r="N176" s="346">
        <v>0.4</v>
      </c>
      <c r="O176" s="346">
        <v>1.1000000000000001</v>
      </c>
      <c r="P176" s="347">
        <v>1.5</v>
      </c>
    </row>
    <row r="177" spans="1:16" ht="13.5" thickBot="1" x14ac:dyDescent="0.25">
      <c r="A177" s="649" t="s">
        <v>274</v>
      </c>
      <c r="B177" s="650"/>
      <c r="C177" s="651"/>
      <c r="D177" s="348">
        <f>SUM(D9:D176)</f>
        <v>146</v>
      </c>
      <c r="E177" s="348"/>
      <c r="F177" s="349"/>
      <c r="G177" s="348"/>
      <c r="H177" s="350"/>
      <c r="I177" s="348">
        <v>12655</v>
      </c>
      <c r="J177" s="348">
        <v>2928205</v>
      </c>
      <c r="K177" s="348">
        <v>106</v>
      </c>
      <c r="L177" s="348">
        <v>26</v>
      </c>
      <c r="M177" s="348">
        <v>14</v>
      </c>
      <c r="N177" s="351">
        <v>238.80000000000018</v>
      </c>
      <c r="O177" s="351">
        <v>160.59999999999957</v>
      </c>
      <c r="P177" s="352">
        <v>397.00000000000045</v>
      </c>
    </row>
  </sheetData>
  <mergeCells count="95">
    <mergeCell ref="B5:B6"/>
    <mergeCell ref="J5:J6"/>
    <mergeCell ref="K5:M5"/>
    <mergeCell ref="A1:P1"/>
    <mergeCell ref="A2:P2"/>
    <mergeCell ref="A3:P3"/>
    <mergeCell ref="A4:A6"/>
    <mergeCell ref="B4:C4"/>
    <mergeCell ref="D4:D6"/>
    <mergeCell ref="N5:N6"/>
    <mergeCell ref="A7:A20"/>
    <mergeCell ref="B7:P7"/>
    <mergeCell ref="B8:P8"/>
    <mergeCell ref="F9:F11"/>
    <mergeCell ref="H9:H11"/>
    <mergeCell ref="B12:P12"/>
    <mergeCell ref="B13:P13"/>
    <mergeCell ref="F14:F15"/>
    <mergeCell ref="H14:H15"/>
    <mergeCell ref="B16:P16"/>
    <mergeCell ref="O5:O6"/>
    <mergeCell ref="P5:P6"/>
    <mergeCell ref="C5:C6"/>
    <mergeCell ref="G5:G6"/>
    <mergeCell ref="H5:H6"/>
    <mergeCell ref="I5:I6"/>
    <mergeCell ref="E4:E6"/>
    <mergeCell ref="F4:F6"/>
    <mergeCell ref="G4:P4"/>
    <mergeCell ref="F17:F20"/>
    <mergeCell ref="H17:H20"/>
    <mergeCell ref="B21:P21"/>
    <mergeCell ref="F51:F53"/>
    <mergeCell ref="H51:H53"/>
    <mergeCell ref="B50:P50"/>
    <mergeCell ref="B73:P73"/>
    <mergeCell ref="B74:P74"/>
    <mergeCell ref="F75:F79"/>
    <mergeCell ref="B54:P54"/>
    <mergeCell ref="F55:F60"/>
    <mergeCell ref="H55:H60"/>
    <mergeCell ref="F62:F64"/>
    <mergeCell ref="H62:H64"/>
    <mergeCell ref="B61:P61"/>
    <mergeCell ref="B65:P65"/>
    <mergeCell ref="F66:F69"/>
    <mergeCell ref="H66:H69"/>
    <mergeCell ref="A70:A72"/>
    <mergeCell ref="B70:P70"/>
    <mergeCell ref="B71:P71"/>
    <mergeCell ref="B80:P80"/>
    <mergeCell ref="F81:F102"/>
    <mergeCell ref="F150:F156"/>
    <mergeCell ref="H150:H156"/>
    <mergeCell ref="B103:P103"/>
    <mergeCell ref="B128:P128"/>
    <mergeCell ref="F129:F132"/>
    <mergeCell ref="H129:H132"/>
    <mergeCell ref="H113:H119"/>
    <mergeCell ref="B133:P133"/>
    <mergeCell ref="F134:F139"/>
    <mergeCell ref="H134:H139"/>
    <mergeCell ref="H81:H101"/>
    <mergeCell ref="A177:C177"/>
    <mergeCell ref="A47:A69"/>
    <mergeCell ref="B166:P166"/>
    <mergeCell ref="F167:F170"/>
    <mergeCell ref="H167:H170"/>
    <mergeCell ref="F145:F148"/>
    <mergeCell ref="F113:F119"/>
    <mergeCell ref="H145:H148"/>
    <mergeCell ref="B149:P149"/>
    <mergeCell ref="B157:P157"/>
    <mergeCell ref="F158:F165"/>
    <mergeCell ref="H158:H165"/>
    <mergeCell ref="B140:P140"/>
    <mergeCell ref="F141:F143"/>
    <mergeCell ref="H141:H143"/>
    <mergeCell ref="B144:P144"/>
    <mergeCell ref="A149:A176"/>
    <mergeCell ref="A21:A46"/>
    <mergeCell ref="A113:A148"/>
    <mergeCell ref="H47:H49"/>
    <mergeCell ref="H120:H127"/>
    <mergeCell ref="F120:F127"/>
    <mergeCell ref="A73:A112"/>
    <mergeCell ref="F104:F112"/>
    <mergeCell ref="B171:P171"/>
    <mergeCell ref="F172:F176"/>
    <mergeCell ref="H172:H176"/>
    <mergeCell ref="H104:H112"/>
    <mergeCell ref="F47:F49"/>
    <mergeCell ref="F22:F46"/>
    <mergeCell ref="H22:H46"/>
    <mergeCell ref="H75:H79"/>
  </mergeCells>
  <printOptions horizontalCentered="1" verticalCentered="1"/>
  <pageMargins left="0.70866141732283472" right="0.70866141732283472" top="0.74803149606299213" bottom="0.74803149606299213" header="0.31496062992125984" footer="0.31496062992125984"/>
  <pageSetup scale="70" orientation="landscape" verticalDpi="597" r:id="rId1"/>
  <headerFooter>
    <oddHeader>&amp;LComisión Nacional de Prevención de Riesgos y Atención de Emergencias
Unidad de Desarrollo Estratégico&amp;R&amp;D
&amp;T</oddHeader>
    <oddFooter>&amp;C&amp;P/&amp;N</oddFooter>
  </headerFooter>
  <rowBreaks count="2" manualBreakCount="2">
    <brk id="69" max="16383" man="1"/>
    <brk id="148" max="16383"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8"/>
  <sheetViews>
    <sheetView topLeftCell="A34" workbookViewId="0">
      <selection activeCell="F9" sqref="F9"/>
    </sheetView>
  </sheetViews>
  <sheetFormatPr baseColWidth="10" defaultRowHeight="12.75" x14ac:dyDescent="0.2"/>
  <cols>
    <col min="2" max="2" width="7.42578125" customWidth="1"/>
    <col min="3" max="3" width="22.28515625" customWidth="1"/>
    <col min="4" max="4" width="21.85546875" customWidth="1"/>
    <col min="5" max="5" width="8.28515625" customWidth="1"/>
    <col min="6" max="6" width="16" style="65" customWidth="1"/>
    <col min="8" max="8" width="13.28515625" customWidth="1"/>
    <col min="9" max="9" width="5.85546875" customWidth="1"/>
    <col min="10" max="10" width="4.7109375" customWidth="1"/>
    <col min="11" max="11" width="3.5703125" customWidth="1"/>
    <col min="13" max="13" width="12.42578125" customWidth="1"/>
    <col min="14" max="14" width="12.140625" customWidth="1"/>
  </cols>
  <sheetData>
    <row r="1" spans="1:14" x14ac:dyDescent="0.2">
      <c r="A1" s="663" t="s">
        <v>707</v>
      </c>
      <c r="B1" s="663"/>
      <c r="C1" s="663"/>
      <c r="D1" s="663"/>
      <c r="E1" s="663"/>
      <c r="F1" s="663"/>
      <c r="G1" s="663"/>
      <c r="H1" s="663"/>
      <c r="I1" s="663"/>
      <c r="J1" s="663"/>
      <c r="K1" s="663"/>
      <c r="L1" s="663"/>
      <c r="M1" s="663"/>
      <c r="N1" s="663"/>
    </row>
    <row r="2" spans="1:14" x14ac:dyDescent="0.2">
      <c r="A2" s="663" t="s">
        <v>524</v>
      </c>
      <c r="B2" s="663"/>
      <c r="C2" s="663"/>
      <c r="D2" s="663"/>
      <c r="E2" s="663"/>
      <c r="F2" s="663"/>
      <c r="G2" s="663"/>
      <c r="H2" s="663"/>
      <c r="I2" s="663"/>
      <c r="J2" s="663"/>
      <c r="K2" s="663"/>
      <c r="L2" s="663"/>
      <c r="M2" s="663"/>
      <c r="N2" s="663"/>
    </row>
    <row r="3" spans="1:14" ht="13.5" thickBot="1" x14ac:dyDescent="0.25">
      <c r="A3" s="701" t="s">
        <v>349</v>
      </c>
      <c r="B3" s="701"/>
      <c r="C3" s="701"/>
      <c r="D3" s="701"/>
      <c r="E3" s="701"/>
      <c r="F3" s="701"/>
      <c r="G3" s="701"/>
      <c r="H3" s="701"/>
      <c r="I3" s="701"/>
      <c r="J3" s="701"/>
      <c r="K3" s="701"/>
      <c r="L3" s="701"/>
      <c r="M3" s="701"/>
      <c r="N3" s="701"/>
    </row>
    <row r="4" spans="1:14" x14ac:dyDescent="0.2">
      <c r="A4" s="664" t="s">
        <v>350</v>
      </c>
      <c r="B4" s="669" t="s">
        <v>352</v>
      </c>
      <c r="C4" s="660" t="s">
        <v>353</v>
      </c>
      <c r="D4" s="660" t="s">
        <v>1</v>
      </c>
      <c r="E4" s="661" t="s">
        <v>2</v>
      </c>
      <c r="F4" s="661"/>
      <c r="G4" s="661"/>
      <c r="H4" s="661"/>
      <c r="I4" s="661"/>
      <c r="J4" s="661"/>
      <c r="K4" s="661"/>
      <c r="L4" s="661"/>
      <c r="M4" s="661"/>
      <c r="N4" s="662"/>
    </row>
    <row r="5" spans="1:14" ht="33.75" customHeight="1" x14ac:dyDescent="0.2">
      <c r="A5" s="665"/>
      <c r="B5" s="670"/>
      <c r="C5" s="656"/>
      <c r="D5" s="656"/>
      <c r="E5" s="656" t="s">
        <v>4</v>
      </c>
      <c r="F5" s="656" t="s">
        <v>355</v>
      </c>
      <c r="G5" s="656" t="s">
        <v>356</v>
      </c>
      <c r="H5" s="656" t="s">
        <v>542</v>
      </c>
      <c r="I5" s="656" t="s">
        <v>358</v>
      </c>
      <c r="J5" s="656"/>
      <c r="K5" s="656"/>
      <c r="L5" s="656" t="s">
        <v>359</v>
      </c>
      <c r="M5" s="656" t="s">
        <v>360</v>
      </c>
      <c r="N5" s="658" t="s">
        <v>361</v>
      </c>
    </row>
    <row r="6" spans="1:14" ht="16.5" customHeight="1" thickBot="1" x14ac:dyDescent="0.25">
      <c r="A6" s="666"/>
      <c r="B6" s="671"/>
      <c r="C6" s="657"/>
      <c r="D6" s="657"/>
      <c r="E6" s="657"/>
      <c r="F6" s="657"/>
      <c r="G6" s="657"/>
      <c r="H6" s="657"/>
      <c r="I6" s="316" t="s">
        <v>362</v>
      </c>
      <c r="J6" s="317" t="s">
        <v>363</v>
      </c>
      <c r="K6" s="317" t="s">
        <v>364</v>
      </c>
      <c r="L6" s="657"/>
      <c r="M6" s="657"/>
      <c r="N6" s="659"/>
    </row>
    <row r="7" spans="1:14" ht="15" customHeight="1" thickBot="1" x14ac:dyDescent="0.25">
      <c r="A7" s="696" t="s">
        <v>365</v>
      </c>
      <c r="B7" s="648" t="s">
        <v>525</v>
      </c>
      <c r="C7" s="546"/>
      <c r="D7" s="546"/>
      <c r="E7" s="546"/>
      <c r="F7" s="546"/>
      <c r="G7" s="546"/>
      <c r="H7" s="546"/>
      <c r="I7" s="546"/>
      <c r="J7" s="546"/>
      <c r="K7" s="546"/>
      <c r="L7" s="546"/>
      <c r="M7" s="546"/>
      <c r="N7" s="547"/>
    </row>
    <row r="8" spans="1:14" ht="13.5" thickBot="1" x14ac:dyDescent="0.25">
      <c r="A8" s="697"/>
      <c r="B8" s="648" t="s">
        <v>367</v>
      </c>
      <c r="C8" s="546"/>
      <c r="D8" s="546"/>
      <c r="E8" s="546"/>
      <c r="F8" s="546"/>
      <c r="G8" s="546"/>
      <c r="H8" s="546"/>
      <c r="I8" s="546"/>
      <c r="J8" s="546"/>
      <c r="K8" s="546"/>
      <c r="L8" s="546"/>
      <c r="M8" s="546"/>
      <c r="N8" s="547"/>
    </row>
    <row r="9" spans="1:14" ht="51.75" customHeight="1" thickBot="1" x14ac:dyDescent="0.25">
      <c r="A9" s="697"/>
      <c r="B9" s="355">
        <v>7</v>
      </c>
      <c r="C9" s="324" t="s">
        <v>526</v>
      </c>
      <c r="D9" s="356" t="s">
        <v>527</v>
      </c>
      <c r="E9" s="332">
        <v>1</v>
      </c>
      <c r="F9" s="356" t="s">
        <v>528</v>
      </c>
      <c r="G9" s="357">
        <v>350</v>
      </c>
      <c r="H9" s="357">
        <v>6250</v>
      </c>
      <c r="I9" s="357"/>
      <c r="J9" s="357" t="s">
        <v>529</v>
      </c>
      <c r="K9" s="357"/>
      <c r="L9" s="358">
        <v>12000000</v>
      </c>
      <c r="M9" s="358">
        <v>14000000</v>
      </c>
      <c r="N9" s="359">
        <v>19000000</v>
      </c>
    </row>
    <row r="10" spans="1:14" ht="15" customHeight="1" thickBot="1" x14ac:dyDescent="0.25">
      <c r="A10" s="697"/>
      <c r="B10" s="648" t="s">
        <v>530</v>
      </c>
      <c r="C10" s="546"/>
      <c r="D10" s="546"/>
      <c r="E10" s="546"/>
      <c r="F10" s="546"/>
      <c r="G10" s="546"/>
      <c r="H10" s="546"/>
      <c r="I10" s="546"/>
      <c r="J10" s="546"/>
      <c r="K10" s="546"/>
      <c r="L10" s="546"/>
      <c r="M10" s="546"/>
      <c r="N10" s="547"/>
    </row>
    <row r="11" spans="1:14" ht="13.5" thickBot="1" x14ac:dyDescent="0.25">
      <c r="A11" s="697"/>
      <c r="B11" s="648" t="s">
        <v>531</v>
      </c>
      <c r="C11" s="546"/>
      <c r="D11" s="546"/>
      <c r="E11" s="546"/>
      <c r="F11" s="546"/>
      <c r="G11" s="546"/>
      <c r="H11" s="546"/>
      <c r="I11" s="546"/>
      <c r="J11" s="546"/>
      <c r="K11" s="546"/>
      <c r="L11" s="546"/>
      <c r="M11" s="546"/>
      <c r="N11" s="547"/>
    </row>
    <row r="12" spans="1:14" ht="13.5" thickBot="1" x14ac:dyDescent="0.25">
      <c r="A12" s="698"/>
      <c r="B12" s="360">
        <v>6</v>
      </c>
      <c r="C12" s="353" t="s">
        <v>526</v>
      </c>
      <c r="D12" s="361" t="s">
        <v>532</v>
      </c>
      <c r="E12" s="362">
        <v>1</v>
      </c>
      <c r="F12" s="361"/>
      <c r="G12" s="363">
        <v>300</v>
      </c>
      <c r="H12" s="363">
        <v>7500</v>
      </c>
      <c r="I12" s="363"/>
      <c r="J12" s="363" t="s">
        <v>529</v>
      </c>
      <c r="K12" s="363"/>
      <c r="L12" s="364">
        <v>12000000</v>
      </c>
      <c r="M12" s="364">
        <v>16800000</v>
      </c>
      <c r="N12" s="365">
        <v>26400000</v>
      </c>
    </row>
    <row r="13" spans="1:14" ht="13.5" thickBot="1" x14ac:dyDescent="0.25">
      <c r="A13" s="696" t="s">
        <v>17</v>
      </c>
      <c r="B13" s="648" t="s">
        <v>17</v>
      </c>
      <c r="C13" s="546"/>
      <c r="D13" s="546"/>
      <c r="E13" s="546"/>
      <c r="F13" s="546"/>
      <c r="G13" s="546"/>
      <c r="H13" s="546"/>
      <c r="I13" s="546"/>
      <c r="J13" s="546"/>
      <c r="K13" s="546"/>
      <c r="L13" s="546"/>
      <c r="M13" s="546"/>
      <c r="N13" s="547"/>
    </row>
    <row r="14" spans="1:14" ht="13.5" thickBot="1" x14ac:dyDescent="0.25">
      <c r="A14" s="697"/>
      <c r="B14" s="355">
        <v>14</v>
      </c>
      <c r="C14" s="324" t="s">
        <v>526</v>
      </c>
      <c r="D14" s="356" t="s">
        <v>532</v>
      </c>
      <c r="E14" s="366">
        <v>1</v>
      </c>
      <c r="F14" s="356" t="s">
        <v>528</v>
      </c>
      <c r="G14" s="357">
        <v>450</v>
      </c>
      <c r="H14" s="357">
        <v>10000</v>
      </c>
      <c r="I14" s="357"/>
      <c r="J14" s="357" t="s">
        <v>533</v>
      </c>
      <c r="K14" s="357"/>
      <c r="L14" s="358">
        <v>20000000</v>
      </c>
      <c r="M14" s="358">
        <v>25200000</v>
      </c>
      <c r="N14" s="359">
        <v>38000000</v>
      </c>
    </row>
    <row r="15" spans="1:14" ht="13.5" thickBot="1" x14ac:dyDescent="0.25">
      <c r="A15" s="697"/>
      <c r="B15" s="648" t="s">
        <v>58</v>
      </c>
      <c r="C15" s="546"/>
      <c r="D15" s="546"/>
      <c r="E15" s="546"/>
      <c r="F15" s="546"/>
      <c r="G15" s="546"/>
      <c r="H15" s="546"/>
      <c r="I15" s="546"/>
      <c r="J15" s="546"/>
      <c r="K15" s="546"/>
      <c r="L15" s="546"/>
      <c r="M15" s="546"/>
      <c r="N15" s="547"/>
    </row>
    <row r="16" spans="1:14" x14ac:dyDescent="0.2">
      <c r="A16" s="697"/>
      <c r="B16" s="694">
        <v>2</v>
      </c>
      <c r="C16" s="324" t="s">
        <v>526</v>
      </c>
      <c r="D16" s="690" t="s">
        <v>534</v>
      </c>
      <c r="E16" s="688">
        <v>1</v>
      </c>
      <c r="F16" s="690" t="s">
        <v>528</v>
      </c>
      <c r="G16" s="692">
        <v>100</v>
      </c>
      <c r="H16" s="692">
        <v>2500</v>
      </c>
      <c r="I16" s="692"/>
      <c r="J16" s="692" t="s">
        <v>529</v>
      </c>
      <c r="K16" s="692"/>
      <c r="L16" s="699">
        <v>4000000</v>
      </c>
      <c r="M16" s="699">
        <v>5600000</v>
      </c>
      <c r="N16" s="702">
        <v>7600000</v>
      </c>
    </row>
    <row r="17" spans="1:14" ht="30" customHeight="1" thickBot="1" x14ac:dyDescent="0.25">
      <c r="A17" s="697"/>
      <c r="B17" s="695"/>
      <c r="C17" s="48" t="s">
        <v>535</v>
      </c>
      <c r="D17" s="691"/>
      <c r="E17" s="689"/>
      <c r="F17" s="691"/>
      <c r="G17" s="693"/>
      <c r="H17" s="693"/>
      <c r="I17" s="693"/>
      <c r="J17" s="693"/>
      <c r="K17" s="693"/>
      <c r="L17" s="700"/>
      <c r="M17" s="700"/>
      <c r="N17" s="703"/>
    </row>
    <row r="18" spans="1:14" ht="13.5" thickBot="1" x14ac:dyDescent="0.25">
      <c r="A18" s="697"/>
      <c r="B18" s="648" t="s">
        <v>33</v>
      </c>
      <c r="C18" s="546"/>
      <c r="D18" s="546"/>
      <c r="E18" s="546"/>
      <c r="F18" s="546"/>
      <c r="G18" s="546"/>
      <c r="H18" s="546"/>
      <c r="I18" s="546"/>
      <c r="J18" s="546"/>
      <c r="K18" s="546"/>
      <c r="L18" s="546"/>
      <c r="M18" s="546"/>
      <c r="N18" s="547"/>
    </row>
    <row r="19" spans="1:14" ht="17.25" customHeight="1" thickBot="1" x14ac:dyDescent="0.25">
      <c r="A19" s="697"/>
      <c r="B19" s="355">
        <v>1</v>
      </c>
      <c r="C19" s="324" t="s">
        <v>526</v>
      </c>
      <c r="D19" s="356" t="s">
        <v>532</v>
      </c>
      <c r="E19" s="369"/>
      <c r="F19" s="356" t="s">
        <v>528</v>
      </c>
      <c r="G19" s="357"/>
      <c r="H19" s="357"/>
      <c r="I19" s="357"/>
      <c r="J19" s="357" t="s">
        <v>529</v>
      </c>
      <c r="K19" s="357"/>
      <c r="L19" s="358">
        <v>0</v>
      </c>
      <c r="M19" s="370">
        <v>0</v>
      </c>
      <c r="N19" s="359">
        <v>0</v>
      </c>
    </row>
    <row r="20" spans="1:14" ht="13.5" thickBot="1" x14ac:dyDescent="0.25">
      <c r="A20" s="697"/>
      <c r="B20" s="648" t="s">
        <v>405</v>
      </c>
      <c r="C20" s="546"/>
      <c r="D20" s="546"/>
      <c r="E20" s="546"/>
      <c r="F20" s="546"/>
      <c r="G20" s="546"/>
      <c r="H20" s="546"/>
      <c r="I20" s="546"/>
      <c r="J20" s="546"/>
      <c r="K20" s="546"/>
      <c r="L20" s="546"/>
      <c r="M20" s="546"/>
      <c r="N20" s="547"/>
    </row>
    <row r="21" spans="1:14" ht="17.25" customHeight="1" thickBot="1" x14ac:dyDescent="0.25">
      <c r="A21" s="697"/>
      <c r="B21" s="360">
        <v>1</v>
      </c>
      <c r="C21" s="353" t="s">
        <v>526</v>
      </c>
      <c r="D21" s="371" t="s">
        <v>532</v>
      </c>
      <c r="E21" s="336">
        <v>1</v>
      </c>
      <c r="F21" s="361" t="s">
        <v>528</v>
      </c>
      <c r="G21" s="372"/>
      <c r="H21" s="372"/>
      <c r="I21" s="372"/>
      <c r="J21" s="372"/>
      <c r="K21" s="372"/>
      <c r="L21" s="364">
        <v>0</v>
      </c>
      <c r="M21" s="373">
        <v>0</v>
      </c>
      <c r="N21" s="365">
        <v>0</v>
      </c>
    </row>
    <row r="22" spans="1:14" ht="13.5" thickBot="1" x14ac:dyDescent="0.25">
      <c r="A22" s="697"/>
      <c r="B22" s="653" t="s">
        <v>536</v>
      </c>
      <c r="C22" s="654"/>
      <c r="D22" s="654"/>
      <c r="E22" s="654"/>
      <c r="F22" s="654"/>
      <c r="G22" s="654"/>
      <c r="H22" s="654"/>
      <c r="I22" s="654"/>
      <c r="J22" s="654"/>
      <c r="K22" s="654"/>
      <c r="L22" s="654"/>
      <c r="M22" s="654"/>
      <c r="N22" s="655"/>
    </row>
    <row r="23" spans="1:14" ht="17.25" customHeight="1" thickBot="1" x14ac:dyDescent="0.25">
      <c r="A23" s="697"/>
      <c r="B23" s="360">
        <v>1</v>
      </c>
      <c r="C23" s="353" t="s">
        <v>526</v>
      </c>
      <c r="D23" s="371" t="s">
        <v>532</v>
      </c>
      <c r="E23" s="374">
        <v>1</v>
      </c>
      <c r="F23" s="361" t="s">
        <v>528</v>
      </c>
      <c r="G23" s="363">
        <v>50</v>
      </c>
      <c r="H23" s="363">
        <v>1250</v>
      </c>
      <c r="I23" s="363"/>
      <c r="J23" s="363" t="s">
        <v>529</v>
      </c>
      <c r="K23" s="363"/>
      <c r="L23" s="364">
        <v>2000000</v>
      </c>
      <c r="M23" s="364">
        <v>2800000</v>
      </c>
      <c r="N23" s="365">
        <v>30400000</v>
      </c>
    </row>
    <row r="24" spans="1:14" ht="13.5" thickBot="1" x14ac:dyDescent="0.25">
      <c r="A24" s="697"/>
      <c r="B24" s="653" t="s">
        <v>88</v>
      </c>
      <c r="C24" s="654"/>
      <c r="D24" s="654"/>
      <c r="E24" s="654"/>
      <c r="F24" s="654"/>
      <c r="G24" s="654"/>
      <c r="H24" s="654"/>
      <c r="I24" s="654"/>
      <c r="J24" s="654"/>
      <c r="K24" s="654"/>
      <c r="L24" s="654"/>
      <c r="M24" s="654"/>
      <c r="N24" s="655"/>
    </row>
    <row r="25" spans="1:14" ht="17.25" customHeight="1" thickBot="1" x14ac:dyDescent="0.25">
      <c r="A25" s="698"/>
      <c r="B25" s="360">
        <v>2</v>
      </c>
      <c r="C25" s="353"/>
      <c r="D25" s="361" t="s">
        <v>532</v>
      </c>
      <c r="E25" s="362">
        <v>1</v>
      </c>
      <c r="F25" s="361" t="s">
        <v>528</v>
      </c>
      <c r="G25" s="363">
        <v>100</v>
      </c>
      <c r="H25" s="363">
        <v>2500</v>
      </c>
      <c r="I25" s="363"/>
      <c r="J25" s="363" t="s">
        <v>529</v>
      </c>
      <c r="K25" s="363"/>
      <c r="L25" s="364">
        <v>4000000</v>
      </c>
      <c r="M25" s="364">
        <v>5600000</v>
      </c>
      <c r="N25" s="365">
        <v>11400000</v>
      </c>
    </row>
    <row r="26" spans="1:14" ht="13.5" thickBot="1" x14ac:dyDescent="0.25">
      <c r="A26" s="685" t="s">
        <v>419</v>
      </c>
      <c r="B26" s="648" t="s">
        <v>416</v>
      </c>
      <c r="C26" s="546"/>
      <c r="D26" s="546"/>
      <c r="E26" s="546"/>
      <c r="F26" s="546"/>
      <c r="G26" s="546"/>
      <c r="H26" s="546"/>
      <c r="I26" s="546"/>
      <c r="J26" s="546"/>
      <c r="K26" s="546"/>
      <c r="L26" s="546"/>
      <c r="M26" s="546"/>
      <c r="N26" s="547"/>
    </row>
    <row r="27" spans="1:14" ht="13.5" thickBot="1" x14ac:dyDescent="0.25">
      <c r="A27" s="686"/>
      <c r="B27" s="648" t="s">
        <v>537</v>
      </c>
      <c r="C27" s="546"/>
      <c r="D27" s="546"/>
      <c r="E27" s="546"/>
      <c r="F27" s="546"/>
      <c r="G27" s="546"/>
      <c r="H27" s="546"/>
      <c r="I27" s="546"/>
      <c r="J27" s="546"/>
      <c r="K27" s="546"/>
      <c r="L27" s="546"/>
      <c r="M27" s="546"/>
      <c r="N27" s="547"/>
    </row>
    <row r="28" spans="1:14" ht="19.5" customHeight="1" thickBot="1" x14ac:dyDescent="0.25">
      <c r="A28" s="686"/>
      <c r="B28" s="355">
        <v>4</v>
      </c>
      <c r="C28" s="324" t="s">
        <v>526</v>
      </c>
      <c r="D28" s="356" t="s">
        <v>532</v>
      </c>
      <c r="E28" s="23">
        <v>1</v>
      </c>
      <c r="F28" s="356" t="s">
        <v>538</v>
      </c>
      <c r="G28" s="340">
        <v>50</v>
      </c>
      <c r="H28" s="340">
        <v>1250</v>
      </c>
      <c r="I28" s="340"/>
      <c r="J28" s="340" t="s">
        <v>529</v>
      </c>
      <c r="K28" s="340"/>
      <c r="L28" s="367">
        <v>2000000</v>
      </c>
      <c r="M28" s="367">
        <v>2800000</v>
      </c>
      <c r="N28" s="375">
        <v>15200000</v>
      </c>
    </row>
    <row r="29" spans="1:14" ht="13.5" thickBot="1" x14ac:dyDescent="0.25">
      <c r="A29" s="686"/>
      <c r="B29" s="648" t="s">
        <v>425</v>
      </c>
      <c r="C29" s="546"/>
      <c r="D29" s="546"/>
      <c r="E29" s="546"/>
      <c r="F29" s="546"/>
      <c r="G29" s="546"/>
      <c r="H29" s="546"/>
      <c r="I29" s="546"/>
      <c r="J29" s="546"/>
      <c r="K29" s="546"/>
      <c r="L29" s="546"/>
      <c r="M29" s="546"/>
      <c r="N29" s="547"/>
    </row>
    <row r="30" spans="1:14" ht="16.5" customHeight="1" thickBot="1" x14ac:dyDescent="0.25">
      <c r="A30" s="686"/>
      <c r="B30" s="355">
        <v>4</v>
      </c>
      <c r="C30" s="324" t="s">
        <v>526</v>
      </c>
      <c r="D30" s="356" t="s">
        <v>532</v>
      </c>
      <c r="E30" s="366">
        <v>1</v>
      </c>
      <c r="F30" s="356" t="s">
        <v>528</v>
      </c>
      <c r="G30" s="376">
        <v>50</v>
      </c>
      <c r="H30" s="376">
        <v>1250</v>
      </c>
      <c r="I30" s="376"/>
      <c r="J30" s="376" t="s">
        <v>529</v>
      </c>
      <c r="K30" s="376"/>
      <c r="L30" s="358">
        <v>2000000</v>
      </c>
      <c r="M30" s="358">
        <v>2800000</v>
      </c>
      <c r="N30" s="359">
        <v>15200000</v>
      </c>
    </row>
    <row r="31" spans="1:14" ht="13.5" thickBot="1" x14ac:dyDescent="0.25">
      <c r="A31" s="686"/>
      <c r="B31" s="648" t="s">
        <v>451</v>
      </c>
      <c r="C31" s="546"/>
      <c r="D31" s="546"/>
      <c r="E31" s="546"/>
      <c r="F31" s="546"/>
      <c r="G31" s="546"/>
      <c r="H31" s="546"/>
      <c r="I31" s="546"/>
      <c r="J31" s="546"/>
      <c r="K31" s="546"/>
      <c r="L31" s="546"/>
      <c r="M31" s="546"/>
      <c r="N31" s="547"/>
    </row>
    <row r="32" spans="1:14" ht="17.25" customHeight="1" thickBot="1" x14ac:dyDescent="0.25">
      <c r="A32" s="686"/>
      <c r="B32" s="355">
        <v>4</v>
      </c>
      <c r="C32" s="324" t="s">
        <v>526</v>
      </c>
      <c r="D32" s="356" t="s">
        <v>532</v>
      </c>
      <c r="E32" s="366">
        <v>1</v>
      </c>
      <c r="F32" s="356" t="s">
        <v>528</v>
      </c>
      <c r="G32" s="376">
        <v>50</v>
      </c>
      <c r="H32" s="376">
        <v>1250</v>
      </c>
      <c r="I32" s="376"/>
      <c r="J32" s="376" t="s">
        <v>529</v>
      </c>
      <c r="K32" s="376"/>
      <c r="L32" s="358">
        <v>2000000</v>
      </c>
      <c r="M32" s="358">
        <v>2800000</v>
      </c>
      <c r="N32" s="359">
        <v>15200000</v>
      </c>
    </row>
    <row r="33" spans="1:14" ht="13.5" thickBot="1" x14ac:dyDescent="0.25">
      <c r="A33" s="686"/>
      <c r="B33" s="648" t="s">
        <v>213</v>
      </c>
      <c r="C33" s="546"/>
      <c r="D33" s="546"/>
      <c r="E33" s="546"/>
      <c r="F33" s="546"/>
      <c r="G33" s="546"/>
      <c r="H33" s="546"/>
      <c r="I33" s="546"/>
      <c r="J33" s="546"/>
      <c r="K33" s="546"/>
      <c r="L33" s="546"/>
      <c r="M33" s="546"/>
      <c r="N33" s="547"/>
    </row>
    <row r="34" spans="1:14" ht="18.75" customHeight="1" thickBot="1" x14ac:dyDescent="0.25">
      <c r="A34" s="686"/>
      <c r="B34" s="355">
        <v>2</v>
      </c>
      <c r="C34" s="324" t="s">
        <v>526</v>
      </c>
      <c r="D34" s="356" t="s">
        <v>532</v>
      </c>
      <c r="E34" s="366">
        <v>1</v>
      </c>
      <c r="F34" s="356" t="s">
        <v>528</v>
      </c>
      <c r="G34" s="376">
        <v>50</v>
      </c>
      <c r="H34" s="376">
        <v>1250</v>
      </c>
      <c r="I34" s="376"/>
      <c r="J34" s="376" t="s">
        <v>529</v>
      </c>
      <c r="K34" s="376"/>
      <c r="L34" s="358">
        <v>2000000</v>
      </c>
      <c r="M34" s="358">
        <v>2800000</v>
      </c>
      <c r="N34" s="359">
        <v>7600000</v>
      </c>
    </row>
    <row r="35" spans="1:14" ht="13.5" thickBot="1" x14ac:dyDescent="0.25">
      <c r="A35" s="686"/>
      <c r="B35" s="648" t="s">
        <v>487</v>
      </c>
      <c r="C35" s="546"/>
      <c r="D35" s="546"/>
      <c r="E35" s="546"/>
      <c r="F35" s="546"/>
      <c r="G35" s="546"/>
      <c r="H35" s="546"/>
      <c r="I35" s="546"/>
      <c r="J35" s="546"/>
      <c r="K35" s="546"/>
      <c r="L35" s="546"/>
      <c r="M35" s="546"/>
      <c r="N35" s="547"/>
    </row>
    <row r="36" spans="1:14" ht="17.25" customHeight="1" thickBot="1" x14ac:dyDescent="0.25">
      <c r="A36" s="686"/>
      <c r="B36" s="355">
        <v>2</v>
      </c>
      <c r="C36" s="324" t="s">
        <v>526</v>
      </c>
      <c r="D36" s="356" t="s">
        <v>532</v>
      </c>
      <c r="E36" s="366">
        <v>1</v>
      </c>
      <c r="F36" s="356" t="s">
        <v>528</v>
      </c>
      <c r="G36" s="376">
        <v>50</v>
      </c>
      <c r="H36" s="376">
        <v>1250</v>
      </c>
      <c r="I36" s="376"/>
      <c r="J36" s="376" t="s">
        <v>529</v>
      </c>
      <c r="K36" s="376"/>
      <c r="L36" s="358">
        <v>2000000</v>
      </c>
      <c r="M36" s="358">
        <v>2800000</v>
      </c>
      <c r="N36" s="359">
        <v>7600000</v>
      </c>
    </row>
    <row r="37" spans="1:14" ht="13.5" thickBot="1" x14ac:dyDescent="0.25">
      <c r="A37" s="686"/>
      <c r="B37" s="648" t="s">
        <v>494</v>
      </c>
      <c r="C37" s="546"/>
      <c r="D37" s="546"/>
      <c r="E37" s="546"/>
      <c r="F37" s="546"/>
      <c r="G37" s="546"/>
      <c r="H37" s="546"/>
      <c r="I37" s="546"/>
      <c r="J37" s="546"/>
      <c r="K37" s="546"/>
      <c r="L37" s="546"/>
      <c r="M37" s="546"/>
      <c r="N37" s="547"/>
    </row>
    <row r="38" spans="1:14" ht="15" customHeight="1" thickBot="1" x14ac:dyDescent="0.25">
      <c r="A38" s="686"/>
      <c r="B38" s="360">
        <v>4</v>
      </c>
      <c r="C38" s="353" t="s">
        <v>526</v>
      </c>
      <c r="D38" s="361" t="s">
        <v>532</v>
      </c>
      <c r="E38" s="377">
        <v>1</v>
      </c>
      <c r="F38" s="361" t="s">
        <v>528</v>
      </c>
      <c r="G38" s="363">
        <v>50</v>
      </c>
      <c r="H38" s="363">
        <v>1250</v>
      </c>
      <c r="I38" s="363"/>
      <c r="J38" s="363" t="s">
        <v>529</v>
      </c>
      <c r="K38" s="363"/>
      <c r="L38" s="364">
        <v>2000000</v>
      </c>
      <c r="M38" s="364">
        <v>2800000</v>
      </c>
      <c r="N38" s="365">
        <v>15200000</v>
      </c>
    </row>
    <row r="39" spans="1:14" ht="13.5" thickBot="1" x14ac:dyDescent="0.25">
      <c r="A39" s="686"/>
      <c r="B39" s="653" t="s">
        <v>497</v>
      </c>
      <c r="C39" s="654"/>
      <c r="D39" s="654"/>
      <c r="E39" s="654"/>
      <c r="F39" s="654"/>
      <c r="G39" s="654"/>
      <c r="H39" s="654"/>
      <c r="I39" s="654"/>
      <c r="J39" s="654"/>
      <c r="K39" s="654"/>
      <c r="L39" s="654"/>
      <c r="M39" s="654"/>
      <c r="N39" s="655"/>
    </row>
    <row r="40" spans="1:14" ht="17.25" customHeight="1" thickBot="1" x14ac:dyDescent="0.25">
      <c r="A40" s="686"/>
      <c r="B40" s="355">
        <v>2</v>
      </c>
      <c r="C40" s="324" t="s">
        <v>526</v>
      </c>
      <c r="D40" s="356" t="s">
        <v>532</v>
      </c>
      <c r="E40" s="366">
        <v>1</v>
      </c>
      <c r="F40" s="356" t="s">
        <v>528</v>
      </c>
      <c r="G40" s="376">
        <v>50</v>
      </c>
      <c r="H40" s="376">
        <v>1250</v>
      </c>
      <c r="I40" s="376"/>
      <c r="J40" s="376" t="s">
        <v>529</v>
      </c>
      <c r="K40" s="376"/>
      <c r="L40" s="358">
        <v>2000000</v>
      </c>
      <c r="M40" s="358">
        <v>2800000</v>
      </c>
      <c r="N40" s="359">
        <v>7600000</v>
      </c>
    </row>
    <row r="41" spans="1:14" ht="13.5" thickBot="1" x14ac:dyDescent="0.25">
      <c r="A41" s="686"/>
      <c r="B41" s="648" t="s">
        <v>203</v>
      </c>
      <c r="C41" s="546"/>
      <c r="D41" s="546"/>
      <c r="E41" s="546"/>
      <c r="F41" s="546"/>
      <c r="G41" s="546"/>
      <c r="H41" s="546"/>
      <c r="I41" s="546"/>
      <c r="J41" s="546"/>
      <c r="K41" s="546"/>
      <c r="L41" s="546"/>
      <c r="M41" s="546"/>
      <c r="N41" s="547"/>
    </row>
    <row r="42" spans="1:14" ht="16.5" customHeight="1" thickBot="1" x14ac:dyDescent="0.25">
      <c r="A42" s="686"/>
      <c r="B42" s="355">
        <v>2</v>
      </c>
      <c r="C42" s="324" t="s">
        <v>526</v>
      </c>
      <c r="D42" s="356" t="s">
        <v>532</v>
      </c>
      <c r="E42" s="366">
        <v>1</v>
      </c>
      <c r="F42" s="356" t="s">
        <v>528</v>
      </c>
      <c r="G42" s="376">
        <v>50</v>
      </c>
      <c r="H42" s="376">
        <v>1250</v>
      </c>
      <c r="I42" s="376"/>
      <c r="J42" s="376" t="s">
        <v>529</v>
      </c>
      <c r="K42" s="376"/>
      <c r="L42" s="358">
        <v>2000000</v>
      </c>
      <c r="M42" s="358">
        <v>2800000</v>
      </c>
      <c r="N42" s="359">
        <v>7600000</v>
      </c>
    </row>
    <row r="43" spans="1:14" ht="13.5" thickBot="1" x14ac:dyDescent="0.25">
      <c r="A43" s="686"/>
      <c r="B43" s="648" t="s">
        <v>206</v>
      </c>
      <c r="C43" s="546"/>
      <c r="D43" s="546"/>
      <c r="E43" s="546"/>
      <c r="F43" s="546"/>
      <c r="G43" s="546"/>
      <c r="H43" s="546"/>
      <c r="I43" s="546"/>
      <c r="J43" s="546"/>
      <c r="K43" s="546"/>
      <c r="L43" s="546"/>
      <c r="M43" s="546"/>
      <c r="N43" s="547"/>
    </row>
    <row r="44" spans="1:14" ht="18" customHeight="1" thickBot="1" x14ac:dyDescent="0.25">
      <c r="A44" s="686"/>
      <c r="B44" s="360">
        <v>3</v>
      </c>
      <c r="C44" s="353" t="s">
        <v>526</v>
      </c>
      <c r="D44" s="371" t="s">
        <v>532</v>
      </c>
      <c r="E44" s="377">
        <v>1</v>
      </c>
      <c r="F44" s="361" t="s">
        <v>528</v>
      </c>
      <c r="G44" s="363">
        <v>50</v>
      </c>
      <c r="H44" s="363">
        <v>1250</v>
      </c>
      <c r="I44" s="363"/>
      <c r="J44" s="363" t="s">
        <v>529</v>
      </c>
      <c r="K44" s="363"/>
      <c r="L44" s="364">
        <v>2000000</v>
      </c>
      <c r="M44" s="364">
        <v>2800000</v>
      </c>
      <c r="N44" s="365">
        <v>11400000</v>
      </c>
    </row>
    <row r="45" spans="1:14" ht="13.5" thickBot="1" x14ac:dyDescent="0.25">
      <c r="A45" s="686"/>
      <c r="B45" s="653" t="s">
        <v>201</v>
      </c>
      <c r="C45" s="654"/>
      <c r="D45" s="654"/>
      <c r="E45" s="654"/>
      <c r="F45" s="654"/>
      <c r="G45" s="654"/>
      <c r="H45" s="654"/>
      <c r="I45" s="654"/>
      <c r="J45" s="654"/>
      <c r="K45" s="654"/>
      <c r="L45" s="654"/>
      <c r="M45" s="654"/>
      <c r="N45" s="655"/>
    </row>
    <row r="46" spans="1:14" ht="15" customHeight="1" thickBot="1" x14ac:dyDescent="0.25">
      <c r="A46" s="686"/>
      <c r="B46" s="355">
        <v>4</v>
      </c>
      <c r="C46" s="324" t="s">
        <v>526</v>
      </c>
      <c r="D46" s="356" t="s">
        <v>532</v>
      </c>
      <c r="E46" s="366">
        <v>1</v>
      </c>
      <c r="F46" s="356" t="s">
        <v>528</v>
      </c>
      <c r="G46" s="376">
        <v>50</v>
      </c>
      <c r="H46" s="376">
        <v>1250</v>
      </c>
      <c r="I46" s="376"/>
      <c r="J46" s="376" t="s">
        <v>529</v>
      </c>
      <c r="K46" s="376"/>
      <c r="L46" s="358">
        <v>2000000</v>
      </c>
      <c r="M46" s="358">
        <v>2800000</v>
      </c>
      <c r="N46" s="359">
        <v>15200000</v>
      </c>
    </row>
    <row r="47" spans="1:14" ht="13.5" thickBot="1" x14ac:dyDescent="0.25">
      <c r="A47" s="686"/>
      <c r="B47" s="648" t="s">
        <v>518</v>
      </c>
      <c r="C47" s="546"/>
      <c r="D47" s="546"/>
      <c r="E47" s="546"/>
      <c r="F47" s="546"/>
      <c r="G47" s="546"/>
      <c r="H47" s="546"/>
      <c r="I47" s="546"/>
      <c r="J47" s="546"/>
      <c r="K47" s="546"/>
      <c r="L47" s="546"/>
      <c r="M47" s="546"/>
      <c r="N47" s="547"/>
    </row>
    <row r="48" spans="1:14" ht="16.5" customHeight="1" thickBot="1" x14ac:dyDescent="0.25">
      <c r="A48" s="687"/>
      <c r="B48" s="378">
        <v>4</v>
      </c>
      <c r="C48" s="337" t="s">
        <v>526</v>
      </c>
      <c r="D48" s="356" t="s">
        <v>532</v>
      </c>
      <c r="E48" s="377">
        <v>1</v>
      </c>
      <c r="F48" s="356" t="s">
        <v>528</v>
      </c>
      <c r="G48" s="363">
        <v>50</v>
      </c>
      <c r="H48" s="363">
        <v>1250</v>
      </c>
      <c r="I48" s="363"/>
      <c r="J48" s="363" t="s">
        <v>529</v>
      </c>
      <c r="K48" s="363"/>
      <c r="L48" s="364">
        <v>2000000</v>
      </c>
      <c r="M48" s="364">
        <v>2800000</v>
      </c>
      <c r="N48" s="365">
        <v>15200000</v>
      </c>
    </row>
    <row r="49" spans="1:14" ht="13.5" thickBot="1" x14ac:dyDescent="0.25">
      <c r="A49" s="379" t="s">
        <v>274</v>
      </c>
      <c r="B49" s="380">
        <v>80</v>
      </c>
      <c r="C49" s="381"/>
      <c r="D49" s="381"/>
      <c r="E49" s="381"/>
      <c r="F49" s="380"/>
      <c r="G49" s="382">
        <f>SUM(G9:G48)</f>
        <v>1900</v>
      </c>
      <c r="H49" s="382">
        <f>SUM(H9:H48)</f>
        <v>43750</v>
      </c>
      <c r="I49" s="383"/>
      <c r="J49" s="383"/>
      <c r="K49" s="383"/>
      <c r="L49" s="384">
        <f>SUM(L9:L48)</f>
        <v>76000000</v>
      </c>
      <c r="M49" s="384">
        <f>SUM(M9:M48)</f>
        <v>100800000</v>
      </c>
      <c r="N49" s="385">
        <f>SUM(N9:N48)</f>
        <v>265800000</v>
      </c>
    </row>
    <row r="50" spans="1:14" ht="13.5" thickBot="1" x14ac:dyDescent="0.25">
      <c r="A50" s="672"/>
      <c r="B50" s="672"/>
      <c r="C50" s="672"/>
      <c r="D50" s="672"/>
      <c r="E50" s="672"/>
      <c r="F50" s="672"/>
      <c r="G50" s="672"/>
      <c r="H50" s="672"/>
      <c r="I50" s="672"/>
      <c r="J50" s="672"/>
      <c r="K50" s="672"/>
      <c r="L50" s="672"/>
      <c r="M50" s="672"/>
      <c r="N50" s="672"/>
    </row>
    <row r="51" spans="1:14" ht="19.5" thickBot="1" x14ac:dyDescent="0.25">
      <c r="A51" s="673" t="s">
        <v>539</v>
      </c>
      <c r="B51" s="674"/>
      <c r="C51" s="674"/>
      <c r="D51" s="674"/>
      <c r="E51" s="674"/>
      <c r="F51" s="674"/>
      <c r="G51" s="674"/>
      <c r="H51" s="674"/>
      <c r="I51" s="674"/>
      <c r="J51" s="674"/>
      <c r="K51" s="674"/>
      <c r="L51" s="674"/>
      <c r="M51" s="674"/>
      <c r="N51" s="675"/>
    </row>
    <row r="52" spans="1:14" x14ac:dyDescent="0.2">
      <c r="A52" s="676" t="s">
        <v>540</v>
      </c>
      <c r="B52" s="677"/>
      <c r="C52" s="677"/>
      <c r="D52" s="677"/>
      <c r="E52" s="677"/>
      <c r="F52" s="677"/>
      <c r="G52" s="677"/>
      <c r="H52" s="677"/>
      <c r="I52" s="677"/>
      <c r="J52" s="677"/>
      <c r="K52" s="677"/>
      <c r="L52" s="677"/>
      <c r="M52" s="677"/>
      <c r="N52" s="678"/>
    </row>
    <row r="53" spans="1:14" x14ac:dyDescent="0.2">
      <c r="A53" s="386" t="s">
        <v>419</v>
      </c>
      <c r="B53" s="387">
        <v>35</v>
      </c>
      <c r="C53" s="37" t="s">
        <v>541</v>
      </c>
      <c r="D53" s="388" t="s">
        <v>532</v>
      </c>
      <c r="E53" s="332">
        <v>1</v>
      </c>
      <c r="F53" s="388" t="s">
        <v>528</v>
      </c>
      <c r="G53" s="389">
        <f>SUM(G28:G48)</f>
        <v>550</v>
      </c>
      <c r="H53" s="390">
        <f>SUM(H28:H48)</f>
        <v>13750</v>
      </c>
      <c r="I53" s="391"/>
      <c r="J53" s="332" t="s">
        <v>533</v>
      </c>
      <c r="K53" s="391"/>
      <c r="L53" s="367">
        <f>SUM(L28:L48)</f>
        <v>22000000</v>
      </c>
      <c r="M53" s="358">
        <f>SUM(M28:M48)</f>
        <v>30800000</v>
      </c>
      <c r="N53" s="359">
        <f>SUM(N28:N48)</f>
        <v>133000000</v>
      </c>
    </row>
    <row r="54" spans="1:14" x14ac:dyDescent="0.2">
      <c r="A54" s="679" t="s">
        <v>530</v>
      </c>
      <c r="B54" s="680"/>
      <c r="C54" s="680"/>
      <c r="D54" s="680"/>
      <c r="E54" s="680"/>
      <c r="F54" s="680"/>
      <c r="G54" s="680"/>
      <c r="H54" s="680"/>
      <c r="I54" s="680"/>
      <c r="J54" s="680"/>
      <c r="K54" s="680"/>
      <c r="L54" s="680"/>
      <c r="M54" s="680"/>
      <c r="N54" s="681"/>
    </row>
    <row r="55" spans="1:14" x14ac:dyDescent="0.2">
      <c r="A55" s="386" t="s">
        <v>17</v>
      </c>
      <c r="B55" s="392">
        <v>37</v>
      </c>
      <c r="C55" s="48" t="s">
        <v>541</v>
      </c>
      <c r="D55" s="356" t="s">
        <v>532</v>
      </c>
      <c r="E55" s="323">
        <v>1</v>
      </c>
      <c r="F55" s="356" t="s">
        <v>528</v>
      </c>
      <c r="G55" s="393">
        <f>SUM(G12:G25)</f>
        <v>1000</v>
      </c>
      <c r="H55" s="394">
        <f>SUM(H12:H25)</f>
        <v>23750</v>
      </c>
      <c r="I55" s="395"/>
      <c r="J55" s="323" t="s">
        <v>533</v>
      </c>
      <c r="K55" s="395"/>
      <c r="L55" s="367">
        <f>SUM(L12:L25)</f>
        <v>42000000</v>
      </c>
      <c r="M55" s="358">
        <f>SUM(M12:M25)</f>
        <v>56000000</v>
      </c>
      <c r="N55" s="375">
        <f>SUM(N12:N25)</f>
        <v>113800000</v>
      </c>
    </row>
    <row r="56" spans="1:14" x14ac:dyDescent="0.2">
      <c r="A56" s="682" t="s">
        <v>525</v>
      </c>
      <c r="B56" s="683"/>
      <c r="C56" s="683"/>
      <c r="D56" s="683"/>
      <c r="E56" s="683"/>
      <c r="F56" s="683"/>
      <c r="G56" s="683"/>
      <c r="H56" s="683"/>
      <c r="I56" s="683"/>
      <c r="J56" s="683"/>
      <c r="K56" s="683"/>
      <c r="L56" s="683"/>
      <c r="M56" s="683"/>
      <c r="N56" s="684"/>
    </row>
    <row r="57" spans="1:14" ht="13.5" thickBot="1" x14ac:dyDescent="0.25">
      <c r="A57" s="396" t="s">
        <v>365</v>
      </c>
      <c r="B57" s="397">
        <v>8</v>
      </c>
      <c r="C57" s="329" t="s">
        <v>541</v>
      </c>
      <c r="D57" s="356" t="s">
        <v>532</v>
      </c>
      <c r="E57" s="354">
        <v>1</v>
      </c>
      <c r="F57" s="356" t="s">
        <v>528</v>
      </c>
      <c r="G57" s="398">
        <v>350</v>
      </c>
      <c r="H57" s="399">
        <v>6250</v>
      </c>
      <c r="I57" s="399"/>
      <c r="J57" s="399" t="s">
        <v>529</v>
      </c>
      <c r="K57" s="399"/>
      <c r="L57" s="400">
        <v>12000000</v>
      </c>
      <c r="M57" s="400">
        <f>M9</f>
        <v>14000000</v>
      </c>
      <c r="N57" s="368">
        <v>19000000</v>
      </c>
    </row>
    <row r="58" spans="1:14" ht="13.5" thickBot="1" x14ac:dyDescent="0.25">
      <c r="A58" s="379" t="s">
        <v>274</v>
      </c>
      <c r="B58" s="380">
        <v>80</v>
      </c>
      <c r="C58" s="381"/>
      <c r="D58" s="381"/>
      <c r="E58" s="381"/>
      <c r="F58" s="380"/>
      <c r="G58" s="401">
        <f>G53+G55+G57</f>
        <v>1900</v>
      </c>
      <c r="H58" s="382">
        <f>SUM(H53:H57)</f>
        <v>43750</v>
      </c>
      <c r="I58" s="402"/>
      <c r="J58" s="383"/>
      <c r="K58" s="402"/>
      <c r="L58" s="384">
        <f>SUM(L53:L57)</f>
        <v>76000000</v>
      </c>
      <c r="M58" s="384">
        <f>M53+M55+M57</f>
        <v>100800000</v>
      </c>
      <c r="N58" s="403">
        <f>SUM(N53:N57)</f>
        <v>265800000</v>
      </c>
    </row>
  </sheetData>
  <mergeCells count="58">
    <mergeCell ref="A1:N1"/>
    <mergeCell ref="A2:N2"/>
    <mergeCell ref="A3:N3"/>
    <mergeCell ref="A4:A6"/>
    <mergeCell ref="B4:B6"/>
    <mergeCell ref="C4:C6"/>
    <mergeCell ref="G5:G6"/>
    <mergeCell ref="H5:H6"/>
    <mergeCell ref="I5:K5"/>
    <mergeCell ref="L5:L6"/>
    <mergeCell ref="D4:D6"/>
    <mergeCell ref="E4:N4"/>
    <mergeCell ref="M5:M6"/>
    <mergeCell ref="N5:N6"/>
    <mergeCell ref="E5:E6"/>
    <mergeCell ref="F5:F6"/>
    <mergeCell ref="A13:A25"/>
    <mergeCell ref="B13:N13"/>
    <mergeCell ref="B15:N15"/>
    <mergeCell ref="K16:K17"/>
    <mergeCell ref="L16:L17"/>
    <mergeCell ref="I16:I17"/>
    <mergeCell ref="J16:J17"/>
    <mergeCell ref="M16:M17"/>
    <mergeCell ref="N16:N17"/>
    <mergeCell ref="A7:A12"/>
    <mergeCell ref="B7:N7"/>
    <mergeCell ref="B8:N8"/>
    <mergeCell ref="B10:N10"/>
    <mergeCell ref="B11:N11"/>
    <mergeCell ref="B18:N18"/>
    <mergeCell ref="B20:N20"/>
    <mergeCell ref="E16:E17"/>
    <mergeCell ref="F16:F17"/>
    <mergeCell ref="G16:G17"/>
    <mergeCell ref="H16:H17"/>
    <mergeCell ref="B16:B17"/>
    <mergeCell ref="D16:D17"/>
    <mergeCell ref="B22:N22"/>
    <mergeCell ref="B24:N24"/>
    <mergeCell ref="B26:N26"/>
    <mergeCell ref="B27:N27"/>
    <mergeCell ref="B29:N29"/>
    <mergeCell ref="A26:A48"/>
    <mergeCell ref="B39:N39"/>
    <mergeCell ref="B41:N41"/>
    <mergeCell ref="B43:N43"/>
    <mergeCell ref="B45:N45"/>
    <mergeCell ref="B47:N47"/>
    <mergeCell ref="B31:N31"/>
    <mergeCell ref="B33:N33"/>
    <mergeCell ref="B35:N35"/>
    <mergeCell ref="B37:N37"/>
    <mergeCell ref="A50:N50"/>
    <mergeCell ref="A51:N51"/>
    <mergeCell ref="A52:N52"/>
    <mergeCell ref="A54:N54"/>
    <mergeCell ref="A56:N56"/>
  </mergeCells>
  <printOptions horizontalCentered="1" verticalCentered="1"/>
  <pageMargins left="0.70866141732283472" right="0.70866141732283472" top="0.74803149606299213" bottom="0.74803149606299213" header="0.31496062992125984" footer="0.31496062992125984"/>
  <pageSetup scale="70" orientation="landscape" verticalDpi="597" r:id="rId1"/>
  <headerFooter>
    <oddHeader>&amp;LComisión Nacional de Prevención de Riesgos y Atención de Emergencias
Unidad de Desarrollo Estratégico&amp;R&amp;D
&amp;T</oddHeader>
    <oddFooter>&amp;C&amp;P/&amp;N</oddFooter>
  </headerFooter>
  <rowBreaks count="1" manualBreakCount="1">
    <brk id="25"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1"/>
  <sheetViews>
    <sheetView topLeftCell="A16" zoomScale="86" zoomScaleNormal="86" workbookViewId="0">
      <selection activeCell="E14" sqref="E14"/>
    </sheetView>
  </sheetViews>
  <sheetFormatPr baseColWidth="10" defaultColWidth="11.5703125" defaultRowHeight="12.75" x14ac:dyDescent="0.2"/>
  <cols>
    <col min="1" max="1" width="14.5703125" style="404" customWidth="1"/>
    <col min="2" max="2" width="14.7109375" style="404" customWidth="1"/>
    <col min="3" max="3" width="27.85546875" style="404" customWidth="1"/>
    <col min="4" max="4" width="17.140625" style="404" customWidth="1"/>
    <col min="5" max="5" width="19.85546875" style="404" customWidth="1"/>
    <col min="6" max="6" width="12.28515625" style="404" customWidth="1"/>
    <col min="7" max="7" width="9.28515625" style="404" customWidth="1"/>
    <col min="8" max="8" width="43.42578125" style="404" customWidth="1"/>
    <col min="9" max="9" width="18.7109375" style="404" customWidth="1"/>
    <col min="10" max="10" width="11.42578125" style="404" customWidth="1"/>
    <col min="11" max="11" width="40.85546875" style="404" customWidth="1"/>
    <col min="12" max="12" width="35.42578125" style="404" customWidth="1"/>
    <col min="13" max="13" width="38.5703125" style="404" customWidth="1"/>
    <col min="14" max="14" width="32.7109375" style="404" customWidth="1"/>
    <col min="15" max="251" width="11.42578125" style="404" customWidth="1"/>
    <col min="252" max="16384" width="11.5703125" style="404"/>
  </cols>
  <sheetData>
    <row r="1" spans="1:9" ht="18" x14ac:dyDescent="0.2">
      <c r="A1" s="707" t="s">
        <v>709</v>
      </c>
      <c r="B1" s="707"/>
      <c r="C1" s="707"/>
      <c r="D1" s="707"/>
      <c r="E1" s="707"/>
      <c r="F1" s="707"/>
      <c r="G1" s="707"/>
      <c r="H1" s="707"/>
      <c r="I1" s="707"/>
    </row>
    <row r="2" spans="1:9" ht="27" customHeight="1" x14ac:dyDescent="0.2">
      <c r="A2" s="707" t="s">
        <v>5</v>
      </c>
      <c r="B2" s="707"/>
      <c r="C2" s="707"/>
      <c r="D2" s="707"/>
      <c r="E2" s="707"/>
      <c r="F2" s="707"/>
      <c r="G2" s="707"/>
      <c r="H2" s="707"/>
      <c r="I2" s="707"/>
    </row>
    <row r="3" spans="1:9" ht="22.5" customHeight="1" thickBot="1" x14ac:dyDescent="0.25">
      <c r="A3" s="708" t="s">
        <v>590</v>
      </c>
      <c r="B3" s="708"/>
      <c r="C3" s="708"/>
      <c r="D3" s="708"/>
      <c r="E3" s="708"/>
      <c r="F3" s="708"/>
      <c r="G3" s="708"/>
      <c r="H3" s="708"/>
      <c r="I3" s="708"/>
    </row>
    <row r="4" spans="1:9" ht="36" customHeight="1" thickBot="1" x14ac:dyDescent="0.25">
      <c r="A4" s="709" t="s">
        <v>0</v>
      </c>
      <c r="B4" s="711" t="s">
        <v>6</v>
      </c>
      <c r="C4" s="709" t="s">
        <v>589</v>
      </c>
      <c r="D4" s="713"/>
      <c r="E4" s="709" t="s">
        <v>1</v>
      </c>
      <c r="F4" s="713"/>
      <c r="G4" s="709" t="s">
        <v>2</v>
      </c>
      <c r="H4" s="714"/>
      <c r="I4" s="713"/>
    </row>
    <row r="5" spans="1:9" ht="56.25" customHeight="1" thickBot="1" x14ac:dyDescent="0.25">
      <c r="A5" s="710"/>
      <c r="B5" s="712"/>
      <c r="C5" s="455" t="s">
        <v>588</v>
      </c>
      <c r="D5" s="454" t="s">
        <v>587</v>
      </c>
      <c r="E5" s="455" t="s">
        <v>586</v>
      </c>
      <c r="F5" s="454" t="s">
        <v>3</v>
      </c>
      <c r="G5" s="453" t="s">
        <v>4</v>
      </c>
      <c r="H5" s="452" t="s">
        <v>585</v>
      </c>
      <c r="I5" s="451" t="s">
        <v>584</v>
      </c>
    </row>
    <row r="6" spans="1:9" ht="29.25" customHeight="1" thickBot="1" x14ac:dyDescent="0.25">
      <c r="A6" s="704" t="s">
        <v>583</v>
      </c>
      <c r="B6" s="705"/>
      <c r="C6" s="705"/>
      <c r="D6" s="705"/>
      <c r="E6" s="705"/>
      <c r="F6" s="705"/>
      <c r="G6" s="705"/>
      <c r="H6" s="705"/>
      <c r="I6" s="706"/>
    </row>
    <row r="7" spans="1:9" ht="21.75" customHeight="1" thickBot="1" x14ac:dyDescent="0.25">
      <c r="A7" s="715" t="s">
        <v>17</v>
      </c>
      <c r="B7" s="716"/>
      <c r="C7" s="716"/>
      <c r="D7" s="716"/>
      <c r="E7" s="716"/>
      <c r="F7" s="716"/>
      <c r="G7" s="716"/>
      <c r="H7" s="716"/>
      <c r="I7" s="717"/>
    </row>
    <row r="8" spans="1:9" ht="29.25" customHeight="1" thickBot="1" x14ac:dyDescent="0.25">
      <c r="A8" s="415" t="s">
        <v>212</v>
      </c>
      <c r="B8" s="445" t="s">
        <v>582</v>
      </c>
      <c r="C8" s="450" t="s">
        <v>581</v>
      </c>
      <c r="D8" s="447" t="s">
        <v>580</v>
      </c>
      <c r="E8" s="449" t="s">
        <v>575</v>
      </c>
      <c r="F8" s="448"/>
      <c r="G8" s="448">
        <v>1</v>
      </c>
      <c r="H8" s="447" t="s">
        <v>579</v>
      </c>
      <c r="I8" s="446">
        <v>30000000</v>
      </c>
    </row>
    <row r="9" spans="1:9" ht="24" customHeight="1" thickBot="1" x14ac:dyDescent="0.25">
      <c r="A9" s="715" t="s">
        <v>33</v>
      </c>
      <c r="B9" s="716"/>
      <c r="C9" s="716"/>
      <c r="D9" s="716"/>
      <c r="E9" s="716"/>
      <c r="F9" s="716"/>
      <c r="G9" s="716"/>
      <c r="H9" s="716"/>
      <c r="I9" s="717"/>
    </row>
    <row r="10" spans="1:9" ht="29.25" customHeight="1" thickBot="1" x14ac:dyDescent="0.25">
      <c r="A10" s="415" t="s">
        <v>37</v>
      </c>
      <c r="B10" s="445" t="s">
        <v>578</v>
      </c>
      <c r="C10" s="444" t="s">
        <v>577</v>
      </c>
      <c r="D10" s="442" t="s">
        <v>576</v>
      </c>
      <c r="E10" s="443" t="s">
        <v>575</v>
      </c>
      <c r="F10" s="443"/>
      <c r="G10" s="443">
        <v>1</v>
      </c>
      <c r="H10" s="442" t="s">
        <v>574</v>
      </c>
      <c r="I10" s="441">
        <v>15000000</v>
      </c>
    </row>
    <row r="11" spans="1:9" ht="22.5" customHeight="1" thickBot="1" x14ac:dyDescent="0.25">
      <c r="A11" s="727" t="s">
        <v>537</v>
      </c>
      <c r="B11" s="728"/>
      <c r="C11" s="728"/>
      <c r="D11" s="728"/>
      <c r="E11" s="728"/>
      <c r="F11" s="728"/>
      <c r="G11" s="728"/>
      <c r="H11" s="728"/>
      <c r="I11" s="729"/>
    </row>
    <row r="12" spans="1:9" ht="90" customHeight="1" x14ac:dyDescent="0.2">
      <c r="A12" s="415" t="s">
        <v>195</v>
      </c>
      <c r="B12" s="437" t="s">
        <v>573</v>
      </c>
      <c r="C12" s="440" t="s">
        <v>572</v>
      </c>
      <c r="D12" s="412"/>
      <c r="E12" s="413" t="s">
        <v>571</v>
      </c>
      <c r="F12" s="412"/>
      <c r="G12" s="411"/>
      <c r="H12" s="439" t="s">
        <v>570</v>
      </c>
      <c r="I12" s="438">
        <v>180000000</v>
      </c>
    </row>
    <row r="13" spans="1:9" ht="70.5" customHeight="1" x14ac:dyDescent="0.2">
      <c r="A13" s="415" t="s">
        <v>566</v>
      </c>
      <c r="B13" s="437" t="s">
        <v>569</v>
      </c>
      <c r="C13" s="436" t="s">
        <v>568</v>
      </c>
      <c r="D13" s="428"/>
      <c r="E13" s="413" t="s">
        <v>555</v>
      </c>
      <c r="F13" s="428"/>
      <c r="G13" s="427"/>
      <c r="H13" s="426" t="s">
        <v>567</v>
      </c>
      <c r="I13" s="425">
        <v>8000000</v>
      </c>
    </row>
    <row r="14" spans="1:9" ht="66.75" customHeight="1" x14ac:dyDescent="0.2">
      <c r="A14" s="415" t="s">
        <v>566</v>
      </c>
      <c r="B14" s="414" t="s">
        <v>565</v>
      </c>
      <c r="C14" s="433"/>
      <c r="D14" s="435" t="s">
        <v>564</v>
      </c>
      <c r="E14" s="413" t="s">
        <v>563</v>
      </c>
      <c r="F14" s="434"/>
      <c r="G14" s="433"/>
      <c r="H14" s="432" t="s">
        <v>562</v>
      </c>
      <c r="I14" s="431">
        <v>140000000</v>
      </c>
    </row>
    <row r="15" spans="1:9" ht="20.25" customHeight="1" x14ac:dyDescent="0.2">
      <c r="A15" s="730" t="s">
        <v>558</v>
      </c>
      <c r="B15" s="731"/>
      <c r="C15" s="731"/>
      <c r="D15" s="731"/>
      <c r="E15" s="731"/>
      <c r="F15" s="731"/>
      <c r="G15" s="731"/>
      <c r="H15" s="731"/>
      <c r="I15" s="732"/>
    </row>
    <row r="16" spans="1:9" ht="102" customHeight="1" x14ac:dyDescent="0.2">
      <c r="A16" s="424" t="s">
        <v>558</v>
      </c>
      <c r="B16" s="430" t="s">
        <v>561</v>
      </c>
      <c r="C16" s="429" t="s">
        <v>560</v>
      </c>
      <c r="D16" s="428"/>
      <c r="E16" s="413" t="s">
        <v>555</v>
      </c>
      <c r="F16" s="428"/>
      <c r="G16" s="427"/>
      <c r="H16" s="426" t="s">
        <v>559</v>
      </c>
      <c r="I16" s="425">
        <v>6000000</v>
      </c>
    </row>
    <row r="17" spans="1:13" ht="58.5" customHeight="1" thickBot="1" x14ac:dyDescent="0.25">
      <c r="A17" s="536" t="s">
        <v>558</v>
      </c>
      <c r="B17" s="537" t="s">
        <v>557</v>
      </c>
      <c r="C17" s="538" t="s">
        <v>556</v>
      </c>
      <c r="D17" s="539"/>
      <c r="E17" s="540" t="s">
        <v>555</v>
      </c>
      <c r="F17" s="539"/>
      <c r="G17" s="541"/>
      <c r="H17" s="542" t="s">
        <v>554</v>
      </c>
      <c r="I17" s="543">
        <v>12000000</v>
      </c>
    </row>
    <row r="18" spans="1:13" ht="23.25" customHeight="1" thickBot="1" x14ac:dyDescent="0.25">
      <c r="A18" s="733" t="s">
        <v>494</v>
      </c>
      <c r="B18" s="734"/>
      <c r="C18" s="734"/>
      <c r="D18" s="734"/>
      <c r="E18" s="734"/>
      <c r="F18" s="734"/>
      <c r="G18" s="734"/>
      <c r="H18" s="734"/>
      <c r="I18" s="735"/>
    </row>
    <row r="19" spans="1:13" ht="109.5" customHeight="1" x14ac:dyDescent="0.2">
      <c r="A19" s="423" t="s">
        <v>494</v>
      </c>
      <c r="B19" s="422" t="s">
        <v>553</v>
      </c>
      <c r="C19" s="420"/>
      <c r="D19" s="421" t="s">
        <v>552</v>
      </c>
      <c r="E19" s="420" t="s">
        <v>551</v>
      </c>
      <c r="F19" s="419"/>
      <c r="G19" s="418"/>
      <c r="H19" s="417" t="s">
        <v>550</v>
      </c>
      <c r="I19" s="416">
        <v>219498800</v>
      </c>
    </row>
    <row r="20" spans="1:13" ht="27.75" customHeight="1" x14ac:dyDescent="0.2">
      <c r="A20" s="730" t="s">
        <v>549</v>
      </c>
      <c r="B20" s="731"/>
      <c r="C20" s="731"/>
      <c r="D20" s="731"/>
      <c r="E20" s="731"/>
      <c r="F20" s="731"/>
      <c r="G20" s="731"/>
      <c r="H20" s="731"/>
      <c r="I20" s="732"/>
    </row>
    <row r="21" spans="1:13" ht="51.75" customHeight="1" x14ac:dyDescent="0.2">
      <c r="A21" s="415" t="s">
        <v>424</v>
      </c>
      <c r="B21" s="414" t="s">
        <v>424</v>
      </c>
      <c r="C21" s="413" t="s">
        <v>544</v>
      </c>
      <c r="D21" s="412"/>
      <c r="E21" s="413" t="s">
        <v>543</v>
      </c>
      <c r="F21" s="412"/>
      <c r="G21" s="413"/>
      <c r="H21" s="718" t="s">
        <v>548</v>
      </c>
      <c r="I21" s="721">
        <v>185000000</v>
      </c>
    </row>
    <row r="22" spans="1:13" ht="55.5" customHeight="1" x14ac:dyDescent="0.2">
      <c r="A22" s="415" t="s">
        <v>478</v>
      </c>
      <c r="B22" s="414" t="s">
        <v>547</v>
      </c>
      <c r="C22" s="413" t="s">
        <v>544</v>
      </c>
      <c r="D22" s="412"/>
      <c r="E22" s="413" t="s">
        <v>543</v>
      </c>
      <c r="F22" s="412"/>
      <c r="G22" s="411"/>
      <c r="H22" s="719"/>
      <c r="I22" s="722"/>
    </row>
    <row r="23" spans="1:13" ht="48" customHeight="1" x14ac:dyDescent="0.2">
      <c r="A23" s="415" t="s">
        <v>546</v>
      </c>
      <c r="B23" s="414" t="s">
        <v>546</v>
      </c>
      <c r="C23" s="413" t="s">
        <v>544</v>
      </c>
      <c r="D23" s="412"/>
      <c r="E23" s="413" t="s">
        <v>543</v>
      </c>
      <c r="F23" s="412"/>
      <c r="G23" s="411"/>
      <c r="H23" s="719"/>
      <c r="I23" s="722"/>
    </row>
    <row r="24" spans="1:13" ht="48.75" customHeight="1" x14ac:dyDescent="0.2">
      <c r="A24" s="415" t="s">
        <v>545</v>
      </c>
      <c r="B24" s="414" t="s">
        <v>545</v>
      </c>
      <c r="C24" s="413" t="s">
        <v>544</v>
      </c>
      <c r="D24" s="412"/>
      <c r="E24" s="413" t="s">
        <v>543</v>
      </c>
      <c r="F24" s="412"/>
      <c r="G24" s="411"/>
      <c r="H24" s="720"/>
      <c r="I24" s="723"/>
      <c r="M24" s="406"/>
    </row>
    <row r="25" spans="1:13" ht="17.25" thickBot="1" x14ac:dyDescent="0.3">
      <c r="A25" s="724" t="s">
        <v>345</v>
      </c>
      <c r="B25" s="725"/>
      <c r="C25" s="725"/>
      <c r="D25" s="725"/>
      <c r="E25" s="725"/>
      <c r="F25" s="725"/>
      <c r="G25" s="725"/>
      <c r="H25" s="726"/>
      <c r="I25" s="410">
        <f>I21+I19+I17+I16+I14+I13+I12+I10+I8</f>
        <v>795498800</v>
      </c>
      <c r="K25" s="406"/>
      <c r="L25" s="406"/>
      <c r="M25" s="406"/>
    </row>
    <row r="26" spans="1:13" s="406" customFormat="1" ht="15" x14ac:dyDescent="0.2">
      <c r="A26" s="409"/>
      <c r="B26" s="409"/>
      <c r="H26" s="404"/>
      <c r="I26" s="404"/>
      <c r="K26" s="404"/>
      <c r="L26" s="404"/>
      <c r="M26" s="404"/>
    </row>
    <row r="27" spans="1:13" ht="134.25" customHeight="1" x14ac:dyDescent="0.2">
      <c r="A27" s="408"/>
      <c r="B27" s="408"/>
      <c r="K27" s="406"/>
      <c r="L27" s="406"/>
      <c r="M27" s="406"/>
    </row>
    <row r="28" spans="1:13" s="406" customFormat="1" ht="10.35" customHeight="1" x14ac:dyDescent="0.2">
      <c r="A28" s="409"/>
      <c r="B28" s="409"/>
      <c r="H28" s="404"/>
      <c r="I28" s="404"/>
      <c r="K28" s="404"/>
      <c r="L28" s="404"/>
      <c r="M28" s="404"/>
    </row>
    <row r="29" spans="1:13" ht="128.44999999999999" customHeight="1" x14ac:dyDescent="0.2">
      <c r="A29" s="408"/>
      <c r="B29" s="408"/>
      <c r="K29" s="406"/>
      <c r="L29" s="406"/>
      <c r="M29" s="406"/>
    </row>
    <row r="30" spans="1:13" s="406" customFormat="1" ht="15" x14ac:dyDescent="0.2">
      <c r="A30" s="409"/>
      <c r="B30" s="409"/>
      <c r="H30" s="404"/>
      <c r="I30" s="404"/>
      <c r="K30" s="404"/>
      <c r="L30" s="404"/>
      <c r="M30" s="404"/>
    </row>
    <row r="31" spans="1:13" ht="167.85" customHeight="1" x14ac:dyDescent="0.2">
      <c r="A31" s="408"/>
      <c r="B31" s="408"/>
    </row>
    <row r="32" spans="1:13" s="406" customFormat="1" x14ac:dyDescent="0.2">
      <c r="A32" s="407"/>
      <c r="H32" s="404"/>
      <c r="I32" s="404"/>
      <c r="K32" s="404"/>
      <c r="L32" s="404"/>
      <c r="M32" s="404"/>
    </row>
    <row r="34" spans="1:1" x14ac:dyDescent="0.2">
      <c r="A34" s="405"/>
    </row>
    <row r="45" spans="1:1" ht="101.45" customHeight="1" x14ac:dyDescent="0.2"/>
    <row r="46" spans="1:1" ht="18.75" customHeight="1" x14ac:dyDescent="0.2"/>
    <row r="48" spans="1:1" ht="105.2" customHeight="1" x14ac:dyDescent="0.2"/>
    <row r="49" ht="58.9" customHeight="1" x14ac:dyDescent="0.2"/>
    <row r="53" ht="94.7" customHeight="1" x14ac:dyDescent="0.2"/>
    <row r="54" ht="119.45" customHeight="1" x14ac:dyDescent="0.2"/>
    <row r="59" ht="91.5" customHeight="1" x14ac:dyDescent="0.2"/>
    <row r="66" ht="47.25" customHeight="1" x14ac:dyDescent="0.2"/>
    <row r="70" ht="95.25" customHeight="1" x14ac:dyDescent="0.2"/>
    <row r="72" ht="13.5" customHeight="1" x14ac:dyDescent="0.2"/>
    <row r="73" ht="18.75" customHeight="1" x14ac:dyDescent="0.2"/>
    <row r="74" ht="12.75" customHeight="1" x14ac:dyDescent="0.2"/>
    <row r="78" ht="12.75" customHeight="1" x14ac:dyDescent="0.2"/>
    <row r="81" ht="12.75" customHeight="1" x14ac:dyDescent="0.2"/>
    <row r="85" ht="12.75" customHeight="1" x14ac:dyDescent="0.2"/>
    <row r="88" ht="13.5" customHeight="1" x14ac:dyDescent="0.2"/>
    <row r="89" ht="18.75" customHeight="1" x14ac:dyDescent="0.2"/>
    <row r="91" ht="13.5" customHeight="1" x14ac:dyDescent="0.2"/>
  </sheetData>
  <sheetProtection selectLockedCells="1" selectUnlockedCells="1"/>
  <mergeCells count="18">
    <mergeCell ref="A7:I7"/>
    <mergeCell ref="A9:I9"/>
    <mergeCell ref="H21:H24"/>
    <mergeCell ref="I21:I24"/>
    <mergeCell ref="A25:H25"/>
    <mergeCell ref="A11:I11"/>
    <mergeCell ref="A15:I15"/>
    <mergeCell ref="A18:I18"/>
    <mergeCell ref="A20:I20"/>
    <mergeCell ref="A6:I6"/>
    <mergeCell ref="A1:I1"/>
    <mergeCell ref="A2:I2"/>
    <mergeCell ref="A3:I3"/>
    <mergeCell ref="A4:A5"/>
    <mergeCell ref="B4:B5"/>
    <mergeCell ref="C4:D4"/>
    <mergeCell ref="E4:F4"/>
    <mergeCell ref="G4:I4"/>
  </mergeCells>
  <pageMargins left="0.70866141732283472" right="0.70866141732283472" top="0.74803149606299213" bottom="0.74803149606299213" header="0.31496062992125984" footer="0.31496062992125984"/>
  <pageSetup scale="70" firstPageNumber="0" orientation="landscape" verticalDpi="597" r:id="rId1"/>
  <headerFooter alignWithMargins="0">
    <oddHeader>&amp;L&amp;"Arial,Negrita"&amp;8Comisión Nacional de Prevención de Riesgos y Atención de Emergencias
Unidad de Desarrollo Estratégico&amp;R&amp;D
&amp;T</oddHeader>
    <oddFooter>&amp;C&amp;P/&amp;N</oddFooter>
  </headerFooter>
  <rowBreaks count="1" manualBreakCount="1">
    <brk id="1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tabSelected="1" topLeftCell="A34" zoomScaleNormal="100" workbookViewId="0">
      <selection sqref="A1:I1"/>
    </sheetView>
  </sheetViews>
  <sheetFormatPr baseColWidth="10" defaultRowHeight="12.75" x14ac:dyDescent="0.2"/>
  <cols>
    <col min="1" max="1" width="16.28515625" style="404" customWidth="1"/>
    <col min="2" max="2" width="18.7109375" style="404" customWidth="1"/>
    <col min="3" max="3" width="15.140625" style="404" customWidth="1"/>
    <col min="4" max="4" width="25.42578125" style="404" customWidth="1"/>
    <col min="5" max="5" width="23" style="404" customWidth="1"/>
    <col min="6" max="6" width="14.85546875" style="404" customWidth="1"/>
    <col min="7" max="7" width="10.140625" style="404" customWidth="1"/>
    <col min="8" max="8" width="23" style="404" customWidth="1"/>
    <col min="9" max="9" width="14.5703125" style="404" customWidth="1"/>
    <col min="10" max="16384" width="11.42578125" style="404"/>
  </cols>
  <sheetData>
    <row r="1" spans="1:9" ht="18" x14ac:dyDescent="0.2">
      <c r="A1" s="707" t="s">
        <v>708</v>
      </c>
      <c r="B1" s="707"/>
      <c r="C1" s="707"/>
      <c r="D1" s="707"/>
      <c r="E1" s="707"/>
      <c r="F1" s="707"/>
      <c r="G1" s="707"/>
      <c r="H1" s="707"/>
      <c r="I1" s="707"/>
    </row>
    <row r="2" spans="1:9" ht="27" customHeight="1" x14ac:dyDescent="0.2">
      <c r="A2" s="707" t="s">
        <v>5</v>
      </c>
      <c r="B2" s="707"/>
      <c r="C2" s="707"/>
      <c r="D2" s="707"/>
      <c r="E2" s="707"/>
      <c r="F2" s="707"/>
      <c r="G2" s="707"/>
      <c r="H2" s="707"/>
      <c r="I2" s="707"/>
    </row>
    <row r="3" spans="1:9" ht="22.5" customHeight="1" thickBot="1" x14ac:dyDescent="0.25">
      <c r="A3" s="780" t="s">
        <v>591</v>
      </c>
      <c r="B3" s="780"/>
      <c r="C3" s="780"/>
      <c r="D3" s="780"/>
      <c r="E3" s="780"/>
      <c r="F3" s="780"/>
      <c r="G3" s="780"/>
      <c r="H3" s="780"/>
      <c r="I3" s="780"/>
    </row>
    <row r="4" spans="1:9" ht="36" customHeight="1" thickBot="1" x14ac:dyDescent="0.25">
      <c r="A4" s="781" t="s">
        <v>0</v>
      </c>
      <c r="B4" s="781" t="s">
        <v>592</v>
      </c>
      <c r="C4" s="781" t="s">
        <v>589</v>
      </c>
      <c r="D4" s="781"/>
      <c r="E4" s="781" t="s">
        <v>1</v>
      </c>
      <c r="F4" s="781"/>
      <c r="G4" s="781" t="s">
        <v>2</v>
      </c>
      <c r="H4" s="781"/>
      <c r="I4" s="781"/>
    </row>
    <row r="5" spans="1:9" ht="46.5" customHeight="1" thickBot="1" x14ac:dyDescent="0.25">
      <c r="A5" s="782"/>
      <c r="B5" s="782"/>
      <c r="C5" s="456" t="s">
        <v>588</v>
      </c>
      <c r="D5" s="457" t="s">
        <v>587</v>
      </c>
      <c r="E5" s="458" t="s">
        <v>586</v>
      </c>
      <c r="F5" s="457" t="s">
        <v>3</v>
      </c>
      <c r="G5" s="459" t="s">
        <v>4</v>
      </c>
      <c r="H5" s="460" t="s">
        <v>585</v>
      </c>
      <c r="I5" s="461" t="s">
        <v>584</v>
      </c>
    </row>
    <row r="6" spans="1:9" ht="21" customHeight="1" thickBot="1" x14ac:dyDescent="0.25">
      <c r="A6" s="727" t="s">
        <v>593</v>
      </c>
      <c r="B6" s="728"/>
      <c r="C6" s="728"/>
      <c r="D6" s="728"/>
      <c r="E6" s="728"/>
      <c r="F6" s="728"/>
      <c r="G6" s="728"/>
      <c r="H6" s="728"/>
      <c r="I6" s="729"/>
    </row>
    <row r="7" spans="1:9" ht="21" customHeight="1" thickBot="1" x14ac:dyDescent="0.25">
      <c r="A7" s="766" t="s">
        <v>367</v>
      </c>
      <c r="B7" s="767"/>
      <c r="C7" s="767"/>
      <c r="D7" s="767"/>
      <c r="E7" s="767"/>
      <c r="F7" s="767"/>
      <c r="G7" s="767"/>
      <c r="H7" s="767"/>
      <c r="I7" s="768"/>
    </row>
    <row r="8" spans="1:9" ht="38.25" customHeight="1" x14ac:dyDescent="0.2">
      <c r="A8" s="462" t="s">
        <v>414</v>
      </c>
      <c r="B8" s="463" t="s">
        <v>594</v>
      </c>
      <c r="C8" s="464" t="s">
        <v>577</v>
      </c>
      <c r="D8" s="465" t="s">
        <v>595</v>
      </c>
      <c r="E8" s="464" t="s">
        <v>596</v>
      </c>
      <c r="F8" s="466">
        <v>500000</v>
      </c>
      <c r="G8" s="467">
        <v>1</v>
      </c>
      <c r="H8" s="468" t="s">
        <v>597</v>
      </c>
      <c r="I8" s="466">
        <v>1000000</v>
      </c>
    </row>
    <row r="9" spans="1:9" ht="25.5" customHeight="1" thickBot="1" x14ac:dyDescent="0.25">
      <c r="A9" s="469" t="s">
        <v>414</v>
      </c>
      <c r="B9" s="470" t="s">
        <v>594</v>
      </c>
      <c r="C9" s="471" t="s">
        <v>598</v>
      </c>
      <c r="D9" s="472" t="s">
        <v>599</v>
      </c>
      <c r="E9" s="471" t="s">
        <v>600</v>
      </c>
      <c r="F9" s="473">
        <v>500000</v>
      </c>
      <c r="G9" s="474">
        <v>2</v>
      </c>
      <c r="H9" s="475" t="s">
        <v>601</v>
      </c>
      <c r="I9" s="473">
        <v>500000</v>
      </c>
    </row>
    <row r="10" spans="1:9" ht="18" customHeight="1" thickBot="1" x14ac:dyDescent="0.25">
      <c r="A10" s="762" t="s">
        <v>602</v>
      </c>
      <c r="B10" s="763"/>
      <c r="C10" s="763"/>
      <c r="D10" s="763"/>
      <c r="E10" s="764"/>
      <c r="F10" s="476">
        <f>SUM(F8)</f>
        <v>500000</v>
      </c>
      <c r="G10" s="477"/>
      <c r="H10" s="478" t="s">
        <v>602</v>
      </c>
      <c r="I10" s="479">
        <f>SUM(I8)</f>
        <v>1000000</v>
      </c>
    </row>
    <row r="11" spans="1:9" ht="21" customHeight="1" thickBot="1" x14ac:dyDescent="0.25">
      <c r="A11" s="766" t="s">
        <v>46</v>
      </c>
      <c r="B11" s="767"/>
      <c r="C11" s="767"/>
      <c r="D11" s="767"/>
      <c r="E11" s="767"/>
      <c r="F11" s="767"/>
      <c r="G11" s="767"/>
      <c r="H11" s="767"/>
      <c r="I11" s="768"/>
    </row>
    <row r="12" spans="1:9" ht="218.25" customHeight="1" thickBot="1" x14ac:dyDescent="0.25">
      <c r="A12" s="480" t="s">
        <v>105</v>
      </c>
      <c r="B12" s="481" t="s">
        <v>603</v>
      </c>
      <c r="C12" s="482" t="s">
        <v>577</v>
      </c>
      <c r="D12" s="483" t="s">
        <v>604</v>
      </c>
      <c r="E12" s="482" t="s">
        <v>605</v>
      </c>
      <c r="F12" s="484">
        <v>29601750</v>
      </c>
      <c r="G12" s="482" t="s">
        <v>606</v>
      </c>
      <c r="H12" s="485" t="s">
        <v>607</v>
      </c>
      <c r="I12" s="484">
        <v>29601750</v>
      </c>
    </row>
    <row r="13" spans="1:9" ht="21" customHeight="1" thickBot="1" x14ac:dyDescent="0.25">
      <c r="A13" s="762" t="s">
        <v>602</v>
      </c>
      <c r="B13" s="763"/>
      <c r="C13" s="763"/>
      <c r="D13" s="763"/>
      <c r="E13" s="764"/>
      <c r="F13" s="476">
        <v>29601750</v>
      </c>
      <c r="G13" s="477"/>
      <c r="H13" s="486" t="s">
        <v>602</v>
      </c>
      <c r="I13" s="487">
        <f>SUM(I12:I12)</f>
        <v>29601750</v>
      </c>
    </row>
    <row r="14" spans="1:9" ht="21" customHeight="1" thickBot="1" x14ac:dyDescent="0.25">
      <c r="A14" s="727" t="s">
        <v>17</v>
      </c>
      <c r="B14" s="728"/>
      <c r="C14" s="728"/>
      <c r="D14" s="728"/>
      <c r="E14" s="728"/>
      <c r="F14" s="728"/>
      <c r="G14" s="728"/>
      <c r="H14" s="728"/>
      <c r="I14" s="729"/>
    </row>
    <row r="15" spans="1:9" ht="21" customHeight="1" x14ac:dyDescent="0.2">
      <c r="A15" s="765" t="s">
        <v>78</v>
      </c>
      <c r="B15" s="489" t="s">
        <v>608</v>
      </c>
      <c r="C15" s="490" t="s">
        <v>577</v>
      </c>
      <c r="D15" s="491" t="s">
        <v>609</v>
      </c>
      <c r="E15" s="492" t="s">
        <v>610</v>
      </c>
      <c r="F15" s="493"/>
      <c r="G15" s="494">
        <v>1</v>
      </c>
      <c r="H15" s="495" t="s">
        <v>611</v>
      </c>
      <c r="I15" s="493"/>
    </row>
    <row r="16" spans="1:9" ht="21" customHeight="1" x14ac:dyDescent="0.2">
      <c r="A16" s="747"/>
      <c r="B16" s="497" t="s">
        <v>612</v>
      </c>
      <c r="C16" s="498" t="s">
        <v>577</v>
      </c>
      <c r="D16" s="499" t="s">
        <v>609</v>
      </c>
      <c r="E16" s="500" t="s">
        <v>610</v>
      </c>
      <c r="F16" s="501"/>
      <c r="G16" s="502">
        <v>1</v>
      </c>
      <c r="H16" s="447" t="s">
        <v>611</v>
      </c>
      <c r="I16" s="501"/>
    </row>
    <row r="17" spans="1:9" ht="21" customHeight="1" x14ac:dyDescent="0.2">
      <c r="A17" s="747"/>
      <c r="B17" s="497" t="s">
        <v>613</v>
      </c>
      <c r="C17" s="498" t="s">
        <v>577</v>
      </c>
      <c r="D17" s="499" t="s">
        <v>609</v>
      </c>
      <c r="E17" s="500" t="s">
        <v>610</v>
      </c>
      <c r="F17" s="501"/>
      <c r="G17" s="502">
        <v>1</v>
      </c>
      <c r="H17" s="447" t="s">
        <v>611</v>
      </c>
      <c r="I17" s="501"/>
    </row>
    <row r="18" spans="1:9" ht="21" customHeight="1" x14ac:dyDescent="0.2">
      <c r="A18" s="496" t="s">
        <v>614</v>
      </c>
      <c r="B18" s="497" t="s">
        <v>615</v>
      </c>
      <c r="C18" s="498" t="s">
        <v>577</v>
      </c>
      <c r="D18" s="499" t="s">
        <v>609</v>
      </c>
      <c r="E18" s="500" t="s">
        <v>610</v>
      </c>
      <c r="F18" s="501"/>
      <c r="G18" s="502">
        <v>1</v>
      </c>
      <c r="H18" s="447" t="s">
        <v>611</v>
      </c>
      <c r="I18" s="501"/>
    </row>
    <row r="19" spans="1:9" ht="21" customHeight="1" thickBot="1" x14ac:dyDescent="0.25">
      <c r="A19" s="503" t="s">
        <v>616</v>
      </c>
      <c r="B19" s="504" t="s">
        <v>617</v>
      </c>
      <c r="C19" s="505" t="s">
        <v>577</v>
      </c>
      <c r="D19" s="506" t="s">
        <v>609</v>
      </c>
      <c r="E19" s="507" t="s">
        <v>610</v>
      </c>
      <c r="F19" s="508"/>
      <c r="G19" s="509">
        <v>1</v>
      </c>
      <c r="H19" s="510" t="s">
        <v>611</v>
      </c>
      <c r="I19" s="508"/>
    </row>
    <row r="20" spans="1:9" ht="21" customHeight="1" x14ac:dyDescent="0.2">
      <c r="A20" s="488" t="s">
        <v>78</v>
      </c>
      <c r="B20" s="489" t="s">
        <v>618</v>
      </c>
      <c r="C20" s="490" t="s">
        <v>577</v>
      </c>
      <c r="D20" s="491" t="s">
        <v>609</v>
      </c>
      <c r="E20" s="492" t="s">
        <v>610</v>
      </c>
      <c r="F20" s="493"/>
      <c r="G20" s="494">
        <v>2</v>
      </c>
      <c r="H20" s="495" t="s">
        <v>611</v>
      </c>
      <c r="I20" s="493"/>
    </row>
    <row r="21" spans="1:9" ht="21" customHeight="1" x14ac:dyDescent="0.2">
      <c r="A21" s="496" t="s">
        <v>18</v>
      </c>
      <c r="B21" s="497" t="s">
        <v>619</v>
      </c>
      <c r="C21" s="498" t="s">
        <v>577</v>
      </c>
      <c r="D21" s="499" t="s">
        <v>609</v>
      </c>
      <c r="E21" s="500" t="s">
        <v>610</v>
      </c>
      <c r="F21" s="501"/>
      <c r="G21" s="502">
        <v>2</v>
      </c>
      <c r="H21" s="447" t="s">
        <v>611</v>
      </c>
      <c r="I21" s="501"/>
    </row>
    <row r="22" spans="1:9" ht="21" customHeight="1" x14ac:dyDescent="0.2">
      <c r="A22" s="747" t="s">
        <v>78</v>
      </c>
      <c r="B22" s="497" t="s">
        <v>620</v>
      </c>
      <c r="C22" s="498" t="s">
        <v>577</v>
      </c>
      <c r="D22" s="499" t="s">
        <v>609</v>
      </c>
      <c r="E22" s="500" t="s">
        <v>610</v>
      </c>
      <c r="F22" s="501"/>
      <c r="G22" s="502">
        <v>2</v>
      </c>
      <c r="H22" s="447" t="s">
        <v>611</v>
      </c>
      <c r="I22" s="501"/>
    </row>
    <row r="23" spans="1:9" ht="21" customHeight="1" x14ac:dyDescent="0.2">
      <c r="A23" s="747"/>
      <c r="B23" s="497" t="s">
        <v>621</v>
      </c>
      <c r="C23" s="498" t="s">
        <v>577</v>
      </c>
      <c r="D23" s="499" t="s">
        <v>609</v>
      </c>
      <c r="E23" s="500" t="s">
        <v>610</v>
      </c>
      <c r="F23" s="501"/>
      <c r="G23" s="502">
        <v>3</v>
      </c>
      <c r="H23" s="447" t="s">
        <v>611</v>
      </c>
      <c r="I23" s="501"/>
    </row>
    <row r="24" spans="1:9" ht="21" customHeight="1" x14ac:dyDescent="0.2">
      <c r="A24" s="496" t="s">
        <v>622</v>
      </c>
      <c r="B24" s="497" t="s">
        <v>623</v>
      </c>
      <c r="C24" s="498" t="s">
        <v>577</v>
      </c>
      <c r="D24" s="499" t="s">
        <v>609</v>
      </c>
      <c r="E24" s="500" t="s">
        <v>624</v>
      </c>
      <c r="F24" s="501"/>
      <c r="G24" s="502">
        <v>4</v>
      </c>
      <c r="H24" s="447" t="s">
        <v>611</v>
      </c>
      <c r="I24" s="501"/>
    </row>
    <row r="25" spans="1:9" ht="21" customHeight="1" x14ac:dyDescent="0.2">
      <c r="A25" s="496" t="s">
        <v>387</v>
      </c>
      <c r="B25" s="497" t="s">
        <v>625</v>
      </c>
      <c r="C25" s="500"/>
      <c r="D25" s="499" t="s">
        <v>609</v>
      </c>
      <c r="E25" s="500" t="s">
        <v>624</v>
      </c>
      <c r="F25" s="501"/>
      <c r="G25" s="502">
        <v>4</v>
      </c>
      <c r="H25" s="447" t="s">
        <v>611</v>
      </c>
      <c r="I25" s="501"/>
    </row>
    <row r="26" spans="1:9" ht="21" customHeight="1" x14ac:dyDescent="0.2">
      <c r="A26" s="496" t="s">
        <v>18</v>
      </c>
      <c r="B26" s="497" t="s">
        <v>626</v>
      </c>
      <c r="C26" s="498" t="s">
        <v>577</v>
      </c>
      <c r="D26" s="499" t="s">
        <v>609</v>
      </c>
      <c r="E26" s="500" t="s">
        <v>624</v>
      </c>
      <c r="F26" s="501"/>
      <c r="G26" s="502">
        <v>4</v>
      </c>
      <c r="H26" s="447" t="s">
        <v>611</v>
      </c>
      <c r="I26" s="501"/>
    </row>
    <row r="27" spans="1:9" ht="21" customHeight="1" x14ac:dyDescent="0.2">
      <c r="A27" s="496" t="s">
        <v>78</v>
      </c>
      <c r="B27" s="497" t="s">
        <v>627</v>
      </c>
      <c r="C27" s="498" t="s">
        <v>577</v>
      </c>
      <c r="D27" s="499" t="s">
        <v>609</v>
      </c>
      <c r="E27" s="500" t="s">
        <v>624</v>
      </c>
      <c r="F27" s="501"/>
      <c r="G27" s="502">
        <v>4</v>
      </c>
      <c r="H27" s="447" t="s">
        <v>611</v>
      </c>
      <c r="I27" s="501"/>
    </row>
    <row r="28" spans="1:9" ht="21" customHeight="1" x14ac:dyDescent="0.2">
      <c r="A28" s="496" t="s">
        <v>628</v>
      </c>
      <c r="B28" s="497" t="s">
        <v>629</v>
      </c>
      <c r="C28" s="498" t="s">
        <v>577</v>
      </c>
      <c r="D28" s="499" t="s">
        <v>609</v>
      </c>
      <c r="E28" s="500" t="s">
        <v>624</v>
      </c>
      <c r="F28" s="501"/>
      <c r="G28" s="502">
        <v>4</v>
      </c>
      <c r="H28" s="447" t="s">
        <v>611</v>
      </c>
      <c r="I28" s="501"/>
    </row>
    <row r="29" spans="1:9" ht="23.25" customHeight="1" thickBot="1" x14ac:dyDescent="0.25">
      <c r="A29" s="503" t="s">
        <v>40</v>
      </c>
      <c r="B29" s="504" t="s">
        <v>630</v>
      </c>
      <c r="C29" s="505" t="s">
        <v>577</v>
      </c>
      <c r="D29" s="506" t="s">
        <v>609</v>
      </c>
      <c r="E29" s="507" t="s">
        <v>624</v>
      </c>
      <c r="F29" s="508"/>
      <c r="G29" s="511">
        <v>4</v>
      </c>
      <c r="H29" s="512" t="s">
        <v>611</v>
      </c>
      <c r="I29" s="513"/>
    </row>
    <row r="30" spans="1:9" ht="17.25" customHeight="1" thickBot="1" x14ac:dyDescent="0.25">
      <c r="A30" s="715" t="s">
        <v>58</v>
      </c>
      <c r="B30" s="716"/>
      <c r="C30" s="716"/>
      <c r="D30" s="716"/>
      <c r="E30" s="716"/>
      <c r="F30" s="716"/>
      <c r="G30" s="716"/>
      <c r="H30" s="716"/>
      <c r="I30" s="717"/>
    </row>
    <row r="31" spans="1:9" ht="30.75" customHeight="1" x14ac:dyDescent="0.2">
      <c r="A31" s="496" t="s">
        <v>61</v>
      </c>
      <c r="B31" s="497" t="s">
        <v>631</v>
      </c>
      <c r="C31" s="498" t="s">
        <v>577</v>
      </c>
      <c r="D31" s="499" t="s">
        <v>609</v>
      </c>
      <c r="E31" s="500" t="s">
        <v>624</v>
      </c>
      <c r="F31" s="501"/>
      <c r="G31" s="502">
        <v>4</v>
      </c>
      <c r="H31" s="447" t="s">
        <v>611</v>
      </c>
      <c r="I31" s="501"/>
    </row>
    <row r="32" spans="1:9" ht="27" customHeight="1" thickBot="1" x14ac:dyDescent="0.25">
      <c r="A32" s="496" t="s">
        <v>632</v>
      </c>
      <c r="B32" s="497" t="s">
        <v>633</v>
      </c>
      <c r="C32" s="498" t="s">
        <v>577</v>
      </c>
      <c r="D32" s="499" t="s">
        <v>609</v>
      </c>
      <c r="E32" s="500" t="s">
        <v>624</v>
      </c>
      <c r="F32" s="501"/>
      <c r="G32" s="502">
        <v>4</v>
      </c>
      <c r="H32" s="447" t="s">
        <v>611</v>
      </c>
      <c r="I32" s="501"/>
    </row>
    <row r="33" spans="1:9" ht="27" customHeight="1" thickBot="1" x14ac:dyDescent="0.25">
      <c r="A33" s="766" t="s">
        <v>33</v>
      </c>
      <c r="B33" s="767"/>
      <c r="C33" s="767"/>
      <c r="D33" s="767"/>
      <c r="E33" s="767"/>
      <c r="F33" s="767"/>
      <c r="G33" s="767"/>
      <c r="H33" s="767"/>
      <c r="I33" s="768"/>
    </row>
    <row r="34" spans="1:9" ht="50.25" customHeight="1" x14ac:dyDescent="0.2">
      <c r="A34" s="514" t="s">
        <v>37</v>
      </c>
      <c r="B34" s="515" t="s">
        <v>634</v>
      </c>
      <c r="C34" s="769" t="s">
        <v>635</v>
      </c>
      <c r="D34" s="772" t="s">
        <v>636</v>
      </c>
      <c r="E34" s="769" t="s">
        <v>637</v>
      </c>
      <c r="F34" s="775">
        <v>100000000</v>
      </c>
      <c r="G34" s="769" t="s">
        <v>606</v>
      </c>
      <c r="H34" s="778" t="s">
        <v>638</v>
      </c>
      <c r="I34" s="755">
        <v>100000000</v>
      </c>
    </row>
    <row r="35" spans="1:9" ht="27" customHeight="1" x14ac:dyDescent="0.2">
      <c r="A35" s="758" t="s">
        <v>414</v>
      </c>
      <c r="B35" s="760" t="s">
        <v>639</v>
      </c>
      <c r="C35" s="770"/>
      <c r="D35" s="773"/>
      <c r="E35" s="770"/>
      <c r="F35" s="776"/>
      <c r="G35" s="770"/>
      <c r="H35" s="779"/>
      <c r="I35" s="756"/>
    </row>
    <row r="36" spans="1:9" ht="21.75" customHeight="1" thickBot="1" x14ac:dyDescent="0.25">
      <c r="A36" s="759"/>
      <c r="B36" s="761"/>
      <c r="C36" s="771"/>
      <c r="D36" s="774"/>
      <c r="E36" s="771"/>
      <c r="F36" s="777"/>
      <c r="G36" s="771"/>
      <c r="H36" s="516" t="s">
        <v>640</v>
      </c>
      <c r="I36" s="757"/>
    </row>
    <row r="37" spans="1:9" ht="27" customHeight="1" thickBot="1" x14ac:dyDescent="0.25">
      <c r="A37" s="762" t="s">
        <v>602</v>
      </c>
      <c r="B37" s="763"/>
      <c r="C37" s="763"/>
      <c r="D37" s="763"/>
      <c r="E37" s="764"/>
      <c r="F37" s="517">
        <f>SUM(F34:F36)</f>
        <v>100000000</v>
      </c>
      <c r="G37" s="518"/>
      <c r="H37" s="519" t="s">
        <v>602</v>
      </c>
      <c r="I37" s="517">
        <f>SUM(I34:I36)</f>
        <v>100000000</v>
      </c>
    </row>
    <row r="38" spans="1:9" ht="21" customHeight="1" thickBot="1" x14ac:dyDescent="0.25">
      <c r="A38" s="715" t="s">
        <v>195</v>
      </c>
      <c r="B38" s="716"/>
      <c r="C38" s="716"/>
      <c r="D38" s="716"/>
      <c r="E38" s="716"/>
      <c r="F38" s="716"/>
      <c r="G38" s="716"/>
      <c r="H38" s="716"/>
      <c r="I38" s="717"/>
    </row>
    <row r="39" spans="1:9" ht="21" customHeight="1" thickBot="1" x14ac:dyDescent="0.25">
      <c r="A39" s="496" t="s">
        <v>423</v>
      </c>
      <c r="B39" s="520" t="s">
        <v>641</v>
      </c>
      <c r="C39" s="498" t="s">
        <v>577</v>
      </c>
      <c r="D39" s="499" t="s">
        <v>609</v>
      </c>
      <c r="E39" s="500" t="s">
        <v>610</v>
      </c>
      <c r="F39" s="501"/>
      <c r="G39" s="502">
        <v>1</v>
      </c>
      <c r="H39" s="447" t="s">
        <v>611</v>
      </c>
      <c r="I39" s="501"/>
    </row>
    <row r="40" spans="1:9" ht="21" customHeight="1" thickBot="1" x14ac:dyDescent="0.25">
      <c r="A40" s="715" t="s">
        <v>425</v>
      </c>
      <c r="B40" s="716"/>
      <c r="C40" s="716"/>
      <c r="D40" s="716"/>
      <c r="E40" s="716"/>
      <c r="F40" s="716"/>
      <c r="G40" s="716"/>
      <c r="H40" s="716"/>
      <c r="I40" s="717"/>
    </row>
    <row r="41" spans="1:9" ht="21" customHeight="1" x14ac:dyDescent="0.2">
      <c r="A41" s="496" t="s">
        <v>642</v>
      </c>
      <c r="B41" s="497" t="s">
        <v>643</v>
      </c>
      <c r="C41" s="498" t="s">
        <v>577</v>
      </c>
      <c r="D41" s="499" t="s">
        <v>609</v>
      </c>
      <c r="E41" s="500" t="s">
        <v>610</v>
      </c>
      <c r="F41" s="501"/>
      <c r="G41" s="502">
        <v>1</v>
      </c>
      <c r="H41" s="447" t="s">
        <v>611</v>
      </c>
      <c r="I41" s="501"/>
    </row>
    <row r="42" spans="1:9" ht="21" customHeight="1" x14ac:dyDescent="0.2">
      <c r="A42" s="496" t="s">
        <v>446</v>
      </c>
      <c r="B42" s="497" t="s">
        <v>644</v>
      </c>
      <c r="C42" s="498" t="s">
        <v>577</v>
      </c>
      <c r="D42" s="499" t="s">
        <v>609</v>
      </c>
      <c r="E42" s="500" t="s">
        <v>610</v>
      </c>
      <c r="F42" s="501"/>
      <c r="G42" s="502">
        <v>2</v>
      </c>
      <c r="H42" s="447" t="s">
        <v>611</v>
      </c>
      <c r="I42" s="501"/>
    </row>
    <row r="43" spans="1:9" ht="21" customHeight="1" x14ac:dyDescent="0.2">
      <c r="A43" s="496" t="s">
        <v>425</v>
      </c>
      <c r="B43" s="497" t="s">
        <v>645</v>
      </c>
      <c r="C43" s="498" t="s">
        <v>577</v>
      </c>
      <c r="D43" s="499" t="s">
        <v>609</v>
      </c>
      <c r="E43" s="500" t="s">
        <v>646</v>
      </c>
      <c r="F43" s="501"/>
      <c r="G43" s="502">
        <v>4</v>
      </c>
      <c r="H43" s="447" t="s">
        <v>611</v>
      </c>
      <c r="I43" s="501"/>
    </row>
    <row r="44" spans="1:9" ht="21" customHeight="1" x14ac:dyDescent="0.2">
      <c r="A44" s="496" t="s">
        <v>440</v>
      </c>
      <c r="B44" s="497" t="s">
        <v>647</v>
      </c>
      <c r="C44" s="498" t="s">
        <v>577</v>
      </c>
      <c r="D44" s="499" t="s">
        <v>609</v>
      </c>
      <c r="E44" s="500" t="s">
        <v>646</v>
      </c>
      <c r="F44" s="501"/>
      <c r="G44" s="502">
        <v>4</v>
      </c>
      <c r="H44" s="447" t="s">
        <v>611</v>
      </c>
      <c r="I44" s="501"/>
    </row>
    <row r="45" spans="1:9" ht="21" customHeight="1" x14ac:dyDescent="0.2">
      <c r="A45" s="496"/>
      <c r="B45" s="497" t="s">
        <v>648</v>
      </c>
      <c r="C45" s="498" t="s">
        <v>577</v>
      </c>
      <c r="D45" s="499" t="s">
        <v>609</v>
      </c>
      <c r="E45" s="500" t="s">
        <v>624</v>
      </c>
      <c r="F45" s="501"/>
      <c r="G45" s="502">
        <v>4</v>
      </c>
      <c r="H45" s="447" t="s">
        <v>611</v>
      </c>
      <c r="I45" s="501"/>
    </row>
    <row r="46" spans="1:9" ht="21" customHeight="1" x14ac:dyDescent="0.2">
      <c r="A46" s="496" t="s">
        <v>435</v>
      </c>
      <c r="B46" s="497" t="s">
        <v>649</v>
      </c>
      <c r="C46" s="498" t="s">
        <v>577</v>
      </c>
      <c r="D46" s="499" t="s">
        <v>609</v>
      </c>
      <c r="E46" s="500" t="s">
        <v>624</v>
      </c>
      <c r="F46" s="501"/>
      <c r="G46" s="502">
        <v>4</v>
      </c>
      <c r="H46" s="447" t="s">
        <v>611</v>
      </c>
      <c r="I46" s="501"/>
    </row>
    <row r="47" spans="1:9" ht="21" customHeight="1" x14ac:dyDescent="0.2">
      <c r="A47" s="496" t="s">
        <v>449</v>
      </c>
      <c r="B47" s="497" t="s">
        <v>650</v>
      </c>
      <c r="C47" s="498" t="s">
        <v>577</v>
      </c>
      <c r="D47" s="499" t="s">
        <v>609</v>
      </c>
      <c r="E47" s="500" t="s">
        <v>624</v>
      </c>
      <c r="F47" s="501"/>
      <c r="G47" s="502">
        <v>4</v>
      </c>
      <c r="H47" s="447" t="s">
        <v>611</v>
      </c>
      <c r="I47" s="501"/>
    </row>
    <row r="48" spans="1:9" ht="21" customHeight="1" x14ac:dyDescent="0.2">
      <c r="A48" s="496" t="s">
        <v>425</v>
      </c>
      <c r="B48" s="497" t="s">
        <v>651</v>
      </c>
      <c r="C48" s="498" t="s">
        <v>577</v>
      </c>
      <c r="D48" s="499" t="s">
        <v>609</v>
      </c>
      <c r="E48" s="500" t="s">
        <v>624</v>
      </c>
      <c r="F48" s="501"/>
      <c r="G48" s="502">
        <v>4</v>
      </c>
      <c r="H48" s="447" t="s">
        <v>611</v>
      </c>
      <c r="I48" s="501"/>
    </row>
    <row r="49" spans="1:9" ht="21" customHeight="1" x14ac:dyDescent="0.2">
      <c r="A49" s="496"/>
      <c r="B49" s="497" t="s">
        <v>652</v>
      </c>
      <c r="C49" s="498" t="s">
        <v>577</v>
      </c>
      <c r="D49" s="499" t="s">
        <v>609</v>
      </c>
      <c r="E49" s="500" t="s">
        <v>624</v>
      </c>
      <c r="F49" s="501"/>
      <c r="G49" s="502">
        <v>4</v>
      </c>
      <c r="H49" s="447" t="s">
        <v>611</v>
      </c>
      <c r="I49" s="501"/>
    </row>
    <row r="50" spans="1:9" ht="21" customHeight="1" x14ac:dyDescent="0.2">
      <c r="A50" s="496"/>
      <c r="B50" s="497" t="s">
        <v>653</v>
      </c>
      <c r="C50" s="498" t="s">
        <v>577</v>
      </c>
      <c r="D50" s="499" t="s">
        <v>609</v>
      </c>
      <c r="E50" s="500" t="s">
        <v>624</v>
      </c>
      <c r="F50" s="501"/>
      <c r="G50" s="502">
        <v>4</v>
      </c>
      <c r="H50" s="447" t="s">
        <v>611</v>
      </c>
      <c r="I50" s="501"/>
    </row>
    <row r="51" spans="1:9" ht="21" customHeight="1" x14ac:dyDescent="0.2">
      <c r="A51" s="496" t="s">
        <v>440</v>
      </c>
      <c r="B51" s="497" t="s">
        <v>654</v>
      </c>
      <c r="C51" s="498" t="s">
        <v>577</v>
      </c>
      <c r="D51" s="499" t="s">
        <v>609</v>
      </c>
      <c r="E51" s="500" t="s">
        <v>624</v>
      </c>
      <c r="F51" s="501"/>
      <c r="G51" s="502">
        <v>4</v>
      </c>
      <c r="H51" s="447" t="s">
        <v>611</v>
      </c>
      <c r="I51" s="501"/>
    </row>
    <row r="52" spans="1:9" ht="21" customHeight="1" x14ac:dyDescent="0.2">
      <c r="A52" s="496" t="s">
        <v>425</v>
      </c>
      <c r="B52" s="497" t="s">
        <v>655</v>
      </c>
      <c r="C52" s="498" t="s">
        <v>577</v>
      </c>
      <c r="D52" s="499" t="s">
        <v>609</v>
      </c>
      <c r="E52" s="500" t="s">
        <v>624</v>
      </c>
      <c r="F52" s="501"/>
      <c r="G52" s="502">
        <v>4</v>
      </c>
      <c r="H52" s="447" t="s">
        <v>611</v>
      </c>
      <c r="I52" s="501"/>
    </row>
    <row r="53" spans="1:9" ht="21" customHeight="1" x14ac:dyDescent="0.2">
      <c r="A53" s="496"/>
      <c r="B53" s="497" t="s">
        <v>656</v>
      </c>
      <c r="C53" s="498" t="s">
        <v>577</v>
      </c>
      <c r="D53" s="499" t="s">
        <v>609</v>
      </c>
      <c r="E53" s="500" t="s">
        <v>624</v>
      </c>
      <c r="F53" s="501"/>
      <c r="G53" s="502">
        <v>4</v>
      </c>
      <c r="H53" s="447" t="s">
        <v>611</v>
      </c>
      <c r="I53" s="501"/>
    </row>
    <row r="54" spans="1:9" ht="21" customHeight="1" x14ac:dyDescent="0.2">
      <c r="A54" s="496" t="s">
        <v>657</v>
      </c>
      <c r="B54" s="497" t="s">
        <v>658</v>
      </c>
      <c r="C54" s="498" t="s">
        <v>577</v>
      </c>
      <c r="D54" s="499" t="s">
        <v>609</v>
      </c>
      <c r="E54" s="500" t="s">
        <v>624</v>
      </c>
      <c r="F54" s="501"/>
      <c r="G54" s="502">
        <v>4</v>
      </c>
      <c r="H54" s="447" t="s">
        <v>611</v>
      </c>
      <c r="I54" s="501"/>
    </row>
    <row r="55" spans="1:9" ht="21" customHeight="1" x14ac:dyDescent="0.2">
      <c r="A55" s="496" t="s">
        <v>491</v>
      </c>
      <c r="B55" s="497" t="s">
        <v>659</v>
      </c>
      <c r="C55" s="498" t="s">
        <v>577</v>
      </c>
      <c r="D55" s="499" t="s">
        <v>609</v>
      </c>
      <c r="E55" s="500" t="s">
        <v>624</v>
      </c>
      <c r="F55" s="501"/>
      <c r="G55" s="502">
        <v>4</v>
      </c>
      <c r="H55" s="447" t="s">
        <v>611</v>
      </c>
      <c r="I55" s="501"/>
    </row>
    <row r="56" spans="1:9" ht="21" customHeight="1" x14ac:dyDescent="0.2">
      <c r="A56" s="496" t="s">
        <v>657</v>
      </c>
      <c r="B56" s="497" t="s">
        <v>660</v>
      </c>
      <c r="C56" s="498" t="s">
        <v>577</v>
      </c>
      <c r="D56" s="499" t="s">
        <v>609</v>
      </c>
      <c r="E56" s="500" t="s">
        <v>624</v>
      </c>
      <c r="F56" s="501"/>
      <c r="G56" s="502">
        <v>4</v>
      </c>
      <c r="H56" s="447" t="s">
        <v>611</v>
      </c>
      <c r="I56" s="501"/>
    </row>
    <row r="57" spans="1:9" ht="21" customHeight="1" x14ac:dyDescent="0.2">
      <c r="A57" s="496" t="s">
        <v>440</v>
      </c>
      <c r="B57" s="497" t="s">
        <v>661</v>
      </c>
      <c r="C57" s="498" t="s">
        <v>577</v>
      </c>
      <c r="D57" s="499" t="s">
        <v>609</v>
      </c>
      <c r="E57" s="500" t="s">
        <v>624</v>
      </c>
      <c r="F57" s="501"/>
      <c r="G57" s="502">
        <v>4</v>
      </c>
      <c r="H57" s="447" t="s">
        <v>611</v>
      </c>
      <c r="I57" s="501"/>
    </row>
    <row r="58" spans="1:9" ht="21" customHeight="1" x14ac:dyDescent="0.2">
      <c r="A58" s="496" t="s">
        <v>440</v>
      </c>
      <c r="B58" s="497" t="s">
        <v>662</v>
      </c>
      <c r="C58" s="498" t="s">
        <v>577</v>
      </c>
      <c r="D58" s="499" t="s">
        <v>609</v>
      </c>
      <c r="E58" s="500" t="s">
        <v>624</v>
      </c>
      <c r="F58" s="501"/>
      <c r="G58" s="502">
        <v>4</v>
      </c>
      <c r="H58" s="447" t="s">
        <v>611</v>
      </c>
      <c r="I58" s="501"/>
    </row>
    <row r="59" spans="1:9" ht="21" customHeight="1" thickBot="1" x14ac:dyDescent="0.25">
      <c r="A59" s="503" t="s">
        <v>425</v>
      </c>
      <c r="B59" s="504" t="s">
        <v>663</v>
      </c>
      <c r="C59" s="505" t="s">
        <v>577</v>
      </c>
      <c r="D59" s="506" t="s">
        <v>609</v>
      </c>
      <c r="E59" s="507" t="s">
        <v>624</v>
      </c>
      <c r="F59" s="508"/>
      <c r="G59" s="509">
        <v>4</v>
      </c>
      <c r="H59" s="510" t="s">
        <v>611</v>
      </c>
      <c r="I59" s="508"/>
    </row>
    <row r="60" spans="1:9" ht="21" customHeight="1" x14ac:dyDescent="0.2">
      <c r="A60" s="748" t="s">
        <v>451</v>
      </c>
      <c r="B60" s="749"/>
      <c r="C60" s="749"/>
      <c r="D60" s="749"/>
      <c r="E60" s="749"/>
      <c r="F60" s="749"/>
      <c r="G60" s="749"/>
      <c r="H60" s="749"/>
      <c r="I60" s="750"/>
    </row>
    <row r="61" spans="1:9" ht="21" customHeight="1" x14ac:dyDescent="0.2">
      <c r="A61" s="496" t="s">
        <v>664</v>
      </c>
      <c r="B61" s="497" t="s">
        <v>665</v>
      </c>
      <c r="C61" s="498" t="s">
        <v>577</v>
      </c>
      <c r="D61" s="499" t="s">
        <v>609</v>
      </c>
      <c r="E61" s="500" t="s">
        <v>624</v>
      </c>
      <c r="F61" s="501"/>
      <c r="G61" s="502">
        <v>4</v>
      </c>
      <c r="H61" s="447" t="s">
        <v>611</v>
      </c>
      <c r="I61" s="501"/>
    </row>
    <row r="62" spans="1:9" ht="21" customHeight="1" x14ac:dyDescent="0.2">
      <c r="A62" s="740" t="s">
        <v>213</v>
      </c>
      <c r="B62" s="741"/>
      <c r="C62" s="741"/>
      <c r="D62" s="741"/>
      <c r="E62" s="741"/>
      <c r="F62" s="741"/>
      <c r="G62" s="741"/>
      <c r="H62" s="741"/>
      <c r="I62" s="742"/>
    </row>
    <row r="63" spans="1:9" ht="21" customHeight="1" thickBot="1" x14ac:dyDescent="0.25">
      <c r="A63" s="521" t="s">
        <v>485</v>
      </c>
      <c r="B63" s="522" t="s">
        <v>666</v>
      </c>
      <c r="C63" s="523" t="s">
        <v>577</v>
      </c>
      <c r="D63" s="524" t="s">
        <v>609</v>
      </c>
      <c r="E63" s="525" t="s">
        <v>624</v>
      </c>
      <c r="F63" s="513"/>
      <c r="G63" s="511">
        <v>4</v>
      </c>
      <c r="H63" s="512" t="s">
        <v>611</v>
      </c>
      <c r="I63" s="513"/>
    </row>
    <row r="64" spans="1:9" ht="21" customHeight="1" thickBot="1" x14ac:dyDescent="0.25">
      <c r="A64" s="751" t="s">
        <v>487</v>
      </c>
      <c r="B64" s="752"/>
      <c r="C64" s="752"/>
      <c r="D64" s="752"/>
      <c r="E64" s="752"/>
      <c r="F64" s="752"/>
      <c r="G64" s="752"/>
      <c r="H64" s="752"/>
      <c r="I64" s="753"/>
    </row>
    <row r="65" spans="1:9" ht="21" customHeight="1" x14ac:dyDescent="0.2">
      <c r="A65" s="488" t="s">
        <v>488</v>
      </c>
      <c r="B65" s="489" t="s">
        <v>667</v>
      </c>
      <c r="C65" s="490" t="s">
        <v>577</v>
      </c>
      <c r="D65" s="491" t="s">
        <v>609</v>
      </c>
      <c r="E65" s="492" t="s">
        <v>624</v>
      </c>
      <c r="F65" s="493"/>
      <c r="G65" s="494">
        <v>4</v>
      </c>
      <c r="H65" s="495" t="s">
        <v>611</v>
      </c>
      <c r="I65" s="493"/>
    </row>
    <row r="66" spans="1:9" ht="21" customHeight="1" thickBot="1" x14ac:dyDescent="0.25">
      <c r="A66" s="521" t="s">
        <v>379</v>
      </c>
      <c r="B66" s="522" t="s">
        <v>668</v>
      </c>
      <c r="C66" s="523" t="s">
        <v>577</v>
      </c>
      <c r="D66" s="524" t="s">
        <v>609</v>
      </c>
      <c r="E66" s="525" t="s">
        <v>624</v>
      </c>
      <c r="F66" s="513"/>
      <c r="G66" s="511">
        <v>4</v>
      </c>
      <c r="H66" s="512" t="s">
        <v>611</v>
      </c>
      <c r="I66" s="513"/>
    </row>
    <row r="67" spans="1:9" ht="21" customHeight="1" thickBot="1" x14ac:dyDescent="0.25">
      <c r="A67" s="751" t="s">
        <v>494</v>
      </c>
      <c r="B67" s="752"/>
      <c r="C67" s="752"/>
      <c r="D67" s="752"/>
      <c r="E67" s="752"/>
      <c r="F67" s="752"/>
      <c r="G67" s="752"/>
      <c r="H67" s="752"/>
      <c r="I67" s="753"/>
    </row>
    <row r="68" spans="1:9" ht="21" customHeight="1" x14ac:dyDescent="0.2">
      <c r="A68" s="754" t="s">
        <v>494</v>
      </c>
      <c r="B68" s="489" t="s">
        <v>669</v>
      </c>
      <c r="C68" s="490" t="s">
        <v>577</v>
      </c>
      <c r="D68" s="491" t="s">
        <v>609</v>
      </c>
      <c r="E68" s="492" t="s">
        <v>624</v>
      </c>
      <c r="F68" s="493"/>
      <c r="G68" s="494">
        <v>4</v>
      </c>
      <c r="H68" s="495" t="s">
        <v>611</v>
      </c>
      <c r="I68" s="493"/>
    </row>
    <row r="69" spans="1:9" ht="21" customHeight="1" x14ac:dyDescent="0.2">
      <c r="A69" s="744"/>
      <c r="B69" s="497" t="s">
        <v>670</v>
      </c>
      <c r="C69" s="498" t="s">
        <v>577</v>
      </c>
      <c r="D69" s="499" t="s">
        <v>609</v>
      </c>
      <c r="E69" s="500" t="s">
        <v>624</v>
      </c>
      <c r="F69" s="501"/>
      <c r="G69" s="502">
        <v>4</v>
      </c>
      <c r="H69" s="447" t="s">
        <v>611</v>
      </c>
      <c r="I69" s="501"/>
    </row>
    <row r="70" spans="1:9" ht="21" customHeight="1" thickBot="1" x14ac:dyDescent="0.25">
      <c r="A70" s="745"/>
      <c r="B70" s="522" t="s">
        <v>671</v>
      </c>
      <c r="C70" s="523" t="s">
        <v>577</v>
      </c>
      <c r="D70" s="524" t="s">
        <v>609</v>
      </c>
      <c r="E70" s="525" t="s">
        <v>624</v>
      </c>
      <c r="F70" s="513"/>
      <c r="G70" s="511">
        <v>4</v>
      </c>
      <c r="H70" s="512" t="s">
        <v>611</v>
      </c>
      <c r="I70" s="513"/>
    </row>
    <row r="71" spans="1:9" ht="21" customHeight="1" thickBot="1" x14ac:dyDescent="0.25">
      <c r="A71" s="751" t="s">
        <v>497</v>
      </c>
      <c r="B71" s="752"/>
      <c r="C71" s="752"/>
      <c r="D71" s="752"/>
      <c r="E71" s="752"/>
      <c r="F71" s="752"/>
      <c r="G71" s="752"/>
      <c r="H71" s="752"/>
      <c r="I71" s="753"/>
    </row>
    <row r="72" spans="1:9" ht="21" customHeight="1" x14ac:dyDescent="0.2">
      <c r="A72" s="488" t="s">
        <v>672</v>
      </c>
      <c r="B72" s="489" t="s">
        <v>673</v>
      </c>
      <c r="C72" s="490" t="s">
        <v>577</v>
      </c>
      <c r="D72" s="491" t="s">
        <v>609</v>
      </c>
      <c r="E72" s="492" t="s">
        <v>610</v>
      </c>
      <c r="F72" s="493"/>
      <c r="G72" s="494">
        <v>1</v>
      </c>
      <c r="H72" s="495" t="s">
        <v>611</v>
      </c>
      <c r="I72" s="493"/>
    </row>
    <row r="73" spans="1:9" ht="21" customHeight="1" x14ac:dyDescent="0.2">
      <c r="A73" s="496" t="s">
        <v>674</v>
      </c>
      <c r="B73" s="497" t="s">
        <v>675</v>
      </c>
      <c r="C73" s="498" t="s">
        <v>577</v>
      </c>
      <c r="D73" s="499" t="s">
        <v>609</v>
      </c>
      <c r="E73" s="500" t="s">
        <v>610</v>
      </c>
      <c r="F73" s="501"/>
      <c r="G73" s="502">
        <v>1</v>
      </c>
      <c r="H73" s="447" t="s">
        <v>611</v>
      </c>
      <c r="I73" s="501"/>
    </row>
    <row r="74" spans="1:9" ht="21" customHeight="1" x14ac:dyDescent="0.2">
      <c r="A74" s="496" t="s">
        <v>455</v>
      </c>
      <c r="B74" s="497" t="s">
        <v>676</v>
      </c>
      <c r="C74" s="498" t="s">
        <v>577</v>
      </c>
      <c r="D74" s="499" t="s">
        <v>609</v>
      </c>
      <c r="E74" s="500" t="s">
        <v>677</v>
      </c>
      <c r="F74" s="501"/>
      <c r="G74" s="502">
        <v>2</v>
      </c>
      <c r="H74" s="447" t="s">
        <v>611</v>
      </c>
      <c r="I74" s="501"/>
    </row>
    <row r="75" spans="1:9" ht="21" customHeight="1" x14ac:dyDescent="0.2">
      <c r="A75" s="496" t="s">
        <v>672</v>
      </c>
      <c r="B75" s="497" t="s">
        <v>678</v>
      </c>
      <c r="C75" s="498" t="s">
        <v>577</v>
      </c>
      <c r="D75" s="499" t="s">
        <v>609</v>
      </c>
      <c r="E75" s="500" t="s">
        <v>610</v>
      </c>
      <c r="F75" s="501"/>
      <c r="G75" s="502">
        <v>2</v>
      </c>
      <c r="H75" s="447" t="s">
        <v>611</v>
      </c>
      <c r="I75" s="501"/>
    </row>
    <row r="76" spans="1:9" ht="21" customHeight="1" x14ac:dyDescent="0.2">
      <c r="A76" s="496" t="s">
        <v>672</v>
      </c>
      <c r="B76" s="497" t="s">
        <v>679</v>
      </c>
      <c r="C76" s="498" t="s">
        <v>577</v>
      </c>
      <c r="D76" s="499" t="s">
        <v>609</v>
      </c>
      <c r="E76" s="500" t="s">
        <v>610</v>
      </c>
      <c r="F76" s="501"/>
      <c r="G76" s="502">
        <v>3</v>
      </c>
      <c r="H76" s="447" t="s">
        <v>611</v>
      </c>
      <c r="I76" s="501"/>
    </row>
    <row r="77" spans="1:9" ht="21" customHeight="1" x14ac:dyDescent="0.2">
      <c r="A77" s="496" t="s">
        <v>455</v>
      </c>
      <c r="B77" s="497" t="s">
        <v>680</v>
      </c>
      <c r="C77" s="498" t="s">
        <v>577</v>
      </c>
      <c r="D77" s="499" t="s">
        <v>609</v>
      </c>
      <c r="E77" s="500" t="s">
        <v>610</v>
      </c>
      <c r="F77" s="501"/>
      <c r="G77" s="502">
        <v>3</v>
      </c>
      <c r="H77" s="447" t="s">
        <v>611</v>
      </c>
      <c r="I77" s="501"/>
    </row>
    <row r="78" spans="1:9" ht="21" customHeight="1" x14ac:dyDescent="0.2">
      <c r="A78" s="496" t="s">
        <v>500</v>
      </c>
      <c r="B78" s="497" t="s">
        <v>681</v>
      </c>
      <c r="C78" s="498" t="s">
        <v>577</v>
      </c>
      <c r="D78" s="499" t="s">
        <v>609</v>
      </c>
      <c r="E78" s="500" t="s">
        <v>610</v>
      </c>
      <c r="F78" s="501"/>
      <c r="G78" s="502">
        <v>3</v>
      </c>
      <c r="H78" s="447" t="s">
        <v>611</v>
      </c>
      <c r="I78" s="501"/>
    </row>
    <row r="79" spans="1:9" ht="21" customHeight="1" x14ac:dyDescent="0.2">
      <c r="A79" s="740" t="s">
        <v>682</v>
      </c>
      <c r="B79" s="741"/>
      <c r="C79" s="741"/>
      <c r="D79" s="741"/>
      <c r="E79" s="741"/>
      <c r="F79" s="741"/>
      <c r="G79" s="741"/>
      <c r="H79" s="741"/>
      <c r="I79" s="742"/>
    </row>
    <row r="80" spans="1:9" ht="21" customHeight="1" x14ac:dyDescent="0.2">
      <c r="A80" s="743" t="s">
        <v>682</v>
      </c>
      <c r="B80" s="497" t="s">
        <v>683</v>
      </c>
      <c r="C80" s="498" t="s">
        <v>577</v>
      </c>
      <c r="D80" s="499" t="s">
        <v>609</v>
      </c>
      <c r="E80" s="500" t="s">
        <v>610</v>
      </c>
      <c r="F80" s="501"/>
      <c r="G80" s="502">
        <v>1</v>
      </c>
      <c r="H80" s="447" t="s">
        <v>611</v>
      </c>
      <c r="I80" s="501"/>
    </row>
    <row r="81" spans="1:9" ht="21" customHeight="1" x14ac:dyDescent="0.2">
      <c r="A81" s="744"/>
      <c r="B81" s="497" t="s">
        <v>684</v>
      </c>
      <c r="C81" s="498" t="s">
        <v>577</v>
      </c>
      <c r="D81" s="499" t="s">
        <v>609</v>
      </c>
      <c r="E81" s="500" t="s">
        <v>610</v>
      </c>
      <c r="F81" s="501"/>
      <c r="G81" s="502">
        <v>2</v>
      </c>
      <c r="H81" s="447" t="s">
        <v>611</v>
      </c>
      <c r="I81" s="501"/>
    </row>
    <row r="82" spans="1:9" ht="21" customHeight="1" thickBot="1" x14ac:dyDescent="0.25">
      <c r="A82" s="745"/>
      <c r="B82" s="504" t="s">
        <v>685</v>
      </c>
      <c r="C82" s="505" t="s">
        <v>577</v>
      </c>
      <c r="D82" s="506" t="s">
        <v>609</v>
      </c>
      <c r="E82" s="507" t="s">
        <v>677</v>
      </c>
      <c r="F82" s="508"/>
      <c r="G82" s="509">
        <v>2</v>
      </c>
      <c r="H82" s="510" t="s">
        <v>611</v>
      </c>
      <c r="I82" s="508"/>
    </row>
    <row r="83" spans="1:9" ht="21" customHeight="1" thickBot="1" x14ac:dyDescent="0.25">
      <c r="A83" s="715" t="s">
        <v>206</v>
      </c>
      <c r="B83" s="716"/>
      <c r="C83" s="716"/>
      <c r="D83" s="716"/>
      <c r="E83" s="716"/>
      <c r="F83" s="716"/>
      <c r="G83" s="716"/>
      <c r="H83" s="716"/>
      <c r="I83" s="717"/>
    </row>
    <row r="84" spans="1:9" ht="21" customHeight="1" x14ac:dyDescent="0.2">
      <c r="A84" s="496" t="s">
        <v>507</v>
      </c>
      <c r="B84" s="497" t="s">
        <v>686</v>
      </c>
      <c r="C84" s="498" t="s">
        <v>577</v>
      </c>
      <c r="D84" s="499" t="s">
        <v>609</v>
      </c>
      <c r="E84" s="500" t="s">
        <v>610</v>
      </c>
      <c r="F84" s="501"/>
      <c r="G84" s="502">
        <v>2</v>
      </c>
      <c r="H84" s="447" t="s">
        <v>611</v>
      </c>
      <c r="I84" s="501"/>
    </row>
    <row r="85" spans="1:9" ht="21" customHeight="1" x14ac:dyDescent="0.2">
      <c r="A85" s="496" t="s">
        <v>510</v>
      </c>
      <c r="B85" s="497" t="s">
        <v>687</v>
      </c>
      <c r="C85" s="498" t="s">
        <v>577</v>
      </c>
      <c r="D85" s="499" t="s">
        <v>609</v>
      </c>
      <c r="E85" s="500" t="s">
        <v>610</v>
      </c>
      <c r="F85" s="501"/>
      <c r="G85" s="502">
        <v>2</v>
      </c>
      <c r="H85" s="447" t="s">
        <v>611</v>
      </c>
      <c r="I85" s="501"/>
    </row>
    <row r="86" spans="1:9" ht="21" customHeight="1" x14ac:dyDescent="0.2">
      <c r="A86" s="496" t="s">
        <v>38</v>
      </c>
      <c r="B86" s="497" t="s">
        <v>688</v>
      </c>
      <c r="C86" s="498" t="s">
        <v>577</v>
      </c>
      <c r="D86" s="499" t="s">
        <v>609</v>
      </c>
      <c r="E86" s="500" t="s">
        <v>624</v>
      </c>
      <c r="F86" s="501"/>
      <c r="G86" s="502">
        <v>4</v>
      </c>
      <c r="H86" s="447" t="s">
        <v>611</v>
      </c>
      <c r="I86" s="501"/>
    </row>
    <row r="87" spans="1:9" ht="21" customHeight="1" x14ac:dyDescent="0.2">
      <c r="A87" s="496" t="s">
        <v>689</v>
      </c>
      <c r="B87" s="497" t="s">
        <v>690</v>
      </c>
      <c r="C87" s="498" t="s">
        <v>577</v>
      </c>
      <c r="D87" s="499" t="s">
        <v>609</v>
      </c>
      <c r="E87" s="500" t="s">
        <v>624</v>
      </c>
      <c r="F87" s="501"/>
      <c r="G87" s="502">
        <v>4</v>
      </c>
      <c r="H87" s="447" t="s">
        <v>611</v>
      </c>
      <c r="I87" s="501"/>
    </row>
    <row r="88" spans="1:9" ht="21" customHeight="1" x14ac:dyDescent="0.2">
      <c r="A88" s="496"/>
      <c r="B88" s="497" t="s">
        <v>691</v>
      </c>
      <c r="C88" s="498" t="s">
        <v>577</v>
      </c>
      <c r="D88" s="499" t="s">
        <v>609</v>
      </c>
      <c r="E88" s="500" t="s">
        <v>624</v>
      </c>
      <c r="F88" s="501"/>
      <c r="G88" s="502">
        <v>4</v>
      </c>
      <c r="H88" s="447" t="s">
        <v>611</v>
      </c>
      <c r="I88" s="501"/>
    </row>
    <row r="89" spans="1:9" ht="21" customHeight="1" thickBot="1" x14ac:dyDescent="0.25">
      <c r="A89" s="496" t="s">
        <v>510</v>
      </c>
      <c r="B89" s="497" t="s">
        <v>692</v>
      </c>
      <c r="C89" s="498" t="s">
        <v>577</v>
      </c>
      <c r="D89" s="499" t="s">
        <v>609</v>
      </c>
      <c r="E89" s="500" t="s">
        <v>610</v>
      </c>
      <c r="F89" s="501"/>
      <c r="G89" s="502">
        <v>4</v>
      </c>
      <c r="H89" s="447" t="s">
        <v>611</v>
      </c>
      <c r="I89" s="501"/>
    </row>
    <row r="90" spans="1:9" ht="21" customHeight="1" thickBot="1" x14ac:dyDescent="0.25">
      <c r="A90" s="715" t="s">
        <v>201</v>
      </c>
      <c r="B90" s="716"/>
      <c r="C90" s="716"/>
      <c r="D90" s="716"/>
      <c r="E90" s="716"/>
      <c r="F90" s="716"/>
      <c r="G90" s="716"/>
      <c r="H90" s="716"/>
      <c r="I90" s="717"/>
    </row>
    <row r="91" spans="1:9" ht="21" customHeight="1" x14ac:dyDescent="0.2">
      <c r="A91" s="746" t="s">
        <v>515</v>
      </c>
      <c r="B91" s="497" t="s">
        <v>693</v>
      </c>
      <c r="C91" s="498" t="s">
        <v>577</v>
      </c>
      <c r="D91" s="499" t="s">
        <v>609</v>
      </c>
      <c r="E91" s="500" t="s">
        <v>624</v>
      </c>
      <c r="F91" s="501"/>
      <c r="G91" s="502">
        <v>4</v>
      </c>
      <c r="H91" s="447" t="s">
        <v>611</v>
      </c>
      <c r="I91" s="501"/>
    </row>
    <row r="92" spans="1:9" ht="21" customHeight="1" x14ac:dyDescent="0.2">
      <c r="A92" s="747"/>
      <c r="B92" s="497" t="s">
        <v>694</v>
      </c>
      <c r="C92" s="498" t="s">
        <v>577</v>
      </c>
      <c r="D92" s="499" t="s">
        <v>609</v>
      </c>
      <c r="E92" s="500" t="s">
        <v>624</v>
      </c>
      <c r="F92" s="501"/>
      <c r="G92" s="502">
        <v>4</v>
      </c>
      <c r="H92" s="447" t="s">
        <v>611</v>
      </c>
      <c r="I92" s="501"/>
    </row>
    <row r="93" spans="1:9" ht="21" customHeight="1" thickBot="1" x14ac:dyDescent="0.25">
      <c r="A93" s="503" t="s">
        <v>517</v>
      </c>
      <c r="B93" s="497" t="s">
        <v>695</v>
      </c>
      <c r="C93" s="498" t="s">
        <v>577</v>
      </c>
      <c r="D93" s="499" t="s">
        <v>609</v>
      </c>
      <c r="E93" s="500" t="s">
        <v>624</v>
      </c>
      <c r="F93" s="501"/>
      <c r="G93" s="502">
        <v>4</v>
      </c>
      <c r="H93" s="447" t="s">
        <v>611</v>
      </c>
      <c r="I93" s="501"/>
    </row>
    <row r="94" spans="1:9" ht="17.25" customHeight="1" thickBot="1" x14ac:dyDescent="0.25">
      <c r="A94" s="727" t="s">
        <v>518</v>
      </c>
      <c r="B94" s="728"/>
      <c r="C94" s="728"/>
      <c r="D94" s="728"/>
      <c r="E94" s="728"/>
      <c r="F94" s="728"/>
      <c r="G94" s="728"/>
      <c r="H94" s="728"/>
      <c r="I94" s="729"/>
    </row>
    <row r="95" spans="1:9" ht="28.5" customHeight="1" x14ac:dyDescent="0.2">
      <c r="A95" s="736" t="s">
        <v>518</v>
      </c>
      <c r="B95" s="497" t="s">
        <v>696</v>
      </c>
      <c r="C95" s="498" t="s">
        <v>577</v>
      </c>
      <c r="D95" s="499" t="s">
        <v>609</v>
      </c>
      <c r="E95" s="500" t="s">
        <v>697</v>
      </c>
      <c r="F95" s="501"/>
      <c r="G95" s="502">
        <v>1</v>
      </c>
      <c r="H95" s="447" t="s">
        <v>611</v>
      </c>
      <c r="I95" s="501"/>
    </row>
    <row r="96" spans="1:9" ht="30.6" customHeight="1" x14ac:dyDescent="0.2">
      <c r="A96" s="737"/>
      <c r="B96" s="497" t="s">
        <v>698</v>
      </c>
      <c r="C96" s="498" t="s">
        <v>577</v>
      </c>
      <c r="D96" s="499" t="s">
        <v>609</v>
      </c>
      <c r="E96" s="500" t="s">
        <v>697</v>
      </c>
      <c r="F96" s="501"/>
      <c r="G96" s="502">
        <v>2</v>
      </c>
      <c r="H96" s="447" t="s">
        <v>611</v>
      </c>
      <c r="I96" s="501"/>
    </row>
    <row r="97" spans="1:9" ht="32.1" customHeight="1" x14ac:dyDescent="0.2">
      <c r="A97" s="737"/>
      <c r="B97" s="497" t="s">
        <v>699</v>
      </c>
      <c r="C97" s="498" t="s">
        <v>580</v>
      </c>
      <c r="D97" s="499" t="s">
        <v>609</v>
      </c>
      <c r="E97" s="500" t="s">
        <v>697</v>
      </c>
      <c r="F97" s="501"/>
      <c r="G97" s="502">
        <v>2</v>
      </c>
      <c r="H97" s="447" t="s">
        <v>611</v>
      </c>
      <c r="I97" s="501"/>
    </row>
    <row r="98" spans="1:9" ht="35.85" customHeight="1" x14ac:dyDescent="0.2">
      <c r="A98" s="737"/>
      <c r="B98" s="497" t="s">
        <v>700</v>
      </c>
      <c r="C98" s="498" t="s">
        <v>580</v>
      </c>
      <c r="D98" s="499" t="s">
        <v>609</v>
      </c>
      <c r="E98" s="500" t="s">
        <v>697</v>
      </c>
      <c r="F98" s="501"/>
      <c r="G98" s="502">
        <v>2</v>
      </c>
      <c r="H98" s="447" t="s">
        <v>611</v>
      </c>
      <c r="I98" s="501"/>
    </row>
    <row r="99" spans="1:9" ht="35.25" customHeight="1" thickBot="1" x14ac:dyDescent="0.25">
      <c r="A99" s="738"/>
      <c r="B99" s="497" t="s">
        <v>701</v>
      </c>
      <c r="C99" s="498" t="s">
        <v>577</v>
      </c>
      <c r="D99" s="499" t="s">
        <v>609</v>
      </c>
      <c r="E99" s="500" t="s">
        <v>697</v>
      </c>
      <c r="F99" s="501"/>
      <c r="G99" s="502">
        <v>4</v>
      </c>
      <c r="H99" s="447" t="s">
        <v>611</v>
      </c>
      <c r="I99" s="501"/>
    </row>
    <row r="100" spans="1:9" ht="16.5" customHeight="1" thickBot="1" x14ac:dyDescent="0.25">
      <c r="A100" s="733" t="s">
        <v>345</v>
      </c>
      <c r="B100" s="734"/>
      <c r="C100" s="734"/>
      <c r="D100" s="734"/>
      <c r="E100" s="739"/>
      <c r="F100" s="526"/>
      <c r="G100" s="734" t="s">
        <v>345</v>
      </c>
      <c r="H100" s="739"/>
      <c r="I100" s="527"/>
    </row>
  </sheetData>
  <sheetProtection selectLockedCells="1" selectUnlockedCells="1"/>
  <mergeCells count="45">
    <mergeCell ref="A14:I14"/>
    <mergeCell ref="A1:I1"/>
    <mergeCell ref="A2:I2"/>
    <mergeCell ref="A3:I3"/>
    <mergeCell ref="A4:A5"/>
    <mergeCell ref="B4:B5"/>
    <mergeCell ref="C4:D4"/>
    <mergeCell ref="E4:F4"/>
    <mergeCell ref="G4:I4"/>
    <mergeCell ref="A6:I6"/>
    <mergeCell ref="A7:I7"/>
    <mergeCell ref="A10:E10"/>
    <mergeCell ref="A11:I11"/>
    <mergeCell ref="A13:E13"/>
    <mergeCell ref="A15:A17"/>
    <mergeCell ref="A22:A23"/>
    <mergeCell ref="A30:I30"/>
    <mergeCell ref="A33:I33"/>
    <mergeCell ref="C34:C36"/>
    <mergeCell ref="D34:D36"/>
    <mergeCell ref="E34:E36"/>
    <mergeCell ref="F34:F36"/>
    <mergeCell ref="G34:G36"/>
    <mergeCell ref="H34:H35"/>
    <mergeCell ref="A71:I71"/>
    <mergeCell ref="I34:I36"/>
    <mergeCell ref="A35:A36"/>
    <mergeCell ref="B35:B36"/>
    <mergeCell ref="A37:E37"/>
    <mergeCell ref="A38:I38"/>
    <mergeCell ref="A40:I40"/>
    <mergeCell ref="A60:I60"/>
    <mergeCell ref="A62:I62"/>
    <mergeCell ref="A64:I64"/>
    <mergeCell ref="A67:I67"/>
    <mergeCell ref="A68:A70"/>
    <mergeCell ref="A95:A99"/>
    <mergeCell ref="A100:E100"/>
    <mergeCell ref="G100:H100"/>
    <mergeCell ref="A79:I79"/>
    <mergeCell ref="A80:A82"/>
    <mergeCell ref="A83:I83"/>
    <mergeCell ref="A90:I90"/>
    <mergeCell ref="A91:A92"/>
    <mergeCell ref="A94:I94"/>
  </mergeCells>
  <printOptions horizontalCentered="1" verticalCentered="1"/>
  <pageMargins left="0.70866141732283472" right="0.70866141732283472" top="0.74803149606299213" bottom="0.74803149606299213" header="0.31496062992125984" footer="0.31496062992125984"/>
  <pageSetup scale="75" firstPageNumber="0" orientation="landscape" horizontalDpi="300" verticalDpi="300" r:id="rId1"/>
  <headerFooter alignWithMargins="0">
    <oddHeader>&amp;L&amp;"Arial,Negrita"&amp;8Comisión Nacional de Prevención de Riesgos y Atención de Emergencias
Unidad de Desarrollo Estratégico&amp;R&amp;D
&amp;T</oddHeader>
    <oddFooter>&amp;C&amp;P/&amp;N</oddFooter>
  </headerFooter>
  <rowBreaks count="3" manualBreakCount="3">
    <brk id="37" max="16383" man="1"/>
    <brk id="59" max="16383" man="1"/>
    <brk id="8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975575A95A15A4BA4910D5B7E70F130" ma:contentTypeVersion="0" ma:contentTypeDescription="Crear nuevo documento." ma:contentTypeScope="" ma:versionID="837a90955a0c1b942dff7a12830d2d1c">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04251F4-CDFA-449A-B4CC-B07C3836D9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E645E06-4CF8-4DA3-A4E4-076C51DB4A12}">
  <ds:schemaRefs>
    <ds:schemaRef ds:uri="http://schemas.microsoft.com/sharepoint/v3/contenttype/forms"/>
  </ds:schemaRefs>
</ds:datastoreItem>
</file>

<file path=customXml/itemProps3.xml><?xml version="1.0" encoding="utf-8"?>
<ds:datastoreItem xmlns:ds="http://schemas.openxmlformats.org/officeDocument/2006/customXml" ds:itemID="{3EAFEC8E-4057-4D8F-BF4A-E89D68941C4B}">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8</vt:i4>
      </vt:variant>
    </vt:vector>
  </HeadingPairs>
  <TitlesOfParts>
    <vt:vector size="16" baseType="lpstr">
      <vt:lpstr>1-A Agricultura Pac. Central</vt:lpstr>
      <vt:lpstr>1-B Agricultura Pac. Norte</vt:lpstr>
      <vt:lpstr>1-C Pecuario Pac. Central</vt:lpstr>
      <vt:lpstr>1-D Pecuario Pac. Norte</vt:lpstr>
      <vt:lpstr>2-A Edificios Ministerio Salud</vt:lpstr>
      <vt:lpstr>2-B Edificios CCSS</vt:lpstr>
      <vt:lpstr>3-A Sistemas AYA</vt:lpstr>
      <vt:lpstr>3-B SISTEMAS ASADAS</vt:lpstr>
      <vt:lpstr>'1-A Agricultura Pac. Central'!Títulos_a_imprimir</vt:lpstr>
      <vt:lpstr>'1-B Agricultura Pac. Norte'!Títulos_a_imprimir</vt:lpstr>
      <vt:lpstr>'1-C Pecuario Pac. Central'!Títulos_a_imprimir</vt:lpstr>
      <vt:lpstr>'1-D Pecuario Pac. Norte'!Títulos_a_imprimir</vt:lpstr>
      <vt:lpstr>'2-A Edificios Ministerio Salud'!Títulos_a_imprimir</vt:lpstr>
      <vt:lpstr>'2-B Edificios CCSS'!Títulos_a_imprimir</vt:lpstr>
      <vt:lpstr>'3-A Sistemas AYA'!Títulos_a_imprimir</vt:lpstr>
      <vt:lpstr>'3-B SISTEMAS ASADAS'!Títulos_a_imprimir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POBLACIÓN AFECTADA</dc:title>
  <dc:subject>ALBERGUE TEMPORAL</dc:subject>
  <dc:creator>COMISION NACIONAL DE EMERGENCIA</dc:creator>
  <cp:keywords>CUADRO DE DATOS</cp:keywords>
  <dc:description>CUADRO PARA ORGANIZAR LOS DATOS PROCEDENTES DE LA ZONA AFECTADA.</dc:description>
  <cp:lastModifiedBy>Daniela C Aragón Hernández</cp:lastModifiedBy>
  <cp:lastPrinted>2015-01-14T16:29:19Z</cp:lastPrinted>
  <dcterms:created xsi:type="dcterms:W3CDTF">2000-06-28T16:04:43Z</dcterms:created>
  <dcterms:modified xsi:type="dcterms:W3CDTF">2019-09-27T18:38:46Z</dcterms:modified>
</cp:coreProperties>
</file>