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3.xml" ContentType="application/vnd.openxmlformats-officedocument.spreadsheetml.table+xml"/>
  <Override PartName="/xl/comments5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Dev\GitsLeo\Analises\Valores\"/>
    </mc:Choice>
  </mc:AlternateContent>
  <xr:revisionPtr revIDLastSave="0" documentId="13_ncr:1_{1E186C54-346F-4383-8186-98C368574615}" xr6:coauthVersionLast="45" xr6:coauthVersionMax="45" xr10:uidLastSave="{00000000-0000-0000-0000-000000000000}"/>
  <bookViews>
    <workbookView xWindow="-120" yWindow="-120" windowWidth="20730" windowHeight="11160" tabRatio="803" xr2:uid="{9F83ED37-374C-4ED9-8C53-FFB3D8D6D5CE}"/>
  </bookViews>
  <sheets>
    <sheet name="Relatório" sheetId="4" r:id="rId1"/>
    <sheet name="Geração" sheetId="6" r:id="rId2"/>
    <sheet name="Efetividade" sheetId="7" r:id="rId3"/>
    <sheet name="Registro" sheetId="8" r:id="rId4"/>
    <sheet name="Cliente" sheetId="1" r:id="rId5"/>
    <sheet name="Ger Prev" sheetId="2" r:id="rId6"/>
    <sheet name="Ger Efet" sheetId="3" r:id="rId7"/>
    <sheet name="Acesso" sheetId="5" r:id="rId8"/>
    <sheet name="Limpezas" sheetId="10" r:id="rId9"/>
    <sheet name="Formulas Site" sheetId="9" r:id="rId10"/>
    <sheet name="Valor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9" l="1"/>
  <c r="B3" i="9"/>
  <c r="E1" i="4" l="1"/>
  <c r="B1" i="4"/>
  <c r="C10" i="4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D72" i="2"/>
  <c r="C8" i="4"/>
  <c r="F68" i="8" l="1"/>
  <c r="F69" i="8"/>
  <c r="F70" i="8"/>
  <c r="F71" i="8"/>
  <c r="F72" i="8"/>
  <c r="F73" i="8"/>
  <c r="F74" i="8"/>
  <c r="E73" i="1"/>
  <c r="F6" i="4"/>
  <c r="D70" i="10"/>
  <c r="D71" i="10"/>
  <c r="D72" i="10"/>
  <c r="E71" i="1"/>
  <c r="AD70" i="2" s="1"/>
  <c r="E70" i="2" s="1"/>
  <c r="E72" i="1"/>
  <c r="AD71" i="2" s="1"/>
  <c r="D71" i="2" s="1"/>
  <c r="E70" i="1"/>
  <c r="AD69" i="2" s="1"/>
  <c r="L70" i="2" l="1"/>
  <c r="D70" i="2"/>
  <c r="F69" i="2"/>
  <c r="E69" i="2"/>
  <c r="K69" i="2"/>
  <c r="G71" i="2"/>
  <c r="K70" i="2"/>
  <c r="C70" i="2"/>
  <c r="I69" i="2"/>
  <c r="D69" i="2"/>
  <c r="K71" i="2"/>
  <c r="C71" i="2"/>
  <c r="H70" i="2"/>
  <c r="M69" i="2"/>
  <c r="H69" i="2"/>
  <c r="C69" i="2"/>
  <c r="G70" i="2"/>
  <c r="L69" i="2"/>
  <c r="G69" i="2"/>
  <c r="N71" i="2"/>
  <c r="J71" i="2"/>
  <c r="F71" i="2"/>
  <c r="M71" i="2"/>
  <c r="I71" i="2"/>
  <c r="E71" i="2"/>
  <c r="N70" i="2"/>
  <c r="J70" i="2"/>
  <c r="F70" i="2"/>
  <c r="L71" i="2"/>
  <c r="H71" i="2"/>
  <c r="M70" i="2"/>
  <c r="I70" i="2"/>
  <c r="N69" i="2"/>
  <c r="J69" i="2"/>
  <c r="D10" i="10"/>
  <c r="D11" i="10"/>
  <c r="D12" i="10"/>
  <c r="D13" i="10"/>
  <c r="D14" i="10"/>
  <c r="D15" i="10"/>
  <c r="O71" i="2" l="1"/>
  <c r="O70" i="2"/>
  <c r="O69" i="2"/>
  <c r="D68" i="10"/>
  <c r="D69" i="10"/>
  <c r="E69" i="1"/>
  <c r="AD68" i="2" s="1"/>
  <c r="C68" i="2" s="1"/>
  <c r="N68" i="2" l="1"/>
  <c r="J68" i="2"/>
  <c r="F68" i="2"/>
  <c r="M68" i="2"/>
  <c r="I68" i="2"/>
  <c r="E68" i="2"/>
  <c r="L68" i="2"/>
  <c r="H68" i="2"/>
  <c r="D68" i="2"/>
  <c r="K68" i="2"/>
  <c r="G68" i="2"/>
  <c r="E68" i="1"/>
  <c r="AD67" i="2" s="1"/>
  <c r="C67" i="2" s="1"/>
  <c r="O68" i="2" l="1"/>
  <c r="J67" i="2"/>
  <c r="F67" i="2"/>
  <c r="M67" i="2"/>
  <c r="I67" i="2"/>
  <c r="E67" i="2"/>
  <c r="L67" i="2"/>
  <c r="H67" i="2"/>
  <c r="D67" i="2"/>
  <c r="N67" i="2"/>
  <c r="K67" i="2"/>
  <c r="G67" i="2"/>
  <c r="D67" i="10"/>
  <c r="E67" i="1"/>
  <c r="AD66" i="2" s="1"/>
  <c r="C66" i="2" s="1"/>
  <c r="O67" i="2" l="1"/>
  <c r="N66" i="2"/>
  <c r="J66" i="2"/>
  <c r="F66" i="2"/>
  <c r="M66" i="2"/>
  <c r="I66" i="2"/>
  <c r="E66" i="2"/>
  <c r="L66" i="2"/>
  <c r="H66" i="2"/>
  <c r="D66" i="2"/>
  <c r="K66" i="2"/>
  <c r="G66" i="2"/>
  <c r="F62" i="8"/>
  <c r="F63" i="8"/>
  <c r="B5" i="9"/>
  <c r="O66" i="2" l="1"/>
  <c r="B6" i="9"/>
  <c r="F67" i="8"/>
  <c r="F66" i="8"/>
  <c r="E66" i="1" l="1"/>
  <c r="D66" i="10"/>
  <c r="D65" i="10"/>
  <c r="E65" i="1" l="1"/>
  <c r="F61" i="8" l="1"/>
  <c r="F65" i="8"/>
  <c r="F64" i="8"/>
  <c r="D62" i="10"/>
  <c r="D63" i="10"/>
  <c r="D64" i="10"/>
  <c r="E64" i="1"/>
  <c r="AD65" i="2" s="1"/>
  <c r="E63" i="1"/>
  <c r="AD64" i="2" s="1"/>
  <c r="F64" i="2" s="1"/>
  <c r="E62" i="1"/>
  <c r="AD63" i="2" s="1"/>
  <c r="D65" i="2" l="1"/>
  <c r="C65" i="2"/>
  <c r="C63" i="2"/>
  <c r="K63" i="2"/>
  <c r="G63" i="2"/>
  <c r="N63" i="2"/>
  <c r="J63" i="2"/>
  <c r="F63" i="2"/>
  <c r="K65" i="2"/>
  <c r="M63" i="2"/>
  <c r="I63" i="2"/>
  <c r="E63" i="2"/>
  <c r="G65" i="2"/>
  <c r="L63" i="2"/>
  <c r="H63" i="2"/>
  <c r="D63" i="2"/>
  <c r="N64" i="2"/>
  <c r="J64" i="2"/>
  <c r="M64" i="2"/>
  <c r="I64" i="2"/>
  <c r="E64" i="2"/>
  <c r="L64" i="2"/>
  <c r="H64" i="2"/>
  <c r="D64" i="2"/>
  <c r="K64" i="2"/>
  <c r="G64" i="2"/>
  <c r="C64" i="2"/>
  <c r="N65" i="2"/>
  <c r="F65" i="2"/>
  <c r="M65" i="2"/>
  <c r="I65" i="2"/>
  <c r="E65" i="2"/>
  <c r="J65" i="2"/>
  <c r="L65" i="2"/>
  <c r="H65" i="2"/>
  <c r="O63" i="2" l="1"/>
  <c r="O64" i="2"/>
  <c r="O65" i="2"/>
  <c r="D58" i="10"/>
  <c r="D38" i="10"/>
  <c r="D59" i="10"/>
  <c r="D55" i="10"/>
  <c r="D31" i="10"/>
  <c r="D29" i="10"/>
  <c r="D56" i="10"/>
  <c r="D8" i="10"/>
  <c r="D50" i="10"/>
  <c r="D46" i="10"/>
  <c r="D37" i="10"/>
  <c r="D41" i="10"/>
  <c r="D20" i="10"/>
  <c r="D26" i="10"/>
  <c r="D35" i="10"/>
  <c r="D22" i="10"/>
  <c r="D30" i="10"/>
  <c r="D2" i="10"/>
  <c r="D45" i="10"/>
  <c r="D42" i="10"/>
  <c r="D21" i="10"/>
  <c r="D5" i="10"/>
  <c r="D6" i="10"/>
  <c r="D24" i="10"/>
  <c r="D25" i="10"/>
  <c r="D33" i="10"/>
  <c r="D51" i="10"/>
  <c r="D7" i="10"/>
  <c r="D3" i="10"/>
  <c r="D4" i="10"/>
  <c r="D52" i="10"/>
  <c r="D47" i="10"/>
  <c r="D48" i="10"/>
  <c r="D60" i="10"/>
  <c r="D43" i="10"/>
  <c r="D39" i="10"/>
  <c r="D23" i="10"/>
  <c r="D53" i="10"/>
  <c r="D49" i="10"/>
  <c r="D9" i="10"/>
  <c r="D16" i="10"/>
  <c r="D17" i="10"/>
  <c r="D36" i="10"/>
  <c r="D32" i="10"/>
  <c r="D34" i="10"/>
  <c r="D40" i="10"/>
  <c r="D61" i="10"/>
  <c r="D44" i="10"/>
  <c r="D57" i="10"/>
  <c r="K6" i="4" s="1"/>
  <c r="D28" i="10"/>
  <c r="D18" i="10"/>
  <c r="D19" i="10"/>
  <c r="D27" i="10"/>
  <c r="D54" i="10"/>
  <c r="N8" i="4" l="1"/>
  <c r="M8" i="4"/>
  <c r="L8" i="4"/>
  <c r="K8" i="4"/>
  <c r="J8" i="4"/>
  <c r="I8" i="4"/>
  <c r="H8" i="4"/>
  <c r="G8" i="4"/>
  <c r="F8" i="4"/>
  <c r="E8" i="4"/>
  <c r="D8" i="4"/>
  <c r="F60" i="8"/>
  <c r="F59" i="8"/>
  <c r="F12" i="8"/>
  <c r="F10" i="8"/>
  <c r="F8" i="8"/>
  <c r="F6" i="8"/>
  <c r="F4" i="8"/>
  <c r="F3" i="8"/>
  <c r="F2" i="8"/>
  <c r="F5" i="8"/>
  <c r="F7" i="8"/>
  <c r="F9" i="8"/>
  <c r="F11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E10" i="1"/>
  <c r="AD11" i="2" s="1"/>
  <c r="E2" i="1"/>
  <c r="E3" i="1"/>
  <c r="AD4" i="2" s="1"/>
  <c r="E4" i="1"/>
  <c r="AD5" i="2" s="1"/>
  <c r="E5" i="1"/>
  <c r="AD6" i="2" s="1"/>
  <c r="E6" i="1"/>
  <c r="AD7" i="2" s="1"/>
  <c r="E7" i="1"/>
  <c r="AD8" i="2" s="1"/>
  <c r="E8" i="1"/>
  <c r="AD9" i="2" s="1"/>
  <c r="E9" i="1"/>
  <c r="AD10" i="2" s="1"/>
  <c r="E11" i="1"/>
  <c r="AD12" i="2" s="1"/>
  <c r="C12" i="2" s="1"/>
  <c r="E12" i="1"/>
  <c r="AD13" i="2" s="1"/>
  <c r="E13" i="1"/>
  <c r="AD14" i="2" s="1"/>
  <c r="E14" i="1"/>
  <c r="AD15" i="2" s="1"/>
  <c r="E15" i="1"/>
  <c r="AD16" i="2" s="1"/>
  <c r="E16" i="1"/>
  <c r="AD17" i="2" s="1"/>
  <c r="E17" i="1"/>
  <c r="AD18" i="2" s="1"/>
  <c r="E18" i="1"/>
  <c r="AD19" i="2" s="1"/>
  <c r="E19" i="1"/>
  <c r="AD20" i="2" s="1"/>
  <c r="E20" i="1"/>
  <c r="AD21" i="2" s="1"/>
  <c r="E21" i="1"/>
  <c r="AD22" i="2" s="1"/>
  <c r="E22" i="1"/>
  <c r="AD23" i="2" s="1"/>
  <c r="E23" i="1"/>
  <c r="AD24" i="2" s="1"/>
  <c r="E24" i="1"/>
  <c r="AD25" i="2" s="1"/>
  <c r="E25" i="1"/>
  <c r="AD26" i="2" s="1"/>
  <c r="E26" i="1"/>
  <c r="AD27" i="2" s="1"/>
  <c r="E27" i="1"/>
  <c r="AD28" i="2" s="1"/>
  <c r="E28" i="1"/>
  <c r="AD29" i="2" s="1"/>
  <c r="E29" i="1"/>
  <c r="AD30" i="2" s="1"/>
  <c r="E30" i="1"/>
  <c r="AD31" i="2" s="1"/>
  <c r="E31" i="1"/>
  <c r="AD32" i="2" s="1"/>
  <c r="E32" i="1"/>
  <c r="AD33" i="2" s="1"/>
  <c r="E33" i="1"/>
  <c r="AD34" i="2" s="1"/>
  <c r="E34" i="1"/>
  <c r="AD35" i="2" s="1"/>
  <c r="E35" i="1"/>
  <c r="AD36" i="2" s="1"/>
  <c r="E36" i="1"/>
  <c r="AD37" i="2" s="1"/>
  <c r="E37" i="1"/>
  <c r="AD38" i="2" s="1"/>
  <c r="E38" i="1"/>
  <c r="AD39" i="2" s="1"/>
  <c r="E39" i="1"/>
  <c r="AD40" i="2" s="1"/>
  <c r="E40" i="1"/>
  <c r="AD41" i="2" s="1"/>
  <c r="E41" i="1"/>
  <c r="AD42" i="2" s="1"/>
  <c r="E42" i="1"/>
  <c r="AD43" i="2" s="1"/>
  <c r="E43" i="1"/>
  <c r="AD44" i="2" s="1"/>
  <c r="E44" i="1"/>
  <c r="AD45" i="2" s="1"/>
  <c r="E45" i="1"/>
  <c r="AD46" i="2" s="1"/>
  <c r="E46" i="1"/>
  <c r="AD47" i="2" s="1"/>
  <c r="E47" i="1"/>
  <c r="AD48" i="2" s="1"/>
  <c r="E48" i="1"/>
  <c r="AD49" i="2" s="1"/>
  <c r="E49" i="1"/>
  <c r="AD50" i="2" s="1"/>
  <c r="E50" i="1"/>
  <c r="AD51" i="2" s="1"/>
  <c r="E51" i="1"/>
  <c r="AD52" i="2" s="1"/>
  <c r="E52" i="1"/>
  <c r="AD53" i="2" s="1"/>
  <c r="E53" i="1"/>
  <c r="E54" i="1"/>
  <c r="AD55" i="2" s="1"/>
  <c r="E55" i="1"/>
  <c r="AD56" i="2" s="1"/>
  <c r="E56" i="1"/>
  <c r="AD57" i="2" s="1"/>
  <c r="E57" i="1"/>
  <c r="E58" i="1"/>
  <c r="E59" i="1"/>
  <c r="AD60" i="2" s="1"/>
  <c r="N60" i="2" s="1"/>
  <c r="E60" i="1"/>
  <c r="AD61" i="2" s="1"/>
  <c r="E61" i="1"/>
  <c r="AD62" i="2" s="1"/>
  <c r="AD3" i="2" l="1"/>
  <c r="B8" i="9"/>
  <c r="B7" i="9"/>
  <c r="AD58" i="2"/>
  <c r="N58" i="2" s="1"/>
  <c r="O5" i="4"/>
  <c r="AD54" i="2"/>
  <c r="AD59" i="2"/>
  <c r="N59" i="2" s="1"/>
  <c r="O8" i="4"/>
  <c r="E11" i="2"/>
  <c r="G11" i="2"/>
  <c r="C11" i="2"/>
  <c r="M11" i="2"/>
  <c r="I12" i="2"/>
  <c r="H12" i="2"/>
  <c r="N12" i="2"/>
  <c r="K12" i="2"/>
  <c r="F12" i="2"/>
  <c r="E12" i="2"/>
  <c r="D12" i="2"/>
  <c r="M12" i="2"/>
  <c r="L11" i="2"/>
  <c r="J11" i="2"/>
  <c r="H11" i="2"/>
  <c r="F11" i="2"/>
  <c r="D11" i="2"/>
  <c r="K11" i="2"/>
  <c r="I11" i="2"/>
  <c r="N11" i="2"/>
  <c r="L12" i="2"/>
  <c r="J12" i="2"/>
  <c r="G12" i="2"/>
  <c r="E61" i="2"/>
  <c r="I61" i="2"/>
  <c r="M61" i="2"/>
  <c r="F61" i="2"/>
  <c r="J61" i="2"/>
  <c r="N61" i="2"/>
  <c r="C61" i="2"/>
  <c r="G61" i="2"/>
  <c r="K61" i="2"/>
  <c r="D61" i="2"/>
  <c r="H61" i="2"/>
  <c r="L61" i="2"/>
  <c r="F60" i="2"/>
  <c r="J60" i="2"/>
  <c r="C60" i="2"/>
  <c r="G60" i="2"/>
  <c r="K60" i="2"/>
  <c r="D60" i="2"/>
  <c r="H60" i="2"/>
  <c r="L60" i="2"/>
  <c r="E60" i="2"/>
  <c r="I60" i="2"/>
  <c r="M60" i="2"/>
  <c r="D62" i="2"/>
  <c r="H62" i="2"/>
  <c r="L62" i="2"/>
  <c r="E62" i="2"/>
  <c r="I62" i="2"/>
  <c r="M62" i="2"/>
  <c r="F62" i="2"/>
  <c r="J62" i="2"/>
  <c r="N62" i="2"/>
  <c r="C62" i="2"/>
  <c r="G62" i="2"/>
  <c r="K62" i="2"/>
  <c r="G59" i="2" l="1"/>
  <c r="I59" i="2"/>
  <c r="H59" i="2"/>
  <c r="C59" i="2"/>
  <c r="L59" i="2"/>
  <c r="M59" i="2"/>
  <c r="D59" i="2"/>
  <c r="J59" i="2"/>
  <c r="E59" i="2"/>
  <c r="K59" i="2"/>
  <c r="F59" i="2"/>
  <c r="O12" i="2"/>
  <c r="O11" i="2"/>
  <c r="O60" i="2"/>
  <c r="O61" i="2"/>
  <c r="O62" i="2"/>
  <c r="O59" i="2" l="1"/>
  <c r="C11" i="4"/>
  <c r="P22" i="4"/>
  <c r="P26" i="4"/>
  <c r="P24" i="4"/>
  <c r="P20" i="4"/>
  <c r="P18" i="4"/>
  <c r="P16" i="4"/>
  <c r="P14" i="4"/>
  <c r="P12" i="4"/>
  <c r="P10" i="4"/>
  <c r="F22" i="4"/>
  <c r="F23" i="4" s="1"/>
  <c r="G22" i="4"/>
  <c r="G23" i="4" s="1"/>
  <c r="F20" i="4"/>
  <c r="F21" i="4" s="1"/>
  <c r="G20" i="4"/>
  <c r="G21" i="4" s="1"/>
  <c r="F18" i="4"/>
  <c r="G18" i="4"/>
  <c r="F16" i="4"/>
  <c r="F17" i="4" s="1"/>
  <c r="P1" i="4" l="1"/>
  <c r="J5" i="4"/>
  <c r="F5" i="4"/>
  <c r="K29" i="3" l="1"/>
  <c r="K28" i="3"/>
  <c r="K20" i="3"/>
  <c r="J20" i="3"/>
  <c r="I20" i="3"/>
  <c r="H20" i="3"/>
  <c r="B1" i="9" s="1"/>
  <c r="A3" i="2"/>
  <c r="A4" i="2" s="1"/>
  <c r="B2" i="9" l="1"/>
  <c r="D10" i="4"/>
  <c r="D11" i="4" s="1"/>
  <c r="H10" i="4"/>
  <c r="H11" i="4" s="1"/>
  <c r="L10" i="4"/>
  <c r="L11" i="4" s="1"/>
  <c r="D12" i="4"/>
  <c r="D13" i="4" s="1"/>
  <c r="H12" i="4"/>
  <c r="H13" i="4" s="1"/>
  <c r="L12" i="4"/>
  <c r="L13" i="4" s="1"/>
  <c r="N16" i="4"/>
  <c r="N17" i="4" s="1"/>
  <c r="G16" i="4"/>
  <c r="G17" i="4" s="1"/>
  <c r="K16" i="4"/>
  <c r="K17" i="4" s="1"/>
  <c r="E18" i="4"/>
  <c r="E19" i="4" s="1"/>
  <c r="I18" i="4"/>
  <c r="I19" i="4" s="1"/>
  <c r="M18" i="4"/>
  <c r="M19" i="4" s="1"/>
  <c r="J20" i="4"/>
  <c r="J21" i="4" s="1"/>
  <c r="N20" i="4"/>
  <c r="N21" i="4" s="1"/>
  <c r="K22" i="4"/>
  <c r="K23" i="4" s="1"/>
  <c r="D26" i="4"/>
  <c r="D27" i="4" s="1"/>
  <c r="H26" i="4"/>
  <c r="H27" i="4" s="1"/>
  <c r="L26" i="4"/>
  <c r="L27" i="4" s="1"/>
  <c r="D24" i="4"/>
  <c r="D25" i="4" s="1"/>
  <c r="D14" i="4"/>
  <c r="D15" i="4" s="1"/>
  <c r="L16" i="4"/>
  <c r="L17" i="4" s="1"/>
  <c r="J18" i="4"/>
  <c r="J19" i="4" s="1"/>
  <c r="K20" i="4"/>
  <c r="K21" i="4" s="1"/>
  <c r="E26" i="4"/>
  <c r="E27" i="4" s="1"/>
  <c r="E24" i="4"/>
  <c r="E25" i="4" s="1"/>
  <c r="C20" i="4"/>
  <c r="C21" i="4" s="1"/>
  <c r="M14" i="4"/>
  <c r="M15" i="4" s="1"/>
  <c r="E10" i="4"/>
  <c r="E11" i="4" s="1"/>
  <c r="I10" i="4"/>
  <c r="I11" i="4" s="1"/>
  <c r="M10" i="4"/>
  <c r="M11" i="4" s="1"/>
  <c r="E12" i="4"/>
  <c r="E13" i="4" s="1"/>
  <c r="I12" i="4"/>
  <c r="I13" i="4" s="1"/>
  <c r="M12" i="4"/>
  <c r="M13" i="4" s="1"/>
  <c r="F10" i="4"/>
  <c r="F11" i="4" s="1"/>
  <c r="J10" i="4"/>
  <c r="J11" i="4" s="1"/>
  <c r="N10" i="4"/>
  <c r="N11" i="4" s="1"/>
  <c r="F12" i="4"/>
  <c r="F13" i="4" s="1"/>
  <c r="J12" i="4"/>
  <c r="J13" i="4" s="1"/>
  <c r="N12" i="4"/>
  <c r="N13" i="4" s="1"/>
  <c r="E16" i="4"/>
  <c r="E17" i="4" s="1"/>
  <c r="I16" i="4"/>
  <c r="I17" i="4" s="1"/>
  <c r="M16" i="4"/>
  <c r="M17" i="4" s="1"/>
  <c r="G19" i="4"/>
  <c r="K18" i="4"/>
  <c r="K19" i="4" s="1"/>
  <c r="D20" i="4"/>
  <c r="D21" i="4" s="1"/>
  <c r="H20" i="4"/>
  <c r="H21" i="4" s="1"/>
  <c r="L20" i="4"/>
  <c r="L21" i="4" s="1"/>
  <c r="E22" i="4"/>
  <c r="E23" i="4" s="1"/>
  <c r="I22" i="4"/>
  <c r="I23" i="4" s="1"/>
  <c r="M22" i="4"/>
  <c r="M23" i="4" s="1"/>
  <c r="F26" i="4"/>
  <c r="F27" i="4" s="1"/>
  <c r="J26" i="4"/>
  <c r="J27" i="4" s="1"/>
  <c r="N26" i="4"/>
  <c r="N27" i="4" s="1"/>
  <c r="F24" i="4"/>
  <c r="F25" i="4" s="1"/>
  <c r="J24" i="4"/>
  <c r="J25" i="4" s="1"/>
  <c r="N24" i="4"/>
  <c r="N25" i="4" s="1"/>
  <c r="C18" i="4"/>
  <c r="C19" i="4" s="1"/>
  <c r="F14" i="4"/>
  <c r="F15" i="4" s="1"/>
  <c r="J14" i="4"/>
  <c r="J15" i="4" s="1"/>
  <c r="N14" i="4"/>
  <c r="N15" i="4" s="1"/>
  <c r="H24" i="4"/>
  <c r="H25" i="4" s="1"/>
  <c r="H14" i="4"/>
  <c r="H15" i="4" s="1"/>
  <c r="H16" i="4"/>
  <c r="H17" i="4" s="1"/>
  <c r="N18" i="4"/>
  <c r="N19" i="4" s="1"/>
  <c r="D22" i="4"/>
  <c r="D23" i="4" s="1"/>
  <c r="L22" i="4"/>
  <c r="L23" i="4" s="1"/>
  <c r="M26" i="4"/>
  <c r="M27" i="4" s="1"/>
  <c r="M24" i="4"/>
  <c r="M25" i="4" s="1"/>
  <c r="E14" i="4"/>
  <c r="E15" i="4" s="1"/>
  <c r="G10" i="4"/>
  <c r="G11" i="4" s="1"/>
  <c r="K10" i="4"/>
  <c r="K11" i="4" s="1"/>
  <c r="G12" i="4"/>
  <c r="G13" i="4" s="1"/>
  <c r="K12" i="4"/>
  <c r="K13" i="4" s="1"/>
  <c r="C12" i="4"/>
  <c r="C13" i="4" s="1"/>
  <c r="J16" i="4"/>
  <c r="J17" i="4" s="1"/>
  <c r="D18" i="4"/>
  <c r="D19" i="4" s="1"/>
  <c r="H18" i="4"/>
  <c r="H19" i="4" s="1"/>
  <c r="L18" i="4"/>
  <c r="L19" i="4" s="1"/>
  <c r="E20" i="4"/>
  <c r="E21" i="4" s="1"/>
  <c r="I20" i="4"/>
  <c r="I21" i="4" s="1"/>
  <c r="M20" i="4"/>
  <c r="M21" i="4" s="1"/>
  <c r="J22" i="4"/>
  <c r="J23" i="4" s="1"/>
  <c r="N22" i="4"/>
  <c r="N23" i="4" s="1"/>
  <c r="G26" i="4"/>
  <c r="G27" i="4" s="1"/>
  <c r="K26" i="4"/>
  <c r="K27" i="4" s="1"/>
  <c r="C26" i="4"/>
  <c r="C27" i="4" s="1"/>
  <c r="G24" i="4"/>
  <c r="G25" i="4" s="1"/>
  <c r="K24" i="4"/>
  <c r="K25" i="4" s="1"/>
  <c r="C24" i="4"/>
  <c r="C25" i="4" s="1"/>
  <c r="C16" i="4"/>
  <c r="C17" i="4" s="1"/>
  <c r="G14" i="4"/>
  <c r="G15" i="4" s="1"/>
  <c r="K14" i="4"/>
  <c r="K15" i="4" s="1"/>
  <c r="C14" i="4"/>
  <c r="C15" i="4" s="1"/>
  <c r="L24" i="4"/>
  <c r="L25" i="4" s="1"/>
  <c r="C22" i="4"/>
  <c r="C23" i="4" s="1"/>
  <c r="L14" i="4"/>
  <c r="L15" i="4" s="1"/>
  <c r="D16" i="4"/>
  <c r="D17" i="4" s="1"/>
  <c r="F19" i="4"/>
  <c r="H22" i="4"/>
  <c r="H23" i="4" s="1"/>
  <c r="I26" i="4"/>
  <c r="I27" i="4" s="1"/>
  <c r="I24" i="4"/>
  <c r="I25" i="4" s="1"/>
  <c r="I14" i="4"/>
  <c r="I15" i="4" s="1"/>
  <c r="A5" i="2"/>
  <c r="O13" i="4" l="1"/>
  <c r="O27" i="4"/>
  <c r="O21" i="4"/>
  <c r="O23" i="4"/>
  <c r="O17" i="4"/>
  <c r="O15" i="4"/>
  <c r="O25" i="4"/>
  <c r="O19" i="4"/>
  <c r="O11" i="4"/>
  <c r="O10" i="4"/>
  <c r="O12" i="4"/>
  <c r="O22" i="4"/>
  <c r="O20" i="4"/>
  <c r="O16" i="4"/>
  <c r="O26" i="4"/>
  <c r="O18" i="4"/>
  <c r="O14" i="4"/>
  <c r="O24" i="4"/>
  <c r="A6" i="2"/>
  <c r="R8" i="4" l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E4" i="2" l="1"/>
  <c r="C8" i="2"/>
  <c r="N13" i="2"/>
  <c r="J16" i="2"/>
  <c r="N17" i="2"/>
  <c r="F19" i="2"/>
  <c r="F23" i="2"/>
  <c r="J24" i="2"/>
  <c r="F27" i="2"/>
  <c r="J28" i="2"/>
  <c r="N29" i="2"/>
  <c r="F32" i="2"/>
  <c r="H33" i="2"/>
  <c r="L34" i="2"/>
  <c r="H35" i="2"/>
  <c r="L36" i="2"/>
  <c r="D37" i="2"/>
  <c r="E38" i="2"/>
  <c r="H40" i="2"/>
  <c r="D41" i="2"/>
  <c r="H42" i="2"/>
  <c r="D43" i="2"/>
  <c r="H44" i="2"/>
  <c r="D45" i="2"/>
  <c r="H46" i="2"/>
  <c r="D47" i="2"/>
  <c r="H48" i="2"/>
  <c r="D49" i="2"/>
  <c r="H50" i="2"/>
  <c r="H52" i="2"/>
  <c r="D53" i="2"/>
  <c r="H54" i="2"/>
  <c r="E55" i="2"/>
  <c r="C56" i="2"/>
  <c r="D57" i="2"/>
  <c r="D58" i="2"/>
  <c r="L3" i="2"/>
  <c r="D4" i="2" l="1"/>
  <c r="N56" i="2"/>
  <c r="D36" i="2"/>
  <c r="K58" i="2"/>
  <c r="J56" i="2"/>
  <c r="L4" i="2"/>
  <c r="G58" i="2"/>
  <c r="F56" i="2"/>
  <c r="H4" i="2"/>
  <c r="C58" i="2"/>
  <c r="H37" i="2"/>
  <c r="G3" i="2"/>
  <c r="K3" i="2"/>
  <c r="D3" i="2"/>
  <c r="H3" i="2"/>
  <c r="E3" i="2"/>
  <c r="I3" i="2"/>
  <c r="M3" i="2"/>
  <c r="F3" i="2"/>
  <c r="J3" i="2"/>
  <c r="E51" i="2"/>
  <c r="I51" i="2"/>
  <c r="M51" i="2"/>
  <c r="F51" i="2"/>
  <c r="J51" i="2"/>
  <c r="N51" i="2"/>
  <c r="C51" i="2"/>
  <c r="G51" i="2"/>
  <c r="K51" i="2"/>
  <c r="E39" i="2"/>
  <c r="I39" i="2"/>
  <c r="M39" i="2"/>
  <c r="F39" i="2"/>
  <c r="J39" i="2"/>
  <c r="N39" i="2"/>
  <c r="C39" i="2"/>
  <c r="G39" i="2"/>
  <c r="K39" i="2"/>
  <c r="C31" i="2"/>
  <c r="G31" i="2"/>
  <c r="K31" i="2"/>
  <c r="D31" i="2"/>
  <c r="H31" i="2"/>
  <c r="L31" i="2"/>
  <c r="E31" i="2"/>
  <c r="I31" i="2"/>
  <c r="M31" i="2"/>
  <c r="J31" i="2"/>
  <c r="N31" i="2"/>
  <c r="C7" i="2"/>
  <c r="G7" i="2"/>
  <c r="K7" i="2"/>
  <c r="D7" i="2"/>
  <c r="H7" i="2"/>
  <c r="L7" i="2"/>
  <c r="E7" i="2"/>
  <c r="I7" i="2"/>
  <c r="M7" i="2"/>
  <c r="N7" i="2"/>
  <c r="F7" i="2"/>
  <c r="L47" i="2"/>
  <c r="L43" i="2"/>
  <c r="L39" i="2"/>
  <c r="J7" i="2"/>
  <c r="N3" i="2"/>
  <c r="J55" i="2"/>
  <c r="F55" i="2"/>
  <c r="E54" i="2"/>
  <c r="I54" i="2"/>
  <c r="M54" i="2"/>
  <c r="F54" i="2"/>
  <c r="J54" i="2"/>
  <c r="N54" i="2"/>
  <c r="C54" i="2"/>
  <c r="G54" i="2"/>
  <c r="K54" i="2"/>
  <c r="E50" i="2"/>
  <c r="I50" i="2"/>
  <c r="M50" i="2"/>
  <c r="F50" i="2"/>
  <c r="J50" i="2"/>
  <c r="N50" i="2"/>
  <c r="C50" i="2"/>
  <c r="G50" i="2"/>
  <c r="K50" i="2"/>
  <c r="E46" i="2"/>
  <c r="I46" i="2"/>
  <c r="M46" i="2"/>
  <c r="F46" i="2"/>
  <c r="J46" i="2"/>
  <c r="N46" i="2"/>
  <c r="C46" i="2"/>
  <c r="G46" i="2"/>
  <c r="K46" i="2"/>
  <c r="E42" i="2"/>
  <c r="I42" i="2"/>
  <c r="M42" i="2"/>
  <c r="F42" i="2"/>
  <c r="J42" i="2"/>
  <c r="N42" i="2"/>
  <c r="C42" i="2"/>
  <c r="G42" i="2"/>
  <c r="K42" i="2"/>
  <c r="E34" i="2"/>
  <c r="I34" i="2"/>
  <c r="M34" i="2"/>
  <c r="F34" i="2"/>
  <c r="J34" i="2"/>
  <c r="N34" i="2"/>
  <c r="C34" i="2"/>
  <c r="G34" i="2"/>
  <c r="K34" i="2"/>
  <c r="C30" i="2"/>
  <c r="G30" i="2"/>
  <c r="K30" i="2"/>
  <c r="D30" i="2"/>
  <c r="H30" i="2"/>
  <c r="L30" i="2"/>
  <c r="E30" i="2"/>
  <c r="I30" i="2"/>
  <c r="M30" i="2"/>
  <c r="F30" i="2"/>
  <c r="J30" i="2"/>
  <c r="N30" i="2"/>
  <c r="C26" i="2"/>
  <c r="G26" i="2"/>
  <c r="K26" i="2"/>
  <c r="D26" i="2"/>
  <c r="H26" i="2"/>
  <c r="L26" i="2"/>
  <c r="E26" i="2"/>
  <c r="I26" i="2"/>
  <c r="M26" i="2"/>
  <c r="F26" i="2"/>
  <c r="J26" i="2"/>
  <c r="N26" i="2"/>
  <c r="C22" i="2"/>
  <c r="G22" i="2"/>
  <c r="K22" i="2"/>
  <c r="D22" i="2"/>
  <c r="H22" i="2"/>
  <c r="L22" i="2"/>
  <c r="E22" i="2"/>
  <c r="I22" i="2"/>
  <c r="M22" i="2"/>
  <c r="F22" i="2"/>
  <c r="J22" i="2"/>
  <c r="N22" i="2"/>
  <c r="C18" i="2"/>
  <c r="G18" i="2"/>
  <c r="K18" i="2"/>
  <c r="D18" i="2"/>
  <c r="H18" i="2"/>
  <c r="L18" i="2"/>
  <c r="E18" i="2"/>
  <c r="I18" i="2"/>
  <c r="M18" i="2"/>
  <c r="F18" i="2"/>
  <c r="J18" i="2"/>
  <c r="N18" i="2"/>
  <c r="C14" i="2"/>
  <c r="G14" i="2"/>
  <c r="K14" i="2"/>
  <c r="D14" i="2"/>
  <c r="H14" i="2"/>
  <c r="L14" i="2"/>
  <c r="E14" i="2"/>
  <c r="I14" i="2"/>
  <c r="M14" i="2"/>
  <c r="F14" i="2"/>
  <c r="J14" i="2"/>
  <c r="N14" i="2"/>
  <c r="C10" i="2"/>
  <c r="G10" i="2"/>
  <c r="K10" i="2"/>
  <c r="D10" i="2"/>
  <c r="H10" i="2"/>
  <c r="L10" i="2"/>
  <c r="E10" i="2"/>
  <c r="I10" i="2"/>
  <c r="M10" i="2"/>
  <c r="F10" i="2"/>
  <c r="J10" i="2"/>
  <c r="N10" i="2"/>
  <c r="C6" i="2"/>
  <c r="G6" i="2"/>
  <c r="K6" i="2"/>
  <c r="D6" i="2"/>
  <c r="H6" i="2"/>
  <c r="L6" i="2"/>
  <c r="E6" i="2"/>
  <c r="I6" i="2"/>
  <c r="M6" i="2"/>
  <c r="J6" i="2"/>
  <c r="N6" i="2"/>
  <c r="C4" i="2"/>
  <c r="K4" i="2"/>
  <c r="G4" i="2"/>
  <c r="J58" i="2"/>
  <c r="F58" i="2"/>
  <c r="K57" i="2"/>
  <c r="M56" i="2"/>
  <c r="I56" i="2"/>
  <c r="E56" i="2"/>
  <c r="M55" i="2"/>
  <c r="I55" i="2"/>
  <c r="D55" i="2"/>
  <c r="D54" i="2"/>
  <c r="L52" i="2"/>
  <c r="H51" i="2"/>
  <c r="D50" i="2"/>
  <c r="L48" i="2"/>
  <c r="H47" i="2"/>
  <c r="D46" i="2"/>
  <c r="L44" i="2"/>
  <c r="H43" i="2"/>
  <c r="D42" i="2"/>
  <c r="L40" i="2"/>
  <c r="H39" i="2"/>
  <c r="L35" i="2"/>
  <c r="H34" i="2"/>
  <c r="N32" i="2"/>
  <c r="F6" i="2"/>
  <c r="E53" i="2"/>
  <c r="I53" i="2"/>
  <c r="M53" i="2"/>
  <c r="F53" i="2"/>
  <c r="J53" i="2"/>
  <c r="N53" i="2"/>
  <c r="C53" i="2"/>
  <c r="G53" i="2"/>
  <c r="K53" i="2"/>
  <c r="E49" i="2"/>
  <c r="I49" i="2"/>
  <c r="M49" i="2"/>
  <c r="F49" i="2"/>
  <c r="J49" i="2"/>
  <c r="N49" i="2"/>
  <c r="C49" i="2"/>
  <c r="G49" i="2"/>
  <c r="K49" i="2"/>
  <c r="E45" i="2"/>
  <c r="I45" i="2"/>
  <c r="M45" i="2"/>
  <c r="F45" i="2"/>
  <c r="J45" i="2"/>
  <c r="N45" i="2"/>
  <c r="C45" i="2"/>
  <c r="G45" i="2"/>
  <c r="K45" i="2"/>
  <c r="E41" i="2"/>
  <c r="I41" i="2"/>
  <c r="M41" i="2"/>
  <c r="F41" i="2"/>
  <c r="J41" i="2"/>
  <c r="N41" i="2"/>
  <c r="C41" i="2"/>
  <c r="G41" i="2"/>
  <c r="K41" i="2"/>
  <c r="E37" i="2"/>
  <c r="I37" i="2"/>
  <c r="M37" i="2"/>
  <c r="F37" i="2"/>
  <c r="J37" i="2"/>
  <c r="N37" i="2"/>
  <c r="C37" i="2"/>
  <c r="G37" i="2"/>
  <c r="K37" i="2"/>
  <c r="C33" i="2"/>
  <c r="E33" i="2"/>
  <c r="D33" i="2"/>
  <c r="I33" i="2"/>
  <c r="M33" i="2"/>
  <c r="F33" i="2"/>
  <c r="J33" i="2"/>
  <c r="N33" i="2"/>
  <c r="G33" i="2"/>
  <c r="K33" i="2"/>
  <c r="C29" i="2"/>
  <c r="G29" i="2"/>
  <c r="K29" i="2"/>
  <c r="D29" i="2"/>
  <c r="H29" i="2"/>
  <c r="L29" i="2"/>
  <c r="E29" i="2"/>
  <c r="I29" i="2"/>
  <c r="M29" i="2"/>
  <c r="F29" i="2"/>
  <c r="J29" i="2"/>
  <c r="C25" i="2"/>
  <c r="G25" i="2"/>
  <c r="K25" i="2"/>
  <c r="D25" i="2"/>
  <c r="H25" i="2"/>
  <c r="L25" i="2"/>
  <c r="E25" i="2"/>
  <c r="I25" i="2"/>
  <c r="M25" i="2"/>
  <c r="F25" i="2"/>
  <c r="J25" i="2"/>
  <c r="C21" i="2"/>
  <c r="G21" i="2"/>
  <c r="K21" i="2"/>
  <c r="D21" i="2"/>
  <c r="H21" i="2"/>
  <c r="L21" i="2"/>
  <c r="E21" i="2"/>
  <c r="I21" i="2"/>
  <c r="M21" i="2"/>
  <c r="F21" i="2"/>
  <c r="J21" i="2"/>
  <c r="C17" i="2"/>
  <c r="G17" i="2"/>
  <c r="K17" i="2"/>
  <c r="D17" i="2"/>
  <c r="H17" i="2"/>
  <c r="L17" i="2"/>
  <c r="E17" i="2"/>
  <c r="I17" i="2"/>
  <c r="M17" i="2"/>
  <c r="F17" i="2"/>
  <c r="J17" i="2"/>
  <c r="C13" i="2"/>
  <c r="G13" i="2"/>
  <c r="K13" i="2"/>
  <c r="D13" i="2"/>
  <c r="H13" i="2"/>
  <c r="L13" i="2"/>
  <c r="E13" i="2"/>
  <c r="I13" i="2"/>
  <c r="M13" i="2"/>
  <c r="F13" i="2"/>
  <c r="J13" i="2"/>
  <c r="C9" i="2"/>
  <c r="G9" i="2"/>
  <c r="K9" i="2"/>
  <c r="D9" i="2"/>
  <c r="H9" i="2"/>
  <c r="L9" i="2"/>
  <c r="E9" i="2"/>
  <c r="I9" i="2"/>
  <c r="M9" i="2"/>
  <c r="F9" i="2"/>
  <c r="J9" i="2"/>
  <c r="C5" i="2"/>
  <c r="G5" i="2"/>
  <c r="K5" i="2"/>
  <c r="D5" i="2"/>
  <c r="H5" i="2"/>
  <c r="L5" i="2"/>
  <c r="E5" i="2"/>
  <c r="I5" i="2"/>
  <c r="M5" i="2"/>
  <c r="F5" i="2"/>
  <c r="J5" i="2"/>
  <c r="N5" i="2"/>
  <c r="N4" i="2"/>
  <c r="J4" i="2"/>
  <c r="F4" i="2"/>
  <c r="M58" i="2"/>
  <c r="I58" i="2"/>
  <c r="E58" i="2"/>
  <c r="G57" i="2"/>
  <c r="L56" i="2"/>
  <c r="H56" i="2"/>
  <c r="D56" i="2"/>
  <c r="L55" i="2"/>
  <c r="H55" i="2"/>
  <c r="C55" i="2"/>
  <c r="L53" i="2"/>
  <c r="D51" i="2"/>
  <c r="L49" i="2"/>
  <c r="L45" i="2"/>
  <c r="L41" i="2"/>
  <c r="D39" i="2"/>
  <c r="D34" i="2"/>
  <c r="N21" i="2"/>
  <c r="C3" i="2"/>
  <c r="E47" i="2"/>
  <c r="I47" i="2"/>
  <c r="M47" i="2"/>
  <c r="F47" i="2"/>
  <c r="J47" i="2"/>
  <c r="N47" i="2"/>
  <c r="C47" i="2"/>
  <c r="G47" i="2"/>
  <c r="K47" i="2"/>
  <c r="E43" i="2"/>
  <c r="I43" i="2"/>
  <c r="M43" i="2"/>
  <c r="F43" i="2"/>
  <c r="J43" i="2"/>
  <c r="N43" i="2"/>
  <c r="C43" i="2"/>
  <c r="G43" i="2"/>
  <c r="K43" i="2"/>
  <c r="E35" i="2"/>
  <c r="I35" i="2"/>
  <c r="M35" i="2"/>
  <c r="F35" i="2"/>
  <c r="J35" i="2"/>
  <c r="N35" i="2"/>
  <c r="C35" i="2"/>
  <c r="G35" i="2"/>
  <c r="K35" i="2"/>
  <c r="C27" i="2"/>
  <c r="G27" i="2"/>
  <c r="K27" i="2"/>
  <c r="D27" i="2"/>
  <c r="H27" i="2"/>
  <c r="L27" i="2"/>
  <c r="E27" i="2"/>
  <c r="I27" i="2"/>
  <c r="M27" i="2"/>
  <c r="J27" i="2"/>
  <c r="N27" i="2"/>
  <c r="C23" i="2"/>
  <c r="G23" i="2"/>
  <c r="K23" i="2"/>
  <c r="D23" i="2"/>
  <c r="H23" i="2"/>
  <c r="L23" i="2"/>
  <c r="E23" i="2"/>
  <c r="I23" i="2"/>
  <c r="M23" i="2"/>
  <c r="J23" i="2"/>
  <c r="N23" i="2"/>
  <c r="C19" i="2"/>
  <c r="G19" i="2"/>
  <c r="K19" i="2"/>
  <c r="D19" i="2"/>
  <c r="H19" i="2"/>
  <c r="L19" i="2"/>
  <c r="E19" i="2"/>
  <c r="I19" i="2"/>
  <c r="M19" i="2"/>
  <c r="J19" i="2"/>
  <c r="N19" i="2"/>
  <c r="C15" i="2"/>
  <c r="G15" i="2"/>
  <c r="K15" i="2"/>
  <c r="D15" i="2"/>
  <c r="H15" i="2"/>
  <c r="L15" i="2"/>
  <c r="E15" i="2"/>
  <c r="I15" i="2"/>
  <c r="M15" i="2"/>
  <c r="J15" i="2"/>
  <c r="N15" i="2"/>
  <c r="N55" i="2"/>
  <c r="L51" i="2"/>
  <c r="E52" i="2"/>
  <c r="I52" i="2"/>
  <c r="M52" i="2"/>
  <c r="F52" i="2"/>
  <c r="J52" i="2"/>
  <c r="N52" i="2"/>
  <c r="C52" i="2"/>
  <c r="G52" i="2"/>
  <c r="K52" i="2"/>
  <c r="E48" i="2"/>
  <c r="I48" i="2"/>
  <c r="M48" i="2"/>
  <c r="F48" i="2"/>
  <c r="J48" i="2"/>
  <c r="N48" i="2"/>
  <c r="C48" i="2"/>
  <c r="G48" i="2"/>
  <c r="K48" i="2"/>
  <c r="E44" i="2"/>
  <c r="I44" i="2"/>
  <c r="M44" i="2"/>
  <c r="F44" i="2"/>
  <c r="J44" i="2"/>
  <c r="N44" i="2"/>
  <c r="C44" i="2"/>
  <c r="G44" i="2"/>
  <c r="K44" i="2"/>
  <c r="E40" i="2"/>
  <c r="I40" i="2"/>
  <c r="M40" i="2"/>
  <c r="F40" i="2"/>
  <c r="J40" i="2"/>
  <c r="N40" i="2"/>
  <c r="C40" i="2"/>
  <c r="G40" i="2"/>
  <c r="K40" i="2"/>
  <c r="E36" i="2"/>
  <c r="I36" i="2"/>
  <c r="M36" i="2"/>
  <c r="F36" i="2"/>
  <c r="J36" i="2"/>
  <c r="N36" i="2"/>
  <c r="C36" i="2"/>
  <c r="G36" i="2"/>
  <c r="K36" i="2"/>
  <c r="C32" i="2"/>
  <c r="G32" i="2"/>
  <c r="K32" i="2"/>
  <c r="E32" i="2"/>
  <c r="I32" i="2"/>
  <c r="M32" i="2"/>
  <c r="H32" i="2"/>
  <c r="J32" i="2"/>
  <c r="D32" i="2"/>
  <c r="L32" i="2"/>
  <c r="C28" i="2"/>
  <c r="G28" i="2"/>
  <c r="K28" i="2"/>
  <c r="D28" i="2"/>
  <c r="H28" i="2"/>
  <c r="L28" i="2"/>
  <c r="E28" i="2"/>
  <c r="I28" i="2"/>
  <c r="M28" i="2"/>
  <c r="N28" i="2"/>
  <c r="F28" i="2"/>
  <c r="C24" i="2"/>
  <c r="G24" i="2"/>
  <c r="K24" i="2"/>
  <c r="D24" i="2"/>
  <c r="H24" i="2"/>
  <c r="L24" i="2"/>
  <c r="E24" i="2"/>
  <c r="I24" i="2"/>
  <c r="M24" i="2"/>
  <c r="N24" i="2"/>
  <c r="F24" i="2"/>
  <c r="C20" i="2"/>
  <c r="G20" i="2"/>
  <c r="K20" i="2"/>
  <c r="D20" i="2"/>
  <c r="H20" i="2"/>
  <c r="L20" i="2"/>
  <c r="E20" i="2"/>
  <c r="I20" i="2"/>
  <c r="M20" i="2"/>
  <c r="N20" i="2"/>
  <c r="F20" i="2"/>
  <c r="C16" i="2"/>
  <c r="G16" i="2"/>
  <c r="K16" i="2"/>
  <c r="D16" i="2"/>
  <c r="H16" i="2"/>
  <c r="L16" i="2"/>
  <c r="E16" i="2"/>
  <c r="I16" i="2"/>
  <c r="M16" i="2"/>
  <c r="N16" i="2"/>
  <c r="F16" i="2"/>
  <c r="M4" i="2"/>
  <c r="I4" i="2"/>
  <c r="L58" i="2"/>
  <c r="H58" i="2"/>
  <c r="C57" i="2"/>
  <c r="K56" i="2"/>
  <c r="G56" i="2"/>
  <c r="K55" i="2"/>
  <c r="G55" i="2"/>
  <c r="L54" i="2"/>
  <c r="H53" i="2"/>
  <c r="D52" i="2"/>
  <c r="L50" i="2"/>
  <c r="H49" i="2"/>
  <c r="D48" i="2"/>
  <c r="L46" i="2"/>
  <c r="H45" i="2"/>
  <c r="D44" i="2"/>
  <c r="L42" i="2"/>
  <c r="H41" i="2"/>
  <c r="D40" i="2"/>
  <c r="L37" i="2"/>
  <c r="H36" i="2"/>
  <c r="D35" i="2"/>
  <c r="L33" i="2"/>
  <c r="F31" i="2"/>
  <c r="N25" i="2"/>
  <c r="J20" i="2"/>
  <c r="F15" i="2"/>
  <c r="N9" i="2"/>
  <c r="N57" i="2"/>
  <c r="J57" i="2"/>
  <c r="F57" i="2"/>
  <c r="M57" i="2"/>
  <c r="I57" i="2"/>
  <c r="E57" i="2"/>
  <c r="L57" i="2"/>
  <c r="H57" i="2"/>
  <c r="L38" i="2"/>
  <c r="H38" i="2"/>
  <c r="K38" i="2"/>
  <c r="G38" i="2"/>
  <c r="C38" i="2"/>
  <c r="D38" i="2"/>
  <c r="N38" i="2"/>
  <c r="J38" i="2"/>
  <c r="F38" i="2"/>
  <c r="M38" i="2"/>
  <c r="I38" i="2"/>
  <c r="N8" i="2"/>
  <c r="J8" i="2"/>
  <c r="F8" i="2"/>
  <c r="M8" i="2"/>
  <c r="I8" i="2"/>
  <c r="E8" i="2"/>
  <c r="L8" i="2"/>
  <c r="H8" i="2"/>
  <c r="D8" i="2"/>
  <c r="K8" i="2"/>
  <c r="G8" i="2"/>
  <c r="J9" i="4" l="1"/>
  <c r="L9" i="4"/>
  <c r="H9" i="4"/>
  <c r="G9" i="4"/>
  <c r="F9" i="4"/>
  <c r="C9" i="4"/>
  <c r="M9" i="4"/>
  <c r="N9" i="4"/>
  <c r="I9" i="4"/>
  <c r="D9" i="4"/>
  <c r="K9" i="4"/>
  <c r="E9" i="4"/>
  <c r="O4" i="2"/>
  <c r="O3" i="2"/>
  <c r="O6" i="2"/>
  <c r="O26" i="2"/>
  <c r="O50" i="2"/>
  <c r="O7" i="2"/>
  <c r="O42" i="2"/>
  <c r="O48" i="2"/>
  <c r="O53" i="2"/>
  <c r="O47" i="2"/>
  <c r="O10" i="2"/>
  <c r="O18" i="2"/>
  <c r="O22" i="2"/>
  <c r="O30" i="2"/>
  <c r="O34" i="2"/>
  <c r="O31" i="2"/>
  <c r="O54" i="2"/>
  <c r="O51" i="2"/>
  <c r="O56" i="2"/>
  <c r="O41" i="2"/>
  <c r="O16" i="2"/>
  <c r="O20" i="2"/>
  <c r="O24" i="2"/>
  <c r="O28" i="2"/>
  <c r="O32" i="2"/>
  <c r="O36" i="2"/>
  <c r="O44" i="2"/>
  <c r="O52" i="2"/>
  <c r="O27" i="2"/>
  <c r="O35" i="2"/>
  <c r="O43" i="2"/>
  <c r="O57" i="2"/>
  <c r="O5" i="2"/>
  <c r="O9" i="2"/>
  <c r="O13" i="2"/>
  <c r="O17" i="2"/>
  <c r="O21" i="2"/>
  <c r="O29" i="2"/>
  <c r="O33" i="2"/>
  <c r="O37" i="2"/>
  <c r="O45" i="2"/>
  <c r="O49" i="2"/>
  <c r="O55" i="2"/>
  <c r="O58" i="2"/>
  <c r="O23" i="2"/>
  <c r="O38" i="2"/>
  <c r="O19" i="2"/>
  <c r="O39" i="2"/>
  <c r="O46" i="2"/>
  <c r="O40" i="2"/>
  <c r="O25" i="2"/>
  <c r="O14" i="2"/>
  <c r="O15" i="2"/>
  <c r="O8" i="2"/>
  <c r="O9" i="4" l="1"/>
  <c r="R12" i="4" s="1"/>
  <c r="R20" i="4" l="1"/>
  <c r="R22" i="4"/>
  <c r="R24" i="4"/>
  <c r="R18" i="4"/>
  <c r="R16" i="4"/>
  <c r="R14" i="4"/>
  <c r="R10" i="4"/>
  <c r="R26" i="4"/>
  <c r="R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B37" authorId="0" shapeId="0" xr:uid="{6F71ED7D-DA70-4182-81E2-56A2F146A9A9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B38" authorId="0" shapeId="0" xr:uid="{63FF1028-25AF-4711-B151-753D5AEE1B47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A39" authorId="0" shapeId="0" xr:uid="{03805730-16AD-4B7F-BD13-957731CA4FA9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E21" authorId="0" shapeId="0" xr:uid="{1EE7BDC1-7AA2-43F6-8408-17E1079F6905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senha de INSTALADOR:
 - SMA123456</t>
        </r>
      </text>
    </comment>
    <comment ref="B37" authorId="0" shapeId="0" xr:uid="{69E07DEF-F097-402F-BE7F-6AA66D646CA8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B37" authorId="0" shapeId="0" xr:uid="{D6DFF5F4-6232-4460-A88C-623B1599DED8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sharedStrings.xml><?xml version="1.0" encoding="utf-8"?>
<sst xmlns="http://schemas.openxmlformats.org/spreadsheetml/2006/main" count="1153" uniqueCount="366">
  <si>
    <t>Cliente</t>
  </si>
  <si>
    <t xml:space="preserve">Nº de módulos </t>
  </si>
  <si>
    <t>Pot.do módulo</t>
  </si>
  <si>
    <t xml:space="preserve">Mara </t>
  </si>
  <si>
    <t xml:space="preserve">Jandira </t>
  </si>
  <si>
    <t xml:space="preserve">Luis Fernando </t>
  </si>
  <si>
    <t xml:space="preserve">Contri </t>
  </si>
  <si>
    <t xml:space="preserve">Paulo Bohn </t>
  </si>
  <si>
    <t>Analia</t>
  </si>
  <si>
    <t xml:space="preserve">Cassio Burin </t>
  </si>
  <si>
    <t xml:space="preserve">Gelson Posser </t>
  </si>
  <si>
    <t xml:space="preserve">Biroh </t>
  </si>
  <si>
    <t xml:space="preserve">Piaia Móveis </t>
  </si>
  <si>
    <t>Supermercado Caryone</t>
  </si>
  <si>
    <t xml:space="preserve">Ernani Minetto </t>
  </si>
  <si>
    <t xml:space="preserve">Jair Moscon </t>
  </si>
  <si>
    <t xml:space="preserve">Fábio Milke </t>
  </si>
  <si>
    <t>Osmar Veronese</t>
  </si>
  <si>
    <t xml:space="preserve">José Luis Morais </t>
  </si>
  <si>
    <t>Erno Schiefelbain</t>
  </si>
  <si>
    <t>Supermercado Cripy</t>
  </si>
  <si>
    <t>Supermecado Popular</t>
  </si>
  <si>
    <t>Cleci Rubi</t>
  </si>
  <si>
    <t>Glaucio Lipski</t>
  </si>
  <si>
    <t>Betine Rost</t>
  </si>
  <si>
    <t>Robinson Fetter</t>
  </si>
  <si>
    <t>José Paulo Backes</t>
  </si>
  <si>
    <t>Rochele</t>
  </si>
  <si>
    <t>Fabio de Moura</t>
  </si>
  <si>
    <t>Posto Kairã</t>
  </si>
  <si>
    <t>Diamantino</t>
  </si>
  <si>
    <t>AABB</t>
  </si>
  <si>
    <t>Mercado Bueno</t>
  </si>
  <si>
    <t>Rosa Maria Radunz</t>
  </si>
  <si>
    <t>Eldo Rost</t>
  </si>
  <si>
    <t>Ivo Amaral de Oliveira</t>
  </si>
  <si>
    <t>Mauricio Luis Lunardi</t>
  </si>
  <si>
    <t>Silvio Robert Lemos</t>
  </si>
  <si>
    <t>Indians</t>
  </si>
  <si>
    <t>Daniela (Evandro -Prolar)</t>
  </si>
  <si>
    <t>Marcos Rogério Kessler</t>
  </si>
  <si>
    <t>PATRICK KRISTOSCHEK DA SILVA</t>
  </si>
  <si>
    <t>CRISTIANO ANSCHAU</t>
  </si>
  <si>
    <t>LUCIANA CLAUDETE MEIRELLES CORREA</t>
  </si>
  <si>
    <t>MARCIO JOSE SIQUEIRA</t>
  </si>
  <si>
    <t>PADARIA AVENIDA</t>
  </si>
  <si>
    <t>WANDA</t>
  </si>
  <si>
    <t>APAE</t>
  </si>
  <si>
    <t>COMERCIAL DE ALIMENTOS</t>
  </si>
  <si>
    <t xml:space="preserve">SILVIO ROBERT LEMOS AVILA ME </t>
  </si>
  <si>
    <t>JAN</t>
  </si>
  <si>
    <t>FEV</t>
  </si>
  <si>
    <t>MAR</t>
  </si>
  <si>
    <t>JUL</t>
  </si>
  <si>
    <t>AGO</t>
  </si>
  <si>
    <t>SET</t>
  </si>
  <si>
    <t>OUT</t>
  </si>
  <si>
    <t>NOV</t>
  </si>
  <si>
    <t>DEZ</t>
  </si>
  <si>
    <t>kWp</t>
  </si>
  <si>
    <t>Média</t>
  </si>
  <si>
    <t>ANO</t>
  </si>
  <si>
    <t>Efet</t>
  </si>
  <si>
    <t>nº</t>
  </si>
  <si>
    <t xml:space="preserve">Geração efetiva </t>
  </si>
  <si>
    <t>ABR</t>
  </si>
  <si>
    <t>JUN</t>
  </si>
  <si>
    <t>MAI</t>
  </si>
  <si>
    <t>Ildo e Marlon</t>
  </si>
  <si>
    <t>Mara - (Atualizado)</t>
  </si>
  <si>
    <t>Jandira - (Atualizado)</t>
  </si>
  <si>
    <t>Cassio Burin - (Atualizado)</t>
  </si>
  <si>
    <t>Piaia Móveis - (Atualizado)</t>
  </si>
  <si>
    <t>Supermercado Caryone - (Atualizado)</t>
  </si>
  <si>
    <t>José Luis Morais - (Atualizado)</t>
  </si>
  <si>
    <t>Marcos Rogério Kessler - (Atualizado)</t>
  </si>
  <si>
    <t>Numero de módulos:</t>
  </si>
  <si>
    <t>Pot. Módulos</t>
  </si>
  <si>
    <t>Irradiação</t>
  </si>
  <si>
    <t>Geração prevista</t>
  </si>
  <si>
    <t>Geração Efetiva</t>
  </si>
  <si>
    <t>Geração por Módulo</t>
  </si>
  <si>
    <t>Rend Total Mód</t>
  </si>
  <si>
    <t>Efet Total Sist</t>
  </si>
  <si>
    <t>Pot. Sistema (kWp)</t>
  </si>
  <si>
    <t xml:space="preserve">Portal </t>
  </si>
  <si>
    <t>Usuário</t>
  </si>
  <si>
    <t xml:space="preserve">Senha </t>
  </si>
  <si>
    <t xml:space="preserve">SMA </t>
  </si>
  <si>
    <t>marlon@energens.com.br</t>
  </si>
  <si>
    <t>SMA12345</t>
  </si>
  <si>
    <t>mararebasi@gmail.com</t>
  </si>
  <si>
    <t>albano1960</t>
  </si>
  <si>
    <t>jandiratdutra@gmail.com</t>
  </si>
  <si>
    <t>luisfkruger@gmail.com</t>
  </si>
  <si>
    <t>maiconviniciuscontri@gmail.com</t>
  </si>
  <si>
    <t>paulooscarbohn43@gmail.com</t>
  </si>
  <si>
    <t>clodoaldocalegaro@gmail.com</t>
  </si>
  <si>
    <t>cassioaburin@hotmail.com</t>
  </si>
  <si>
    <t>gaposser@hotmail.com</t>
  </si>
  <si>
    <t>valdecir@biroh.com.br</t>
  </si>
  <si>
    <t>SolarView</t>
  </si>
  <si>
    <t>piaiamoveis@hotmail.com</t>
  </si>
  <si>
    <t>solar12345</t>
  </si>
  <si>
    <t>zanusobarichello@gmail.com</t>
  </si>
  <si>
    <t>esminetto@terra.com.br</t>
  </si>
  <si>
    <t>jairmoscon@gmail.com</t>
  </si>
  <si>
    <t>sma12345</t>
  </si>
  <si>
    <t>familke13@gmail.com</t>
  </si>
  <si>
    <t>veronese@unijui.edu.br</t>
  </si>
  <si>
    <t>NetEco</t>
  </si>
  <si>
    <t>joseluizmorais1@gmail.com</t>
  </si>
  <si>
    <t>Morais12345</t>
  </si>
  <si>
    <t xml:space="preserve">SMA  </t>
  </si>
  <si>
    <t>ernoschiefelbain@gmail.com</t>
  </si>
  <si>
    <t>SMA</t>
  </si>
  <si>
    <t>darizanuso@gmail.com</t>
  </si>
  <si>
    <t>gelsotofolo@gmail.com</t>
  </si>
  <si>
    <t>Solar12345</t>
  </si>
  <si>
    <t>clemensrubi@gmail.com</t>
  </si>
  <si>
    <t>glaulipski@hotmail.com</t>
  </si>
  <si>
    <t>betiner@bol.com.br</t>
  </si>
  <si>
    <t>robinsonfetter@yahoo.com.br</t>
  </si>
  <si>
    <t>Fetter12345</t>
  </si>
  <si>
    <t>SEM MONITORAMENTO</t>
  </si>
  <si>
    <t>vitafisio2012@hotmail.com</t>
  </si>
  <si>
    <t>Fisio12345</t>
  </si>
  <si>
    <t>fabiomoura@fema.com.br</t>
  </si>
  <si>
    <t>Moura12345</t>
  </si>
  <si>
    <t>gicelinunes@hotmail.com</t>
  </si>
  <si>
    <t>santoangelo@aabb.com.br</t>
  </si>
  <si>
    <t>mercadobueno@yahoo.com.br</t>
  </si>
  <si>
    <t>ireneu.valmor@bol.com.br</t>
  </si>
  <si>
    <t>Radunz12345</t>
  </si>
  <si>
    <t>esaestruturas@bol.com.br</t>
  </si>
  <si>
    <t>Rost12345</t>
  </si>
  <si>
    <t>ivoamaral.oliveira1234@gmail.com</t>
  </si>
  <si>
    <t>Oliveira12345</t>
  </si>
  <si>
    <t>mauricio.lunardi@bol.com.br</t>
  </si>
  <si>
    <t>Lunardi12345</t>
  </si>
  <si>
    <t>silvioavilar@hotmail.com</t>
  </si>
  <si>
    <t>Avilar12345</t>
  </si>
  <si>
    <t>indians@indians.com.br</t>
  </si>
  <si>
    <t>Indians12345</t>
  </si>
  <si>
    <t>evandro.massalai@bol.com.br</t>
  </si>
  <si>
    <t>Massalai12345</t>
  </si>
  <si>
    <t>marcos.kessler@yahoo.com.br</t>
  </si>
  <si>
    <t>Kessler12345</t>
  </si>
  <si>
    <t>Cristiano_Anschau</t>
  </si>
  <si>
    <t>Anschau12345</t>
  </si>
  <si>
    <t>Luciana_Correa</t>
  </si>
  <si>
    <t>Correa12345</t>
  </si>
  <si>
    <t>Marcio_Siqueira</t>
  </si>
  <si>
    <t>Siqueira12345</t>
  </si>
  <si>
    <t>padaria-avenida@bol.com.br</t>
  </si>
  <si>
    <t>Wanda_Burkard</t>
  </si>
  <si>
    <t>Burkard12345</t>
  </si>
  <si>
    <t>Login</t>
  </si>
  <si>
    <t>Senha</t>
  </si>
  <si>
    <t>Cassio_Burin</t>
  </si>
  <si>
    <t>Burin12345</t>
  </si>
  <si>
    <t>Analia - (Atualizado)</t>
  </si>
  <si>
    <t>Nº</t>
  </si>
  <si>
    <t>Nome</t>
  </si>
  <si>
    <t>UC Nº</t>
  </si>
  <si>
    <t>CPF/CNPJ</t>
  </si>
  <si>
    <t>Seu Código</t>
  </si>
  <si>
    <t>Nomenclatura Documento</t>
  </si>
  <si>
    <t>MARLON ROGER COLOVINI</t>
  </si>
  <si>
    <t>821.698.700-59</t>
  </si>
  <si>
    <t>MARA REGINA BARICHELLO DA SILVA</t>
  </si>
  <si>
    <t>546.304.870-34</t>
  </si>
  <si>
    <t>JANDIRA TEIXEIRA DUTRA</t>
  </si>
  <si>
    <t>654.690.200-10</t>
  </si>
  <si>
    <t>LUIS FERNANDO KRUGER</t>
  </si>
  <si>
    <t>943.178.950-72</t>
  </si>
  <si>
    <t>PAULO OSCAR BOHN</t>
  </si>
  <si>
    <t>116.173.140-72</t>
  </si>
  <si>
    <t>ANALIA CRISTINA MOUSQUER BUENO</t>
  </si>
  <si>
    <t>702.686.060-72</t>
  </si>
  <si>
    <t>BIROH IMPRESSAO DIGITAL LTDA</t>
  </si>
  <si>
    <t>00.441.988/0001-24</t>
  </si>
  <si>
    <t>GELSON AIRTON POSSER</t>
  </si>
  <si>
    <t>617.834.800-25</t>
  </si>
  <si>
    <t>SUPERMERCADO CARYONE</t>
  </si>
  <si>
    <t>06.104.349/0001-50</t>
  </si>
  <si>
    <t>ERNANI SILVIO MINETTO</t>
  </si>
  <si>
    <t>333.041.490-15</t>
  </si>
  <si>
    <t>JAIR MOSCON</t>
  </si>
  <si>
    <t>210.733.920-15</t>
  </si>
  <si>
    <t>FABIO DE ANDRADE MILKE</t>
  </si>
  <si>
    <t>899.126.670-34</t>
  </si>
  <si>
    <t>DIRCEU LUIS PIAIA</t>
  </si>
  <si>
    <t>03.744.290/0001-76</t>
  </si>
  <si>
    <t>OSMAR VERONESE</t>
  </si>
  <si>
    <t>427.612.630-49</t>
  </si>
  <si>
    <t>JOSE LUIZ MORAIS DA SILVA</t>
  </si>
  <si>
    <t>309.644.580-04</t>
  </si>
  <si>
    <t>ZANUSO SUPERMERCADO LTDA</t>
  </si>
  <si>
    <t>11.484.618/0001-90</t>
  </si>
  <si>
    <t>GLAUCIO FABIO LIPSKI</t>
  </si>
  <si>
    <t>999.240.300-44</t>
  </si>
  <si>
    <t>INDUSTRIA E COMERCIO DE CONCRETOS CONTRI LTDA - ME</t>
  </si>
  <si>
    <t>07.577.924/0001-02</t>
  </si>
  <si>
    <t>162.878.270-68</t>
  </si>
  <si>
    <t>cpflcpfl</t>
  </si>
  <si>
    <t>CLECI MARCZEWSKI</t>
  </si>
  <si>
    <t>439.454.220-00</t>
  </si>
  <si>
    <t>BETINE ROST</t>
  </si>
  <si>
    <t>001.641.820-47</t>
  </si>
  <si>
    <t>ROBINSON FETTER</t>
  </si>
  <si>
    <t>595.547.620-20</t>
  </si>
  <si>
    <t>FABIO DE MOURA</t>
  </si>
  <si>
    <t>881.957.910-34</t>
  </si>
  <si>
    <t>ROCHELE SANTOS MORAES &amp; CIA LTDA</t>
  </si>
  <si>
    <t>06.340.414/0001-46</t>
  </si>
  <si>
    <t>AUTO POSTO KAIRA LTDA EPP</t>
  </si>
  <si>
    <t>07.424.521/0001-15</t>
  </si>
  <si>
    <t>ERNO SCHIEFELBAIN</t>
  </si>
  <si>
    <t>244.614.070-04</t>
  </si>
  <si>
    <t>57363/00</t>
  </si>
  <si>
    <t>JOSE PAULO BACKES</t>
  </si>
  <si>
    <t>219.703.940-72</t>
  </si>
  <si>
    <t>84439/00</t>
  </si>
  <si>
    <t>GELSO TOFOLO</t>
  </si>
  <si>
    <t>97.138.804/0001-93</t>
  </si>
  <si>
    <t>DIAMANTINO NUNES</t>
  </si>
  <si>
    <t>94.677.606/0001-00</t>
  </si>
  <si>
    <t>ALINE BUZATTO BUENO</t>
  </si>
  <si>
    <t>05.808.099/0001-76</t>
  </si>
  <si>
    <t>DANIELA DONADEL MASSALAI</t>
  </si>
  <si>
    <t>812.589.500-06</t>
  </si>
  <si>
    <t>COM DE MOTO PECAS IRMAOS GUARANI LTDA</t>
  </si>
  <si>
    <t>07.768.362/0001-76</t>
  </si>
  <si>
    <t>MAURICIO LUIS LUNARDI</t>
  </si>
  <si>
    <t>567.092.770-20</t>
  </si>
  <si>
    <t>ROSA MARIA RESTLE RADUNZ</t>
  </si>
  <si>
    <t>275.464.460-15</t>
  </si>
  <si>
    <t>IVO AMARAL DE OLIVEIRA</t>
  </si>
  <si>
    <t>17.684.017/0001-08</t>
  </si>
  <si>
    <t>SILVIO ROBERT LEMOS AVILA</t>
  </si>
  <si>
    <t>012.350.710-30</t>
  </si>
  <si>
    <t>ELDO ROST</t>
  </si>
  <si>
    <t>189.902.820-04</t>
  </si>
  <si>
    <t>ARINI JOSE GEHLEN</t>
  </si>
  <si>
    <t>15.553.353/0002-77</t>
  </si>
  <si>
    <t>15.553.353/0001-96</t>
  </si>
  <si>
    <t>Cristiano Castilho Anschau</t>
  </si>
  <si>
    <t>810.898.300-25</t>
  </si>
  <si>
    <t>617.834.630-15</t>
  </si>
  <si>
    <t>943.206.320-87</t>
  </si>
  <si>
    <t>MARCOS ROGERIO KESSLER</t>
  </si>
  <si>
    <t>944.565.000-00</t>
  </si>
  <si>
    <t>96.216.718/0002-70</t>
  </si>
  <si>
    <t>96.216.718/0001-99</t>
  </si>
  <si>
    <t>WANDA FALKOWSKI BURKARD</t>
  </si>
  <si>
    <t>330.899.570-00</t>
  </si>
  <si>
    <t>16.515.445/0001-44</t>
  </si>
  <si>
    <t>Soma Total de Energia em kWh</t>
  </si>
  <si>
    <t>Valores em Reais</t>
  </si>
  <si>
    <t>Numero de Arvores</t>
  </si>
  <si>
    <t>A.C. CORAÇÃO DE JESUS</t>
  </si>
  <si>
    <t>ANTONIO LORENZON DAL FORNO</t>
  </si>
  <si>
    <t>MARISANE PAULUS</t>
  </si>
  <si>
    <t>SEGATTO CERETTA LTDA - AMIGÃO</t>
  </si>
  <si>
    <t>Potência</t>
  </si>
  <si>
    <t>SOC CARIT C DE JESUS</t>
  </si>
  <si>
    <t>87.699.484/0001-97</t>
  </si>
  <si>
    <t>232.103.380-00</t>
  </si>
  <si>
    <t>896.314.630-87</t>
  </si>
  <si>
    <t>00.976.594/0001-70</t>
  </si>
  <si>
    <t>SEGATTO CERETTA LTDA</t>
  </si>
  <si>
    <t>461.114.330-91</t>
  </si>
  <si>
    <t>PROGRAMADA</t>
  </si>
  <si>
    <t>DATA ULTIMA</t>
  </si>
  <si>
    <t>TEMPO (MESES)</t>
  </si>
  <si>
    <t>DATA DA LIMPEZA</t>
  </si>
  <si>
    <t>PROXIMA LIMPEZA</t>
  </si>
  <si>
    <t>Potência Instalada (kWp)</t>
  </si>
  <si>
    <t>ZEDERSON JOSE DELLA FLORA</t>
  </si>
  <si>
    <t>ERNANI MOACIR CZAPLA</t>
  </si>
  <si>
    <t>CARLOS WALMIR LARSÃO ROLIM</t>
  </si>
  <si>
    <t>ID</t>
  </si>
  <si>
    <t>647.847.890-49</t>
  </si>
  <si>
    <t>543.705.740-72</t>
  </si>
  <si>
    <t>CARLOS WALMIR LARSAO ROLIM</t>
  </si>
  <si>
    <t>164.730.430-04</t>
  </si>
  <si>
    <t>Carmelo12345</t>
  </si>
  <si>
    <t>Forno12345</t>
  </si>
  <si>
    <t>Marisane_Paulus</t>
  </si>
  <si>
    <t>Paulus12345</t>
  </si>
  <si>
    <t>Antonio_Forno</t>
  </si>
  <si>
    <t>Carmelo</t>
  </si>
  <si>
    <t>DANIELI MISSIO</t>
  </si>
  <si>
    <t>Sim</t>
  </si>
  <si>
    <t xml:space="preserve"> DANIELI MISSIO</t>
  </si>
  <si>
    <t>JOSE MARQUES DE VASCONCELLOS</t>
  </si>
  <si>
    <t>Não</t>
  </si>
  <si>
    <t>980.504.860-87</t>
  </si>
  <si>
    <t>058.910.600-78</t>
  </si>
  <si>
    <t>IND. CONTRI LTDA - ME</t>
  </si>
  <si>
    <t>Instalações Concluidas</t>
  </si>
  <si>
    <t>Atualizada</t>
  </si>
  <si>
    <t>Consolidadas</t>
  </si>
  <si>
    <t>247,76</t>
  </si>
  <si>
    <t>UC</t>
  </si>
  <si>
    <t>89.078.059/0001-06</t>
  </si>
  <si>
    <t>CASSIO BURIN</t>
  </si>
  <si>
    <t>Linho Lev Alimentos</t>
  </si>
  <si>
    <t>Carlos_Rolim</t>
  </si>
  <si>
    <t>Rolim12345</t>
  </si>
  <si>
    <t>Zederson</t>
  </si>
  <si>
    <t>Flora12345</t>
  </si>
  <si>
    <t>Patrick_Silva</t>
  </si>
  <si>
    <t>Silva12345</t>
  </si>
  <si>
    <t>Valmir Avila</t>
  </si>
  <si>
    <t>Valesca da Luz</t>
  </si>
  <si>
    <t>Olavo Mildner</t>
  </si>
  <si>
    <t>Dilnei Rohled</t>
  </si>
  <si>
    <t>Shaiana Signorini</t>
  </si>
  <si>
    <t>Fonse Atacado</t>
  </si>
  <si>
    <t>331.377.900-00</t>
  </si>
  <si>
    <t>013.191.480-42</t>
  </si>
  <si>
    <t>458.762.900-68</t>
  </si>
  <si>
    <t>Silvio Robert Lemos Ávila</t>
  </si>
  <si>
    <t>10.841.929/0001-05</t>
  </si>
  <si>
    <t>822.169.670-68</t>
  </si>
  <si>
    <t>Potência A Intalar(kWp)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</si>
  <si>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</si>
  <si>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</si>
  <si>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</si>
  <si>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</si>
  <si>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</si>
  <si>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</si>
  <si>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</si>
  <si>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</si>
  <si>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</si>
  <si>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</si>
  <si>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</si>
  <si>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</si>
  <si>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</si>
  <si>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</si>
  <si>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</si>
  <si>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</si>
  <si>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</si>
  <si>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</si>
  <si>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</si>
  <si>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</si>
  <si>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</si>
  <si>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</si>
  <si>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</si>
  <si>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</si>
  <si>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</si>
  <si>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</si>
  <si>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</si>
  <si>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</si>
  <si>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</si>
  <si>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</si>
  <si>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</si>
  <si>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</si>
  <si>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</si>
  <si>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</si>
  <si>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</si>
  <si>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</si>
  <si>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SOC CARIT Coração DE JESUS</t>
  </si>
  <si>
    <t>C0² (Toneladas)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</si>
</sst>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"/>
    <numFmt numFmtId="165" formatCode="#,##0.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3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99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8" fillId="3" borderId="9" xfId="0" applyNumberFormat="1" applyFont="1" applyFill="1" applyBorder="1" applyAlignment="1" applyProtection="1">
      <alignment horizontal="center" vertical="center"/>
      <protection locked="0"/>
    </xf>
    <xf numFmtId="3" fontId="8" fillId="4" borderId="9" xfId="0" applyNumberFormat="1" applyFont="1" applyFill="1" applyBorder="1" applyAlignment="1">
      <alignment horizontal="center" vertical="center"/>
    </xf>
    <xf numFmtId="0" fontId="0" fillId="0" borderId="9" xfId="0" applyBorder="1"/>
    <xf numFmtId="0" fontId="9" fillId="0" borderId="9" xfId="0" applyFont="1" applyBorder="1"/>
    <xf numFmtId="0" fontId="10" fillId="0" borderId="9" xfId="0" applyFont="1" applyBorder="1"/>
    <xf numFmtId="0" fontId="0" fillId="0" borderId="10" xfId="0" applyBorder="1"/>
    <xf numFmtId="0" fontId="10" fillId="3" borderId="9" xfId="0" applyFont="1" applyFill="1" applyBorder="1"/>
    <xf numFmtId="0" fontId="0" fillId="3" borderId="9" xfId="0" applyFill="1" applyBorder="1"/>
    <xf numFmtId="0" fontId="3" fillId="0" borderId="9" xfId="0" applyFont="1" applyBorder="1"/>
    <xf numFmtId="0" fontId="0" fillId="0" borderId="9" xfId="0" applyFill="1" applyBorder="1"/>
    <xf numFmtId="0" fontId="0" fillId="0" borderId="9" xfId="0" applyBorder="1" applyAlignment="1"/>
    <xf numFmtId="0" fontId="0" fillId="0" borderId="0" xfId="0" applyBorder="1"/>
    <xf numFmtId="0" fontId="0" fillId="0" borderId="24" xfId="0" applyBorder="1"/>
    <xf numFmtId="0" fontId="9" fillId="0" borderId="24" xfId="0" applyFont="1" applyBorder="1"/>
    <xf numFmtId="0" fontId="10" fillId="0" borderId="10" xfId="0" applyFont="1" applyBorder="1"/>
    <xf numFmtId="0" fontId="10" fillId="0" borderId="24" xfId="0" applyFont="1" applyBorder="1"/>
    <xf numFmtId="0" fontId="3" fillId="0" borderId="24" xfId="0" applyFont="1" applyBorder="1"/>
    <xf numFmtId="0" fontId="3" fillId="0" borderId="10" xfId="0" applyFont="1" applyBorder="1"/>
    <xf numFmtId="0" fontId="0" fillId="0" borderId="24" xfId="0" applyBorder="1" applyAlignment="1"/>
    <xf numFmtId="0" fontId="1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64" fontId="0" fillId="10" borderId="3" xfId="0" applyNumberForma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5" borderId="28" xfId="0" applyNumberFormat="1" applyFill="1" applyBorder="1" applyAlignment="1">
      <alignment horizontal="center" vertical="center"/>
    </xf>
    <xf numFmtId="10" fontId="0" fillId="13" borderId="28" xfId="1" applyNumberFormat="1" applyFont="1" applyFill="1" applyBorder="1" applyAlignment="1">
      <alignment horizontal="center" vertical="center"/>
    </xf>
    <xf numFmtId="9" fontId="0" fillId="13" borderId="28" xfId="1" applyFont="1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3" fontId="8" fillId="4" borderId="12" xfId="0" applyNumberFormat="1" applyFont="1" applyFill="1" applyBorder="1" applyAlignment="1">
      <alignment horizontal="center" vertical="center"/>
    </xf>
    <xf numFmtId="2" fontId="8" fillId="3" borderId="12" xfId="0" applyNumberFormat="1" applyFont="1" applyFill="1" applyBorder="1" applyAlignment="1" applyProtection="1">
      <alignment horizontal="center" vertical="center"/>
      <protection locked="0"/>
    </xf>
    <xf numFmtId="0" fontId="0" fillId="15" borderId="32" xfId="0" applyFill="1" applyBorder="1" applyAlignment="1">
      <alignment horizontal="center" vertical="center"/>
    </xf>
    <xf numFmtId="0" fontId="0" fillId="15" borderId="33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9" fontId="8" fillId="15" borderId="5" xfId="1" applyFont="1" applyFill="1" applyBorder="1" applyAlignment="1" applyProtection="1">
      <alignment horizontal="center" vertical="center"/>
      <protection locked="0"/>
    </xf>
    <xf numFmtId="9" fontId="8" fillId="15" borderId="3" xfId="1" applyFont="1" applyFill="1" applyBorder="1" applyAlignment="1" applyProtection="1">
      <alignment horizontal="center" vertical="center"/>
      <protection locked="0"/>
    </xf>
    <xf numFmtId="0" fontId="2" fillId="0" borderId="18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12" fillId="0" borderId="0" xfId="2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9" xfId="0" quotePrefix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14" fontId="10" fillId="0" borderId="9" xfId="0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14" fontId="10" fillId="0" borderId="21" xfId="0" applyNumberFormat="1" applyFont="1" applyFill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4" fontId="11" fillId="0" borderId="15" xfId="0" applyNumberFormat="1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1" xfId="0" applyNumberFormat="1" applyFont="1" applyFill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2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2" fillId="0" borderId="0" xfId="2"/>
    <xf numFmtId="0" fontId="0" fillId="0" borderId="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18" borderId="9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0" xfId="0" applyFont="1" applyFill="1"/>
    <xf numFmtId="0" fontId="15" fillId="3" borderId="9" xfId="2" applyFont="1" applyFill="1" applyBorder="1"/>
    <xf numFmtId="49" fontId="10" fillId="3" borderId="9" xfId="2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0" fillId="5" borderId="9" xfId="0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10" fillId="17" borderId="44" xfId="0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4" fontId="0" fillId="0" borderId="9" xfId="3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17" fontId="2" fillId="0" borderId="15" xfId="0" applyNumberFormat="1" applyFont="1" applyFill="1" applyBorder="1" applyAlignment="1">
      <alignment horizontal="center" vertical="center"/>
    </xf>
    <xf numFmtId="17" fontId="2" fillId="0" borderId="42" xfId="0" applyNumberFormat="1" applyFont="1" applyFill="1" applyBorder="1" applyAlignment="1">
      <alignment horizontal="center" vertical="center"/>
    </xf>
    <xf numFmtId="44" fontId="0" fillId="0" borderId="9" xfId="3" applyFont="1" applyFill="1" applyBorder="1" applyAlignment="1">
      <alignment horizontal="center" vertical="center"/>
    </xf>
    <xf numFmtId="44" fontId="0" fillId="0" borderId="12" xfId="3" applyFont="1" applyFill="1" applyBorder="1" applyAlignment="1">
      <alignment horizontal="center" vertical="center"/>
    </xf>
    <xf numFmtId="44" fontId="0" fillId="0" borderId="21" xfId="3" applyFont="1" applyFill="1" applyBorder="1" applyAlignment="1">
      <alignment horizontal="center" vertical="center"/>
    </xf>
    <xf numFmtId="44" fontId="0" fillId="0" borderId="40" xfId="3" applyFont="1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14" fontId="0" fillId="16" borderId="16" xfId="0" applyNumberFormat="1" applyFill="1" applyBorder="1" applyAlignment="1">
      <alignment horizontal="center" vertical="center"/>
    </xf>
    <xf numFmtId="14" fontId="0" fillId="16" borderId="28" xfId="0" applyNumberForma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8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13" fillId="12" borderId="16" xfId="0" applyFont="1" applyFill="1" applyBorder="1" applyAlignment="1">
      <alignment horizontal="center" vertical="center"/>
    </xf>
    <xf numFmtId="0" fontId="13" fillId="12" borderId="17" xfId="0" applyFont="1" applyFill="1" applyBorder="1" applyAlignment="1">
      <alignment horizontal="center" vertical="center"/>
    </xf>
    <xf numFmtId="0" fontId="13" fillId="12" borderId="2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</cellXfs>
  <cellStyles count="4">
    <cellStyle name="Hiperlink" xfId="2" builtinId="8"/>
    <cellStyle name="Moeda" xfId="3" builtinId="4"/>
    <cellStyle name="Normal" xfId="0" builtinId="0"/>
    <cellStyle name="Porcentagem" xfId="1" builtinId="5"/>
  </cellStyles>
  <dxfs count="87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1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5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5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Geração De energia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Relatório!$A$10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Relatório!$C$7:$N$7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Relatório!$C$10:$N$10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E-4DA3-8D34-337A24005153}"/>
            </c:ext>
          </c:extLst>
        </c:ser>
        <c:ser>
          <c:idx val="2"/>
          <c:order val="2"/>
          <c:tx>
            <c:strRef>
              <c:f>Relatório!$A$12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Relatório!$C$7:$N$7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Relatório!$C$12:$N$12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E-4DA3-8D34-337A2400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14900591"/>
        <c:axId val="1045912799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Relatório!$A$14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Relatório!$C$14:$N$14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A0E-4DA3-8D34-337A2400515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Relatório!$A$16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Relatório!$C$16:$N$16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0E-4DA3-8D34-337A2400515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Relatório!$A$18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Relatório!$C$18:$N$18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0E-4DA3-8D34-337A2400515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Relatório!$A$20</c15:sqref>
                        </c15:formulaRef>
                      </c:ext>
                    </c:extLst>
                    <c:strCache>
                      <c:ptCount val="1"/>
                      <c:pt idx="0">
                        <c:v>2023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Relatório!$C$20:$N$20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0E-4DA3-8D34-337A2400515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Relatório!$A$22</c15:sqref>
                        </c15:formulaRef>
                      </c:ext>
                    </c:extLst>
                    <c:strCache>
                      <c:ptCount val="1"/>
                      <c:pt idx="0">
                        <c:v>2024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Relatório!$C$22:$N$22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0E-4DA3-8D34-337A2400515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Relatório!$A$24</c15:sqref>
                        </c15:formulaRef>
                      </c:ext>
                    </c:extLst>
                    <c:strCache>
                      <c:ptCount val="1"/>
                      <c:pt idx="0">
                        <c:v>2025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Relatório!$C$24:$N$24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0E-4DA3-8D34-337A2400515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Relatório!$A$26</c15:sqref>
                        </c15:formulaRef>
                      </c:ext>
                    </c:extLst>
                    <c:strCache>
                      <c:ptCount val="1"/>
                      <c:pt idx="0">
                        <c:v>2026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Relatório!$C$26:$N$26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0E-4DA3-8D34-337A24005153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0"/>
          <c:order val="0"/>
          <c:tx>
            <c:strRef>
              <c:f>Relatório!$B$9</c:f>
              <c:strCache>
                <c:ptCount val="1"/>
                <c:pt idx="0">
                  <c:v>Geração prevista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DA0E-4DA3-8D34-337A240051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Relatório!$C$7:$N$7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Relatório!$C$9:$N$9</c:f>
              <c:numCache>
                <c:formatCode>General</c:formatCode>
                <c:ptCount val="12"/>
                <c:pt idx="0">
                  <c:v>5463</c:v>
                </c:pt>
                <c:pt idx="1">
                  <c:v>4909</c:v>
                </c:pt>
                <c:pt idx="2">
                  <c:v>5179</c:v>
                </c:pt>
                <c:pt idx="3">
                  <c:v>4378</c:v>
                </c:pt>
                <c:pt idx="4">
                  <c:v>3851</c:v>
                </c:pt>
                <c:pt idx="5">
                  <c:v>3185</c:v>
                </c:pt>
                <c:pt idx="6">
                  <c:v>3623</c:v>
                </c:pt>
                <c:pt idx="7">
                  <c:v>4192</c:v>
                </c:pt>
                <c:pt idx="8">
                  <c:v>3993</c:v>
                </c:pt>
                <c:pt idx="9">
                  <c:v>4809</c:v>
                </c:pt>
                <c:pt idx="10">
                  <c:v>5223</c:v>
                </c:pt>
                <c:pt idx="11">
                  <c:v>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0E-4DA3-8D34-337A2400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900591"/>
        <c:axId val="1045912799"/>
      </c:lineChart>
      <c:catAx>
        <c:axId val="8149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5912799"/>
        <c:crosses val="autoZero"/>
        <c:auto val="1"/>
        <c:lblAlgn val="ctr"/>
        <c:lblOffset val="100"/>
        <c:noMultiLvlLbl val="0"/>
      </c:catAx>
      <c:valAx>
        <c:axId val="10459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49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Efetividade Sistema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(Relatório!$P$9,Relatório!$P$10,Relatório!$P$12,Relatório!$P$14,Relatório!$P$16,Relatório!$P$18,Relatório!$P$20,Relatório!$P$22,Relatório!$P$24,Relatório!$P$26)</c15:sqref>
                  </c15:fullRef>
                </c:ext>
              </c:extLst>
              <c:f>(Relatório!$P$9,Relatório!$P$10,Relatório!$P$12)</c:f>
              <c:strCache>
                <c:ptCount val="3"/>
                <c:pt idx="0">
                  <c:v>Efet Total Sist</c:v>
                </c:pt>
                <c:pt idx="1">
                  <c:v>Efetividade Anual 2018</c:v>
                </c:pt>
                <c:pt idx="2">
                  <c:v>Efetividade Anual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(Relatório!$Q$9,Relatório!$Q$10,Relatório!$Q$12,Relatório!$Q$14,Relatório!$Q$16,Relatório!$Q$18,Relatório!$Q$20,Relatório!$Q$22,Relatório!$Q$24,Relatório!$Q$26)</c15:sqref>
                  </c15:fullRef>
                </c:ext>
              </c:extLst>
              <c:f>(Relatório!$Q$9,Relatório!$Q$10,Relatório!$Q$12)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9EC-467A-BC06-9896C666D390}"/>
            </c:ext>
          </c:extLst>
        </c:ser>
        <c:ser>
          <c:idx val="1"/>
          <c:order val="1"/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(Relatório!$P$9,Relatório!$P$10,Relatório!$P$12,Relatório!$P$14,Relatório!$P$16,Relatório!$P$18,Relatório!$P$20,Relatório!$P$22,Relatório!$P$24,Relatório!$P$26)</c15:sqref>
                  </c15:fullRef>
                </c:ext>
              </c:extLst>
              <c:f>(Relatório!$P$9,Relatório!$P$10,Relatório!$P$12)</c:f>
              <c:strCache>
                <c:ptCount val="3"/>
                <c:pt idx="0">
                  <c:v>Efet Total Sist</c:v>
                </c:pt>
                <c:pt idx="1">
                  <c:v>Efetividade Anual 2018</c:v>
                </c:pt>
                <c:pt idx="2">
                  <c:v>Efetividade Anual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(Relatório!$R$9,Relatório!$R$10,Relatório!$R$12,Relatório!$R$14,Relatório!$R$16,Relatório!$R$18,Relatório!$R$20,Relatório!$R$22,Relatório!$R$24,Relatório!$R$26)</c15:sqref>
                  </c15:fullRef>
                </c:ext>
              </c:extLst>
              <c:f>(Relatório!$R$9,Relatório!$R$10,Relatório!$R$12)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C-467A-BC06-9896C666D3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54388207"/>
        <c:axId val="1673808911"/>
        <c:axId val="0"/>
      </c:bar3DChart>
      <c:catAx>
        <c:axId val="5543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808911"/>
        <c:crosses val="autoZero"/>
        <c:auto val="1"/>
        <c:lblAlgn val="ctr"/>
        <c:lblOffset val="100"/>
        <c:noMultiLvlLbl val="0"/>
      </c:catAx>
      <c:valAx>
        <c:axId val="1673808911"/>
        <c:scaling>
          <c:orientation val="minMax"/>
          <c:max val="1"/>
        </c:scaling>
        <c:delete val="1"/>
        <c:axPos val="l"/>
        <c:numFmt formatCode="0.0%" sourceLinked="0"/>
        <c:majorTickMark val="out"/>
        <c:minorTickMark val="none"/>
        <c:tickLblPos val="nextTo"/>
        <c:crossAx val="55438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276225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22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C4FAC2-B259-4FE0-9B8D-4C9FA516634C}" name="Tabela2" displayName="Tabela2" ref="A1:F74" totalsRowShown="0" headerRowDxfId="82" dataDxfId="80" headerRowBorderDxfId="81" tableBorderDxfId="79" totalsRowBorderDxfId="78">
  <autoFilter ref="A1:F74" xr:uid="{713E2E68-3D8B-4906-B9BE-E2B650FAA853}"/>
  <sortState ref="A2:F67">
    <sortCondition ref="A1:A67"/>
  </sortState>
  <tableColumns count="6">
    <tableColumn id="1" xr3:uid="{BE1FA6CB-F2A3-422E-83BA-9ADBB3CA29C0}" name="Nº" dataDxfId="77"/>
    <tableColumn id="2" xr3:uid="{6E13289E-D539-4C32-B77E-34755495C9C4}" name="Nome" dataDxfId="76"/>
    <tableColumn id="3" xr3:uid="{DA6FD4D5-EB95-4960-9153-BF3D2063B2E0}" name="UC Nº" dataDxfId="75"/>
    <tableColumn id="4" xr3:uid="{9C2F213E-8132-47DF-B13B-5ACF2D389E55}" name="CPF/CNPJ" dataDxfId="74"/>
    <tableColumn id="5" xr3:uid="{CE3DB67F-5849-488A-B1D3-C0D6B8133D49}" name="Seu Código" dataDxfId="73"/>
    <tableColumn id="6" xr3:uid="{8ABAFF11-B04C-4097-AE04-0FBC184D4150}" name="Nomenclatura Documento" dataDxfId="72">
      <calculatedColumnFormula>_xlfn.CONCAT(A2," - ",B2," UC ",C2," - 20xx-xx")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774A7-383E-4B6F-8BE6-E533EEC013BD}" name="Tabela1" displayName="Tabela1" ref="A1:G73" headerRowDxfId="71" dataDxfId="69" headerRowBorderDxfId="70" tableBorderDxfId="68" totalsRowBorderDxfId="67">
  <autoFilter ref="A1:G73" xr:uid="{67FA5227-5768-4ABA-9594-2EF6C84FAA26}"/>
  <sortState ref="A2:E61">
    <sortCondition ref="A1:A61"/>
  </sortState>
  <tableColumns count="7">
    <tableColumn id="1" xr3:uid="{F5438AE0-408E-41BA-9602-69B75BAF9048}" name="nº" totalsRowLabel="Total" dataDxfId="66" totalsRowDxfId="65"/>
    <tableColumn id="2" xr3:uid="{175B77F3-BA0A-459B-B506-49A68AB74071}" name="Cliente" dataDxfId="64" totalsRowDxfId="63"/>
    <tableColumn id="3" xr3:uid="{2CD36FAB-7162-4A45-98DA-79F5013B2B27}" name="Nº de módulos " dataDxfId="62" totalsRowDxfId="61"/>
    <tableColumn id="4" xr3:uid="{9C973AEA-F499-49B8-AF99-EAAB466F3ADC}" name="Pot.do módulo" totalsRowFunction="sum" dataDxfId="60" totalsRowDxfId="59"/>
    <tableColumn id="5" xr3:uid="{DDD8A7F0-4946-4FF3-8A64-9C15A787655A}" name="Potência" dataDxfId="58" totalsRowDxfId="57">
      <calculatedColumnFormula>Tabela1[[#This Row],[Pot.do módulo]]*Tabela1[[#This Row],[Nº de módulos ]]/1000</calculatedColumnFormula>
    </tableColumn>
    <tableColumn id="6" xr3:uid="{08FDCF05-180F-43E8-81B1-49F325C5A773}" name="Atualizada" dataDxfId="56" totalsRowDxfId="55"/>
    <tableColumn id="7" xr3:uid="{C492A859-B03E-40A1-AD6F-1F9872BD4C6D}" name="Consolidadas" dataDxfId="54" totalsRowDxfId="53"/>
  </tableColumns>
  <tableStyleInfo name="TableStyleMedium18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9026B8-9255-4C4A-AD32-C77BB2BBBDDB}" name="Tabela3" displayName="Tabela3" ref="A1:E72" totalsRowShown="0" headerRowDxfId="52" dataDxfId="50" headerRowBorderDxfId="51" tableBorderDxfId="49" totalsRowBorderDxfId="48">
  <autoFilter ref="A1:E72" xr:uid="{8FD412A9-98DB-4998-8AC5-2D247A23005B}"/>
  <sortState ref="A2:E61">
    <sortCondition ref="A1:A61"/>
  </sortState>
  <tableColumns count="5">
    <tableColumn id="5" xr3:uid="{59C87337-4619-4BBB-8E41-407460F7B182}" name="ID" dataDxfId="47"/>
    <tableColumn id="1" xr3:uid="{A218D968-A433-456D-8318-B8D964F2C8D6}" name="Cliente" dataDxfId="46"/>
    <tableColumn id="2" xr3:uid="{1147C3BE-4BC6-4D8F-BE35-E7EF4771F94D}" name="DATA ULTIMA" dataDxfId="45"/>
    <tableColumn id="3" xr3:uid="{2EA8847A-277F-4F22-A2FD-86E9E4507CDF}" name="PROGRAMADA" dataDxfId="44">
      <calculatedColumnFormula>IF(Tabela3[[#This Row],[TEMPO (MESES)]]="","",IF(Tabela3[[#This Row],[DATA ULTIMA]] ="", "",Tabela3[[#This Row],[DATA ULTIMA]]+(Tabela3[[#This Row],[TEMPO (MESES)]]*30.45)))</calculatedColumnFormula>
    </tableColumn>
    <tableColumn id="4" xr3:uid="{91C36D7C-DB64-4313-8203-404514559C51}" name="TEMPO (MESES)" dataDxfId="4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288A53-FA67-42BF-A747-5D5EDC60BB8B}" name="Tabela4" displayName="Tabela4" ref="A1:AL78" totalsRowShown="0" headerRowDxfId="42" dataDxfId="40" headerRowBorderDxfId="41" tableBorderDxfId="39" totalsRowBorderDxfId="38">
  <autoFilter ref="A1:AL78" xr:uid="{B43127BC-5FCF-48FB-AE54-D5CEDED53607}"/>
  <tableColumns count="38">
    <tableColumn id="1" xr3:uid="{7303A0C5-3DFF-47E7-8B05-6892D5063971}" name="Nome" dataDxfId="37"/>
    <tableColumn id="2" xr3:uid="{E5454ACA-AC0D-4862-8A72-7ABC3AF2E7ED}" name="UC" dataDxfId="36"/>
    <tableColumn id="3" xr3:uid="{46C316BD-5A6D-4BD8-BD78-EAB125F6CA4E}" name="jan/18" dataDxfId="35" dataCellStyle="Moeda"/>
    <tableColumn id="4" xr3:uid="{E252126B-1E8A-4810-B870-FE650E9F9B09}" name="fev/18" dataDxfId="34" dataCellStyle="Moeda"/>
    <tableColumn id="5" xr3:uid="{0657AB2C-ABC9-4FE2-8368-CFF44EEB8F0C}" name="mar/18" dataDxfId="33" dataCellStyle="Moeda"/>
    <tableColumn id="6" xr3:uid="{05E1F0DC-CF7E-4922-B2A4-8E2E6E2BD0A1}" name="abr/18" dataDxfId="32" dataCellStyle="Moeda"/>
    <tableColumn id="7" xr3:uid="{35F57B01-D03F-44EB-89DC-A160A5A118BC}" name="mai/18" dataDxfId="31" dataCellStyle="Moeda"/>
    <tableColumn id="8" xr3:uid="{92DBB2A2-28C2-44AC-B983-D0989BFE37D1}" name="jun/18" dataDxfId="30" dataCellStyle="Moeda"/>
    <tableColumn id="9" xr3:uid="{C5C47ED8-30B0-42E1-BB60-86F1AB9FCC53}" name="jul/18" dataDxfId="29" dataCellStyle="Moeda"/>
    <tableColumn id="10" xr3:uid="{4059D6D2-921D-4B44-B009-B28B47C3B4D1}" name="ago/18" dataDxfId="28" dataCellStyle="Moeda"/>
    <tableColumn id="11" xr3:uid="{1A9F060F-5D4A-4C2C-B225-A533B8686860}" name="set/18" dataDxfId="27" dataCellStyle="Moeda"/>
    <tableColumn id="12" xr3:uid="{1DC25F8B-03EA-434E-AB87-06517BB843E9}" name="out/18" dataDxfId="26" dataCellStyle="Moeda"/>
    <tableColumn id="13" xr3:uid="{FE172179-B03D-4FE8-9B8A-C9234C33DBE1}" name="nov/18" dataDxfId="25" dataCellStyle="Moeda"/>
    <tableColumn id="14" xr3:uid="{D0E9F314-965B-4DB5-B5EC-E661258065B2}" name="dez/18" dataDxfId="24" dataCellStyle="Moeda"/>
    <tableColumn id="15" xr3:uid="{6009B62C-EABC-4F35-BA7F-A2A324BED4F9}" name="jan/19" dataDxfId="23" dataCellStyle="Moeda"/>
    <tableColumn id="16" xr3:uid="{585AD4DF-12C3-4E8B-9A44-9A5B9B502FB9}" name="fev/19" dataDxfId="22" dataCellStyle="Moeda"/>
    <tableColumn id="17" xr3:uid="{EEF647AA-245C-4CB1-AF13-B32A654D139F}" name="mar/19" dataDxfId="21" dataCellStyle="Moeda"/>
    <tableColumn id="18" xr3:uid="{1CAA2039-75FE-445F-B19A-EE7511E39927}" name="abr/19" dataDxfId="20" dataCellStyle="Moeda"/>
    <tableColumn id="19" xr3:uid="{6CBA2C0C-7365-4F46-A309-8097D1293656}" name="mai/19" dataDxfId="19" dataCellStyle="Moeda"/>
    <tableColumn id="20" xr3:uid="{264BD936-3909-4FC8-BEE1-BFD53C3DDB4F}" name="jun/19" dataDxfId="18" dataCellStyle="Moeda"/>
    <tableColumn id="21" xr3:uid="{77BB9146-D004-4678-994F-69DC2FA502BF}" name="jul/19" dataDxfId="17" dataCellStyle="Moeda"/>
    <tableColumn id="22" xr3:uid="{6801379C-841A-41BF-93BE-F629F5A1048B}" name="ago/19" dataDxfId="16" dataCellStyle="Moeda"/>
    <tableColumn id="23" xr3:uid="{E039D60C-56F5-4D13-A011-09A40B66DA13}" name="set/19" dataDxfId="15" dataCellStyle="Moeda"/>
    <tableColumn id="24" xr3:uid="{B2B13068-085C-40B4-98A3-FF3D585A251F}" name="out/19" dataDxfId="14" dataCellStyle="Moeda"/>
    <tableColumn id="25" xr3:uid="{0B33DBE9-ACB2-443C-BA29-DE36ACE71FD1}" name="nov/19" dataDxfId="13" dataCellStyle="Moeda"/>
    <tableColumn id="26" xr3:uid="{9F3CCADF-FAB7-4E01-B3E8-1E80551A3C78}" name="dez/19" dataDxfId="12" dataCellStyle="Moeda"/>
    <tableColumn id="27" xr3:uid="{D636C780-EC34-417B-90F0-BD6F21313090}" name="jan/20" dataDxfId="11" dataCellStyle="Moeda"/>
    <tableColumn id="28" xr3:uid="{7EEB2AE7-756E-4696-88BB-DD24BA464E7A}" name="fev/20" dataDxfId="10" dataCellStyle="Moeda"/>
    <tableColumn id="29" xr3:uid="{DEA7CB29-DC69-4ADC-828E-05296CBBBB12}" name="mar/20" dataDxfId="9" dataCellStyle="Moeda"/>
    <tableColumn id="30" xr3:uid="{8A28BB1F-62E8-489F-8308-807D0C3E8590}" name="abr/20" dataDxfId="8" dataCellStyle="Moeda"/>
    <tableColumn id="31" xr3:uid="{B2DA4284-C0EA-4A41-8AFD-7A4C5FD8FAF6}" name="mai/20" dataDxfId="7" dataCellStyle="Moeda"/>
    <tableColumn id="32" xr3:uid="{C14D64C1-FA3F-4342-81DF-55DAC6F4165D}" name="jun/20" dataDxfId="6" dataCellStyle="Moeda"/>
    <tableColumn id="33" xr3:uid="{830626CE-F135-47EC-AC8B-25A133DAAE42}" name="jul/20" dataDxfId="5" dataCellStyle="Moeda"/>
    <tableColumn id="34" xr3:uid="{531EDF9C-4892-4C22-8D95-3071A807D618}" name="ago/20" dataDxfId="4" dataCellStyle="Moeda"/>
    <tableColumn id="35" xr3:uid="{5326AB4D-1903-48E1-9F11-0945ED148078}" name="set/20" dataDxfId="3" dataCellStyle="Moeda"/>
    <tableColumn id="36" xr3:uid="{C1F64411-7C3F-4785-B083-A640491A3569}" name="out/20" dataDxfId="2" dataCellStyle="Moeda"/>
    <tableColumn id="37" xr3:uid="{A690B0A9-5AD6-4E1F-B8AD-546C064B4030}" name="nov/20" dataDxfId="1" dataCellStyle="Moeda"/>
    <tableColumn id="38" xr3:uid="{987C040D-FB60-48FA-A1EB-B5783E6A81FF}" name="dez/20" dataDxfId="0" dataCellStyle="Mo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C850641-D011-4E05-B634-3FB4BCC1FD1B}">
  <we:reference id="wa104380862" version="1.5.0.0" store="pt-BR" storeType="OMEX"/>
  <we:alternateReferences>
    <we:reference id="wa104380862" version="1.5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esminetto@terra.com.br" TargetMode="External"/><Relationship Id="rId18" Type="http://schemas.openxmlformats.org/officeDocument/2006/relationships/hyperlink" Target="mailto:ernoschiefelbain@gmail.com" TargetMode="External"/><Relationship Id="rId26" Type="http://schemas.openxmlformats.org/officeDocument/2006/relationships/hyperlink" Target="mailto:padaria-avenida@bol.com.br" TargetMode="External"/><Relationship Id="rId3" Type="http://schemas.openxmlformats.org/officeDocument/2006/relationships/hyperlink" Target="mailto:jandiratdutra@gmail.com" TargetMode="External"/><Relationship Id="rId21" Type="http://schemas.openxmlformats.org/officeDocument/2006/relationships/hyperlink" Target="mailto:clemensrubi@gmail.com" TargetMode="External"/><Relationship Id="rId34" Type="http://schemas.openxmlformats.org/officeDocument/2006/relationships/vmlDrawing" Target="../drawings/vmlDrawing4.vml"/><Relationship Id="rId7" Type="http://schemas.openxmlformats.org/officeDocument/2006/relationships/hyperlink" Target="mailto:clodoaldocalegaro@gmail.com" TargetMode="External"/><Relationship Id="rId12" Type="http://schemas.openxmlformats.org/officeDocument/2006/relationships/hyperlink" Target="mailto:zanusobarichello@gmail.com" TargetMode="External"/><Relationship Id="rId17" Type="http://schemas.openxmlformats.org/officeDocument/2006/relationships/hyperlink" Target="mailto:veronese@unijui.edu.br" TargetMode="External"/><Relationship Id="rId25" Type="http://schemas.openxmlformats.org/officeDocument/2006/relationships/hyperlink" Target="mailto:santoangelo@aabb.com.br" TargetMode="External"/><Relationship Id="rId33" Type="http://schemas.openxmlformats.org/officeDocument/2006/relationships/hyperlink" Target="mailto:joseluizmorais1@gmail.com" TargetMode="External"/><Relationship Id="rId2" Type="http://schemas.openxmlformats.org/officeDocument/2006/relationships/hyperlink" Target="mailto:mararebasi@gmail.com" TargetMode="External"/><Relationship Id="rId16" Type="http://schemas.openxmlformats.org/officeDocument/2006/relationships/hyperlink" Target="mailto:joseluizmorais1@gmail.com" TargetMode="External"/><Relationship Id="rId20" Type="http://schemas.openxmlformats.org/officeDocument/2006/relationships/hyperlink" Target="mailto:gelsotofolo@gmail.com" TargetMode="External"/><Relationship Id="rId29" Type="http://schemas.openxmlformats.org/officeDocument/2006/relationships/hyperlink" Target="mailto:mararebasi@gmail.com" TargetMode="External"/><Relationship Id="rId1" Type="http://schemas.openxmlformats.org/officeDocument/2006/relationships/hyperlink" Target="mailto:marlon@energens.com.br" TargetMode="External"/><Relationship Id="rId6" Type="http://schemas.openxmlformats.org/officeDocument/2006/relationships/hyperlink" Target="mailto:paulooscarbohn43@gmail.com" TargetMode="External"/><Relationship Id="rId11" Type="http://schemas.openxmlformats.org/officeDocument/2006/relationships/hyperlink" Target="mailto:piaiamoveis@hotmail.com" TargetMode="External"/><Relationship Id="rId24" Type="http://schemas.openxmlformats.org/officeDocument/2006/relationships/hyperlink" Target="mailto:gicelinunes@hotmail.com" TargetMode="External"/><Relationship Id="rId32" Type="http://schemas.openxmlformats.org/officeDocument/2006/relationships/hyperlink" Target="mailto:zanusobarichello@gmail.com" TargetMode="External"/><Relationship Id="rId5" Type="http://schemas.openxmlformats.org/officeDocument/2006/relationships/hyperlink" Target="mailto:maiconviniciuscontri@gmail.com" TargetMode="External"/><Relationship Id="rId15" Type="http://schemas.openxmlformats.org/officeDocument/2006/relationships/hyperlink" Target="mailto:familke13@gmail.com" TargetMode="External"/><Relationship Id="rId23" Type="http://schemas.openxmlformats.org/officeDocument/2006/relationships/hyperlink" Target="mailto:betiner@bol.com.br" TargetMode="External"/><Relationship Id="rId28" Type="http://schemas.openxmlformats.org/officeDocument/2006/relationships/hyperlink" Target="mailto:jandiratdutra@gmail.com" TargetMode="External"/><Relationship Id="rId10" Type="http://schemas.openxmlformats.org/officeDocument/2006/relationships/hyperlink" Target="mailto:valdecir@biroh.com.br" TargetMode="External"/><Relationship Id="rId19" Type="http://schemas.openxmlformats.org/officeDocument/2006/relationships/hyperlink" Target="mailto:darizanuso@gmail.com" TargetMode="External"/><Relationship Id="rId31" Type="http://schemas.openxmlformats.org/officeDocument/2006/relationships/hyperlink" Target="mailto:piaiamoveis@hotmail.com" TargetMode="External"/><Relationship Id="rId4" Type="http://schemas.openxmlformats.org/officeDocument/2006/relationships/hyperlink" Target="mailto:luisfkruger@gmail.com" TargetMode="External"/><Relationship Id="rId9" Type="http://schemas.openxmlformats.org/officeDocument/2006/relationships/hyperlink" Target="mailto:gaposser@hotmail.com" TargetMode="External"/><Relationship Id="rId14" Type="http://schemas.openxmlformats.org/officeDocument/2006/relationships/hyperlink" Target="mailto:jairmoscon@gmail.com" TargetMode="External"/><Relationship Id="rId22" Type="http://schemas.openxmlformats.org/officeDocument/2006/relationships/hyperlink" Target="mailto:glaulipski@hotmail.com" TargetMode="External"/><Relationship Id="rId27" Type="http://schemas.openxmlformats.org/officeDocument/2006/relationships/hyperlink" Target="mailto:clodoaldocalegaro@gmail.com" TargetMode="External"/><Relationship Id="rId30" Type="http://schemas.openxmlformats.org/officeDocument/2006/relationships/hyperlink" Target="mailto:cassioaburin@hotmail.com" TargetMode="External"/><Relationship Id="rId35" Type="http://schemas.openxmlformats.org/officeDocument/2006/relationships/comments" Target="../comments4.xml"/><Relationship Id="rId8" Type="http://schemas.openxmlformats.org/officeDocument/2006/relationships/hyperlink" Target="mailto:cassioaburin@hot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0DD7-8606-429B-B3B1-A5E7CF64B745}">
  <sheetPr codeName="Planilha1">
    <tabColor rgb="FFFF0000"/>
  </sheetPr>
  <dimension ref="A1:S27"/>
  <sheetViews>
    <sheetView showGridLines="0" tabSelected="1" zoomScaleNormal="100" workbookViewId="0">
      <selection activeCell="E1" sqref="E1:M1"/>
    </sheetView>
  </sheetViews>
  <sheetFormatPr defaultColWidth="10.42578125" defaultRowHeight="15" x14ac:dyDescent="0.25"/>
  <cols>
    <col min="1" max="1" width="5" style="5" bestFit="1" customWidth="1"/>
    <col min="2" max="2" width="19.140625" style="5" bestFit="1" customWidth="1"/>
    <col min="3" max="15" width="8" style="5" customWidth="1"/>
    <col min="16" max="16" width="9.7109375" style="5" customWidth="1"/>
    <col min="17" max="17" width="13.140625" style="5" customWidth="1"/>
    <col min="18" max="18" width="10.140625" style="5" customWidth="1"/>
    <col min="19" max="16384" width="10.42578125" style="5"/>
  </cols>
  <sheetData>
    <row r="1" spans="1:19" ht="15.75" thickBot="1" x14ac:dyDescent="0.3">
      <c r="B1" s="48" t="str">
        <f>VLOOKUP($C$4,Acesso!$B:$E,2,0)</f>
        <v>SolarView</v>
      </c>
      <c r="C1" s="174" t="s">
        <v>157</v>
      </c>
      <c r="D1" s="172"/>
      <c r="E1" s="172">
        <f>VLOOKUP($C$4,Acesso!$B:$E,3,0)</f>
        <v>0</v>
      </c>
      <c r="F1" s="172"/>
      <c r="G1" s="172"/>
      <c r="H1" s="172"/>
      <c r="I1" s="172"/>
      <c r="J1" s="172"/>
      <c r="K1" s="172"/>
      <c r="L1" s="172"/>
      <c r="M1" s="173"/>
      <c r="N1" s="174" t="s">
        <v>158</v>
      </c>
      <c r="O1" s="172"/>
      <c r="P1" s="172">
        <f>VLOOKUP($C$4,Acesso!$B:$E,4,0)</f>
        <v>0</v>
      </c>
      <c r="Q1" s="172"/>
      <c r="R1" s="173"/>
    </row>
    <row r="2" spans="1:19" ht="15.75" thickBot="1" x14ac:dyDescent="0.3"/>
    <row r="3" spans="1:19" ht="15.75" hidden="1" thickBot="1" x14ac:dyDescent="0.3">
      <c r="C3" s="25">
        <v>1</v>
      </c>
      <c r="D3" s="25">
        <v>2</v>
      </c>
      <c r="E3" s="25">
        <v>3</v>
      </c>
      <c r="F3" s="25">
        <v>4</v>
      </c>
      <c r="G3" s="25">
        <v>5</v>
      </c>
      <c r="H3" s="25">
        <v>6</v>
      </c>
      <c r="I3" s="25">
        <v>7</v>
      </c>
      <c r="J3" s="25">
        <v>8</v>
      </c>
      <c r="K3" s="25">
        <v>9</v>
      </c>
      <c r="L3" s="25">
        <v>10</v>
      </c>
      <c r="M3" s="25">
        <v>11</v>
      </c>
      <c r="N3" s="25">
        <v>12</v>
      </c>
    </row>
    <row r="4" spans="1:19" s="46" customFormat="1" ht="24" thickBot="1" x14ac:dyDescent="0.3">
      <c r="C4" s="175" t="s">
        <v>320</v>
      </c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7"/>
    </row>
    <row r="5" spans="1:19" ht="15.75" thickBot="1" x14ac:dyDescent="0.3">
      <c r="C5" s="164" t="s">
        <v>76</v>
      </c>
      <c r="D5" s="165"/>
      <c r="E5" s="166"/>
      <c r="F5" s="40">
        <f>VLOOKUP($C$4,Tabela1[[#All],[Cliente]:[Pot.do módulo]],2,0)</f>
        <v>120</v>
      </c>
      <c r="G5" s="164" t="s">
        <v>77</v>
      </c>
      <c r="H5" s="165"/>
      <c r="I5" s="166"/>
      <c r="J5" s="88">
        <f>VLOOKUP($C$4,Tabela1[[#All],[Cliente]:[Pot.do módulo]],3,0)</f>
        <v>340</v>
      </c>
      <c r="K5" s="164" t="s">
        <v>84</v>
      </c>
      <c r="L5" s="165"/>
      <c r="M5" s="165"/>
      <c r="N5" s="166"/>
      <c r="O5" s="40">
        <f>VLOOKUP($C$4,Tabela1[[#All],[Cliente]:[Potência]],4,0)</f>
        <v>40.799999999999997</v>
      </c>
    </row>
    <row r="6" spans="1:19" ht="15.75" thickBot="1" x14ac:dyDescent="0.3">
      <c r="C6" s="167" t="s">
        <v>276</v>
      </c>
      <c r="D6" s="168"/>
      <c r="E6" s="169"/>
      <c r="F6" s="170" t="e">
        <f>VLOOKUP($C$4,Limpezas!B2:D72,2,0)</f>
        <v>#N/A</v>
      </c>
      <c r="G6" s="171"/>
      <c r="H6" s="167" t="s">
        <v>277</v>
      </c>
      <c r="I6" s="168"/>
      <c r="J6" s="169"/>
      <c r="K6" s="170" t="e">
        <f>VLOOKUP($C$4,Limpezas!B2:D72,3,0)</f>
        <v>#N/A</v>
      </c>
      <c r="L6" s="171"/>
      <c r="M6" s="2"/>
      <c r="N6" s="2"/>
      <c r="O6" s="2"/>
    </row>
    <row r="7" spans="1:19" ht="15.75" thickBot="1" x14ac:dyDescent="0.3">
      <c r="C7" s="98" t="s">
        <v>50</v>
      </c>
      <c r="D7" s="99" t="s">
        <v>51</v>
      </c>
      <c r="E7" s="99" t="s">
        <v>52</v>
      </c>
      <c r="F7" s="99" t="s">
        <v>65</v>
      </c>
      <c r="G7" s="99" t="s">
        <v>67</v>
      </c>
      <c r="H7" s="99" t="s">
        <v>66</v>
      </c>
      <c r="I7" s="99" t="s">
        <v>53</v>
      </c>
      <c r="J7" s="99" t="s">
        <v>54</v>
      </c>
      <c r="K7" s="99" t="s">
        <v>55</v>
      </c>
      <c r="L7" s="99" t="s">
        <v>56</v>
      </c>
      <c r="M7" s="99" t="s">
        <v>57</v>
      </c>
      <c r="N7" s="100" t="s">
        <v>58</v>
      </c>
      <c r="O7" s="101" t="s">
        <v>60</v>
      </c>
    </row>
    <row r="8" spans="1:19" ht="15.75" thickBot="1" x14ac:dyDescent="0.3">
      <c r="B8" s="27" t="s">
        <v>78</v>
      </c>
      <c r="C8" s="69">
        <f>VLOOKUP($C$4,'Ger Prev'!$B$3:$AB$98,16,0)</f>
        <v>5.76</v>
      </c>
      <c r="D8" s="28">
        <f>VLOOKUP($C$4,'Ger Prev'!$B$3:$AB$98,17,0)</f>
        <v>5.73</v>
      </c>
      <c r="E8" s="28">
        <f>VLOOKUP($C$4,'Ger Prev'!$B$3:$AB$98,18,0)</f>
        <v>5.46</v>
      </c>
      <c r="F8" s="28">
        <f>VLOOKUP($C$4,'Ger Prev'!$B$3:$AB$98,19,0)</f>
        <v>4.7699999999999996</v>
      </c>
      <c r="G8" s="28">
        <f>VLOOKUP($C$4,'Ger Prev'!$B$3:$AB$98,20,0)</f>
        <v>4.0599999999999996</v>
      </c>
      <c r="H8" s="28">
        <f>VLOOKUP($C$4,'Ger Prev'!$B$3:$AB$98,21,0)</f>
        <v>3.47</v>
      </c>
      <c r="I8" s="28">
        <f>VLOOKUP($C$4,'Ger Prev'!$B$3:$AB$98,22,0)</f>
        <v>3.82</v>
      </c>
      <c r="J8" s="28">
        <f>VLOOKUP($C$4,'Ger Prev'!$B$3:$AB$98,23,0)</f>
        <v>4.42</v>
      </c>
      <c r="K8" s="28">
        <f>VLOOKUP($C$4,'Ger Prev'!$B$3:$AB$98,24,0)</f>
        <v>4.3499999999999996</v>
      </c>
      <c r="L8" s="28">
        <f>VLOOKUP($C$4,'Ger Prev'!$B$3:$AB$98,25,0)</f>
        <v>5.07</v>
      </c>
      <c r="M8" s="28">
        <f>VLOOKUP($C$4,'Ger Prev'!$B$3:$AB$98,26,0)</f>
        <v>5.69</v>
      </c>
      <c r="N8" s="63">
        <f>VLOOKUP($C$4,'Ger Prev'!$B$3:$AB$98,27,0)</f>
        <v>5.86</v>
      </c>
      <c r="O8" s="27">
        <f>ROUNDDOWN(AVERAGE(C8:N8),2)</f>
        <v>4.87</v>
      </c>
      <c r="P8" s="159" t="s">
        <v>82</v>
      </c>
      <c r="Q8" s="159"/>
      <c r="R8" s="47" t="str">
        <f>IFERROR(ROUNDDOWN(AVERAGE(O11,O13,O15,O17,O19,O21,O23,O25,O27),2),"")</f>
        <v/>
      </c>
      <c r="S8" s="26"/>
    </row>
    <row r="9" spans="1:19" ht="15.75" thickBot="1" x14ac:dyDescent="0.3">
      <c r="B9" s="29" t="s">
        <v>79</v>
      </c>
      <c r="C9" s="70">
        <f>VLOOKUP($C$4,'Ger Prev'!$B$3:$O$98,2,0)</f>
        <v>5463</v>
      </c>
      <c r="D9" s="30">
        <f>VLOOKUP($C$4,'Ger Prev'!$B$3:$O$98,3,0)</f>
        <v>4909</v>
      </c>
      <c r="E9" s="30">
        <f>VLOOKUP($C$4,'Ger Prev'!$B$3:$O$98,4,0)</f>
        <v>5179</v>
      </c>
      <c r="F9" s="30">
        <f>VLOOKUP($C$4,'Ger Prev'!$B$3:$O$98,5,0)</f>
        <v>4378</v>
      </c>
      <c r="G9" s="30">
        <f>VLOOKUP($C$4,'Ger Prev'!$B$3:$O$98,6,0)</f>
        <v>3851</v>
      </c>
      <c r="H9" s="30">
        <f>VLOOKUP($C$4,'Ger Prev'!$B$3:$O$98,7,0)</f>
        <v>3185</v>
      </c>
      <c r="I9" s="30">
        <f>VLOOKUP($C$4,'Ger Prev'!$B$3:$O$98,8,0)</f>
        <v>3623</v>
      </c>
      <c r="J9" s="30">
        <f>VLOOKUP($C$4,'Ger Prev'!$B$3:$O$98,9,0)</f>
        <v>4192</v>
      </c>
      <c r="K9" s="30">
        <f>VLOOKUP($C$4,'Ger Prev'!$B$3:$O$98,10,0)</f>
        <v>3993</v>
      </c>
      <c r="L9" s="30">
        <f>VLOOKUP($C$4,'Ger Prev'!$B$3:$O$98,11,0)</f>
        <v>4809</v>
      </c>
      <c r="M9" s="30">
        <f>VLOOKUP($C$4,'Ger Prev'!$B$3:$O$98,12,0)</f>
        <v>5223</v>
      </c>
      <c r="N9" s="64">
        <f>VLOOKUP($C$4,'Ger Prev'!$B$3:$O$98,13,0)</f>
        <v>5558</v>
      </c>
      <c r="O9" s="29">
        <f>ROUNDDOWN(AVERAGE(C9:N9),1)</f>
        <v>4530.2</v>
      </c>
      <c r="P9" s="159" t="s">
        <v>83</v>
      </c>
      <c r="Q9" s="159"/>
      <c r="R9" s="42" t="str">
        <f>IFERROR(AVERAGE(R10,R12,R14,R16,R18,R20,R22,R24,R26),"")</f>
        <v/>
      </c>
    </row>
    <row r="10" spans="1:19" ht="15.75" thickBot="1" x14ac:dyDescent="0.3">
      <c r="A10" s="162">
        <v>2018</v>
      </c>
      <c r="B10" s="31" t="s">
        <v>80</v>
      </c>
      <c r="C10" s="71" t="str">
        <f>IF(VLOOKUP($C$4,'Ger Efet'!$A:$DE,1+C$3,0)=0,"",VLOOKUP($C$4,'Ger Efet'!$A:$DE,1+C$3,0))</f>
        <v/>
      </c>
      <c r="D10" s="32" t="str">
        <f>IF(VLOOKUP($C$4,'Ger Efet'!$A:$DE,1+D$3,0)=0,"",VLOOKUP($C$4,'Ger Efet'!$A:$DE,1+D$3,0))</f>
        <v/>
      </c>
      <c r="E10" s="32" t="str">
        <f>IF(VLOOKUP($C$4,'Ger Efet'!$A:$DE,1+E$3,0)=0,"",VLOOKUP($C$4,'Ger Efet'!$A:$DE,1+E$3,0))</f>
        <v/>
      </c>
      <c r="F10" s="32" t="str">
        <f>IF(VLOOKUP($C$4,'Ger Efet'!$A:$DE,1+F$3,0)=0,"",VLOOKUP($C$4,'Ger Efet'!$A:$DE,1+F$3,0))</f>
        <v/>
      </c>
      <c r="G10" s="32" t="str">
        <f>IF(VLOOKUP($C$4,'Ger Efet'!$A:$DE,1+G$3,0)=0,"",VLOOKUP($C$4,'Ger Efet'!$A:$DE,1+G$3,0))</f>
        <v/>
      </c>
      <c r="H10" s="32" t="str">
        <f>IF(VLOOKUP($C$4,'Ger Efet'!$A:$DE,1+H$3,0)=0,"",VLOOKUP($C$4,'Ger Efet'!$A:$DE,1+H$3,0))</f>
        <v/>
      </c>
      <c r="I10" s="32" t="str">
        <f>IF(VLOOKUP($C$4,'Ger Efet'!$A:$DE,1+I$3,0)=0,"",VLOOKUP($C$4,'Ger Efet'!$A:$DE,1+I$3,0))</f>
        <v/>
      </c>
      <c r="J10" s="32" t="str">
        <f>IF(VLOOKUP($C$4,'Ger Efet'!$A:$DE,1+J$3,0)=0,"",VLOOKUP($C$4,'Ger Efet'!$A:$DE,1+J$3,0))</f>
        <v/>
      </c>
      <c r="K10" s="32" t="str">
        <f>IF(VLOOKUP($C$4,'Ger Efet'!$A:$DE,1+K$3,0)=0,"",VLOOKUP($C$4,'Ger Efet'!$A:$DE,1+K$3,0))</f>
        <v/>
      </c>
      <c r="L10" s="32" t="str">
        <f>IF(VLOOKUP($C$4,'Ger Efet'!$A:$DE,1+L$3,0)=0,"",VLOOKUP($C$4,'Ger Efet'!$A:$DE,1+L$3,0))</f>
        <v/>
      </c>
      <c r="M10" s="32" t="str">
        <f>IF(VLOOKUP($C$4,'Ger Efet'!$A:$DE,1+M$3,0)=0,"",VLOOKUP($C$4,'Ger Efet'!$A:$DE,1+M$3,0))</f>
        <v/>
      </c>
      <c r="N10" s="65" t="str">
        <f>IF(VLOOKUP($C$4,'Ger Efet'!$A:$DE,1+N$3,0)=0,"",VLOOKUP($C$4,'Ger Efet'!$A:$DE,1+N$3,0))</f>
        <v/>
      </c>
      <c r="O10" s="31" t="str">
        <f>IFERROR(ROUNDDOWN(AVERAGE(C10:N10),1),"")</f>
        <v/>
      </c>
      <c r="P10" s="158" t="str">
        <f>"Efetividade Anual "&amp;A10</f>
        <v>Efetividade Anual 2018</v>
      </c>
      <c r="Q10" s="158"/>
      <c r="R10" s="43" t="str">
        <f>IFERROR(O10/$O$9,"")</f>
        <v/>
      </c>
    </row>
    <row r="11" spans="1:19" ht="15.75" thickBot="1" x14ac:dyDescent="0.3">
      <c r="A11" s="163"/>
      <c r="B11" s="33" t="s">
        <v>81</v>
      </c>
      <c r="C11" s="72" t="str">
        <f t="shared" ref="C11:N11" si="0">IF(C10 = "", "", ROUNDDOWN(C10/$F$5,2))</f>
        <v/>
      </c>
      <c r="D11" s="34" t="str">
        <f t="shared" si="0"/>
        <v/>
      </c>
      <c r="E11" s="34" t="str">
        <f t="shared" si="0"/>
        <v/>
      </c>
      <c r="F11" s="34" t="str">
        <f t="shared" si="0"/>
        <v/>
      </c>
      <c r="G11" s="34" t="str">
        <f t="shared" si="0"/>
        <v/>
      </c>
      <c r="H11" s="34" t="str">
        <f t="shared" si="0"/>
        <v/>
      </c>
      <c r="I11" s="34" t="str">
        <f t="shared" si="0"/>
        <v/>
      </c>
      <c r="J11" s="34" t="str">
        <f t="shared" si="0"/>
        <v/>
      </c>
      <c r="K11" s="34" t="str">
        <f t="shared" si="0"/>
        <v/>
      </c>
      <c r="L11" s="34" t="str">
        <f t="shared" si="0"/>
        <v/>
      </c>
      <c r="M11" s="34" t="str">
        <f t="shared" si="0"/>
        <v/>
      </c>
      <c r="N11" s="66" t="str">
        <f t="shared" si="0"/>
        <v/>
      </c>
      <c r="O11" s="33" t="str">
        <f>IFERROR(ROUNDDOWN(AVERAGE(C11:N11),3),"")</f>
        <v/>
      </c>
    </row>
    <row r="12" spans="1:19" ht="15.75" thickBot="1" x14ac:dyDescent="0.3">
      <c r="A12" s="160">
        <v>2019</v>
      </c>
      <c r="B12" s="35" t="s">
        <v>80</v>
      </c>
      <c r="C12" s="73" t="str">
        <f>IF(VLOOKUP($C$4,'Ger Efet'!$A:$DE,13+C$3,0)=0,"",VLOOKUP($C$4,'Ger Efet'!$A:$DE,13+C$3,0))</f>
        <v/>
      </c>
      <c r="D12" s="36" t="str">
        <f>IF(VLOOKUP($C$4,'Ger Efet'!$A:$DE,13+D$3,0)=0,"",VLOOKUP($C$4,'Ger Efet'!$A:$DE,13+D$3,0))</f>
        <v/>
      </c>
      <c r="E12" s="36" t="str">
        <f>IF(VLOOKUP($C$4,'Ger Efet'!$A:$DE,13+E$3,0)=0,"",VLOOKUP($C$4,'Ger Efet'!$A:$DE,13+E$3,0))</f>
        <v/>
      </c>
      <c r="F12" s="36" t="str">
        <f>IF(VLOOKUP($C$4,'Ger Efet'!$A:$DE,13+F$3,0)=0,"",VLOOKUP($C$4,'Ger Efet'!$A:$DE,13+F$3,0))</f>
        <v/>
      </c>
      <c r="G12" s="36" t="str">
        <f>IF(VLOOKUP($C$4,'Ger Efet'!$A:$DE,13+G$3,0)=0,"",VLOOKUP($C$4,'Ger Efet'!$A:$DE,13+G$3,0))</f>
        <v/>
      </c>
      <c r="H12" s="36" t="str">
        <f>IF(VLOOKUP($C$4,'Ger Efet'!$A:$DE,13+H$3,0)=0,"",VLOOKUP($C$4,'Ger Efet'!$A:$DE,13+H$3,0))</f>
        <v/>
      </c>
      <c r="I12" s="36" t="str">
        <f>IF(VLOOKUP($C$4,'Ger Efet'!$A:$DE,13+I$3,0)=0,"",VLOOKUP($C$4,'Ger Efet'!$A:$DE,13+I$3,0))</f>
        <v/>
      </c>
      <c r="J12" s="36" t="str">
        <f>IF(VLOOKUP($C$4,'Ger Efet'!$A:$DE,13+J$3,0)=0,"",VLOOKUP($C$4,'Ger Efet'!$A:$DE,13+J$3,0))</f>
        <v/>
      </c>
      <c r="K12" s="36" t="str">
        <f>IF(VLOOKUP($C$4,'Ger Efet'!$A:$DE,13+K$3,0)=0,"",VLOOKUP($C$4,'Ger Efet'!$A:$DE,13+K$3,0))</f>
        <v/>
      </c>
      <c r="L12" s="36" t="str">
        <f>IF(VLOOKUP($C$4,'Ger Efet'!$A:$DE,13+L$3,0)=0,"",VLOOKUP($C$4,'Ger Efet'!$A:$DE,13+L$3,0))</f>
        <v/>
      </c>
      <c r="M12" s="36" t="str">
        <f>IF(VLOOKUP($C$4,'Ger Efet'!$A:$DE,13+M$3,0)=0,"",VLOOKUP($C$4,'Ger Efet'!$A:$DE,13+M$3,0))</f>
        <v/>
      </c>
      <c r="N12" s="67" t="str">
        <f>IF(VLOOKUP($C$4,'Ger Efet'!$A:$DE,13+N$3,0)=0,"",VLOOKUP($C$4,'Ger Efet'!$A:$DE,13+N$3,0))</f>
        <v/>
      </c>
      <c r="O12" s="35" t="str">
        <f>IFERROR(ROUNDDOWN(AVERAGE(C12:N12),1),"")</f>
        <v/>
      </c>
      <c r="P12" s="158" t="str">
        <f>"Efetividade Anual "&amp;A12</f>
        <v>Efetividade Anual 2019</v>
      </c>
      <c r="Q12" s="158"/>
      <c r="R12" s="43" t="str">
        <f>IFERROR(O12/$O$9,"")</f>
        <v/>
      </c>
    </row>
    <row r="13" spans="1:19" ht="15.75" thickBot="1" x14ac:dyDescent="0.3">
      <c r="A13" s="161"/>
      <c r="B13" s="37" t="s">
        <v>81</v>
      </c>
      <c r="C13" s="74" t="str">
        <f t="shared" ref="C13:N13" si="1">IF(C12 = "", "", ROUNDDOWN(C12/$F$5,2))</f>
        <v/>
      </c>
      <c r="D13" s="62" t="str">
        <f t="shared" si="1"/>
        <v/>
      </c>
      <c r="E13" s="62" t="str">
        <f t="shared" si="1"/>
        <v/>
      </c>
      <c r="F13" s="62" t="str">
        <f>IF(F12 = "", "", ROUNDDOWN(F12/$F$5,2))</f>
        <v/>
      </c>
      <c r="G13" s="62" t="str">
        <f t="shared" si="1"/>
        <v/>
      </c>
      <c r="H13" s="62" t="str">
        <f t="shared" si="1"/>
        <v/>
      </c>
      <c r="I13" s="62" t="str">
        <f t="shared" si="1"/>
        <v/>
      </c>
      <c r="J13" s="62" t="str">
        <f t="shared" si="1"/>
        <v/>
      </c>
      <c r="K13" s="62" t="str">
        <f t="shared" si="1"/>
        <v/>
      </c>
      <c r="L13" s="62" t="str">
        <f t="shared" si="1"/>
        <v/>
      </c>
      <c r="M13" s="62" t="str">
        <f t="shared" si="1"/>
        <v/>
      </c>
      <c r="N13" s="68" t="str">
        <f t="shared" si="1"/>
        <v/>
      </c>
      <c r="O13" s="38" t="str">
        <f>IFERROR(ROUNDDOWN(AVERAGE(C13:N13),3),"")</f>
        <v/>
      </c>
    </row>
    <row r="14" spans="1:19" ht="15.75" thickBot="1" x14ac:dyDescent="0.3">
      <c r="A14" s="162">
        <v>2020</v>
      </c>
      <c r="B14" s="31" t="s">
        <v>80</v>
      </c>
      <c r="C14" s="71" t="str">
        <f>IF(VLOOKUP($C$4,'Ger Efet'!$A:$DE,25+C3,0) = 0, "", VLOOKUP($C$4,'Ger Efet'!$A:$DE,25+C3,0))</f>
        <v/>
      </c>
      <c r="D14" s="32" t="str">
        <f>IF(VLOOKUP($C$4,'Ger Efet'!$A:$DE,25+D3,0) = 0, "", VLOOKUP($C$4,'Ger Efet'!$A:$DE,25+D3,0))</f>
        <v/>
      </c>
      <c r="E14" s="32" t="str">
        <f>IF(VLOOKUP($C$4,'Ger Efet'!$A:$DE,25+E3,0) = 0, "", VLOOKUP($C$4,'Ger Efet'!$A:$DE,25+E3,0))</f>
        <v/>
      </c>
      <c r="F14" s="32" t="str">
        <f>IF(VLOOKUP($C$4,'Ger Efet'!$A:$DE,25+F3,0) = 0, "", VLOOKUP($C$4,'Ger Efet'!$A:$DE,25+F3,0))</f>
        <v/>
      </c>
      <c r="G14" s="32" t="str">
        <f>IF(VLOOKUP($C$4,'Ger Efet'!$A:$DE,25+G3,0) = 0, "", VLOOKUP($C$4,'Ger Efet'!$A:$DE,25+G3,0))</f>
        <v/>
      </c>
      <c r="H14" s="32" t="str">
        <f>IF(VLOOKUP($C$4,'Ger Efet'!$A:$DE,25+H3,0) = 0, "", VLOOKUP($C$4,'Ger Efet'!$A:$DE,25+H3,0))</f>
        <v/>
      </c>
      <c r="I14" s="32" t="str">
        <f>IF(VLOOKUP($C$4,'Ger Efet'!$A:$DE,25+I3,0) = 0, "", VLOOKUP($C$4,'Ger Efet'!$A:$DE,25+I3,0))</f>
        <v/>
      </c>
      <c r="J14" s="32" t="str">
        <f>IF(VLOOKUP($C$4,'Ger Efet'!$A:$DE,25+J3,0) = 0, "", VLOOKUP($C$4,'Ger Efet'!$A:$DE,25+J3,0))</f>
        <v/>
      </c>
      <c r="K14" s="32" t="str">
        <f>IF(VLOOKUP($C$4,'Ger Efet'!$A:$DE,25+K3,0) = 0, "", VLOOKUP($C$4,'Ger Efet'!$A:$DE,25+K3,0))</f>
        <v/>
      </c>
      <c r="L14" s="32" t="str">
        <f>IF(VLOOKUP($C$4,'Ger Efet'!$A:$DE,25+L3,0) = 0, "", VLOOKUP($C$4,'Ger Efet'!$A:$DE,25+L3,0))</f>
        <v/>
      </c>
      <c r="M14" s="32" t="str">
        <f>IF(VLOOKUP($C$4,'Ger Efet'!$A:$DE,25+M3,0) = 0, "", VLOOKUP($C$4,'Ger Efet'!$A:$DE,25+M3,0))</f>
        <v/>
      </c>
      <c r="N14" s="65" t="str">
        <f>IF(VLOOKUP($C$4,'Ger Efet'!$A:$DE,25+N3,0) = 0, "", VLOOKUP($C$4,'Ger Efet'!$A:$DE,25+N3,0))</f>
        <v/>
      </c>
      <c r="O14" s="31" t="str">
        <f>IFERROR(AVERAGE(C14:N14),"")</f>
        <v/>
      </c>
      <c r="P14" s="158" t="str">
        <f>"Efetividade Anual "&amp;A14</f>
        <v>Efetividade Anual 2020</v>
      </c>
      <c r="Q14" s="158"/>
      <c r="R14" s="44" t="str">
        <f>IFERROR(O14/$O$9,"")</f>
        <v/>
      </c>
    </row>
    <row r="15" spans="1:19" ht="15.75" thickBot="1" x14ac:dyDescent="0.3">
      <c r="A15" s="163"/>
      <c r="B15" s="33" t="s">
        <v>81</v>
      </c>
      <c r="C15" s="72" t="str">
        <f t="shared" ref="C15:N15" si="2">IF(C14 = "", "", ROUNDDOWN(C14/$F$5,2))</f>
        <v/>
      </c>
      <c r="D15" s="34" t="str">
        <f t="shared" si="2"/>
        <v/>
      </c>
      <c r="E15" s="34" t="str">
        <f t="shared" si="2"/>
        <v/>
      </c>
      <c r="F15" s="34" t="str">
        <f t="shared" si="2"/>
        <v/>
      </c>
      <c r="G15" s="34" t="str">
        <f t="shared" si="2"/>
        <v/>
      </c>
      <c r="H15" s="34" t="str">
        <f t="shared" si="2"/>
        <v/>
      </c>
      <c r="I15" s="34" t="str">
        <f t="shared" si="2"/>
        <v/>
      </c>
      <c r="J15" s="34" t="str">
        <f t="shared" si="2"/>
        <v/>
      </c>
      <c r="K15" s="34" t="str">
        <f t="shared" si="2"/>
        <v/>
      </c>
      <c r="L15" s="34" t="str">
        <f t="shared" si="2"/>
        <v/>
      </c>
      <c r="M15" s="34" t="str">
        <f t="shared" si="2"/>
        <v/>
      </c>
      <c r="N15" s="66" t="str">
        <f t="shared" si="2"/>
        <v/>
      </c>
      <c r="O15" s="33" t="str">
        <f>IFERROR(ROUNDDOWN(AVERAGE(C15:N15),3),"")</f>
        <v/>
      </c>
    </row>
    <row r="16" spans="1:19" ht="15.75" thickBot="1" x14ac:dyDescent="0.3">
      <c r="A16" s="160">
        <v>2021</v>
      </c>
      <c r="B16" s="35" t="s">
        <v>80</v>
      </c>
      <c r="C16" s="73" t="str">
        <f>IF(VLOOKUP($C$4,'Ger Efet'!$A:$DE,37+C3,0) = 0, "",VLOOKUP($C$4,'Ger Efet'!$A:$DE,37+C3,0))</f>
        <v/>
      </c>
      <c r="D16" s="36" t="str">
        <f>IF(VLOOKUP($C$4,'Ger Efet'!$A:$DE,37+D3,0) = 0, "",VLOOKUP($C$4,'Ger Efet'!$A:$DE,37+D3,0))</f>
        <v/>
      </c>
      <c r="E16" s="36" t="str">
        <f>IF(VLOOKUP($C$4,'Ger Efet'!$A:$DE,37+E3,0) = 0, "",VLOOKUP($C$4,'Ger Efet'!$A:$DE,37+E3,0))</f>
        <v/>
      </c>
      <c r="F16" s="36" t="str">
        <f>IF(VLOOKUP($C$4,'Ger Efet'!$A:$DE,37+F3,0) = 0, "",VLOOKUP($C$4,'Ger Efet'!$A:$DE,37+F3,0))</f>
        <v/>
      </c>
      <c r="G16" s="36" t="str">
        <f>IF(VLOOKUP($C$4,'Ger Efet'!$A:$DE,37+G3,0) = 0, "",VLOOKUP($C$4,'Ger Efet'!$A:$DE,37+G3,0))</f>
        <v/>
      </c>
      <c r="H16" s="36" t="str">
        <f>IF(VLOOKUP($C$4,'Ger Efet'!$A:$DE,37+H3,0) = 0, "",VLOOKUP($C$4,'Ger Efet'!$A:$DE,37+H3,0))</f>
        <v/>
      </c>
      <c r="I16" s="36" t="str">
        <f>IF(VLOOKUP($C$4,'Ger Efet'!$A:$DE,37+I3,0) = 0, "",VLOOKUP($C$4,'Ger Efet'!$A:$DE,37+I3,0))</f>
        <v/>
      </c>
      <c r="J16" s="36" t="str">
        <f>IF(VLOOKUP($C$4,'Ger Efet'!$A:$DE,37+J3,0) = 0, "",VLOOKUP($C$4,'Ger Efet'!$A:$DE,37+J3,0))</f>
        <v/>
      </c>
      <c r="K16" s="36" t="str">
        <f>IF(VLOOKUP($C$4,'Ger Efet'!$A:$DE,37+K3,0) = 0, "",VLOOKUP($C$4,'Ger Efet'!$A:$DE,37+K3,0))</f>
        <v/>
      </c>
      <c r="L16" s="36" t="str">
        <f>IF(VLOOKUP($C$4,'Ger Efet'!$A:$DE,37+L3,0) = 0, "",VLOOKUP($C$4,'Ger Efet'!$A:$DE,37+L3,0))</f>
        <v/>
      </c>
      <c r="M16" s="36" t="str">
        <f>IF(VLOOKUP($C$4,'Ger Efet'!$A:$DE,37+M3,0) = 0, "",VLOOKUP($C$4,'Ger Efet'!$A:$DE,37+M3,0))</f>
        <v/>
      </c>
      <c r="N16" s="67" t="str">
        <f>IF(VLOOKUP($C$4,'Ger Efet'!$A:$DE,37+N3,0) = 0, "",VLOOKUP($C$4,'Ger Efet'!$A:$DE,37+N3,0))</f>
        <v/>
      </c>
      <c r="O16" s="35" t="str">
        <f t="shared" ref="O16:O26" si="3">IFERROR(AVERAGE(C16:N16),"")</f>
        <v/>
      </c>
      <c r="P16" s="158" t="str">
        <f>"Efetividade Anual "&amp;A16</f>
        <v>Efetividade Anual 2021</v>
      </c>
      <c r="Q16" s="158"/>
      <c r="R16" s="44" t="str">
        <f>IFERROR(O16/$O$9,"")</f>
        <v/>
      </c>
    </row>
    <row r="17" spans="1:18" ht="15.75" thickBot="1" x14ac:dyDescent="0.3">
      <c r="A17" s="161"/>
      <c r="B17" s="37" t="s">
        <v>81</v>
      </c>
      <c r="C17" s="74" t="str">
        <f t="shared" ref="C17:N17" si="4">IF(C16 = "", "", ROUNDDOWN(C16/$F$5,2))</f>
        <v/>
      </c>
      <c r="D17" s="62" t="str">
        <f t="shared" si="4"/>
        <v/>
      </c>
      <c r="E17" s="62" t="str">
        <f t="shared" si="4"/>
        <v/>
      </c>
      <c r="F17" s="62" t="str">
        <f t="shared" si="4"/>
        <v/>
      </c>
      <c r="G17" s="62" t="str">
        <f t="shared" si="4"/>
        <v/>
      </c>
      <c r="H17" s="62" t="str">
        <f t="shared" si="4"/>
        <v/>
      </c>
      <c r="I17" s="62" t="str">
        <f t="shared" si="4"/>
        <v/>
      </c>
      <c r="J17" s="62" t="str">
        <f t="shared" si="4"/>
        <v/>
      </c>
      <c r="K17" s="62" t="str">
        <f t="shared" si="4"/>
        <v/>
      </c>
      <c r="L17" s="62" t="str">
        <f t="shared" si="4"/>
        <v/>
      </c>
      <c r="M17" s="62" t="str">
        <f t="shared" si="4"/>
        <v/>
      </c>
      <c r="N17" s="68" t="str">
        <f t="shared" si="4"/>
        <v/>
      </c>
      <c r="O17" s="37" t="str">
        <f>IFERROR(ROUNDDOWN(AVERAGE(C17:N17),3),"")</f>
        <v/>
      </c>
    </row>
    <row r="18" spans="1:18" ht="15.75" thickBot="1" x14ac:dyDescent="0.3">
      <c r="A18" s="162">
        <v>2022</v>
      </c>
      <c r="B18" s="31" t="s">
        <v>80</v>
      </c>
      <c r="C18" s="71" t="str">
        <f>IF(VLOOKUP($C$4,'Ger Efet'!$A:$DE,49+C$3,0) = 0, "",VLOOKUP($C$4,'Ger Efet'!$A:$DE,49+C$3,0))</f>
        <v/>
      </c>
      <c r="D18" s="32" t="str">
        <f>IF(VLOOKUP($C$4,'Ger Efet'!$A:$DE,49+D$3,0) = 0, "",VLOOKUP($C$4,'Ger Efet'!$A:$DE,49+D$3,0))</f>
        <v/>
      </c>
      <c r="E18" s="32" t="str">
        <f>IF(VLOOKUP($C$4,'Ger Efet'!$A:$DE,49+E$3,0) = 0, "",VLOOKUP($C$4,'Ger Efet'!$A:$DE,49+E$3,0))</f>
        <v/>
      </c>
      <c r="F18" s="32" t="str">
        <f>IF(VLOOKUP($C$4,'Ger Efet'!$A:$DE,49+F$3,0) = 0, "",VLOOKUP($C$4,'Ger Efet'!$A:$DE,49+F$3,0))</f>
        <v/>
      </c>
      <c r="G18" s="32" t="str">
        <f>IF(VLOOKUP($C$4,'Ger Efet'!$A:$DE,49+G$3,0) = 0, "",VLOOKUP($C$4,'Ger Efet'!$A:$DE,49+G$3,0))</f>
        <v/>
      </c>
      <c r="H18" s="32" t="str">
        <f>IF(VLOOKUP($C$4,'Ger Efet'!$A:$DE,49+H$3,0) = 0, "",VLOOKUP($C$4,'Ger Efet'!$A:$DE,49+H$3,0))</f>
        <v/>
      </c>
      <c r="I18" s="32" t="str">
        <f>IF(VLOOKUP($C$4,'Ger Efet'!$A:$DE,49+I$3,0) = 0, "",VLOOKUP($C$4,'Ger Efet'!$A:$DE,49+I$3,0))</f>
        <v/>
      </c>
      <c r="J18" s="32" t="str">
        <f>IF(VLOOKUP($C$4,'Ger Efet'!$A:$DE,49+J$3,0) = 0, "",VLOOKUP($C$4,'Ger Efet'!$A:$DE,49+J$3,0))</f>
        <v/>
      </c>
      <c r="K18" s="32" t="str">
        <f>IF(VLOOKUP($C$4,'Ger Efet'!$A:$DE,49+K$3,0) = 0, "",VLOOKUP($C$4,'Ger Efet'!$A:$DE,49+K$3,0))</f>
        <v/>
      </c>
      <c r="L18" s="32" t="str">
        <f>IF(VLOOKUP($C$4,'Ger Efet'!$A:$DE,49+L$3,0) = 0, "",VLOOKUP($C$4,'Ger Efet'!$A:$DE,49+L$3,0))</f>
        <v/>
      </c>
      <c r="M18" s="32" t="str">
        <f>IF(VLOOKUP($C$4,'Ger Efet'!$A:$DE,49+M$3,0) = 0, "",VLOOKUP($C$4,'Ger Efet'!$A:$DE,49+M$3,0))</f>
        <v/>
      </c>
      <c r="N18" s="65" t="str">
        <f>IF(VLOOKUP($C$4,'Ger Efet'!$A:$DE,49+N$3,0) = 0, "",VLOOKUP($C$4,'Ger Efet'!$A:$DE,49+N$3,0))</f>
        <v/>
      </c>
      <c r="O18" s="31" t="str">
        <f t="shared" si="3"/>
        <v/>
      </c>
      <c r="P18" s="158" t="str">
        <f>"Efetividade Anual "&amp;A18</f>
        <v>Efetividade Anual 2022</v>
      </c>
      <c r="Q18" s="158"/>
      <c r="R18" s="44" t="str">
        <f>IFERROR(O18/$O$9,"")</f>
        <v/>
      </c>
    </row>
    <row r="19" spans="1:18" ht="15.75" thickBot="1" x14ac:dyDescent="0.3">
      <c r="A19" s="163"/>
      <c r="B19" s="33" t="s">
        <v>81</v>
      </c>
      <c r="C19" s="72" t="str">
        <f>IF(C18 = "", "", ROUNDDOWN(C18/$F$5,2))</f>
        <v/>
      </c>
      <c r="D19" s="34" t="str">
        <f t="shared" ref="D19:N19" si="5">IF(D18 = "","",D18/$F$5)</f>
        <v/>
      </c>
      <c r="E19" s="34" t="str">
        <f t="shared" si="5"/>
        <v/>
      </c>
      <c r="F19" s="34" t="str">
        <f t="shared" si="5"/>
        <v/>
      </c>
      <c r="G19" s="34" t="str">
        <f t="shared" si="5"/>
        <v/>
      </c>
      <c r="H19" s="34" t="str">
        <f t="shared" si="5"/>
        <v/>
      </c>
      <c r="I19" s="34" t="str">
        <f t="shared" si="5"/>
        <v/>
      </c>
      <c r="J19" s="34" t="str">
        <f t="shared" si="5"/>
        <v/>
      </c>
      <c r="K19" s="34" t="str">
        <f t="shared" si="5"/>
        <v/>
      </c>
      <c r="L19" s="34" t="str">
        <f t="shared" si="5"/>
        <v/>
      </c>
      <c r="M19" s="34" t="str">
        <f t="shared" si="5"/>
        <v/>
      </c>
      <c r="N19" s="66" t="str">
        <f t="shared" si="5"/>
        <v/>
      </c>
      <c r="O19" s="33" t="str">
        <f>IFERROR(ROUNDDOWN(AVERAGE(C19:N19),3),"")</f>
        <v/>
      </c>
    </row>
    <row r="20" spans="1:18" ht="15.75" thickBot="1" x14ac:dyDescent="0.3">
      <c r="A20" s="160">
        <v>2023</v>
      </c>
      <c r="B20" s="35" t="s">
        <v>80</v>
      </c>
      <c r="C20" s="73" t="str">
        <f>IF(VLOOKUP($C$4,'Ger Efet'!$A:$DE,61+C$3,0) = 0, "",VLOOKUP($C$4,'Ger Efet'!$A:$DE,61+C$3,0))</f>
        <v/>
      </c>
      <c r="D20" s="36" t="str">
        <f>IF(VLOOKUP($C$4,'Ger Efet'!$A:$DE,61+D$3,0) = 0, "",VLOOKUP($C$4,'Ger Efet'!$A:$DE,61+D$3,0))</f>
        <v/>
      </c>
      <c r="E20" s="36" t="str">
        <f>IF(VLOOKUP($C$4,'Ger Efet'!$A:$DE,61+E$3,0) = 0, "",VLOOKUP($C$4,'Ger Efet'!$A:$DE,61+E$3,0))</f>
        <v/>
      </c>
      <c r="F20" s="36" t="str">
        <f>IF(VLOOKUP($C$4,'Ger Efet'!$A:$DE,61+F$3,0) = 0, "",VLOOKUP($C$4,'Ger Efet'!$A:$DE,61+F$3,0))</f>
        <v/>
      </c>
      <c r="G20" s="36" t="str">
        <f>IF(VLOOKUP($C$4,'Ger Efet'!$A:$DE,61+G$3,0) = 0, "",VLOOKUP($C$4,'Ger Efet'!$A:$DE,61+G$3,0))</f>
        <v/>
      </c>
      <c r="H20" s="36" t="str">
        <f>IF(VLOOKUP($C$4,'Ger Efet'!$A:$DE,61+H$3,0) = 0, "",VLOOKUP($C$4,'Ger Efet'!$A:$DE,61+H$3,0))</f>
        <v/>
      </c>
      <c r="I20" s="36" t="str">
        <f>IF(VLOOKUP($C$4,'Ger Efet'!$A:$DE,61+I$3,0) = 0, "",VLOOKUP($C$4,'Ger Efet'!$A:$DE,61+I$3,0))</f>
        <v/>
      </c>
      <c r="J20" s="36" t="str">
        <f>IF(VLOOKUP($C$4,'Ger Efet'!$A:$DE,61+J$3,0) = 0, "",VLOOKUP($C$4,'Ger Efet'!$A:$DE,61+J$3,0))</f>
        <v/>
      </c>
      <c r="K20" s="36" t="str">
        <f>IF(VLOOKUP($C$4,'Ger Efet'!$A:$DE,61+K$3,0) = 0, "",VLOOKUP($C$4,'Ger Efet'!$A:$DE,61+K$3,0))</f>
        <v/>
      </c>
      <c r="L20" s="36" t="str">
        <f>IF(VLOOKUP($C$4,'Ger Efet'!$A:$DE,61+L$3,0) = 0, "",VLOOKUP($C$4,'Ger Efet'!$A:$DE,61+L$3,0))</f>
        <v/>
      </c>
      <c r="M20" s="36" t="str">
        <f>IF(VLOOKUP($C$4,'Ger Efet'!$A:$DE,61+M$3,0) = 0, "",VLOOKUP($C$4,'Ger Efet'!$A:$DE,61+M$3,0))</f>
        <v/>
      </c>
      <c r="N20" s="67" t="str">
        <f>IF(VLOOKUP($C$4,'Ger Efet'!$A:$DE,61+N$3,0) = 0, "",VLOOKUP($C$4,'Ger Efet'!$A:$DE,61+N$3,0))</f>
        <v/>
      </c>
      <c r="O20" s="35" t="str">
        <f t="shared" si="3"/>
        <v/>
      </c>
      <c r="P20" s="158" t="str">
        <f>"Efetividade Anual "&amp;A20</f>
        <v>Efetividade Anual 2023</v>
      </c>
      <c r="Q20" s="158"/>
      <c r="R20" s="44" t="str">
        <f>IFERROR(O20/$O$9,"")</f>
        <v/>
      </c>
    </row>
    <row r="21" spans="1:18" ht="15.75" thickBot="1" x14ac:dyDescent="0.3">
      <c r="A21" s="161"/>
      <c r="B21" s="37" t="s">
        <v>81</v>
      </c>
      <c r="C21" s="74" t="str">
        <f t="shared" ref="C21:N21" si="6">IF(C20 = "", "", ROUNDDOWN(C20/$F$5,2))</f>
        <v/>
      </c>
      <c r="D21" s="62" t="str">
        <f t="shared" si="6"/>
        <v/>
      </c>
      <c r="E21" s="62" t="str">
        <f t="shared" si="6"/>
        <v/>
      </c>
      <c r="F21" s="62" t="str">
        <f t="shared" si="6"/>
        <v/>
      </c>
      <c r="G21" s="62" t="str">
        <f t="shared" si="6"/>
        <v/>
      </c>
      <c r="H21" s="62" t="str">
        <f t="shared" si="6"/>
        <v/>
      </c>
      <c r="I21" s="62" t="str">
        <f t="shared" si="6"/>
        <v/>
      </c>
      <c r="J21" s="62" t="str">
        <f t="shared" si="6"/>
        <v/>
      </c>
      <c r="K21" s="62" t="str">
        <f t="shared" si="6"/>
        <v/>
      </c>
      <c r="L21" s="62" t="str">
        <f t="shared" si="6"/>
        <v/>
      </c>
      <c r="M21" s="62" t="str">
        <f t="shared" si="6"/>
        <v/>
      </c>
      <c r="N21" s="68" t="str">
        <f t="shared" si="6"/>
        <v/>
      </c>
      <c r="O21" s="37" t="str">
        <f>IFERROR(ROUNDDOWN(AVERAGE(C21:N21),3),"")</f>
        <v/>
      </c>
    </row>
    <row r="22" spans="1:18" ht="15.75" thickBot="1" x14ac:dyDescent="0.3">
      <c r="A22" s="162">
        <v>2024</v>
      </c>
      <c r="B22" s="31" t="s">
        <v>80</v>
      </c>
      <c r="C22" s="71" t="str">
        <f>IF(VLOOKUP($C$4,'Ger Efet'!$A:$DE,73+C$3,0) = 0, "",VLOOKUP($C$4,'Ger Efet'!$A:$DE,73+C$3,0))</f>
        <v/>
      </c>
      <c r="D22" s="32" t="str">
        <f>IF(VLOOKUP($C$4,'Ger Efet'!$A:$DE,73+D$3,0) = 0, "",VLOOKUP($C$4,'Ger Efet'!$A:$DE,73+D$3,0))</f>
        <v/>
      </c>
      <c r="E22" s="32" t="str">
        <f>IF(VLOOKUP($C$4,'Ger Efet'!$A:$DE,73+E$3,0) = 0, "",VLOOKUP($C$4,'Ger Efet'!$A:$DE,73+E$3,0))</f>
        <v/>
      </c>
      <c r="F22" s="32" t="str">
        <f>IF(VLOOKUP($C$4,'Ger Efet'!$A:$DE,73+F$3,0) = 0, "",VLOOKUP($C$4,'Ger Efet'!$A:$DE,73+F$3,0))</f>
        <v/>
      </c>
      <c r="G22" s="32" t="str">
        <f>IF(VLOOKUP($C$4,'Ger Efet'!$A:$DE,73+G$3,0) = 0, "",VLOOKUP($C$4,'Ger Efet'!$A:$DE,73+G$3,0))</f>
        <v/>
      </c>
      <c r="H22" s="32" t="str">
        <f>IF(VLOOKUP($C$4,'Ger Efet'!$A:$DE,73+H$3,0) = 0, "",VLOOKUP($C$4,'Ger Efet'!$A:$DE,73+H$3,0))</f>
        <v/>
      </c>
      <c r="I22" s="32" t="str">
        <f>IF(VLOOKUP($C$4,'Ger Efet'!$A:$DE,73+I$3,0) = 0, "",VLOOKUP($C$4,'Ger Efet'!$A:$DE,73+I$3,0))</f>
        <v/>
      </c>
      <c r="J22" s="32" t="str">
        <f>IF(VLOOKUP($C$4,'Ger Efet'!$A:$DE,73+J$3,0) = 0, "",VLOOKUP($C$4,'Ger Efet'!$A:$DE,73+J$3,0))</f>
        <v/>
      </c>
      <c r="K22" s="32" t="str">
        <f>IF(VLOOKUP($C$4,'Ger Efet'!$A:$DE,73+K$3,0) = 0, "",VLOOKUP($C$4,'Ger Efet'!$A:$DE,73+K$3,0))</f>
        <v/>
      </c>
      <c r="L22" s="32" t="str">
        <f>IF(VLOOKUP($C$4,'Ger Efet'!$A:$DE,73+L$3,0) = 0, "",VLOOKUP($C$4,'Ger Efet'!$A:$DE,73+L$3,0))</f>
        <v/>
      </c>
      <c r="M22" s="32" t="str">
        <f>IF(VLOOKUP($C$4,'Ger Efet'!$A:$DE,73+M$3,0) = 0, "",VLOOKUP($C$4,'Ger Efet'!$A:$DE,73+M$3,0))</f>
        <v/>
      </c>
      <c r="N22" s="65" t="str">
        <f>IF(VLOOKUP($C$4,'Ger Efet'!$A:$DE,73+N$3,0) = 0, "",VLOOKUP($C$4,'Ger Efet'!$A:$DE,73+N$3,0))</f>
        <v/>
      </c>
      <c r="O22" s="31" t="str">
        <f t="shared" si="3"/>
        <v/>
      </c>
      <c r="P22" s="158" t="str">
        <f>"Efetividade Anual "&amp;A22</f>
        <v>Efetividade Anual 2024</v>
      </c>
      <c r="Q22" s="158"/>
      <c r="R22" s="44" t="str">
        <f>IFERROR(O22/$O$9,"")</f>
        <v/>
      </c>
    </row>
    <row r="23" spans="1:18" ht="15.75" thickBot="1" x14ac:dyDescent="0.3">
      <c r="A23" s="163"/>
      <c r="B23" s="33" t="s">
        <v>81</v>
      </c>
      <c r="C23" s="72" t="str">
        <f t="shared" ref="C23:N23" si="7">IF(C22 = "", "", ROUNDDOWN(C22/$F$5,2))</f>
        <v/>
      </c>
      <c r="D23" s="34" t="str">
        <f t="shared" si="7"/>
        <v/>
      </c>
      <c r="E23" s="34" t="str">
        <f t="shared" si="7"/>
        <v/>
      </c>
      <c r="F23" s="34" t="str">
        <f t="shared" si="7"/>
        <v/>
      </c>
      <c r="G23" s="34" t="str">
        <f t="shared" si="7"/>
        <v/>
      </c>
      <c r="H23" s="34" t="str">
        <f t="shared" si="7"/>
        <v/>
      </c>
      <c r="I23" s="34" t="str">
        <f t="shared" si="7"/>
        <v/>
      </c>
      <c r="J23" s="34" t="str">
        <f t="shared" si="7"/>
        <v/>
      </c>
      <c r="K23" s="34" t="str">
        <f t="shared" si="7"/>
        <v/>
      </c>
      <c r="L23" s="34" t="str">
        <f t="shared" si="7"/>
        <v/>
      </c>
      <c r="M23" s="34" t="str">
        <f t="shared" si="7"/>
        <v/>
      </c>
      <c r="N23" s="66" t="str">
        <f t="shared" si="7"/>
        <v/>
      </c>
      <c r="O23" s="33" t="str">
        <f>IFERROR(ROUNDDOWN(AVERAGE(C23:N23),3),"")</f>
        <v/>
      </c>
    </row>
    <row r="24" spans="1:18" ht="15.75" thickBot="1" x14ac:dyDescent="0.3">
      <c r="A24" s="160">
        <v>2025</v>
      </c>
      <c r="B24" s="35" t="s">
        <v>80</v>
      </c>
      <c r="C24" s="73" t="str">
        <f>IF(VLOOKUP($C$4,'Ger Efet'!$A:$DE,85+C$3,0) = 0, "",VLOOKUP($C$4,'Ger Efet'!$A:$DE,85+C$3,0))</f>
        <v/>
      </c>
      <c r="D24" s="36" t="str">
        <f>IF(VLOOKUP($C$4,'Ger Efet'!$A:$DE,85+D$3,0) = 0, "",VLOOKUP($C$4,'Ger Efet'!$A:$DE,85+D$3,0))</f>
        <v/>
      </c>
      <c r="E24" s="36" t="str">
        <f>IF(VLOOKUP($C$4,'Ger Efet'!$A:$DE,85+E$3,0) = 0, "",VLOOKUP($C$4,'Ger Efet'!$A:$DE,85+E$3,0))</f>
        <v/>
      </c>
      <c r="F24" s="36" t="str">
        <f>IF(VLOOKUP($C$4,'Ger Efet'!$A:$DE,85+F$3,0) = 0, "",VLOOKUP($C$4,'Ger Efet'!$A:$DE,85+F$3,0))</f>
        <v/>
      </c>
      <c r="G24" s="36" t="str">
        <f>IF(VLOOKUP($C$4,'Ger Efet'!$A:$DE,85+G$3,0) = 0, "",VLOOKUP($C$4,'Ger Efet'!$A:$DE,85+G$3,0))</f>
        <v/>
      </c>
      <c r="H24" s="36" t="str">
        <f>IF(VLOOKUP($C$4,'Ger Efet'!$A:$DE,85+H$3,0) = 0, "",VLOOKUP($C$4,'Ger Efet'!$A:$DE,85+H$3,0))</f>
        <v/>
      </c>
      <c r="I24" s="36" t="str">
        <f>IF(VLOOKUP($C$4,'Ger Efet'!$A:$DE,85+I$3,0) = 0, "",VLOOKUP($C$4,'Ger Efet'!$A:$DE,85+I$3,0))</f>
        <v/>
      </c>
      <c r="J24" s="36" t="str">
        <f>IF(VLOOKUP($C$4,'Ger Efet'!$A:$DE,85+J$3,0) = 0, "",VLOOKUP($C$4,'Ger Efet'!$A:$DE,85+J$3,0))</f>
        <v/>
      </c>
      <c r="K24" s="36" t="str">
        <f>IF(VLOOKUP($C$4,'Ger Efet'!$A:$DE,85+K$3,0) = 0, "",VLOOKUP($C$4,'Ger Efet'!$A:$DE,85+K$3,0))</f>
        <v/>
      </c>
      <c r="L24" s="36" t="str">
        <f>IF(VLOOKUP($C$4,'Ger Efet'!$A:$DE,85+L$3,0) = 0, "",VLOOKUP($C$4,'Ger Efet'!$A:$DE,85+L$3,0))</f>
        <v/>
      </c>
      <c r="M24" s="36" t="str">
        <f>IF(VLOOKUP($C$4,'Ger Efet'!$A:$DE,85+M$3,0) = 0, "",VLOOKUP($C$4,'Ger Efet'!$A:$DE,85+M$3,0))</f>
        <v/>
      </c>
      <c r="N24" s="67" t="str">
        <f>IF(VLOOKUP($C$4,'Ger Efet'!$A:$DE,85+N$3,0) = 0, "",VLOOKUP($C$4,'Ger Efet'!$A:$DE,85+N$3,0))</f>
        <v/>
      </c>
      <c r="O24" s="35" t="str">
        <f t="shared" si="3"/>
        <v/>
      </c>
      <c r="P24" s="158" t="str">
        <f>"Efetividade Anual "&amp;A24</f>
        <v>Efetividade Anual 2025</v>
      </c>
      <c r="Q24" s="158"/>
      <c r="R24" s="44" t="str">
        <f>IFERROR(O24/$O$9,"")</f>
        <v/>
      </c>
    </row>
    <row r="25" spans="1:18" ht="15.75" thickBot="1" x14ac:dyDescent="0.3">
      <c r="A25" s="161"/>
      <c r="B25" s="37" t="s">
        <v>81</v>
      </c>
      <c r="C25" s="74" t="str">
        <f t="shared" ref="C25:N25" si="8">IF(C24 = "", "", ROUNDDOWN(C24/$F$5,2))</f>
        <v/>
      </c>
      <c r="D25" s="62" t="str">
        <f t="shared" si="8"/>
        <v/>
      </c>
      <c r="E25" s="62" t="str">
        <f t="shared" si="8"/>
        <v/>
      </c>
      <c r="F25" s="62" t="str">
        <f t="shared" si="8"/>
        <v/>
      </c>
      <c r="G25" s="62" t="str">
        <f t="shared" si="8"/>
        <v/>
      </c>
      <c r="H25" s="62" t="str">
        <f t="shared" si="8"/>
        <v/>
      </c>
      <c r="I25" s="62" t="str">
        <f t="shared" si="8"/>
        <v/>
      </c>
      <c r="J25" s="62" t="str">
        <f t="shared" si="8"/>
        <v/>
      </c>
      <c r="K25" s="62" t="str">
        <f t="shared" si="8"/>
        <v/>
      </c>
      <c r="L25" s="62" t="str">
        <f t="shared" si="8"/>
        <v/>
      </c>
      <c r="M25" s="62" t="str">
        <f t="shared" si="8"/>
        <v/>
      </c>
      <c r="N25" s="68" t="str">
        <f t="shared" si="8"/>
        <v/>
      </c>
      <c r="O25" s="37" t="str">
        <f>IFERROR(ROUNDDOWN(AVERAGE(C25:N25),3),"")</f>
        <v/>
      </c>
    </row>
    <row r="26" spans="1:18" ht="15.75" thickBot="1" x14ac:dyDescent="0.3">
      <c r="A26" s="162">
        <v>2026</v>
      </c>
      <c r="B26" s="31" t="s">
        <v>80</v>
      </c>
      <c r="C26" s="71" t="str">
        <f>IF(VLOOKUP($C$4,'Ger Efet'!$A:$DE,97+C$3,0) = 0, "",VLOOKUP($C$4,'Ger Efet'!$A:$DE,97+C$3,0))</f>
        <v/>
      </c>
      <c r="D26" s="32" t="str">
        <f>IF(VLOOKUP($C$4,'Ger Efet'!$A:$DE,97+D$3,0) = 0, "",VLOOKUP($C$4,'Ger Efet'!$A:$DE,97+D$3,0))</f>
        <v/>
      </c>
      <c r="E26" s="32" t="str">
        <f>IF(VLOOKUP($C$4,'Ger Efet'!$A:$DE,97+E$3,0) = 0, "",VLOOKUP($C$4,'Ger Efet'!$A:$DE,97+E$3,0))</f>
        <v/>
      </c>
      <c r="F26" s="32" t="str">
        <f>IF(VLOOKUP($C$4,'Ger Efet'!$A:$DE,97+F$3,0) = 0, "",VLOOKUP($C$4,'Ger Efet'!$A:$DE,97+F$3,0))</f>
        <v/>
      </c>
      <c r="G26" s="32" t="str">
        <f>IF(VLOOKUP($C$4,'Ger Efet'!$A:$DE,97+G$3,0) = 0, "",VLOOKUP($C$4,'Ger Efet'!$A:$DE,97+G$3,0))</f>
        <v/>
      </c>
      <c r="H26" s="32" t="str">
        <f>IF(VLOOKUP($C$4,'Ger Efet'!$A:$DE,97+H$3,0) = 0, "",VLOOKUP($C$4,'Ger Efet'!$A:$DE,97+H$3,0))</f>
        <v/>
      </c>
      <c r="I26" s="32" t="str">
        <f>IF(VLOOKUP($C$4,'Ger Efet'!$A:$DE,97+I$3,0) = 0, "",VLOOKUP($C$4,'Ger Efet'!$A:$DE,97+I$3,0))</f>
        <v/>
      </c>
      <c r="J26" s="32" t="str">
        <f>IF(VLOOKUP($C$4,'Ger Efet'!$A:$DE,97+J$3,0) = 0, "",VLOOKUP($C$4,'Ger Efet'!$A:$DE,97+J$3,0))</f>
        <v/>
      </c>
      <c r="K26" s="32" t="str">
        <f>IF(VLOOKUP($C$4,'Ger Efet'!$A:$DE,97+K$3,0) = 0, "",VLOOKUP($C$4,'Ger Efet'!$A:$DE,97+K$3,0))</f>
        <v/>
      </c>
      <c r="L26" s="32" t="str">
        <f>IF(VLOOKUP($C$4,'Ger Efet'!$A:$DE,97+L$3,0) = 0, "",VLOOKUP($C$4,'Ger Efet'!$A:$DE,97+L$3,0))</f>
        <v/>
      </c>
      <c r="M26" s="32" t="str">
        <f>IF(VLOOKUP($C$4,'Ger Efet'!$A:$DE,97+M$3,0) = 0, "",VLOOKUP($C$4,'Ger Efet'!$A:$DE,97+M$3,0))</f>
        <v/>
      </c>
      <c r="N26" s="65" t="str">
        <f>IF(VLOOKUP($C$4,'Ger Efet'!$A:$DE,97+N$3,0) = 0, "",VLOOKUP($C$4,'Ger Efet'!$A:$DE,97+N$3,0))</f>
        <v/>
      </c>
      <c r="O26" s="31" t="str">
        <f t="shared" si="3"/>
        <v/>
      </c>
      <c r="P26" s="158" t="str">
        <f>"Efetividade Anual "&amp;A26</f>
        <v>Efetividade Anual 2026</v>
      </c>
      <c r="Q26" s="158"/>
      <c r="R26" s="45" t="str">
        <f>IFERROR(O26/$O$9,"")</f>
        <v/>
      </c>
    </row>
    <row r="27" spans="1:18" ht="15.75" thickBot="1" x14ac:dyDescent="0.3">
      <c r="A27" s="163"/>
      <c r="B27" s="33" t="s">
        <v>81</v>
      </c>
      <c r="C27" s="72" t="str">
        <f t="shared" ref="C27:M27" si="9">IF(C26 = "", "", ROUNDDOWN(C26/$F$5,2))</f>
        <v/>
      </c>
      <c r="D27" s="34" t="str">
        <f t="shared" si="9"/>
        <v/>
      </c>
      <c r="E27" s="34" t="str">
        <f t="shared" si="9"/>
        <v/>
      </c>
      <c r="F27" s="34" t="str">
        <f t="shared" si="9"/>
        <v/>
      </c>
      <c r="G27" s="34" t="str">
        <f t="shared" si="9"/>
        <v/>
      </c>
      <c r="H27" s="34" t="str">
        <f t="shared" si="9"/>
        <v/>
      </c>
      <c r="I27" s="34" t="str">
        <f t="shared" si="9"/>
        <v/>
      </c>
      <c r="J27" s="34" t="str">
        <f t="shared" si="9"/>
        <v/>
      </c>
      <c r="K27" s="34" t="str">
        <f t="shared" si="9"/>
        <v/>
      </c>
      <c r="L27" s="34" t="str">
        <f t="shared" si="9"/>
        <v/>
      </c>
      <c r="M27" s="34" t="str">
        <f t="shared" si="9"/>
        <v/>
      </c>
      <c r="N27" s="66" t="str">
        <f>IF(N26 = "","",N26/$F$5)</f>
        <v/>
      </c>
      <c r="O27" s="33" t="str">
        <f>IFERROR(ROUNDDOWN(AVERAGE(C27:N27),3),"")</f>
        <v/>
      </c>
      <c r="R27" s="39"/>
    </row>
  </sheetData>
  <mergeCells count="32">
    <mergeCell ref="P1:R1"/>
    <mergeCell ref="C1:D1"/>
    <mergeCell ref="E1:M1"/>
    <mergeCell ref="N1:O1"/>
    <mergeCell ref="C4:O4"/>
    <mergeCell ref="G5:I5"/>
    <mergeCell ref="C5:E5"/>
    <mergeCell ref="K5:N5"/>
    <mergeCell ref="A20:A21"/>
    <mergeCell ref="A22:A23"/>
    <mergeCell ref="A10:A11"/>
    <mergeCell ref="C6:E6"/>
    <mergeCell ref="H6:J6"/>
    <mergeCell ref="K6:L6"/>
    <mergeCell ref="F6:G6"/>
    <mergeCell ref="A24:A25"/>
    <mergeCell ref="A26:A27"/>
    <mergeCell ref="A12:A13"/>
    <mergeCell ref="A14:A15"/>
    <mergeCell ref="A16:A17"/>
    <mergeCell ref="A18:A19"/>
    <mergeCell ref="P9:Q9"/>
    <mergeCell ref="P8:Q8"/>
    <mergeCell ref="P10:Q10"/>
    <mergeCell ref="P12:Q12"/>
    <mergeCell ref="P14:Q14"/>
    <mergeCell ref="P26:Q26"/>
    <mergeCell ref="P16:Q16"/>
    <mergeCell ref="P18:Q18"/>
    <mergeCell ref="P20:Q20"/>
    <mergeCell ref="P22:Q22"/>
    <mergeCell ref="P24:Q24"/>
  </mergeCells>
  <conditionalFormatting sqref="K6:L6">
    <cfRule type="cellIs" dxfId="86" priority="1" operator="between">
      <formula>TODAY()+8</formula>
      <formula>TODAY()+40</formula>
    </cfRule>
    <cfRule type="cellIs" dxfId="85" priority="2" operator="lessThan">
      <formula>TODAY()</formula>
    </cfRule>
    <cfRule type="timePeriod" dxfId="84" priority="3" timePeriod="today">
      <formula>FLOOR(K6,1)=TODAY()</formula>
    </cfRule>
    <cfRule type="cellIs" dxfId="83" priority="4" operator="between">
      <formula>TODAY()+1</formula>
      <formula>TODAY()+7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65C29A-1347-43BC-A06C-D4A65EC0C7C0}">
          <x14:formula1>
            <xm:f>Cliente!$B$2:$B$100</xm:f>
          </x14:formula1>
          <xm:sqref>C4:O4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3FEC-842A-49CA-8EDF-186118ACDEC9}">
  <sheetPr codeName="Planilha9"/>
  <dimension ref="A1:H9"/>
  <sheetViews>
    <sheetView showGridLines="0" workbookViewId="0">
      <selection activeCell="C15" sqref="C15"/>
    </sheetView>
  </sheetViews>
  <sheetFormatPr defaultRowHeight="15" x14ac:dyDescent="0.25"/>
  <cols>
    <col min="1" max="1" width="28.7109375" style="156" bestFit="1" customWidth="1"/>
    <col min="2" max="2" width="14.28515625" style="102" bestFit="1" customWidth="1"/>
  </cols>
  <sheetData>
    <row r="1" spans="1:8" x14ac:dyDescent="0.25">
      <c r="A1" s="153" t="s">
        <v>258</v>
      </c>
      <c r="B1" s="143">
        <f>SUM('Ger Efet'!B4:DE66)</f>
        <v>750968</v>
      </c>
      <c r="C1" s="17"/>
      <c r="D1" s="17"/>
      <c r="E1" s="17"/>
      <c r="F1" s="17"/>
      <c r="G1" s="17"/>
      <c r="H1" s="17"/>
    </row>
    <row r="2" spans="1:8" x14ac:dyDescent="0.25">
      <c r="A2" s="153" t="s">
        <v>259</v>
      </c>
      <c r="B2" s="144">
        <f>B1*0.84</f>
        <v>630813.12</v>
      </c>
      <c r="C2" s="17"/>
      <c r="D2" s="17"/>
      <c r="E2" s="17"/>
      <c r="F2" s="17"/>
      <c r="G2" s="17"/>
      <c r="H2" s="17"/>
    </row>
    <row r="3" spans="1:8" x14ac:dyDescent="0.25">
      <c r="A3" s="153" t="s">
        <v>260</v>
      </c>
      <c r="B3" s="145">
        <f>B1/474.466</f>
        <v>1582.7646238086606</v>
      </c>
      <c r="C3" s="17"/>
      <c r="D3" s="17"/>
      <c r="F3" s="17"/>
      <c r="G3" s="17"/>
      <c r="H3" s="17"/>
    </row>
    <row r="4" spans="1:8" x14ac:dyDescent="0.25">
      <c r="A4" s="153" t="s">
        <v>365</v>
      </c>
      <c r="B4" s="145">
        <f>B1/3.3898</f>
        <v>221537.55383798454</v>
      </c>
      <c r="C4" s="17"/>
      <c r="D4" s="157"/>
      <c r="F4" s="17"/>
      <c r="G4" s="17"/>
      <c r="H4" s="17"/>
    </row>
    <row r="5" spans="1:8" x14ac:dyDescent="0.25">
      <c r="A5" s="154" t="s">
        <v>301</v>
      </c>
      <c r="B5" s="120">
        <f>COUNTIF(Tabela1[[#All],[Atualizada]],"Sim")</f>
        <v>58</v>
      </c>
      <c r="C5" s="17"/>
      <c r="D5" s="17"/>
      <c r="E5" s="17"/>
      <c r="F5" s="17"/>
      <c r="G5" s="17"/>
      <c r="H5" s="17"/>
    </row>
    <row r="6" spans="1:8" x14ac:dyDescent="0.25">
      <c r="A6" s="154" t="s">
        <v>303</v>
      </c>
      <c r="B6" s="120">
        <f>COUNTIF(Tabela1[[#All],[Consolidadas]],"Sim")</f>
        <v>64</v>
      </c>
      <c r="C6" s="17"/>
      <c r="D6" s="17"/>
      <c r="E6" s="17"/>
      <c r="F6" s="17"/>
      <c r="G6" s="17"/>
      <c r="H6" s="17"/>
    </row>
    <row r="7" spans="1:8" x14ac:dyDescent="0.25">
      <c r="A7" s="153" t="s">
        <v>278</v>
      </c>
      <c r="B7" s="119">
        <f>ROUNDDOWN(SUMIF(Tabela1[Atualizada],"Sim",Tabela1[Potência]),2)</f>
        <v>866.87</v>
      </c>
      <c r="C7" s="122"/>
      <c r="D7" s="1"/>
      <c r="E7" s="1"/>
      <c r="F7" s="1"/>
      <c r="G7" s="1"/>
      <c r="H7" s="1"/>
    </row>
    <row r="8" spans="1:8" x14ac:dyDescent="0.25">
      <c r="A8" s="153" t="s">
        <v>327</v>
      </c>
      <c r="B8" s="119">
        <f>ROUNDDOWN(SUMIF(Tabela1[Consolidadas],"Sim",Tabela1[Potência]),2)</f>
        <v>1022.93</v>
      </c>
      <c r="C8" s="1"/>
      <c r="D8" s="1"/>
      <c r="E8" s="1"/>
      <c r="F8" s="1"/>
      <c r="G8" s="1"/>
      <c r="H8" s="1"/>
    </row>
    <row r="9" spans="1:8" x14ac:dyDescent="0.25">
      <c r="A9" s="155"/>
      <c r="B9" s="1"/>
      <c r="C9" s="1"/>
      <c r="D9" s="1"/>
      <c r="E9" s="1"/>
      <c r="F9" s="1"/>
      <c r="G9" s="1"/>
      <c r="H9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257C-A9CD-4971-B004-05BA7D8D33D1}">
  <dimension ref="A1:AL78"/>
  <sheetViews>
    <sheetView zoomScaleNormal="100" workbookViewId="0">
      <pane xSplit="1" topLeftCell="AA1" activePane="topRight" state="frozen"/>
      <selection pane="topRight" activeCell="AL78" sqref="A1:AL78"/>
    </sheetView>
  </sheetViews>
  <sheetFormatPr defaultColWidth="4.140625" defaultRowHeight="15" x14ac:dyDescent="0.25"/>
  <cols>
    <col min="1" max="1" width="42.28515625" style="17" bestFit="1" customWidth="1"/>
    <col min="2" max="2" width="8.140625" style="17" bestFit="1" customWidth="1"/>
    <col min="3" max="3" width="11.140625" style="1" bestFit="1" customWidth="1"/>
    <col min="4" max="4" width="11.42578125" style="1" bestFit="1" customWidth="1"/>
    <col min="5" max="5" width="12" style="1" bestFit="1" customWidth="1"/>
    <col min="6" max="6" width="11.42578125" style="1" bestFit="1" customWidth="1"/>
    <col min="7" max="7" width="11.85546875" style="1" bestFit="1" customWidth="1"/>
    <col min="8" max="8" width="11.42578125" style="1" bestFit="1" customWidth="1"/>
    <col min="9" max="11" width="12.140625" style="1" bestFit="1" customWidth="1"/>
    <col min="12" max="12" width="11.5703125" style="1" bestFit="1" customWidth="1"/>
    <col min="13" max="13" width="11.85546875" style="1" bestFit="1" customWidth="1"/>
    <col min="14" max="23" width="12.140625" style="1" bestFit="1" customWidth="1"/>
    <col min="24" max="24" width="11.42578125" style="1" bestFit="1" customWidth="1"/>
    <col min="25" max="25" width="11.7109375" style="1" bestFit="1" customWidth="1"/>
    <col min="26" max="26" width="11.5703125" style="1" bestFit="1" customWidth="1"/>
    <col min="27" max="27" width="11.140625" style="1" bestFit="1" customWidth="1"/>
    <col min="28" max="28" width="11.28515625" style="1" bestFit="1" customWidth="1"/>
    <col min="29" max="29" width="11.85546875" style="1" bestFit="1" customWidth="1"/>
    <col min="30" max="30" width="11.28515625" style="1" bestFit="1" customWidth="1"/>
    <col min="31" max="31" width="11.7109375" style="1" bestFit="1" customWidth="1"/>
    <col min="32" max="32" width="11.28515625" style="1" bestFit="1" customWidth="1"/>
    <col min="33" max="33" width="10.7109375" style="1" bestFit="1" customWidth="1"/>
    <col min="34" max="34" width="11.5703125" style="1" bestFit="1" customWidth="1"/>
    <col min="35" max="35" width="11.140625" style="1" bestFit="1" customWidth="1"/>
    <col min="36" max="36" width="11.42578125" style="1" bestFit="1" customWidth="1"/>
    <col min="37" max="37" width="11.7109375" style="1" bestFit="1" customWidth="1"/>
    <col min="38" max="38" width="11.5703125" style="1" bestFit="1" customWidth="1"/>
    <col min="39" max="16384" width="4.140625" style="17"/>
  </cols>
  <sheetData>
    <row r="1" spans="1:38" x14ac:dyDescent="0.25">
      <c r="A1" s="146" t="s">
        <v>163</v>
      </c>
      <c r="B1" s="58" t="s">
        <v>305</v>
      </c>
      <c r="C1" s="147" t="s">
        <v>328</v>
      </c>
      <c r="D1" s="147" t="s">
        <v>329</v>
      </c>
      <c r="E1" s="147" t="s">
        <v>330</v>
      </c>
      <c r="F1" s="147" t="s">
        <v>331</v>
      </c>
      <c r="G1" s="147" t="s">
        <v>332</v>
      </c>
      <c r="H1" s="147" t="s">
        <v>333</v>
      </c>
      <c r="I1" s="147" t="s">
        <v>334</v>
      </c>
      <c r="J1" s="147" t="s">
        <v>335</v>
      </c>
      <c r="K1" s="147" t="s">
        <v>336</v>
      </c>
      <c r="L1" s="147" t="s">
        <v>337</v>
      </c>
      <c r="M1" s="147" t="s">
        <v>338</v>
      </c>
      <c r="N1" s="147" t="s">
        <v>339</v>
      </c>
      <c r="O1" s="147" t="s">
        <v>340</v>
      </c>
      <c r="P1" s="147" t="s">
        <v>341</v>
      </c>
      <c r="Q1" s="147" t="s">
        <v>342</v>
      </c>
      <c r="R1" s="147" t="s">
        <v>343</v>
      </c>
      <c r="S1" s="147" t="s">
        <v>344</v>
      </c>
      <c r="T1" s="147" t="s">
        <v>345</v>
      </c>
      <c r="U1" s="147" t="s">
        <v>346</v>
      </c>
      <c r="V1" s="147" t="s">
        <v>347</v>
      </c>
      <c r="W1" s="147" t="s">
        <v>348</v>
      </c>
      <c r="X1" s="147" t="s">
        <v>349</v>
      </c>
      <c r="Y1" s="147" t="s">
        <v>350</v>
      </c>
      <c r="Z1" s="147" t="s">
        <v>351</v>
      </c>
      <c r="AA1" s="147" t="s">
        <v>352</v>
      </c>
      <c r="AB1" s="147" t="s">
        <v>353</v>
      </c>
      <c r="AC1" s="147" t="s">
        <v>354</v>
      </c>
      <c r="AD1" s="147" t="s">
        <v>355</v>
      </c>
      <c r="AE1" s="147" t="s">
        <v>356</v>
      </c>
      <c r="AF1" s="147" t="s">
        <v>357</v>
      </c>
      <c r="AG1" s="147" t="s">
        <v>358</v>
      </c>
      <c r="AH1" s="147" t="s">
        <v>359</v>
      </c>
      <c r="AI1" s="147" t="s">
        <v>360</v>
      </c>
      <c r="AJ1" s="147" t="s">
        <v>361</v>
      </c>
      <c r="AK1" s="147" t="s">
        <v>362</v>
      </c>
      <c r="AL1" s="148" t="s">
        <v>363</v>
      </c>
    </row>
    <row r="2" spans="1:38" x14ac:dyDescent="0.25">
      <c r="A2" s="59" t="s">
        <v>168</v>
      </c>
      <c r="B2" s="49">
        <v>1</v>
      </c>
      <c r="C2" s="149"/>
      <c r="D2" s="149">
        <v>32.58</v>
      </c>
      <c r="E2" s="149">
        <v>33.74</v>
      </c>
      <c r="F2" s="149">
        <v>36</v>
      </c>
      <c r="G2" s="149">
        <v>37.340000000000003</v>
      </c>
      <c r="H2" s="149">
        <v>40.090000000000003</v>
      </c>
      <c r="I2" s="149">
        <v>53.15</v>
      </c>
      <c r="J2" s="149">
        <v>57.4</v>
      </c>
      <c r="K2" s="149">
        <v>51.04</v>
      </c>
      <c r="L2" s="149">
        <v>41.71</v>
      </c>
      <c r="M2" s="149">
        <v>42.02</v>
      </c>
      <c r="N2" s="149">
        <v>45.18</v>
      </c>
      <c r="O2" s="149">
        <v>49.25</v>
      </c>
      <c r="P2" s="149">
        <v>53.72</v>
      </c>
      <c r="Q2" s="149">
        <v>46.67</v>
      </c>
      <c r="R2" s="149">
        <v>44.7</v>
      </c>
      <c r="S2" s="149">
        <v>46.59</v>
      </c>
      <c r="T2" s="149"/>
      <c r="U2" s="149">
        <v>89.9</v>
      </c>
      <c r="V2" s="149">
        <v>54.67</v>
      </c>
      <c r="W2" s="149">
        <v>49.82</v>
      </c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50"/>
    </row>
    <row r="3" spans="1:38" x14ac:dyDescent="0.25">
      <c r="A3" s="59" t="s">
        <v>168</v>
      </c>
      <c r="B3" s="49">
        <v>2</v>
      </c>
      <c r="C3" s="149"/>
      <c r="D3" s="149">
        <v>134.4</v>
      </c>
      <c r="E3" s="149">
        <v>73.680000000000007</v>
      </c>
      <c r="F3" s="149">
        <v>55.34</v>
      </c>
      <c r="G3" s="149">
        <v>66.02</v>
      </c>
      <c r="H3" s="149">
        <v>107.18</v>
      </c>
      <c r="I3" s="149">
        <v>248.94</v>
      </c>
      <c r="J3" s="149">
        <v>122.15</v>
      </c>
      <c r="K3" s="149">
        <v>163.11000000000001</v>
      </c>
      <c r="L3" s="149">
        <v>105.99</v>
      </c>
      <c r="M3" s="149">
        <v>100.01</v>
      </c>
      <c r="N3" s="149">
        <v>81.77</v>
      </c>
      <c r="O3" s="149">
        <v>132.03</v>
      </c>
      <c r="P3" s="149">
        <v>133.76</v>
      </c>
      <c r="Q3" s="149">
        <v>80.53</v>
      </c>
      <c r="R3" s="149">
        <v>78.400000000000006</v>
      </c>
      <c r="S3" s="149">
        <v>65.14</v>
      </c>
      <c r="T3" s="149">
        <v>65.37</v>
      </c>
      <c r="U3" s="149">
        <v>73.81</v>
      </c>
      <c r="V3" s="149">
        <v>101.76</v>
      </c>
      <c r="W3" s="149">
        <v>86.15</v>
      </c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50"/>
    </row>
    <row r="4" spans="1:38" x14ac:dyDescent="0.25">
      <c r="A4" s="59" t="s">
        <v>170</v>
      </c>
      <c r="B4" s="49">
        <v>1</v>
      </c>
      <c r="C4" s="149"/>
      <c r="D4" s="149">
        <v>35.64</v>
      </c>
      <c r="E4" s="149">
        <v>38.49</v>
      </c>
      <c r="F4" s="149">
        <v>35.21</v>
      </c>
      <c r="G4" s="149">
        <v>64.36</v>
      </c>
      <c r="H4" s="149">
        <v>68.3</v>
      </c>
      <c r="I4" s="149">
        <v>78.89</v>
      </c>
      <c r="J4" s="149">
        <v>52.21</v>
      </c>
      <c r="K4" s="149">
        <v>54.44</v>
      </c>
      <c r="L4" s="149">
        <v>51.94</v>
      </c>
      <c r="M4" s="149">
        <v>52.32</v>
      </c>
      <c r="N4" s="149">
        <v>55.39</v>
      </c>
      <c r="O4" s="149" t="s">
        <v>304</v>
      </c>
      <c r="P4" s="149">
        <v>136.76</v>
      </c>
      <c r="Q4" s="149"/>
      <c r="R4" s="149">
        <v>135.93</v>
      </c>
      <c r="S4" s="149">
        <v>150.79</v>
      </c>
      <c r="T4" s="149">
        <v>122.69</v>
      </c>
      <c r="U4" s="149">
        <v>111.22</v>
      </c>
      <c r="V4" s="149">
        <v>52.45</v>
      </c>
      <c r="W4" s="149">
        <v>54.13</v>
      </c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50"/>
    </row>
    <row r="5" spans="1:38" x14ac:dyDescent="0.25">
      <c r="A5" s="59" t="s">
        <v>172</v>
      </c>
      <c r="B5" s="49">
        <v>1</v>
      </c>
      <c r="C5" s="149"/>
      <c r="D5" s="149">
        <v>27.63</v>
      </c>
      <c r="E5" s="149">
        <v>31.71</v>
      </c>
      <c r="F5" s="149">
        <v>41.62</v>
      </c>
      <c r="G5" s="149">
        <v>106.9</v>
      </c>
      <c r="H5" s="149">
        <v>97.41</v>
      </c>
      <c r="I5" s="149">
        <v>91.23</v>
      </c>
      <c r="J5" s="149">
        <v>104.33</v>
      </c>
      <c r="K5" s="149">
        <v>99.83</v>
      </c>
      <c r="L5" s="149">
        <v>90.59</v>
      </c>
      <c r="M5" s="149">
        <v>76.959999999999994</v>
      </c>
      <c r="N5" s="149">
        <v>50.37</v>
      </c>
      <c r="O5" s="149">
        <v>107.67</v>
      </c>
      <c r="P5" s="149">
        <v>103.1</v>
      </c>
      <c r="Q5" s="149">
        <v>92.15</v>
      </c>
      <c r="R5" s="149">
        <v>75.84</v>
      </c>
      <c r="S5" s="149">
        <v>119.82</v>
      </c>
      <c r="T5" s="149">
        <v>110.22</v>
      </c>
      <c r="U5" s="149">
        <v>113.58</v>
      </c>
      <c r="V5" s="149">
        <v>99.27</v>
      </c>
      <c r="W5" s="149">
        <v>67.739999999999995</v>
      </c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50"/>
    </row>
    <row r="6" spans="1:38" x14ac:dyDescent="0.25">
      <c r="A6" s="59" t="s">
        <v>174</v>
      </c>
      <c r="B6" s="49">
        <v>1</v>
      </c>
      <c r="C6" s="149"/>
      <c r="D6" s="149"/>
      <c r="E6" s="149">
        <v>48.73</v>
      </c>
      <c r="F6" s="149">
        <v>65.08</v>
      </c>
      <c r="G6" s="149">
        <v>127</v>
      </c>
      <c r="H6" s="149">
        <v>146.86000000000001</v>
      </c>
      <c r="I6" s="149">
        <v>272.91000000000003</v>
      </c>
      <c r="J6" s="149">
        <v>153.49</v>
      </c>
      <c r="K6" s="149">
        <v>138.19999999999999</v>
      </c>
      <c r="L6" s="149">
        <v>85.4</v>
      </c>
      <c r="M6" s="149">
        <v>89.25</v>
      </c>
      <c r="N6" s="149">
        <v>79.91</v>
      </c>
      <c r="O6" s="149">
        <v>155.28</v>
      </c>
      <c r="P6" s="149">
        <v>175.43</v>
      </c>
      <c r="Q6" s="149">
        <v>91.09</v>
      </c>
      <c r="R6" s="149">
        <v>71.42</v>
      </c>
      <c r="S6" s="149">
        <v>231.68</v>
      </c>
      <c r="T6" s="149">
        <v>221.84</v>
      </c>
      <c r="U6" s="149">
        <v>156.16999999999999</v>
      </c>
      <c r="V6" s="149">
        <v>188.77</v>
      </c>
      <c r="W6" s="149">
        <v>117.13</v>
      </c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50"/>
    </row>
    <row r="7" spans="1:38" x14ac:dyDescent="0.25">
      <c r="A7" s="59" t="s">
        <v>176</v>
      </c>
      <c r="B7" s="49">
        <v>1</v>
      </c>
      <c r="C7" s="149"/>
      <c r="D7" s="149">
        <v>48.6</v>
      </c>
      <c r="E7" s="149">
        <v>62.93</v>
      </c>
      <c r="F7" s="149">
        <v>63.05</v>
      </c>
      <c r="G7" s="149">
        <v>64.25</v>
      </c>
      <c r="H7" s="149">
        <v>64.88</v>
      </c>
      <c r="I7" s="149">
        <v>108.14</v>
      </c>
      <c r="J7" s="149">
        <v>74.599999999999994</v>
      </c>
      <c r="K7" s="149">
        <v>72.47</v>
      </c>
      <c r="L7" s="149">
        <v>66.23</v>
      </c>
      <c r="M7" s="149">
        <v>74.12</v>
      </c>
      <c r="N7" s="149">
        <v>76.489999999999995</v>
      </c>
      <c r="O7" s="149">
        <v>91.61</v>
      </c>
      <c r="P7" s="149">
        <v>102.11</v>
      </c>
      <c r="Q7" s="149">
        <v>91.47</v>
      </c>
      <c r="R7" s="149">
        <v>79.27</v>
      </c>
      <c r="S7" s="149">
        <v>114.94</v>
      </c>
      <c r="T7" s="149">
        <v>112.77</v>
      </c>
      <c r="U7" s="149">
        <v>78.180000000000007</v>
      </c>
      <c r="V7" s="149">
        <v>99.26</v>
      </c>
      <c r="W7" s="149">
        <v>85.61</v>
      </c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50"/>
    </row>
    <row r="8" spans="1:38" x14ac:dyDescent="0.25">
      <c r="A8" s="59" t="s">
        <v>176</v>
      </c>
      <c r="B8" s="49">
        <v>2</v>
      </c>
      <c r="C8" s="149"/>
      <c r="D8" s="149"/>
      <c r="E8" s="149">
        <v>23.49</v>
      </c>
      <c r="F8" s="149">
        <v>27.04</v>
      </c>
      <c r="G8" s="149">
        <v>28.41</v>
      </c>
      <c r="H8" s="149"/>
      <c r="I8" s="149">
        <v>51.12</v>
      </c>
      <c r="J8" s="149"/>
      <c r="K8" s="149"/>
      <c r="L8" s="149">
        <v>33.24</v>
      </c>
      <c r="M8" s="149">
        <v>36.82</v>
      </c>
      <c r="N8" s="149">
        <v>70.88</v>
      </c>
      <c r="O8" s="149"/>
      <c r="P8" s="149">
        <v>75.569999999999993</v>
      </c>
      <c r="Q8" s="149"/>
      <c r="R8" s="149">
        <v>67.94</v>
      </c>
      <c r="S8" s="149">
        <v>42.36</v>
      </c>
      <c r="T8" s="149">
        <v>44.83</v>
      </c>
      <c r="U8" s="149">
        <v>109.58</v>
      </c>
      <c r="V8" s="149">
        <v>121.65</v>
      </c>
      <c r="W8" s="149">
        <v>74.11</v>
      </c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50"/>
    </row>
    <row r="9" spans="1:38" x14ac:dyDescent="0.25">
      <c r="A9" s="59" t="s">
        <v>176</v>
      </c>
      <c r="B9" s="49">
        <v>3</v>
      </c>
      <c r="C9" s="149"/>
      <c r="D9" s="149"/>
      <c r="E9" s="149">
        <v>122.86</v>
      </c>
      <c r="F9" s="149">
        <v>67.69</v>
      </c>
      <c r="G9" s="149">
        <v>120.66</v>
      </c>
      <c r="H9" s="149">
        <v>129.52000000000001</v>
      </c>
      <c r="I9" s="149">
        <v>147.69</v>
      </c>
      <c r="J9" s="149">
        <v>147.13</v>
      </c>
      <c r="K9" s="149">
        <v>166.52</v>
      </c>
      <c r="L9" s="149">
        <v>70.78</v>
      </c>
      <c r="M9" s="149">
        <v>103.1</v>
      </c>
      <c r="N9" s="149">
        <v>59.19</v>
      </c>
      <c r="O9" s="149">
        <v>184.57</v>
      </c>
      <c r="P9" s="149">
        <v>223.75</v>
      </c>
      <c r="Q9" s="149">
        <v>155.07</v>
      </c>
      <c r="R9" s="149">
        <v>147.76</v>
      </c>
      <c r="S9" s="149">
        <v>194.89</v>
      </c>
      <c r="T9" s="149">
        <v>131.62</v>
      </c>
      <c r="U9" s="149">
        <v>144.13999999999999</v>
      </c>
      <c r="V9" s="149">
        <v>170.08</v>
      </c>
      <c r="W9" s="149">
        <v>118.7</v>
      </c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50"/>
    </row>
    <row r="10" spans="1:38" x14ac:dyDescent="0.25">
      <c r="A10" s="59" t="s">
        <v>176</v>
      </c>
      <c r="B10" s="49">
        <v>4</v>
      </c>
      <c r="C10" s="149"/>
      <c r="D10" s="149"/>
      <c r="E10" s="149">
        <v>45.43</v>
      </c>
      <c r="F10" s="149">
        <v>82.53</v>
      </c>
      <c r="G10" s="149">
        <v>115.82</v>
      </c>
      <c r="H10" s="149">
        <v>103.5</v>
      </c>
      <c r="I10" s="149">
        <v>100.27</v>
      </c>
      <c r="J10" s="149">
        <v>100.88</v>
      </c>
      <c r="K10" s="149">
        <v>126.55</v>
      </c>
      <c r="L10" s="149">
        <v>68.599999999999994</v>
      </c>
      <c r="M10" s="149">
        <v>69.37</v>
      </c>
      <c r="N10" s="149">
        <v>60.99</v>
      </c>
      <c r="O10" s="149">
        <v>108.38</v>
      </c>
      <c r="P10" s="149">
        <v>130.07</v>
      </c>
      <c r="Q10" s="149">
        <v>121.65</v>
      </c>
      <c r="R10" s="149">
        <v>96.32</v>
      </c>
      <c r="S10" s="149">
        <v>126.58</v>
      </c>
      <c r="T10" s="149">
        <v>100.97</v>
      </c>
      <c r="U10" s="149">
        <v>106.44</v>
      </c>
      <c r="V10" s="149">
        <v>71.33</v>
      </c>
      <c r="W10" s="149">
        <v>38.25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50"/>
    </row>
    <row r="11" spans="1:38" x14ac:dyDescent="0.25">
      <c r="A11" s="59" t="s">
        <v>178</v>
      </c>
      <c r="B11" s="49">
        <v>1</v>
      </c>
      <c r="C11" s="149"/>
      <c r="D11" s="149"/>
      <c r="E11" s="149"/>
      <c r="F11" s="149">
        <v>53.24</v>
      </c>
      <c r="G11" s="149">
        <v>44.64</v>
      </c>
      <c r="H11" s="149"/>
      <c r="I11" s="149">
        <v>88.04</v>
      </c>
      <c r="J11" s="149">
        <v>49.96</v>
      </c>
      <c r="K11" s="149">
        <v>49.43</v>
      </c>
      <c r="L11" s="149">
        <v>51.96</v>
      </c>
      <c r="M11" s="149">
        <v>56.27</v>
      </c>
      <c r="N11" s="149">
        <v>53.22</v>
      </c>
      <c r="O11" s="149">
        <v>98.14</v>
      </c>
      <c r="P11" s="149">
        <v>197.12</v>
      </c>
      <c r="Q11" s="149">
        <v>56.54</v>
      </c>
      <c r="R11" s="149">
        <v>53.17</v>
      </c>
      <c r="S11" s="149">
        <v>56.26</v>
      </c>
      <c r="T11" s="149">
        <v>50.2</v>
      </c>
      <c r="U11" s="149">
        <v>56.38</v>
      </c>
      <c r="V11" s="149">
        <v>58.29</v>
      </c>
      <c r="W11" s="149">
        <v>58.16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50"/>
    </row>
    <row r="12" spans="1:38" x14ac:dyDescent="0.25">
      <c r="A12" s="59" t="s">
        <v>180</v>
      </c>
      <c r="B12" s="49">
        <v>1</v>
      </c>
      <c r="C12" s="149"/>
      <c r="D12" s="149"/>
      <c r="E12" s="149"/>
      <c r="F12" s="149"/>
      <c r="G12" s="149">
        <v>459.37</v>
      </c>
      <c r="H12" s="149">
        <v>752.53</v>
      </c>
      <c r="I12" s="149">
        <v>752.53</v>
      </c>
      <c r="J12" s="149">
        <v>802.1</v>
      </c>
      <c r="K12" s="149">
        <v>757.88</v>
      </c>
      <c r="L12" s="149">
        <v>298.63</v>
      </c>
      <c r="M12" s="149">
        <v>408.18</v>
      </c>
      <c r="N12" s="149">
        <v>410.72</v>
      </c>
      <c r="O12" s="149">
        <v>452.68</v>
      </c>
      <c r="P12" s="149">
        <v>1043.33</v>
      </c>
      <c r="Q12" s="149">
        <v>689.51</v>
      </c>
      <c r="R12" s="149">
        <v>686.69</v>
      </c>
      <c r="S12" s="149">
        <v>959.5</v>
      </c>
      <c r="T12" s="149">
        <v>784.14</v>
      </c>
      <c r="U12" s="149">
        <v>638.42999999999995</v>
      </c>
      <c r="V12" s="149">
        <v>897.41</v>
      </c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50"/>
    </row>
    <row r="13" spans="1:38" x14ac:dyDescent="0.25">
      <c r="A13" s="59" t="s">
        <v>182</v>
      </c>
      <c r="B13" s="49">
        <v>1</v>
      </c>
      <c r="C13" s="149"/>
      <c r="D13" s="149"/>
      <c r="E13" s="149"/>
      <c r="F13" s="149"/>
      <c r="G13" s="149"/>
      <c r="H13" s="149"/>
      <c r="I13" s="149">
        <v>213.12</v>
      </c>
      <c r="J13" s="149">
        <v>131.11000000000001</v>
      </c>
      <c r="K13" s="149">
        <v>71.739999999999995</v>
      </c>
      <c r="L13" s="149">
        <v>69.260000000000005</v>
      </c>
      <c r="M13" s="149">
        <v>80.19</v>
      </c>
      <c r="N13" s="149">
        <v>69.34</v>
      </c>
      <c r="O13" s="149">
        <v>170.65</v>
      </c>
      <c r="P13" s="149">
        <v>232.67</v>
      </c>
      <c r="Q13" s="149">
        <v>66.31</v>
      </c>
      <c r="R13" s="149">
        <v>61.34</v>
      </c>
      <c r="S13" s="149">
        <v>79.98</v>
      </c>
      <c r="T13" s="149">
        <v>153.91999999999999</v>
      </c>
      <c r="U13" s="149">
        <v>111.41</v>
      </c>
      <c r="V13" s="149">
        <v>99.67</v>
      </c>
      <c r="W13" s="149">
        <v>72.12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50"/>
    </row>
    <row r="14" spans="1:38" x14ac:dyDescent="0.25">
      <c r="A14" s="59" t="s">
        <v>184</v>
      </c>
      <c r="B14" s="49">
        <v>1</v>
      </c>
      <c r="C14" s="149"/>
      <c r="D14" s="149"/>
      <c r="E14" s="149"/>
      <c r="F14" s="149"/>
      <c r="G14" s="149"/>
      <c r="H14" s="149"/>
      <c r="I14" s="149">
        <v>1695.57</v>
      </c>
      <c r="J14" s="149">
        <v>1184.04</v>
      </c>
      <c r="K14" s="149">
        <v>533.78</v>
      </c>
      <c r="L14" s="149">
        <v>573.61</v>
      </c>
      <c r="M14" s="149">
        <v>863.44</v>
      </c>
      <c r="N14" s="149">
        <v>656.97</v>
      </c>
      <c r="O14" s="149">
        <v>515.54999999999995</v>
      </c>
      <c r="P14" s="149">
        <v>3099.95</v>
      </c>
      <c r="Q14" s="149">
        <v>1541.27</v>
      </c>
      <c r="R14" s="149">
        <v>1040.69</v>
      </c>
      <c r="S14" s="149">
        <v>2664.35</v>
      </c>
      <c r="T14" s="149">
        <v>1800.58</v>
      </c>
      <c r="U14" s="149">
        <v>957</v>
      </c>
      <c r="V14" s="149">
        <v>1463.63</v>
      </c>
      <c r="W14" s="149">
        <v>572.11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50"/>
    </row>
    <row r="15" spans="1:38" x14ac:dyDescent="0.25">
      <c r="A15" s="59" t="s">
        <v>186</v>
      </c>
      <c r="B15" s="49">
        <v>1</v>
      </c>
      <c r="C15" s="149"/>
      <c r="D15" s="149"/>
      <c r="E15" s="149"/>
      <c r="F15" s="149"/>
      <c r="G15" s="149"/>
      <c r="H15" s="149"/>
      <c r="I15" s="149">
        <v>773.14</v>
      </c>
      <c r="J15" s="149">
        <v>591.35</v>
      </c>
      <c r="K15" s="149">
        <v>415.86</v>
      </c>
      <c r="L15" s="149">
        <v>397.77</v>
      </c>
      <c r="M15" s="149">
        <v>179.31</v>
      </c>
      <c r="N15" s="149">
        <v>432.47</v>
      </c>
      <c r="O15" s="149">
        <v>430.79</v>
      </c>
      <c r="P15" s="149">
        <v>308.20999999999998</v>
      </c>
      <c r="Q15" s="149">
        <v>331.34</v>
      </c>
      <c r="R15" s="149">
        <v>198.18</v>
      </c>
      <c r="S15" s="149">
        <v>721.28</v>
      </c>
      <c r="T15" s="149">
        <v>499.89</v>
      </c>
      <c r="U15" s="149">
        <v>542.03</v>
      </c>
      <c r="V15" s="149">
        <v>585.32000000000005</v>
      </c>
      <c r="W15" s="149">
        <v>284.62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50"/>
    </row>
    <row r="16" spans="1:38" x14ac:dyDescent="0.25">
      <c r="A16" s="59" t="s">
        <v>188</v>
      </c>
      <c r="B16" s="49">
        <v>1</v>
      </c>
      <c r="C16" s="149"/>
      <c r="D16" s="149"/>
      <c r="E16" s="149"/>
      <c r="F16" s="149"/>
      <c r="G16" s="149"/>
      <c r="H16" s="149"/>
      <c r="I16" s="149">
        <v>70.17</v>
      </c>
      <c r="J16" s="149">
        <v>72.290000000000006</v>
      </c>
      <c r="K16" s="149">
        <v>70.59</v>
      </c>
      <c r="L16" s="149">
        <v>48.7</v>
      </c>
      <c r="M16" s="149">
        <v>98</v>
      </c>
      <c r="N16" s="149">
        <v>92.05</v>
      </c>
      <c r="O16" s="149">
        <v>135.66999999999999</v>
      </c>
      <c r="P16" s="149">
        <v>168.67</v>
      </c>
      <c r="Q16" s="149">
        <v>169.87</v>
      </c>
      <c r="R16" s="149">
        <v>177.91</v>
      </c>
      <c r="S16" s="149">
        <v>188.85</v>
      </c>
      <c r="T16" s="149">
        <v>250.27</v>
      </c>
      <c r="U16" s="149">
        <v>15.42</v>
      </c>
      <c r="V16" s="149">
        <v>199.38</v>
      </c>
      <c r="W16" s="149">
        <v>188.61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50"/>
    </row>
    <row r="17" spans="1:38" x14ac:dyDescent="0.25">
      <c r="A17" s="59" t="s">
        <v>190</v>
      </c>
      <c r="B17" s="49">
        <v>1</v>
      </c>
      <c r="C17" s="149"/>
      <c r="D17" s="149"/>
      <c r="E17" s="149"/>
      <c r="F17" s="149"/>
      <c r="G17" s="149"/>
      <c r="H17" s="149"/>
      <c r="I17" s="149">
        <v>359.54</v>
      </c>
      <c r="J17" s="149">
        <v>243.73</v>
      </c>
      <c r="K17" s="149">
        <v>105.14</v>
      </c>
      <c r="L17" s="149">
        <v>95.61</v>
      </c>
      <c r="M17" s="149">
        <v>91.3</v>
      </c>
      <c r="N17" s="149">
        <v>97</v>
      </c>
      <c r="O17" s="149">
        <v>106.61</v>
      </c>
      <c r="P17" s="149">
        <v>107.86</v>
      </c>
      <c r="Q17" s="149">
        <v>100.07</v>
      </c>
      <c r="R17" s="149">
        <v>82.88</v>
      </c>
      <c r="S17" s="149">
        <v>74.59</v>
      </c>
      <c r="T17" s="149">
        <v>337.25</v>
      </c>
      <c r="U17" s="149">
        <v>199.52</v>
      </c>
      <c r="V17" s="149">
        <v>156.77000000000001</v>
      </c>
      <c r="W17" s="149">
        <v>106.89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50"/>
    </row>
    <row r="18" spans="1:38" x14ac:dyDescent="0.25">
      <c r="A18" s="59" t="s">
        <v>190</v>
      </c>
      <c r="B18" s="49">
        <v>2</v>
      </c>
      <c r="C18" s="149"/>
      <c r="D18" s="149"/>
      <c r="E18" s="149"/>
      <c r="F18" s="149"/>
      <c r="G18" s="149"/>
      <c r="H18" s="149"/>
      <c r="I18" s="149">
        <v>373.38</v>
      </c>
      <c r="J18" s="149">
        <v>357.73</v>
      </c>
      <c r="K18" s="149">
        <v>319.77</v>
      </c>
      <c r="L18" s="149">
        <v>305.02999999999997</v>
      </c>
      <c r="M18" s="149">
        <v>294.22000000000003</v>
      </c>
      <c r="N18" s="149">
        <v>176.21</v>
      </c>
      <c r="O18" s="149">
        <v>410.37</v>
      </c>
      <c r="P18" s="149">
        <v>382.47</v>
      </c>
      <c r="Q18" s="149">
        <v>329.4</v>
      </c>
      <c r="R18" s="149">
        <v>191.64</v>
      </c>
      <c r="S18" s="149">
        <v>274.88</v>
      </c>
      <c r="T18" s="149">
        <v>123.28</v>
      </c>
      <c r="U18" s="149">
        <v>336.74</v>
      </c>
      <c r="V18" s="149">
        <v>314.88</v>
      </c>
      <c r="W18" s="149">
        <v>259.8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50"/>
    </row>
    <row r="19" spans="1:38" x14ac:dyDescent="0.25">
      <c r="A19" s="59" t="s">
        <v>192</v>
      </c>
      <c r="B19" s="49">
        <v>1</v>
      </c>
      <c r="C19" s="149"/>
      <c r="D19" s="149"/>
      <c r="E19" s="149"/>
      <c r="F19" s="149"/>
      <c r="G19" s="149"/>
      <c r="H19" s="149"/>
      <c r="I19" s="149"/>
      <c r="J19" s="149">
        <v>689.93</v>
      </c>
      <c r="K19" s="149">
        <v>202.81</v>
      </c>
      <c r="L19" s="149">
        <v>624.03</v>
      </c>
      <c r="M19" s="149">
        <v>208.88</v>
      </c>
      <c r="N19" s="149">
        <v>201.99</v>
      </c>
      <c r="O19" s="149">
        <v>201.17</v>
      </c>
      <c r="P19" s="149">
        <v>289.08</v>
      </c>
      <c r="Q19" s="149">
        <v>839.73</v>
      </c>
      <c r="R19" s="149">
        <v>669.85</v>
      </c>
      <c r="S19" s="149">
        <v>1264.3900000000001</v>
      </c>
      <c r="T19" s="149">
        <v>1482.16</v>
      </c>
      <c r="U19" s="149">
        <v>841.95</v>
      </c>
      <c r="V19" s="149">
        <v>997.11</v>
      </c>
      <c r="W19" s="149">
        <v>186.52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50"/>
    </row>
    <row r="20" spans="1:38" x14ac:dyDescent="0.25">
      <c r="A20" s="59" t="s">
        <v>194</v>
      </c>
      <c r="B20" s="49">
        <v>1</v>
      </c>
      <c r="C20" s="149"/>
      <c r="D20" s="149"/>
      <c r="E20" s="149"/>
      <c r="F20" s="149"/>
      <c r="G20" s="149"/>
      <c r="H20" s="149"/>
      <c r="I20" s="149"/>
      <c r="J20" s="149"/>
      <c r="K20" s="149">
        <v>757.78</v>
      </c>
      <c r="L20" s="149">
        <v>207.93</v>
      </c>
      <c r="M20" s="149">
        <v>197.85</v>
      </c>
      <c r="N20" s="149">
        <v>190</v>
      </c>
      <c r="O20" s="149">
        <v>186.46</v>
      </c>
      <c r="P20" s="149">
        <v>160.79</v>
      </c>
      <c r="Q20" s="149">
        <v>205.66</v>
      </c>
      <c r="R20" s="149">
        <v>189.63</v>
      </c>
      <c r="S20" s="149">
        <v>223.14</v>
      </c>
      <c r="T20" s="149">
        <v>222.18</v>
      </c>
      <c r="U20" s="149">
        <v>290.70999999999998</v>
      </c>
      <c r="V20" s="149">
        <v>237.99</v>
      </c>
      <c r="W20" s="149">
        <v>434.24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50"/>
    </row>
    <row r="21" spans="1:38" x14ac:dyDescent="0.25">
      <c r="A21" s="59" t="s">
        <v>196</v>
      </c>
      <c r="B21" s="49">
        <v>1</v>
      </c>
      <c r="C21" s="149"/>
      <c r="D21" s="149"/>
      <c r="E21" s="149"/>
      <c r="F21" s="149"/>
      <c r="G21" s="149"/>
      <c r="H21" s="149"/>
      <c r="I21" s="149"/>
      <c r="J21" s="149"/>
      <c r="K21" s="149"/>
      <c r="L21" s="149">
        <v>116.35</v>
      </c>
      <c r="M21" s="149">
        <v>151.97</v>
      </c>
      <c r="N21" s="149">
        <v>157.69</v>
      </c>
      <c r="O21" s="149">
        <v>221.24</v>
      </c>
      <c r="P21" s="149">
        <v>191.48</v>
      </c>
      <c r="Q21" s="149">
        <v>134.91</v>
      </c>
      <c r="R21" s="149">
        <v>157.93</v>
      </c>
      <c r="S21" s="149">
        <v>157.93</v>
      </c>
      <c r="T21" s="149">
        <v>85.45</v>
      </c>
      <c r="U21" s="149">
        <v>163.09</v>
      </c>
      <c r="V21" s="149">
        <v>151.91999999999999</v>
      </c>
      <c r="W21" s="149">
        <v>161.57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50"/>
    </row>
    <row r="22" spans="1:38" x14ac:dyDescent="0.25">
      <c r="A22" s="59" t="s">
        <v>198</v>
      </c>
      <c r="B22" s="49">
        <v>1</v>
      </c>
      <c r="C22" s="149"/>
      <c r="D22" s="149"/>
      <c r="E22" s="149"/>
      <c r="F22" s="149"/>
      <c r="G22" s="149"/>
      <c r="H22" s="149"/>
      <c r="I22" s="149">
        <v>1695.57</v>
      </c>
      <c r="J22" s="149">
        <v>1184.04</v>
      </c>
      <c r="K22" s="149">
        <v>533.78</v>
      </c>
      <c r="L22" s="149">
        <v>573.61</v>
      </c>
      <c r="M22" s="149">
        <v>863.44</v>
      </c>
      <c r="N22" s="149">
        <v>656.97</v>
      </c>
      <c r="O22" s="149">
        <v>515.54999999999995</v>
      </c>
      <c r="P22" s="149">
        <v>3099.95</v>
      </c>
      <c r="Q22" s="149">
        <v>1541.27</v>
      </c>
      <c r="R22" s="149">
        <v>1040.69</v>
      </c>
      <c r="S22" s="149">
        <v>2664.35</v>
      </c>
      <c r="T22" s="149">
        <v>1800.58</v>
      </c>
      <c r="U22" s="149">
        <v>957</v>
      </c>
      <c r="V22" s="149">
        <v>1952.13</v>
      </c>
      <c r="W22" s="149">
        <v>851.77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50"/>
    </row>
    <row r="23" spans="1:38" x14ac:dyDescent="0.25">
      <c r="A23" s="59" t="s">
        <v>200</v>
      </c>
      <c r="B23" s="49">
        <v>1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>
        <v>157.56</v>
      </c>
      <c r="N23" s="149">
        <v>140.59</v>
      </c>
      <c r="O23" s="149">
        <v>167.38</v>
      </c>
      <c r="P23" s="149">
        <v>165.51</v>
      </c>
      <c r="Q23" s="149">
        <v>147.76</v>
      </c>
      <c r="R23" s="149">
        <v>135.01</v>
      </c>
      <c r="S23" s="149">
        <v>148.47999999999999</v>
      </c>
      <c r="T23" s="149">
        <v>165.69</v>
      </c>
      <c r="U23" s="149">
        <v>158.66999999999999</v>
      </c>
      <c r="V23" s="149">
        <v>195.65</v>
      </c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50"/>
    </row>
    <row r="24" spans="1:38" x14ac:dyDescent="0.25">
      <c r="A24" s="59" t="s">
        <v>300</v>
      </c>
      <c r="B24" s="49">
        <v>1</v>
      </c>
      <c r="C24" s="149"/>
      <c r="D24" s="149"/>
      <c r="E24" s="149"/>
      <c r="F24" s="149"/>
      <c r="G24" s="149"/>
      <c r="H24" s="149"/>
      <c r="I24" s="149"/>
      <c r="J24" s="149">
        <v>2468.12</v>
      </c>
      <c r="K24" s="149">
        <v>1058.8599999999999</v>
      </c>
      <c r="L24" s="149">
        <v>909.16</v>
      </c>
      <c r="M24" s="149">
        <v>967.07</v>
      </c>
      <c r="N24" s="149"/>
      <c r="O24" s="149">
        <v>955.92</v>
      </c>
      <c r="P24" s="149">
        <v>869.77</v>
      </c>
      <c r="Q24" s="149">
        <v>962.03</v>
      </c>
      <c r="R24" s="149">
        <v>853.25</v>
      </c>
      <c r="S24" s="149">
        <v>959.48</v>
      </c>
      <c r="T24" s="149">
        <v>1139.05</v>
      </c>
      <c r="U24" s="149">
        <v>1415.87</v>
      </c>
      <c r="V24" s="149">
        <v>1488.34</v>
      </c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50"/>
    </row>
    <row r="25" spans="1:38" x14ac:dyDescent="0.25">
      <c r="A25" s="59" t="s">
        <v>206</v>
      </c>
      <c r="B25" s="49">
        <v>1</v>
      </c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>
        <v>62.67</v>
      </c>
      <c r="N25" s="149">
        <v>59.54</v>
      </c>
      <c r="O25" s="149">
        <v>60.46</v>
      </c>
      <c r="P25" s="149">
        <v>59.43</v>
      </c>
      <c r="Q25" s="149">
        <v>63.38</v>
      </c>
      <c r="R25" s="149">
        <v>59.24</v>
      </c>
      <c r="S25" s="149">
        <v>66.680000000000007</v>
      </c>
      <c r="T25" s="149">
        <v>65.37</v>
      </c>
      <c r="U25" s="149">
        <v>67.89</v>
      </c>
      <c r="V25" s="149">
        <v>67.23</v>
      </c>
      <c r="W25" s="149">
        <v>73.47</v>
      </c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50"/>
    </row>
    <row r="26" spans="1:38" x14ac:dyDescent="0.25">
      <c r="A26" s="59" t="s">
        <v>208</v>
      </c>
      <c r="B26" s="49">
        <v>1</v>
      </c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>
        <v>350.61</v>
      </c>
      <c r="N26" s="149">
        <v>139.72</v>
      </c>
      <c r="O26" s="149">
        <v>138.03</v>
      </c>
      <c r="P26" s="149">
        <v>142.85</v>
      </c>
      <c r="Q26" s="149">
        <v>137.61000000000001</v>
      </c>
      <c r="R26" s="149">
        <v>118.53</v>
      </c>
      <c r="S26" s="149">
        <v>126.93</v>
      </c>
      <c r="T26" s="149">
        <v>123.25</v>
      </c>
      <c r="U26" s="149">
        <v>127.92</v>
      </c>
      <c r="V26" s="149">
        <v>148.41</v>
      </c>
      <c r="W26" s="149">
        <v>138.76</v>
      </c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50"/>
    </row>
    <row r="27" spans="1:38" x14ac:dyDescent="0.25">
      <c r="A27" s="59" t="s">
        <v>210</v>
      </c>
      <c r="B27" s="49">
        <v>1</v>
      </c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>
        <v>106.81</v>
      </c>
      <c r="N27" s="149">
        <v>99</v>
      </c>
      <c r="O27" s="149">
        <v>151.24</v>
      </c>
      <c r="P27" s="149">
        <v>156.91999999999999</v>
      </c>
      <c r="Q27" s="149">
        <v>102.27</v>
      </c>
      <c r="R27" s="149">
        <v>86.47</v>
      </c>
      <c r="S27" s="149">
        <v>87.49</v>
      </c>
      <c r="T27" s="149">
        <v>73.069999999999993</v>
      </c>
      <c r="U27" s="149">
        <v>90.55</v>
      </c>
      <c r="V27" s="149">
        <v>93.66</v>
      </c>
      <c r="W27" s="149">
        <v>88.57</v>
      </c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50"/>
    </row>
    <row r="28" spans="1:38" x14ac:dyDescent="0.25">
      <c r="A28" s="59" t="s">
        <v>210</v>
      </c>
      <c r="B28" s="49">
        <v>2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>
        <v>393.68</v>
      </c>
      <c r="N28" s="149">
        <v>284.33999999999997</v>
      </c>
      <c r="O28" s="149">
        <v>75.540000000000006</v>
      </c>
      <c r="P28" s="149">
        <v>281.98</v>
      </c>
      <c r="Q28" s="149">
        <v>106.86</v>
      </c>
      <c r="R28" s="149">
        <v>190.05</v>
      </c>
      <c r="S28" s="149">
        <v>305.01</v>
      </c>
      <c r="T28" s="149">
        <v>141.87</v>
      </c>
      <c r="U28" s="149">
        <v>132.66999999999999</v>
      </c>
      <c r="V28" s="149">
        <v>115.02</v>
      </c>
      <c r="W28" s="149">
        <v>69.89</v>
      </c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50"/>
    </row>
    <row r="29" spans="1:38" x14ac:dyDescent="0.25">
      <c r="A29" s="59" t="s">
        <v>210</v>
      </c>
      <c r="B29" s="49">
        <v>3</v>
      </c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>
        <v>594.74</v>
      </c>
      <c r="N29" s="149">
        <v>498.43</v>
      </c>
      <c r="O29" s="149">
        <v>76.34</v>
      </c>
      <c r="P29" s="149"/>
      <c r="Q29" s="149"/>
      <c r="R29" s="149">
        <v>65.72</v>
      </c>
      <c r="S29" s="149">
        <v>386.59</v>
      </c>
      <c r="T29" s="149">
        <v>219.15</v>
      </c>
      <c r="U29" s="149">
        <v>104.67</v>
      </c>
      <c r="V29" s="149">
        <v>88.84</v>
      </c>
      <c r="W29" s="149">
        <v>123.34</v>
      </c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50"/>
    </row>
    <row r="30" spans="1:38" x14ac:dyDescent="0.25">
      <c r="A30" s="59" t="s">
        <v>212</v>
      </c>
      <c r="B30" s="49">
        <v>1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>
        <v>97.45</v>
      </c>
      <c r="O30" s="149">
        <v>118.86</v>
      </c>
      <c r="P30" s="149">
        <v>140.13</v>
      </c>
      <c r="Q30" s="149">
        <v>132.35</v>
      </c>
      <c r="R30" s="149">
        <v>79.66</v>
      </c>
      <c r="S30" s="149">
        <v>100.79</v>
      </c>
      <c r="T30" s="149">
        <v>95.51</v>
      </c>
      <c r="U30" s="149">
        <v>128.08000000000001</v>
      </c>
      <c r="V30" s="149">
        <v>125.75</v>
      </c>
      <c r="W30" s="149">
        <v>132.49</v>
      </c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50"/>
    </row>
    <row r="31" spans="1:38" x14ac:dyDescent="0.25">
      <c r="A31" s="59" t="s">
        <v>214</v>
      </c>
      <c r="B31" s="49">
        <v>1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>
        <v>393.81</v>
      </c>
      <c r="O31" s="149">
        <v>147.18</v>
      </c>
      <c r="P31" s="149">
        <v>130.77000000000001</v>
      </c>
      <c r="Q31" s="149">
        <v>155</v>
      </c>
      <c r="R31" s="149">
        <v>154.43</v>
      </c>
      <c r="S31" s="149">
        <v>222.41</v>
      </c>
      <c r="T31" s="149">
        <v>108.67</v>
      </c>
      <c r="U31" s="149">
        <v>177.37</v>
      </c>
      <c r="V31" s="149">
        <v>232.56</v>
      </c>
      <c r="W31" s="149">
        <v>635.03</v>
      </c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50"/>
    </row>
    <row r="32" spans="1:38" x14ac:dyDescent="0.25">
      <c r="A32" s="59" t="s">
        <v>216</v>
      </c>
      <c r="B32" s="49">
        <v>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>
        <v>1065.8</v>
      </c>
      <c r="O32" s="149">
        <v>348.58</v>
      </c>
      <c r="P32" s="149">
        <v>368.66</v>
      </c>
      <c r="Q32" s="149">
        <v>335.2</v>
      </c>
      <c r="R32" s="149">
        <v>500.24</v>
      </c>
      <c r="S32" s="149">
        <v>1326.65</v>
      </c>
      <c r="T32" s="149">
        <v>952.56</v>
      </c>
      <c r="U32" s="149">
        <v>953.94</v>
      </c>
      <c r="V32" s="149">
        <v>880.11</v>
      </c>
      <c r="W32" s="149">
        <v>349.05</v>
      </c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50"/>
    </row>
    <row r="33" spans="1:38" x14ac:dyDescent="0.25">
      <c r="A33" s="59" t="s">
        <v>218</v>
      </c>
      <c r="B33" s="49">
        <v>1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>
        <v>249.48</v>
      </c>
      <c r="N33" s="149">
        <v>30.33</v>
      </c>
      <c r="O33" s="149">
        <v>27.19</v>
      </c>
      <c r="P33" s="149">
        <v>25.68</v>
      </c>
      <c r="Q33" s="149">
        <v>25.44</v>
      </c>
      <c r="R33" s="149">
        <v>25.44</v>
      </c>
      <c r="S33" s="149">
        <v>25.46</v>
      </c>
      <c r="T33" s="149">
        <v>26.37</v>
      </c>
      <c r="U33" s="149">
        <v>25.78</v>
      </c>
      <c r="V33" s="149">
        <v>26.82</v>
      </c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50"/>
    </row>
    <row r="34" spans="1:38" x14ac:dyDescent="0.25">
      <c r="A34" s="59" t="s">
        <v>221</v>
      </c>
      <c r="B34" s="49">
        <v>1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>
        <v>549.20000000000005</v>
      </c>
      <c r="N34" s="149">
        <v>640.04999999999995</v>
      </c>
      <c r="O34" s="149">
        <v>64.17</v>
      </c>
      <c r="P34" s="149">
        <v>46.85</v>
      </c>
      <c r="Q34" s="149">
        <v>60.13</v>
      </c>
      <c r="R34" s="149">
        <v>46.36</v>
      </c>
      <c r="S34" s="149">
        <v>46.4</v>
      </c>
      <c r="T34" s="149">
        <v>48.22</v>
      </c>
      <c r="U34" s="149">
        <v>152.71</v>
      </c>
      <c r="V34" s="149">
        <v>219.19</v>
      </c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50"/>
    </row>
    <row r="35" spans="1:38" x14ac:dyDescent="0.25">
      <c r="A35" s="59" t="s">
        <v>224</v>
      </c>
      <c r="B35" s="49">
        <v>1</v>
      </c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>
        <v>467.26</v>
      </c>
      <c r="O35" s="149">
        <v>485.4</v>
      </c>
      <c r="P35" s="149">
        <v>478.59</v>
      </c>
      <c r="Q35" s="149">
        <v>510.46</v>
      </c>
      <c r="R35" s="149">
        <v>568.97</v>
      </c>
      <c r="S35" s="149">
        <v>1687.61</v>
      </c>
      <c r="T35" s="149">
        <v>1712.38</v>
      </c>
      <c r="U35" s="149">
        <v>1469.49</v>
      </c>
      <c r="V35" s="149">
        <v>1279.33</v>
      </c>
      <c r="W35" s="149">
        <v>449.72</v>
      </c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50"/>
    </row>
    <row r="36" spans="1:38" x14ac:dyDescent="0.25">
      <c r="A36" s="59" t="s">
        <v>226</v>
      </c>
      <c r="B36" s="49">
        <v>1</v>
      </c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>
        <v>471.55</v>
      </c>
      <c r="Q36" s="149">
        <v>482.97</v>
      </c>
      <c r="R36" s="149">
        <v>405.97</v>
      </c>
      <c r="S36" s="149">
        <v>829.38</v>
      </c>
      <c r="T36" s="149">
        <v>774.02</v>
      </c>
      <c r="U36" s="149">
        <v>528.67999999999995</v>
      </c>
      <c r="V36" s="149">
        <v>511.21</v>
      </c>
      <c r="W36" s="149">
        <v>210.48</v>
      </c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50"/>
    </row>
    <row r="37" spans="1:38" x14ac:dyDescent="0.25">
      <c r="A37" s="59" t="s">
        <v>228</v>
      </c>
      <c r="B37" s="49">
        <v>1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>
        <v>4547.55</v>
      </c>
      <c r="P37" s="149">
        <v>4271.25</v>
      </c>
      <c r="Q37" s="149"/>
      <c r="R37" s="149"/>
      <c r="S37" s="149">
        <v>555.70000000000005</v>
      </c>
      <c r="T37" s="149">
        <v>456.97</v>
      </c>
      <c r="U37" s="149">
        <v>482.41</v>
      </c>
      <c r="V37" s="149">
        <v>464.98</v>
      </c>
      <c r="W37" s="149">
        <v>435.58</v>
      </c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50"/>
    </row>
    <row r="38" spans="1:38" x14ac:dyDescent="0.25">
      <c r="A38" s="59" t="s">
        <v>230</v>
      </c>
      <c r="B38" s="49">
        <v>1</v>
      </c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>
        <v>141.16999999999999</v>
      </c>
      <c r="R38" s="149">
        <v>64.319999999999993</v>
      </c>
      <c r="S38" s="149">
        <v>70.72</v>
      </c>
      <c r="T38" s="149">
        <v>59.76</v>
      </c>
      <c r="U38" s="149">
        <v>131.91999999999999</v>
      </c>
      <c r="V38" s="149">
        <v>63.56</v>
      </c>
      <c r="W38" s="149">
        <v>69.84</v>
      </c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50"/>
    </row>
    <row r="39" spans="1:38" x14ac:dyDescent="0.25">
      <c r="A39" s="59" t="s">
        <v>232</v>
      </c>
      <c r="B39" s="49">
        <v>1</v>
      </c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>
        <v>942.56</v>
      </c>
      <c r="R39" s="149">
        <v>243.37</v>
      </c>
      <c r="S39" s="149">
        <v>388.98</v>
      </c>
      <c r="T39" s="149">
        <v>143.13999999999999</v>
      </c>
      <c r="U39" s="149">
        <v>150.82</v>
      </c>
      <c r="V39" s="149">
        <v>168.23</v>
      </c>
      <c r="W39" s="149">
        <v>161.81</v>
      </c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50"/>
    </row>
    <row r="40" spans="1:38" x14ac:dyDescent="0.25">
      <c r="A40" s="59" t="s">
        <v>234</v>
      </c>
      <c r="B40" s="49">
        <v>1</v>
      </c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>
        <v>209.8</v>
      </c>
      <c r="R40" s="149">
        <v>184.77</v>
      </c>
      <c r="S40" s="149">
        <v>182.19</v>
      </c>
      <c r="T40" s="149">
        <v>277.95</v>
      </c>
      <c r="U40" s="149">
        <v>298.99</v>
      </c>
      <c r="V40" s="149">
        <v>274.32</v>
      </c>
      <c r="W40" s="149">
        <v>221.34</v>
      </c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50"/>
    </row>
    <row r="41" spans="1:38" x14ac:dyDescent="0.25">
      <c r="A41" s="59" t="s">
        <v>236</v>
      </c>
      <c r="B41" s="49">
        <v>1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>
        <v>46.06</v>
      </c>
      <c r="R41" s="149"/>
      <c r="S41" s="149">
        <v>64.12</v>
      </c>
      <c r="T41" s="149"/>
      <c r="U41" s="149">
        <v>97.03</v>
      </c>
      <c r="V41" s="149">
        <v>267.79000000000002</v>
      </c>
      <c r="W41" s="149">
        <v>267.79000000000002</v>
      </c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50"/>
    </row>
    <row r="42" spans="1:38" x14ac:dyDescent="0.25">
      <c r="A42" s="59" t="s">
        <v>238</v>
      </c>
      <c r="B42" s="49">
        <v>1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>
        <v>209.57</v>
      </c>
      <c r="S42" s="149">
        <v>288.8</v>
      </c>
      <c r="T42" s="149">
        <v>352.83</v>
      </c>
      <c r="U42" s="149">
        <v>235.88</v>
      </c>
      <c r="V42" s="149">
        <v>210.11</v>
      </c>
      <c r="W42" s="149">
        <v>206</v>
      </c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50"/>
    </row>
    <row r="43" spans="1:38" x14ac:dyDescent="0.25">
      <c r="A43" s="59" t="s">
        <v>240</v>
      </c>
      <c r="B43" s="49">
        <v>1</v>
      </c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>
        <v>165.89</v>
      </c>
      <c r="R43" s="149">
        <v>136.58000000000001</v>
      </c>
      <c r="S43" s="149">
        <v>157.43</v>
      </c>
      <c r="T43" s="149">
        <v>110.29</v>
      </c>
      <c r="U43" s="149">
        <v>123.72</v>
      </c>
      <c r="V43" s="149">
        <v>140.81</v>
      </c>
      <c r="W43" s="149">
        <v>139.18</v>
      </c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50"/>
    </row>
    <row r="44" spans="1:38" x14ac:dyDescent="0.25">
      <c r="A44" s="59" t="s">
        <v>242</v>
      </c>
      <c r="B44" s="49">
        <v>1</v>
      </c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>
        <v>279.85000000000002</v>
      </c>
      <c r="S44" s="149">
        <v>114.68</v>
      </c>
      <c r="T44" s="149">
        <v>108.9</v>
      </c>
      <c r="U44" s="149">
        <v>108.83</v>
      </c>
      <c r="V44" s="149">
        <v>126.03</v>
      </c>
      <c r="W44" s="149">
        <v>116.38</v>
      </c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50"/>
    </row>
    <row r="45" spans="1:38" x14ac:dyDescent="0.25">
      <c r="A45" s="59" t="s">
        <v>244</v>
      </c>
      <c r="B45" s="49">
        <v>1</v>
      </c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>
        <v>2806.42</v>
      </c>
      <c r="S45" s="149">
        <v>2279.73</v>
      </c>
      <c r="T45" s="149">
        <v>1555.99</v>
      </c>
      <c r="U45" s="149">
        <v>1080.9000000000001</v>
      </c>
      <c r="V45" s="149">
        <v>1088.98</v>
      </c>
      <c r="W45" s="149">
        <v>621.96</v>
      </c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50"/>
    </row>
    <row r="46" spans="1:38" x14ac:dyDescent="0.25">
      <c r="A46" s="59" t="s">
        <v>244</v>
      </c>
      <c r="B46" s="49">
        <v>2</v>
      </c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>
        <v>2744.38</v>
      </c>
      <c r="S46" s="149">
        <v>2101.38</v>
      </c>
      <c r="T46" s="149">
        <v>1584.49</v>
      </c>
      <c r="U46" s="149">
        <v>1334.03</v>
      </c>
      <c r="V46" s="149">
        <v>1378.01</v>
      </c>
      <c r="W46" s="149">
        <v>1008.38</v>
      </c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50"/>
    </row>
    <row r="47" spans="1:38" x14ac:dyDescent="0.25">
      <c r="A47" s="59" t="s">
        <v>247</v>
      </c>
      <c r="B47" s="49">
        <v>1</v>
      </c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>
        <v>381.44</v>
      </c>
      <c r="S47" s="149">
        <v>159.97999999999999</v>
      </c>
      <c r="T47" s="149">
        <v>183.72</v>
      </c>
      <c r="U47" s="149">
        <v>382.62</v>
      </c>
      <c r="V47" s="149">
        <v>243.23</v>
      </c>
      <c r="W47" s="149">
        <v>177.99</v>
      </c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50"/>
    </row>
    <row r="48" spans="1:38" x14ac:dyDescent="0.25">
      <c r="A48" s="59" t="s">
        <v>43</v>
      </c>
      <c r="B48" s="49">
        <v>1</v>
      </c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>
        <v>571.26</v>
      </c>
      <c r="S48" s="149">
        <v>714.35</v>
      </c>
      <c r="T48" s="149">
        <v>157.59</v>
      </c>
      <c r="U48" s="149">
        <v>377.3</v>
      </c>
      <c r="V48" s="149">
        <v>504.77</v>
      </c>
      <c r="W48" s="149">
        <v>216.93</v>
      </c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50"/>
    </row>
    <row r="49" spans="1:38" x14ac:dyDescent="0.25">
      <c r="A49" s="59" t="s">
        <v>44</v>
      </c>
      <c r="B49" s="49">
        <v>1</v>
      </c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>
        <v>440.93</v>
      </c>
      <c r="S49" s="149">
        <v>490.85</v>
      </c>
      <c r="T49" s="149">
        <v>267.51</v>
      </c>
      <c r="U49" s="149">
        <v>200.43</v>
      </c>
      <c r="V49" s="149">
        <v>303.43</v>
      </c>
      <c r="W49" s="149">
        <v>169.78</v>
      </c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50"/>
    </row>
    <row r="50" spans="1:38" x14ac:dyDescent="0.25">
      <c r="A50" s="90" t="s">
        <v>251</v>
      </c>
      <c r="B50" s="49">
        <v>1</v>
      </c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>
        <v>59.24</v>
      </c>
      <c r="S50" s="149">
        <v>62.79</v>
      </c>
      <c r="T50" s="149">
        <v>55.08</v>
      </c>
      <c r="U50" s="149">
        <v>55.37</v>
      </c>
      <c r="V50" s="149">
        <v>66.010000000000005</v>
      </c>
      <c r="W50" s="149">
        <v>58.45</v>
      </c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50"/>
    </row>
    <row r="51" spans="1:38" x14ac:dyDescent="0.25">
      <c r="A51" s="59" t="s">
        <v>31</v>
      </c>
      <c r="B51" s="49">
        <v>1</v>
      </c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>
        <v>205.31</v>
      </c>
      <c r="S51" s="149">
        <v>583.51</v>
      </c>
      <c r="T51" s="149">
        <v>300.58</v>
      </c>
      <c r="U51" s="149">
        <v>333.61</v>
      </c>
      <c r="V51" s="149">
        <v>359.6</v>
      </c>
      <c r="W51" s="149">
        <v>345.95</v>
      </c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50"/>
    </row>
    <row r="52" spans="1:38" x14ac:dyDescent="0.25">
      <c r="A52" s="59" t="s">
        <v>31</v>
      </c>
      <c r="B52" s="49">
        <v>2</v>
      </c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>
        <v>4495.12</v>
      </c>
      <c r="S52" s="149">
        <v>750.82</v>
      </c>
      <c r="T52" s="149">
        <v>1656.96</v>
      </c>
      <c r="U52" s="149">
        <v>2730.36</v>
      </c>
      <c r="V52" s="149">
        <v>663.46</v>
      </c>
      <c r="W52" s="149">
        <v>717.45</v>
      </c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50"/>
    </row>
    <row r="53" spans="1:38" x14ac:dyDescent="0.25">
      <c r="A53" s="59" t="s">
        <v>255</v>
      </c>
      <c r="B53" s="49">
        <v>1</v>
      </c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>
        <v>190.78</v>
      </c>
      <c r="T53" s="149">
        <v>60.51</v>
      </c>
      <c r="U53" s="149">
        <v>62.64</v>
      </c>
      <c r="V53" s="149">
        <v>75.83</v>
      </c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50"/>
    </row>
    <row r="54" spans="1:38" x14ac:dyDescent="0.25">
      <c r="A54" s="59" t="s">
        <v>255</v>
      </c>
      <c r="B54" s="49">
        <v>2</v>
      </c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>
        <v>234.9</v>
      </c>
      <c r="T54" s="149">
        <v>201.8</v>
      </c>
      <c r="U54" s="149">
        <v>186.21</v>
      </c>
      <c r="V54" s="149">
        <v>97.95</v>
      </c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  <c r="AL54" s="150"/>
    </row>
    <row r="55" spans="1:38" x14ac:dyDescent="0.25">
      <c r="A55" s="59" t="s">
        <v>49</v>
      </c>
      <c r="B55" s="49">
        <v>1</v>
      </c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>
        <v>2766.04</v>
      </c>
      <c r="U55" s="149">
        <v>484.31</v>
      </c>
      <c r="V55" s="149">
        <v>564.39</v>
      </c>
      <c r="W55" s="149">
        <v>698.52</v>
      </c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50"/>
    </row>
    <row r="56" spans="1:38" x14ac:dyDescent="0.25">
      <c r="A56" s="59" t="s">
        <v>266</v>
      </c>
      <c r="B56" s="49">
        <v>1</v>
      </c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>
        <v>780.65</v>
      </c>
      <c r="U56" s="149">
        <v>647.87</v>
      </c>
      <c r="V56" s="149">
        <v>271.18</v>
      </c>
      <c r="W56" s="149">
        <v>235.36</v>
      </c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50"/>
    </row>
    <row r="57" spans="1:38" x14ac:dyDescent="0.25">
      <c r="A57" s="59" t="s">
        <v>262</v>
      </c>
      <c r="B57" s="49">
        <v>1</v>
      </c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>
        <v>227.13</v>
      </c>
      <c r="U57" s="149">
        <v>111.12</v>
      </c>
      <c r="V57" s="149">
        <v>76.349999999999994</v>
      </c>
      <c r="W57" s="149">
        <v>73.13</v>
      </c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50"/>
    </row>
    <row r="58" spans="1:38" x14ac:dyDescent="0.25">
      <c r="A58" s="59" t="s">
        <v>263</v>
      </c>
      <c r="B58" s="49">
        <v>1</v>
      </c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>
        <v>88.63</v>
      </c>
      <c r="W58" s="149">
        <v>88.16</v>
      </c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50"/>
    </row>
    <row r="59" spans="1:38" x14ac:dyDescent="0.25">
      <c r="A59" s="59" t="s">
        <v>271</v>
      </c>
      <c r="B59" s="49">
        <v>1</v>
      </c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>
        <v>501.16</v>
      </c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50"/>
    </row>
    <row r="60" spans="1:38" x14ac:dyDescent="0.25">
      <c r="A60" s="59" t="s">
        <v>271</v>
      </c>
      <c r="B60" s="49">
        <v>2</v>
      </c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50"/>
    </row>
    <row r="61" spans="1:38" x14ac:dyDescent="0.25">
      <c r="A61" s="59" t="s">
        <v>279</v>
      </c>
      <c r="B61" s="49">
        <v>1</v>
      </c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50"/>
    </row>
    <row r="62" spans="1:38" x14ac:dyDescent="0.25">
      <c r="A62" s="59" t="s">
        <v>280</v>
      </c>
      <c r="B62" s="49">
        <v>1</v>
      </c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50"/>
    </row>
    <row r="63" spans="1:38" x14ac:dyDescent="0.25">
      <c r="A63" s="59" t="s">
        <v>285</v>
      </c>
      <c r="B63" s="49">
        <v>1</v>
      </c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50"/>
    </row>
    <row r="64" spans="1:38" x14ac:dyDescent="0.25">
      <c r="A64" s="59" t="s">
        <v>293</v>
      </c>
      <c r="B64" s="49">
        <v>1</v>
      </c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50"/>
    </row>
    <row r="65" spans="1:38" x14ac:dyDescent="0.25">
      <c r="A65" s="59" t="s">
        <v>47</v>
      </c>
      <c r="B65" s="49">
        <v>1</v>
      </c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>
        <v>2027.08</v>
      </c>
      <c r="U65" s="149">
        <v>336.86</v>
      </c>
      <c r="V65" s="149">
        <v>392.39</v>
      </c>
      <c r="W65" s="149">
        <v>314.01</v>
      </c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50"/>
    </row>
    <row r="66" spans="1:38" x14ac:dyDescent="0.25">
      <c r="A66" s="59" t="s">
        <v>47</v>
      </c>
      <c r="B66" s="49">
        <v>2</v>
      </c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>
        <v>198.05</v>
      </c>
      <c r="U66" s="149">
        <v>130.06</v>
      </c>
      <c r="V66" s="149">
        <v>122.58</v>
      </c>
      <c r="W66" s="149">
        <v>142.54</v>
      </c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50"/>
    </row>
    <row r="67" spans="1:38" x14ac:dyDescent="0.25">
      <c r="A67" s="59" t="s">
        <v>296</v>
      </c>
      <c r="B67" s="49">
        <v>1</v>
      </c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50"/>
    </row>
    <row r="68" spans="1:38" x14ac:dyDescent="0.25">
      <c r="A68" s="59" t="s">
        <v>307</v>
      </c>
      <c r="B68" s="49">
        <v>1</v>
      </c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>
        <v>62.31</v>
      </c>
      <c r="O68" s="149">
        <v>161.46</v>
      </c>
      <c r="P68" s="149">
        <v>80.59</v>
      </c>
      <c r="Q68" s="149">
        <v>68.94</v>
      </c>
      <c r="R68" s="149">
        <v>57.7</v>
      </c>
      <c r="S68" s="149">
        <v>58.85</v>
      </c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50"/>
    </row>
    <row r="69" spans="1:38" x14ac:dyDescent="0.25">
      <c r="A69" s="59" t="s">
        <v>280</v>
      </c>
      <c r="B69" s="49">
        <v>1</v>
      </c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50"/>
    </row>
    <row r="70" spans="1:38" x14ac:dyDescent="0.25">
      <c r="A70" s="59" t="s">
        <v>285</v>
      </c>
      <c r="B70" s="49">
        <v>1</v>
      </c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>
        <v>76.239999999999995</v>
      </c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50"/>
    </row>
    <row r="71" spans="1:38" x14ac:dyDescent="0.25">
      <c r="A71" s="59" t="s">
        <v>295</v>
      </c>
      <c r="B71" s="49">
        <v>1</v>
      </c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</row>
    <row r="72" spans="1:38" x14ac:dyDescent="0.25">
      <c r="A72" s="59" t="s">
        <v>308</v>
      </c>
      <c r="B72" s="49">
        <v>1</v>
      </c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50"/>
    </row>
    <row r="73" spans="1:38" x14ac:dyDescent="0.25">
      <c r="A73" s="59" t="s">
        <v>324</v>
      </c>
      <c r="B73" s="49">
        <v>1</v>
      </c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</row>
    <row r="74" spans="1:38" x14ac:dyDescent="0.25">
      <c r="A74" s="59" t="s">
        <v>316</v>
      </c>
      <c r="B74" s="49">
        <v>1</v>
      </c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50"/>
    </row>
    <row r="75" spans="1:38" x14ac:dyDescent="0.25">
      <c r="A75" s="59" t="s">
        <v>317</v>
      </c>
      <c r="B75" s="49">
        <v>1</v>
      </c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50"/>
    </row>
    <row r="76" spans="1:38" x14ac:dyDescent="0.25">
      <c r="A76" s="59" t="s">
        <v>318</v>
      </c>
      <c r="B76" s="49">
        <v>1</v>
      </c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50"/>
    </row>
    <row r="77" spans="1:38" x14ac:dyDescent="0.25">
      <c r="A77" s="59" t="s">
        <v>319</v>
      </c>
      <c r="B77" s="49">
        <v>1</v>
      </c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50"/>
    </row>
    <row r="78" spans="1:38" x14ac:dyDescent="0.25">
      <c r="A78" s="60" t="s">
        <v>320</v>
      </c>
      <c r="B78" s="61">
        <v>1</v>
      </c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2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53C8-F315-4A00-8E1B-0A904ADDA08A}">
  <sheetPr codeName="Planilha2">
    <tabColor theme="4" tint="-0.249977111117893"/>
  </sheetPr>
  <dimension ref="A1"/>
  <sheetViews>
    <sheetView showGridLines="0" showRowColHeaders="0" workbookViewId="0">
      <selection activeCell="U20" sqref="U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0DC2-A9BE-4268-8F70-1E67F54BCAE7}">
  <sheetPr codeName="Planilha3">
    <tabColor theme="5" tint="-0.249977111117893"/>
  </sheetPr>
  <dimension ref="A1"/>
  <sheetViews>
    <sheetView showGridLines="0" showRowColHeaders="0" workbookViewId="0">
      <selection activeCell="R9" sqref="R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3D24-6579-4514-8A2C-DF3EC3A490EC}">
  <sheetPr codeName="Planilha8">
    <tabColor rgb="FFFFFF00"/>
  </sheetPr>
  <dimension ref="A1:H74"/>
  <sheetViews>
    <sheetView topLeftCell="A55" workbookViewId="0">
      <selection activeCell="B74" sqref="B74"/>
    </sheetView>
  </sheetViews>
  <sheetFormatPr defaultColWidth="15.140625" defaultRowHeight="15" x14ac:dyDescent="0.25"/>
  <cols>
    <col min="1" max="1" width="5.42578125" style="5" customWidth="1"/>
    <col min="2" max="2" width="53.5703125" style="5" bestFit="1" customWidth="1"/>
    <col min="3" max="3" width="8.28515625" style="5" customWidth="1"/>
    <col min="4" max="4" width="18" style="5" bestFit="1" customWidth="1"/>
    <col min="5" max="5" width="13" style="5" customWidth="1"/>
    <col min="6" max="6" width="70.28515625" style="5" bestFit="1" customWidth="1"/>
    <col min="7" max="16384" width="15.140625" style="5"/>
  </cols>
  <sheetData>
    <row r="1" spans="1:7" x14ac:dyDescent="0.25">
      <c r="A1" s="80" t="s">
        <v>162</v>
      </c>
      <c r="B1" s="81" t="s">
        <v>163</v>
      </c>
      <c r="C1" s="81" t="s">
        <v>164</v>
      </c>
      <c r="D1" s="81" t="s">
        <v>165</v>
      </c>
      <c r="E1" s="81" t="s">
        <v>166</v>
      </c>
      <c r="F1" s="82" t="s">
        <v>167</v>
      </c>
    </row>
    <row r="2" spans="1:7" x14ac:dyDescent="0.25">
      <c r="A2" s="84">
        <v>1</v>
      </c>
      <c r="B2" s="77" t="s">
        <v>168</v>
      </c>
      <c r="C2" s="77">
        <v>1</v>
      </c>
      <c r="D2" s="77" t="s">
        <v>169</v>
      </c>
      <c r="E2" s="77">
        <v>3083300629</v>
      </c>
      <c r="F2" s="83" t="str">
        <f t="shared" ref="F2:F33" si="0">_xlfn.CONCAT(A2," - ",B2," UC ",C2," - 20xx-xx")</f>
        <v>1 - MARLON ROGER COLOVINI UC 1 - 20xx-xx</v>
      </c>
      <c r="G2" s="75"/>
    </row>
    <row r="3" spans="1:7" x14ac:dyDescent="0.25">
      <c r="A3" s="84">
        <v>1</v>
      </c>
      <c r="B3" s="77" t="s">
        <v>168</v>
      </c>
      <c r="C3" s="77">
        <v>2</v>
      </c>
      <c r="D3" s="77" t="s">
        <v>169</v>
      </c>
      <c r="E3" s="77">
        <v>3085618498</v>
      </c>
      <c r="F3" s="83" t="str">
        <f t="shared" si="0"/>
        <v>1 - MARLON ROGER COLOVINI UC 2 - 20xx-xx</v>
      </c>
    </row>
    <row r="4" spans="1:7" x14ac:dyDescent="0.25">
      <c r="A4" s="84">
        <v>2</v>
      </c>
      <c r="B4" s="77" t="s">
        <v>170</v>
      </c>
      <c r="C4" s="77">
        <v>1</v>
      </c>
      <c r="D4" s="77" t="s">
        <v>171</v>
      </c>
      <c r="E4" s="77">
        <v>3085548485</v>
      </c>
      <c r="F4" s="83" t="str">
        <f t="shared" si="0"/>
        <v>2 - MARA REGINA BARICHELLO DA SILVA UC 1 - 20xx-xx</v>
      </c>
    </row>
    <row r="5" spans="1:7" x14ac:dyDescent="0.25">
      <c r="A5" s="84">
        <v>3</v>
      </c>
      <c r="B5" s="77" t="s">
        <v>172</v>
      </c>
      <c r="C5" s="77">
        <v>1</v>
      </c>
      <c r="D5" s="77" t="s">
        <v>173</v>
      </c>
      <c r="E5" s="77">
        <v>4001748269</v>
      </c>
      <c r="F5" s="83" t="str">
        <f t="shared" si="0"/>
        <v>3 - JANDIRA TEIXEIRA DUTRA UC 1 - 20xx-xx</v>
      </c>
    </row>
    <row r="6" spans="1:7" x14ac:dyDescent="0.25">
      <c r="A6" s="84">
        <v>4</v>
      </c>
      <c r="B6" s="77" t="s">
        <v>174</v>
      </c>
      <c r="C6" s="77">
        <v>1</v>
      </c>
      <c r="D6" s="77" t="s">
        <v>175</v>
      </c>
      <c r="E6" s="77">
        <v>3085346925</v>
      </c>
      <c r="F6" s="83" t="str">
        <f t="shared" si="0"/>
        <v>4 - LUIS FERNANDO KRUGER UC 1 - 20xx-xx</v>
      </c>
    </row>
    <row r="7" spans="1:7" x14ac:dyDescent="0.25">
      <c r="A7" s="84">
        <v>5</v>
      </c>
      <c r="B7" s="77" t="s">
        <v>176</v>
      </c>
      <c r="C7" s="77">
        <v>1</v>
      </c>
      <c r="D7" s="77" t="s">
        <v>177</v>
      </c>
      <c r="E7" s="77">
        <v>3082631096</v>
      </c>
      <c r="F7" s="83" t="str">
        <f t="shared" si="0"/>
        <v>5 - PAULO OSCAR BOHN UC 1 - 20xx-xx</v>
      </c>
    </row>
    <row r="8" spans="1:7" x14ac:dyDescent="0.25">
      <c r="A8" s="84">
        <v>5</v>
      </c>
      <c r="B8" s="77" t="s">
        <v>176</v>
      </c>
      <c r="C8" s="77">
        <v>2</v>
      </c>
      <c r="D8" s="77" t="s">
        <v>177</v>
      </c>
      <c r="E8" s="77">
        <v>3081865074</v>
      </c>
      <c r="F8" s="83" t="str">
        <f t="shared" si="0"/>
        <v>5 - PAULO OSCAR BOHN UC 2 - 20xx-xx</v>
      </c>
    </row>
    <row r="9" spans="1:7" x14ac:dyDescent="0.25">
      <c r="A9" s="84">
        <v>5</v>
      </c>
      <c r="B9" s="77" t="s">
        <v>176</v>
      </c>
      <c r="C9" s="77">
        <v>3</v>
      </c>
      <c r="D9" s="77" t="s">
        <v>177</v>
      </c>
      <c r="E9" s="77">
        <v>3082863143</v>
      </c>
      <c r="F9" s="83" t="str">
        <f t="shared" si="0"/>
        <v>5 - PAULO OSCAR BOHN UC 3 - 20xx-xx</v>
      </c>
    </row>
    <row r="10" spans="1:7" x14ac:dyDescent="0.25">
      <c r="A10" s="84">
        <v>5</v>
      </c>
      <c r="B10" s="77" t="s">
        <v>176</v>
      </c>
      <c r="C10" s="77">
        <v>4</v>
      </c>
      <c r="D10" s="77" t="s">
        <v>177</v>
      </c>
      <c r="E10" s="77">
        <v>3085362352</v>
      </c>
      <c r="F10" s="83" t="str">
        <f t="shared" si="0"/>
        <v>5 - PAULO OSCAR BOHN UC 4 - 20xx-xx</v>
      </c>
    </row>
    <row r="11" spans="1:7" x14ac:dyDescent="0.25">
      <c r="A11" s="84">
        <v>6</v>
      </c>
      <c r="B11" s="77" t="s">
        <v>178</v>
      </c>
      <c r="C11" s="77">
        <v>1</v>
      </c>
      <c r="D11" s="77" t="s">
        <v>179</v>
      </c>
      <c r="E11" s="77">
        <v>3081867061</v>
      </c>
      <c r="F11" s="83" t="str">
        <f t="shared" si="0"/>
        <v>6 - ANALIA CRISTINA MOUSQUER BUENO UC 1 - 20xx-xx</v>
      </c>
    </row>
    <row r="12" spans="1:7" x14ac:dyDescent="0.25">
      <c r="A12" s="84">
        <v>7</v>
      </c>
      <c r="B12" s="77" t="s">
        <v>180</v>
      </c>
      <c r="C12" s="77">
        <v>1</v>
      </c>
      <c r="D12" s="77" t="s">
        <v>181</v>
      </c>
      <c r="E12" s="77">
        <v>4001373241</v>
      </c>
      <c r="F12" s="83" t="str">
        <f t="shared" si="0"/>
        <v>7 - BIROH IMPRESSAO DIGITAL LTDA UC 1 - 20xx-xx</v>
      </c>
    </row>
    <row r="13" spans="1:7" x14ac:dyDescent="0.25">
      <c r="A13" s="84">
        <v>8</v>
      </c>
      <c r="B13" s="77" t="s">
        <v>182</v>
      </c>
      <c r="C13" s="77">
        <v>1</v>
      </c>
      <c r="D13" s="77" t="s">
        <v>183</v>
      </c>
      <c r="E13" s="77">
        <v>3085470066</v>
      </c>
      <c r="F13" s="83" t="str">
        <f t="shared" si="0"/>
        <v>8 - GELSON AIRTON POSSER UC 1 - 20xx-xx</v>
      </c>
    </row>
    <row r="14" spans="1:7" x14ac:dyDescent="0.25">
      <c r="A14" s="84">
        <v>9</v>
      </c>
      <c r="B14" s="77" t="s">
        <v>184</v>
      </c>
      <c r="C14" s="77">
        <v>1</v>
      </c>
      <c r="D14" s="77" t="s">
        <v>185</v>
      </c>
      <c r="E14" s="77">
        <v>3085417983</v>
      </c>
      <c r="F14" s="83" t="str">
        <f t="shared" si="0"/>
        <v>9 - SUPERMERCADO CARYONE UC 1 - 20xx-xx</v>
      </c>
    </row>
    <row r="15" spans="1:7" x14ac:dyDescent="0.25">
      <c r="A15" s="84">
        <v>10</v>
      </c>
      <c r="B15" s="77" t="s">
        <v>186</v>
      </c>
      <c r="C15" s="77">
        <v>1</v>
      </c>
      <c r="D15" s="77" t="s">
        <v>187</v>
      </c>
      <c r="E15" s="77">
        <v>3081861508</v>
      </c>
      <c r="F15" s="83" t="str">
        <f t="shared" si="0"/>
        <v>10 - ERNANI SILVIO MINETTO UC 1 - 20xx-xx</v>
      </c>
    </row>
    <row r="16" spans="1:7" x14ac:dyDescent="0.25">
      <c r="A16" s="84">
        <v>11</v>
      </c>
      <c r="B16" s="77" t="s">
        <v>188</v>
      </c>
      <c r="C16" s="77">
        <v>1</v>
      </c>
      <c r="D16" s="77" t="s">
        <v>189</v>
      </c>
      <c r="E16" s="77">
        <v>4001902098</v>
      </c>
      <c r="F16" s="83" t="str">
        <f t="shared" si="0"/>
        <v>11 - JAIR MOSCON UC 1 - 20xx-xx</v>
      </c>
    </row>
    <row r="17" spans="1:8" x14ac:dyDescent="0.25">
      <c r="A17" s="84">
        <v>12</v>
      </c>
      <c r="B17" s="77" t="s">
        <v>190</v>
      </c>
      <c r="C17" s="77">
        <v>1</v>
      </c>
      <c r="D17" s="77" t="s">
        <v>191</v>
      </c>
      <c r="E17" s="77">
        <v>3081860306</v>
      </c>
      <c r="F17" s="83" t="str">
        <f t="shared" si="0"/>
        <v>12 - FABIO DE ANDRADE MILKE UC 1 - 20xx-xx</v>
      </c>
    </row>
    <row r="18" spans="1:8" x14ac:dyDescent="0.25">
      <c r="A18" s="84">
        <v>12</v>
      </c>
      <c r="B18" s="77" t="s">
        <v>190</v>
      </c>
      <c r="C18" s="77">
        <v>2</v>
      </c>
      <c r="D18" s="77" t="s">
        <v>191</v>
      </c>
      <c r="E18" s="77">
        <v>3081864098</v>
      </c>
      <c r="F18" s="83" t="str">
        <f t="shared" si="0"/>
        <v>12 - FABIO DE ANDRADE MILKE UC 2 - 20xx-xx</v>
      </c>
    </row>
    <row r="19" spans="1:8" x14ac:dyDescent="0.25">
      <c r="A19" s="84">
        <v>13</v>
      </c>
      <c r="B19" s="77" t="s">
        <v>192</v>
      </c>
      <c r="C19" s="77">
        <v>1</v>
      </c>
      <c r="D19" s="77" t="s">
        <v>193</v>
      </c>
      <c r="E19" s="77">
        <v>3085308153</v>
      </c>
      <c r="F19" s="83" t="str">
        <f t="shared" si="0"/>
        <v>13 - DIRCEU LUIS PIAIA UC 1 - 20xx-xx</v>
      </c>
    </row>
    <row r="20" spans="1:8" x14ac:dyDescent="0.25">
      <c r="A20" s="84">
        <v>14</v>
      </c>
      <c r="B20" s="77" t="s">
        <v>194</v>
      </c>
      <c r="C20" s="77">
        <v>1</v>
      </c>
      <c r="D20" s="77" t="s">
        <v>195</v>
      </c>
      <c r="E20" s="77">
        <v>3081861879</v>
      </c>
      <c r="F20" s="83" t="str">
        <f t="shared" si="0"/>
        <v>14 - OSMAR VERONESE UC 1 - 20xx-xx</v>
      </c>
    </row>
    <row r="21" spans="1:8" x14ac:dyDescent="0.25">
      <c r="A21" s="84">
        <v>15</v>
      </c>
      <c r="B21" s="77" t="s">
        <v>196</v>
      </c>
      <c r="C21" s="77">
        <v>1</v>
      </c>
      <c r="D21" s="77" t="s">
        <v>197</v>
      </c>
      <c r="E21" s="77">
        <v>3085565602</v>
      </c>
      <c r="F21" s="83" t="str">
        <f t="shared" si="0"/>
        <v>15 - JOSE LUIZ MORAIS DA SILVA UC 1 - 20xx-xx</v>
      </c>
    </row>
    <row r="22" spans="1:8" x14ac:dyDescent="0.25">
      <c r="A22" s="84">
        <v>16</v>
      </c>
      <c r="B22" s="77" t="s">
        <v>198</v>
      </c>
      <c r="C22" s="77">
        <v>1</v>
      </c>
      <c r="D22" s="77" t="s">
        <v>199</v>
      </c>
      <c r="E22" s="77">
        <v>3081865804</v>
      </c>
      <c r="F22" s="83" t="str">
        <f t="shared" si="0"/>
        <v>16 - ZANUSO SUPERMERCADO LTDA UC 1 - 20xx-xx</v>
      </c>
    </row>
    <row r="23" spans="1:8" x14ac:dyDescent="0.25">
      <c r="A23" s="84">
        <v>17</v>
      </c>
      <c r="B23" s="77" t="s">
        <v>200</v>
      </c>
      <c r="C23" s="77">
        <v>1</v>
      </c>
      <c r="D23" s="77" t="s">
        <v>201</v>
      </c>
      <c r="E23" s="77">
        <v>3081813649</v>
      </c>
      <c r="F23" s="83" t="str">
        <f t="shared" si="0"/>
        <v>17 - GLAUCIO FABIO LIPSKI UC 1 - 20xx-xx</v>
      </c>
    </row>
    <row r="24" spans="1:8" x14ac:dyDescent="0.25">
      <c r="A24" s="84">
        <v>18</v>
      </c>
      <c r="B24" s="77" t="s">
        <v>202</v>
      </c>
      <c r="C24" s="77">
        <v>1</v>
      </c>
      <c r="D24" s="77" t="s">
        <v>203</v>
      </c>
      <c r="E24" s="77">
        <v>3085586714</v>
      </c>
      <c r="F24" s="83" t="str">
        <f t="shared" si="0"/>
        <v>18 - INDUSTRIA E COMERCIO DE CONCRETOS CONTRI LTDA - ME UC 1 - 20xx-xx</v>
      </c>
      <c r="G24" s="76" t="s">
        <v>204</v>
      </c>
      <c r="H24" s="76" t="s">
        <v>205</v>
      </c>
    </row>
    <row r="25" spans="1:8" x14ac:dyDescent="0.25">
      <c r="A25" s="84">
        <v>19</v>
      </c>
      <c r="B25" s="77" t="s">
        <v>206</v>
      </c>
      <c r="C25" s="77">
        <v>1</v>
      </c>
      <c r="D25" s="77" t="s">
        <v>207</v>
      </c>
      <c r="E25" s="77">
        <v>3081819254</v>
      </c>
      <c r="F25" s="83" t="str">
        <f t="shared" si="0"/>
        <v>19 - CLECI MARCZEWSKI UC 1 - 20xx-xx</v>
      </c>
    </row>
    <row r="26" spans="1:8" x14ac:dyDescent="0.25">
      <c r="A26" s="84">
        <v>20</v>
      </c>
      <c r="B26" s="77" t="s">
        <v>208</v>
      </c>
      <c r="C26" s="77">
        <v>1</v>
      </c>
      <c r="D26" s="77" t="s">
        <v>209</v>
      </c>
      <c r="E26" s="77">
        <v>3085763663</v>
      </c>
      <c r="F26" s="83" t="str">
        <f t="shared" si="0"/>
        <v>20 - BETINE ROST UC 1 - 20xx-xx</v>
      </c>
    </row>
    <row r="27" spans="1:8" x14ac:dyDescent="0.25">
      <c r="A27" s="84">
        <v>21</v>
      </c>
      <c r="B27" s="77" t="s">
        <v>210</v>
      </c>
      <c r="C27" s="77">
        <v>1</v>
      </c>
      <c r="D27" s="77" t="s">
        <v>211</v>
      </c>
      <c r="E27" s="77">
        <v>3082895949</v>
      </c>
      <c r="F27" s="83" t="str">
        <f t="shared" si="0"/>
        <v>21 - ROBINSON FETTER UC 1 - 20xx-xx</v>
      </c>
    </row>
    <row r="28" spans="1:8" x14ac:dyDescent="0.25">
      <c r="A28" s="84">
        <v>21</v>
      </c>
      <c r="B28" s="77" t="s">
        <v>210</v>
      </c>
      <c r="C28" s="77">
        <v>2</v>
      </c>
      <c r="D28" s="77" t="s">
        <v>211</v>
      </c>
      <c r="E28" s="77">
        <v>3082882653</v>
      </c>
      <c r="F28" s="83" t="str">
        <f t="shared" si="0"/>
        <v>21 - ROBINSON FETTER UC 2 - 20xx-xx</v>
      </c>
    </row>
    <row r="29" spans="1:8" x14ac:dyDescent="0.25">
      <c r="A29" s="84">
        <v>21</v>
      </c>
      <c r="B29" s="77" t="s">
        <v>210</v>
      </c>
      <c r="C29" s="77">
        <v>3</v>
      </c>
      <c r="D29" s="77" t="s">
        <v>211</v>
      </c>
      <c r="E29" s="77">
        <v>3082223745</v>
      </c>
      <c r="F29" s="83" t="str">
        <f t="shared" si="0"/>
        <v>21 - ROBINSON FETTER UC 3 - 20xx-xx</v>
      </c>
    </row>
    <row r="30" spans="1:8" x14ac:dyDescent="0.25">
      <c r="A30" s="84">
        <v>22</v>
      </c>
      <c r="B30" s="77" t="s">
        <v>212</v>
      </c>
      <c r="C30" s="77">
        <v>1</v>
      </c>
      <c r="D30" s="77" t="s">
        <v>213</v>
      </c>
      <c r="E30" s="77">
        <v>3085496262</v>
      </c>
      <c r="F30" s="83" t="str">
        <f t="shared" si="0"/>
        <v>22 - FABIO DE MOURA UC 1 - 20xx-xx</v>
      </c>
    </row>
    <row r="31" spans="1:8" x14ac:dyDescent="0.25">
      <c r="A31" s="84">
        <v>23</v>
      </c>
      <c r="B31" s="77" t="s">
        <v>214</v>
      </c>
      <c r="C31" s="77">
        <v>1</v>
      </c>
      <c r="D31" s="77" t="s">
        <v>215</v>
      </c>
      <c r="E31" s="77">
        <v>3085693298</v>
      </c>
      <c r="F31" s="83" t="str">
        <f t="shared" si="0"/>
        <v>23 - ROCHELE SANTOS MORAES &amp; CIA LTDA UC 1 - 20xx-xx</v>
      </c>
    </row>
    <row r="32" spans="1:8" x14ac:dyDescent="0.25">
      <c r="A32" s="84">
        <v>24</v>
      </c>
      <c r="B32" s="77" t="s">
        <v>216</v>
      </c>
      <c r="C32" s="77">
        <v>1</v>
      </c>
      <c r="D32" s="77" t="s">
        <v>217</v>
      </c>
      <c r="E32" s="77">
        <v>3085521737</v>
      </c>
      <c r="F32" s="83" t="str">
        <f t="shared" si="0"/>
        <v>24 - AUTO POSTO KAIRA LTDA EPP UC 1 - 20xx-xx</v>
      </c>
    </row>
    <row r="33" spans="1:6" x14ac:dyDescent="0.25">
      <c r="A33" s="84">
        <v>25</v>
      </c>
      <c r="B33" s="77" t="s">
        <v>218</v>
      </c>
      <c r="C33" s="77">
        <v>1</v>
      </c>
      <c r="D33" s="77" t="s">
        <v>219</v>
      </c>
      <c r="E33" s="77" t="s">
        <v>220</v>
      </c>
      <c r="F33" s="83" t="str">
        <f t="shared" si="0"/>
        <v>25 - ERNO SCHIEFELBAIN UC 1 - 20xx-xx</v>
      </c>
    </row>
    <row r="34" spans="1:6" x14ac:dyDescent="0.25">
      <c r="A34" s="84">
        <v>26</v>
      </c>
      <c r="B34" s="77" t="s">
        <v>221</v>
      </c>
      <c r="C34" s="77">
        <v>1</v>
      </c>
      <c r="D34" s="77" t="s">
        <v>222</v>
      </c>
      <c r="E34" s="77" t="s">
        <v>223</v>
      </c>
      <c r="F34" s="83" t="str">
        <f t="shared" ref="F34:F67" si="1">_xlfn.CONCAT(A34," - ",B34," UC ",C34," - 20xx-xx")</f>
        <v>26 - JOSE PAULO BACKES UC 1 - 20xx-xx</v>
      </c>
    </row>
    <row r="35" spans="1:6" x14ac:dyDescent="0.25">
      <c r="A35" s="84">
        <v>27</v>
      </c>
      <c r="B35" s="77" t="s">
        <v>224</v>
      </c>
      <c r="C35" s="77">
        <v>1</v>
      </c>
      <c r="D35" s="77" t="s">
        <v>225</v>
      </c>
      <c r="E35" s="77">
        <v>3081821554</v>
      </c>
      <c r="F35" s="83" t="str">
        <f t="shared" si="1"/>
        <v>27 - GELSO TOFOLO UC 1 - 20xx-xx</v>
      </c>
    </row>
    <row r="36" spans="1:6" x14ac:dyDescent="0.25">
      <c r="A36" s="84">
        <v>28</v>
      </c>
      <c r="B36" s="77" t="s">
        <v>226</v>
      </c>
      <c r="C36" s="77">
        <v>1</v>
      </c>
      <c r="D36" s="77" t="s">
        <v>227</v>
      </c>
      <c r="E36" s="77">
        <v>3083051155</v>
      </c>
      <c r="F36" s="83" t="str">
        <f t="shared" si="1"/>
        <v>28 - DIAMANTINO NUNES UC 1 - 20xx-xx</v>
      </c>
    </row>
    <row r="37" spans="1:6" x14ac:dyDescent="0.25">
      <c r="A37" s="84">
        <v>29</v>
      </c>
      <c r="B37" s="77" t="s">
        <v>228</v>
      </c>
      <c r="C37" s="77">
        <v>1</v>
      </c>
      <c r="D37" s="77" t="s">
        <v>229</v>
      </c>
      <c r="E37" s="77">
        <v>3081818340</v>
      </c>
      <c r="F37" s="83" t="str">
        <f t="shared" si="1"/>
        <v>29 - ALINE BUZATTO BUENO UC 1 - 20xx-xx</v>
      </c>
    </row>
    <row r="38" spans="1:6" x14ac:dyDescent="0.25">
      <c r="A38" s="84">
        <v>30</v>
      </c>
      <c r="B38" s="77" t="s">
        <v>230</v>
      </c>
      <c r="C38" s="77">
        <v>1</v>
      </c>
      <c r="D38" s="77" t="s">
        <v>231</v>
      </c>
      <c r="E38" s="77">
        <v>3081823500</v>
      </c>
      <c r="F38" s="83" t="str">
        <f t="shared" si="1"/>
        <v>30 - DANIELA DONADEL MASSALAI UC 1 - 20xx-xx</v>
      </c>
    </row>
    <row r="39" spans="1:6" x14ac:dyDescent="0.25">
      <c r="A39" s="84">
        <v>31</v>
      </c>
      <c r="B39" s="77" t="s">
        <v>232</v>
      </c>
      <c r="C39" s="77">
        <v>1</v>
      </c>
      <c r="D39" s="77" t="s">
        <v>233</v>
      </c>
      <c r="E39" s="77">
        <v>3081818661</v>
      </c>
      <c r="F39" s="83" t="str">
        <f t="shared" si="1"/>
        <v>31 - COM DE MOTO PECAS IRMAOS GUARANI LTDA UC 1 - 20xx-xx</v>
      </c>
    </row>
    <row r="40" spans="1:6" x14ac:dyDescent="0.25">
      <c r="A40" s="84">
        <v>32</v>
      </c>
      <c r="B40" s="77" t="s">
        <v>234</v>
      </c>
      <c r="C40" s="77">
        <v>1</v>
      </c>
      <c r="D40" s="77" t="s">
        <v>235</v>
      </c>
      <c r="E40" s="77">
        <v>3081821814</v>
      </c>
      <c r="F40" s="83" t="str">
        <f t="shared" si="1"/>
        <v>32 - MAURICIO LUIS LUNARDI UC 1 - 20xx-xx</v>
      </c>
    </row>
    <row r="41" spans="1:6" x14ac:dyDescent="0.25">
      <c r="A41" s="84">
        <v>33</v>
      </c>
      <c r="B41" s="77" t="s">
        <v>236</v>
      </c>
      <c r="C41" s="77">
        <v>1</v>
      </c>
      <c r="D41" s="77" t="s">
        <v>237</v>
      </c>
      <c r="E41" s="77">
        <v>3081866911</v>
      </c>
      <c r="F41" s="83" t="str">
        <f t="shared" si="1"/>
        <v>33 - ROSA MARIA RESTLE RADUNZ UC 1 - 20xx-xx</v>
      </c>
    </row>
    <row r="42" spans="1:6" x14ac:dyDescent="0.25">
      <c r="A42" s="84">
        <v>34</v>
      </c>
      <c r="B42" s="77" t="s">
        <v>238</v>
      </c>
      <c r="C42" s="77">
        <v>1</v>
      </c>
      <c r="D42" s="77" t="s">
        <v>239</v>
      </c>
      <c r="E42" s="77">
        <v>3081825941</v>
      </c>
      <c r="F42" s="83" t="str">
        <f t="shared" si="1"/>
        <v>34 - IVO AMARAL DE OLIVEIRA UC 1 - 20xx-xx</v>
      </c>
    </row>
    <row r="43" spans="1:6" x14ac:dyDescent="0.25">
      <c r="A43" s="84">
        <v>35</v>
      </c>
      <c r="B43" s="77" t="s">
        <v>240</v>
      </c>
      <c r="C43" s="77">
        <v>1</v>
      </c>
      <c r="D43" s="77" t="s">
        <v>241</v>
      </c>
      <c r="E43" s="77">
        <v>4001823033</v>
      </c>
      <c r="F43" s="83" t="str">
        <f t="shared" si="1"/>
        <v>35 - SILVIO ROBERT LEMOS AVILA UC 1 - 20xx-xx</v>
      </c>
    </row>
    <row r="44" spans="1:6" x14ac:dyDescent="0.25">
      <c r="A44" s="84">
        <v>36</v>
      </c>
      <c r="B44" s="77" t="s">
        <v>242</v>
      </c>
      <c r="C44" s="77">
        <v>1</v>
      </c>
      <c r="D44" s="77" t="s">
        <v>243</v>
      </c>
      <c r="E44" s="77">
        <v>3082004835</v>
      </c>
      <c r="F44" s="83" t="str">
        <f t="shared" si="1"/>
        <v>36 - ELDO ROST UC 1 - 20xx-xx</v>
      </c>
    </row>
    <row r="45" spans="1:6" x14ac:dyDescent="0.25">
      <c r="A45" s="84">
        <v>37</v>
      </c>
      <c r="B45" s="77" t="s">
        <v>244</v>
      </c>
      <c r="C45" s="77">
        <v>1</v>
      </c>
      <c r="D45" s="77" t="s">
        <v>245</v>
      </c>
      <c r="E45" s="77">
        <v>3081864867</v>
      </c>
      <c r="F45" s="83" t="str">
        <f t="shared" si="1"/>
        <v>37 - ARINI JOSE GEHLEN UC 1 - 20xx-xx</v>
      </c>
    </row>
    <row r="46" spans="1:6" x14ac:dyDescent="0.25">
      <c r="A46" s="84">
        <v>37</v>
      </c>
      <c r="B46" s="77" t="s">
        <v>244</v>
      </c>
      <c r="C46" s="77">
        <v>2</v>
      </c>
      <c r="D46" s="77" t="s">
        <v>246</v>
      </c>
      <c r="E46" s="77">
        <v>3085439775</v>
      </c>
      <c r="F46" s="83" t="str">
        <f t="shared" si="1"/>
        <v>37 - ARINI JOSE GEHLEN UC 2 - 20xx-xx</v>
      </c>
    </row>
    <row r="47" spans="1:6" x14ac:dyDescent="0.25">
      <c r="A47" s="84">
        <v>38</v>
      </c>
      <c r="B47" s="77" t="s">
        <v>247</v>
      </c>
      <c r="C47" s="77">
        <v>1</v>
      </c>
      <c r="D47" s="77" t="s">
        <v>248</v>
      </c>
      <c r="E47" s="77">
        <v>3081823790</v>
      </c>
      <c r="F47" s="83" t="str">
        <f t="shared" si="1"/>
        <v>38 - Cristiano Castilho Anschau UC 1 - 20xx-xx</v>
      </c>
    </row>
    <row r="48" spans="1:6" x14ac:dyDescent="0.25">
      <c r="A48" s="84">
        <v>39</v>
      </c>
      <c r="B48" s="77" t="s">
        <v>43</v>
      </c>
      <c r="C48" s="77">
        <v>1</v>
      </c>
      <c r="D48" s="77" t="s">
        <v>249</v>
      </c>
      <c r="E48" s="77">
        <v>3085669302</v>
      </c>
      <c r="F48" s="83" t="str">
        <f t="shared" si="1"/>
        <v>39 - LUCIANA CLAUDETE MEIRELLES CORREA UC 1 - 20xx-xx</v>
      </c>
    </row>
    <row r="49" spans="1:6" x14ac:dyDescent="0.25">
      <c r="A49" s="84">
        <v>40</v>
      </c>
      <c r="B49" s="77" t="s">
        <v>44</v>
      </c>
      <c r="C49" s="77">
        <v>1</v>
      </c>
      <c r="D49" s="77" t="s">
        <v>250</v>
      </c>
      <c r="E49" s="77">
        <v>3085008919</v>
      </c>
      <c r="F49" s="83" t="str">
        <f t="shared" si="1"/>
        <v>40 - MARCIO JOSE SIQUEIRA UC 1 - 20xx-xx</v>
      </c>
    </row>
    <row r="50" spans="1:6" x14ac:dyDescent="0.25">
      <c r="A50" s="84">
        <v>41</v>
      </c>
      <c r="B50" s="85" t="s">
        <v>251</v>
      </c>
      <c r="C50" s="77">
        <v>1</v>
      </c>
      <c r="D50" s="77" t="s">
        <v>252</v>
      </c>
      <c r="E50" s="77">
        <v>3085458559</v>
      </c>
      <c r="F50" s="83" t="str">
        <f t="shared" si="1"/>
        <v>41 - MARCOS ROGERIO KESSLER UC 1 - 20xx-xx</v>
      </c>
    </row>
    <row r="51" spans="1:6" x14ac:dyDescent="0.25">
      <c r="A51" s="87">
        <v>42</v>
      </c>
      <c r="B51" s="77" t="s">
        <v>31</v>
      </c>
      <c r="C51" s="77">
        <v>1</v>
      </c>
      <c r="D51" s="49" t="s">
        <v>253</v>
      </c>
      <c r="E51" s="49">
        <v>3082157761</v>
      </c>
      <c r="F51" s="83" t="str">
        <f t="shared" si="1"/>
        <v>42 - AABB UC 1 - 20xx-xx</v>
      </c>
    </row>
    <row r="52" spans="1:6" x14ac:dyDescent="0.25">
      <c r="A52" s="87">
        <v>42</v>
      </c>
      <c r="B52" s="77" t="s">
        <v>31</v>
      </c>
      <c r="C52" s="77">
        <v>2</v>
      </c>
      <c r="D52" s="49" t="s">
        <v>254</v>
      </c>
      <c r="E52" s="49">
        <v>3081819696</v>
      </c>
      <c r="F52" s="83" t="str">
        <f t="shared" si="1"/>
        <v>42 - AABB UC 2 - 20xx-xx</v>
      </c>
    </row>
    <row r="53" spans="1:6" x14ac:dyDescent="0.25">
      <c r="A53" s="84">
        <v>43</v>
      </c>
      <c r="B53" s="77" t="s">
        <v>255</v>
      </c>
      <c r="C53" s="77">
        <v>1</v>
      </c>
      <c r="D53" s="49" t="s">
        <v>256</v>
      </c>
      <c r="E53" s="49">
        <v>4001585180</v>
      </c>
      <c r="F53" s="83" t="str">
        <f t="shared" si="1"/>
        <v>43 - WANDA FALKOWSKI BURKARD UC 1 - 20xx-xx</v>
      </c>
    </row>
    <row r="54" spans="1:6" x14ac:dyDescent="0.25">
      <c r="A54" s="84">
        <v>43</v>
      </c>
      <c r="B54" s="77" t="s">
        <v>255</v>
      </c>
      <c r="C54" s="77">
        <v>2</v>
      </c>
      <c r="D54" s="49" t="s">
        <v>256</v>
      </c>
      <c r="E54" s="49">
        <v>4001585181</v>
      </c>
      <c r="F54" s="83" t="str">
        <f t="shared" si="1"/>
        <v>43 - WANDA FALKOWSKI BURKARD UC 2 - 20xx-xx</v>
      </c>
    </row>
    <row r="55" spans="1:6" x14ac:dyDescent="0.25">
      <c r="A55" s="77">
        <v>44</v>
      </c>
      <c r="B55" s="77" t="s">
        <v>49</v>
      </c>
      <c r="C55" s="77">
        <v>1</v>
      </c>
      <c r="D55" s="49" t="s">
        <v>257</v>
      </c>
      <c r="E55" s="49">
        <v>3085487150</v>
      </c>
      <c r="F55" s="83" t="str">
        <f t="shared" si="1"/>
        <v>44 - SILVIO ROBERT LEMOS AVILA ME  UC 1 - 20xx-xx</v>
      </c>
    </row>
    <row r="56" spans="1:6" x14ac:dyDescent="0.25">
      <c r="A56" s="77">
        <v>45</v>
      </c>
      <c r="B56" s="77" t="s">
        <v>364</v>
      </c>
      <c r="C56" s="77">
        <v>1</v>
      </c>
      <c r="D56" s="49" t="s">
        <v>267</v>
      </c>
      <c r="E56" s="49">
        <v>3081864290</v>
      </c>
      <c r="F56" s="83" t="str">
        <f t="shared" si="1"/>
        <v>45 - SOC CARIT Coração DE JESUS UC 1 - 20xx-xx</v>
      </c>
    </row>
    <row r="57" spans="1:6" x14ac:dyDescent="0.25">
      <c r="A57" s="77">
        <v>46</v>
      </c>
      <c r="B57" s="77" t="s">
        <v>262</v>
      </c>
      <c r="C57" s="77">
        <v>1</v>
      </c>
      <c r="D57" s="49" t="s">
        <v>268</v>
      </c>
      <c r="E57" s="49">
        <v>3081819032</v>
      </c>
      <c r="F57" s="83" t="str">
        <f t="shared" si="1"/>
        <v>46 - ANTONIO LORENZON DAL FORNO UC 1 - 20xx-xx</v>
      </c>
    </row>
    <row r="58" spans="1:6" x14ac:dyDescent="0.25">
      <c r="A58" s="77">
        <v>47</v>
      </c>
      <c r="B58" s="77" t="s">
        <v>263</v>
      </c>
      <c r="C58" s="77">
        <v>1</v>
      </c>
      <c r="D58" s="49" t="s">
        <v>269</v>
      </c>
      <c r="E58" s="49">
        <v>3082306691</v>
      </c>
      <c r="F58" s="83" t="str">
        <f t="shared" si="1"/>
        <v>47 - MARISANE PAULUS UC 1 - 20xx-xx</v>
      </c>
    </row>
    <row r="59" spans="1:6" x14ac:dyDescent="0.25">
      <c r="A59" s="77">
        <v>48</v>
      </c>
      <c r="B59" s="77" t="s">
        <v>271</v>
      </c>
      <c r="C59" s="77">
        <v>1</v>
      </c>
      <c r="D59" s="49" t="s">
        <v>270</v>
      </c>
      <c r="E59" s="49">
        <v>3081862486</v>
      </c>
      <c r="F59" s="83" t="str">
        <f t="shared" si="1"/>
        <v>48 - SEGATTO CERETTA LTDA UC 1 - 20xx-xx</v>
      </c>
    </row>
    <row r="60" spans="1:6" x14ac:dyDescent="0.25">
      <c r="A60" s="86">
        <v>48</v>
      </c>
      <c r="B60" s="86" t="s">
        <v>271</v>
      </c>
      <c r="C60" s="86">
        <v>2</v>
      </c>
      <c r="D60" s="61" t="s">
        <v>272</v>
      </c>
      <c r="E60" s="61">
        <v>3081862488</v>
      </c>
      <c r="F60" s="86" t="str">
        <f t="shared" si="1"/>
        <v>48 - SEGATTO CERETTA LTDA UC 2 - 20xx-xx</v>
      </c>
    </row>
    <row r="61" spans="1:6" x14ac:dyDescent="0.25">
      <c r="A61" s="86">
        <v>49</v>
      </c>
      <c r="B61" s="86" t="s">
        <v>279</v>
      </c>
      <c r="C61" s="86">
        <v>1</v>
      </c>
      <c r="D61" s="86" t="s">
        <v>283</v>
      </c>
      <c r="E61" s="86">
        <v>29489</v>
      </c>
      <c r="F61" s="86" t="str">
        <f t="shared" si="1"/>
        <v>49 - ZEDERSON JOSE DELLA FLORA UC 1 - 20xx-xx</v>
      </c>
    </row>
    <row r="62" spans="1:6" x14ac:dyDescent="0.25">
      <c r="A62" s="86">
        <v>50</v>
      </c>
      <c r="B62" s="61" t="s">
        <v>47</v>
      </c>
      <c r="C62" s="61">
        <v>1</v>
      </c>
      <c r="D62" s="61" t="s">
        <v>306</v>
      </c>
      <c r="E62" s="61">
        <v>3082985586</v>
      </c>
      <c r="F62" s="61" t="str">
        <f t="shared" si="1"/>
        <v>50 - APAE UC 1 - 20xx-xx</v>
      </c>
    </row>
    <row r="63" spans="1:6" x14ac:dyDescent="0.25">
      <c r="A63" s="86">
        <v>50</v>
      </c>
      <c r="B63" s="61" t="s">
        <v>47</v>
      </c>
      <c r="C63" s="61">
        <v>2</v>
      </c>
      <c r="D63" s="61" t="s">
        <v>306</v>
      </c>
      <c r="E63" s="61">
        <v>3083089774</v>
      </c>
      <c r="F63" s="61" t="str">
        <f t="shared" si="1"/>
        <v>50 - APAE UC 2 - 20xx-xx</v>
      </c>
    </row>
    <row r="64" spans="1:6" x14ac:dyDescent="0.25">
      <c r="A64" s="61">
        <v>51</v>
      </c>
      <c r="B64" s="61" t="s">
        <v>280</v>
      </c>
      <c r="C64" s="61">
        <v>1</v>
      </c>
      <c r="D64" s="61" t="s">
        <v>284</v>
      </c>
      <c r="E64" s="61">
        <v>3085121767</v>
      </c>
      <c r="F64" s="61" t="str">
        <f t="shared" si="1"/>
        <v>51 - ERNANI MOACIR CZAPLA UC 1 - 20xx-xx</v>
      </c>
    </row>
    <row r="65" spans="1:6" x14ac:dyDescent="0.25">
      <c r="A65" s="121">
        <v>52</v>
      </c>
      <c r="B65" s="61" t="s">
        <v>285</v>
      </c>
      <c r="C65" s="61">
        <v>1</v>
      </c>
      <c r="D65" s="61" t="s">
        <v>286</v>
      </c>
      <c r="E65" s="61">
        <v>3081817431</v>
      </c>
      <c r="F65" s="86" t="str">
        <f t="shared" si="1"/>
        <v>52 - CARLOS WALMIR LARSAO ROLIM UC 1 - 20xx-xx</v>
      </c>
    </row>
    <row r="66" spans="1:6" x14ac:dyDescent="0.25">
      <c r="A66" s="121">
        <v>53</v>
      </c>
      <c r="B66" s="61" t="s">
        <v>295</v>
      </c>
      <c r="C66" s="86">
        <v>1</v>
      </c>
      <c r="D66" s="61" t="s">
        <v>298</v>
      </c>
      <c r="E66" s="61">
        <v>3081862676</v>
      </c>
      <c r="F66" s="86" t="str">
        <f t="shared" si="1"/>
        <v>53 -  DANIELI MISSIO UC 1 - 20xx-xx</v>
      </c>
    </row>
    <row r="67" spans="1:6" x14ac:dyDescent="0.25">
      <c r="A67" s="86">
        <v>54</v>
      </c>
      <c r="B67" s="61" t="s">
        <v>296</v>
      </c>
      <c r="C67" s="61">
        <v>1</v>
      </c>
      <c r="D67" s="61" t="s">
        <v>299</v>
      </c>
      <c r="E67" s="61">
        <v>3081863964</v>
      </c>
      <c r="F67" s="61" t="str">
        <f t="shared" si="1"/>
        <v>54 - JOSE MARQUES DE VASCONCELLOS UC 1 - 20xx-xx</v>
      </c>
    </row>
    <row r="68" spans="1:6" x14ac:dyDescent="0.25">
      <c r="A68" s="61">
        <v>55</v>
      </c>
      <c r="B68" s="61" t="s">
        <v>308</v>
      </c>
      <c r="C68" s="61">
        <v>1</v>
      </c>
      <c r="D68" s="61" t="s">
        <v>325</v>
      </c>
      <c r="E68" s="61">
        <v>3085594832</v>
      </c>
      <c r="F68" s="121" t="str">
        <f t="shared" ref="F68:F74" si="2">_xlfn.CONCAT(A68," - ",B68," UC ",C68," - 20xx-xx")</f>
        <v>55 - Linho Lev Alimentos UC 1 - 20xx-xx</v>
      </c>
    </row>
    <row r="69" spans="1:6" x14ac:dyDescent="0.25">
      <c r="A69" s="121">
        <v>56</v>
      </c>
      <c r="B69" s="61" t="s">
        <v>324</v>
      </c>
      <c r="C69" s="61">
        <v>1</v>
      </c>
      <c r="D69" s="61" t="s">
        <v>241</v>
      </c>
      <c r="E69" s="61">
        <v>3085274814</v>
      </c>
      <c r="F69" s="121" t="str">
        <f t="shared" si="2"/>
        <v>56 - Silvio Robert Lemos Ávila UC 1 - 20xx-xx</v>
      </c>
    </row>
    <row r="70" spans="1:6" x14ac:dyDescent="0.25">
      <c r="A70" s="121">
        <v>57</v>
      </c>
      <c r="B70" s="61" t="s">
        <v>316</v>
      </c>
      <c r="C70" s="61">
        <v>1</v>
      </c>
      <c r="D70" s="61" t="s">
        <v>326</v>
      </c>
      <c r="E70" s="61">
        <v>3085678879</v>
      </c>
      <c r="F70" s="121" t="str">
        <f t="shared" si="2"/>
        <v>57 - Valesca da Luz UC 1 - 20xx-xx</v>
      </c>
    </row>
    <row r="71" spans="1:6" x14ac:dyDescent="0.25">
      <c r="A71" s="86">
        <v>58</v>
      </c>
      <c r="B71" s="61" t="s">
        <v>317</v>
      </c>
      <c r="C71" s="61">
        <v>1</v>
      </c>
      <c r="D71" s="61" t="s">
        <v>321</v>
      </c>
      <c r="E71" s="61">
        <v>3085699407</v>
      </c>
      <c r="F71" s="121" t="str">
        <f t="shared" si="2"/>
        <v>58 - Olavo Mildner UC 1 - 20xx-xx</v>
      </c>
    </row>
    <row r="72" spans="1:6" x14ac:dyDescent="0.25">
      <c r="A72" s="61">
        <v>59</v>
      </c>
      <c r="B72" s="61" t="s">
        <v>318</v>
      </c>
      <c r="C72" s="61">
        <v>1</v>
      </c>
      <c r="D72" s="61" t="s">
        <v>323</v>
      </c>
      <c r="E72" s="61">
        <v>3083059406</v>
      </c>
      <c r="F72" s="121" t="str">
        <f t="shared" si="2"/>
        <v>59 - Dilnei Rohled UC 1 - 20xx-xx</v>
      </c>
    </row>
    <row r="73" spans="1:6" x14ac:dyDescent="0.25">
      <c r="A73" s="121">
        <v>60</v>
      </c>
      <c r="B73" s="61" t="s">
        <v>319</v>
      </c>
      <c r="C73" s="61">
        <v>1</v>
      </c>
      <c r="D73" s="61" t="s">
        <v>322</v>
      </c>
      <c r="E73" s="61">
        <v>3085304023</v>
      </c>
      <c r="F73" s="121" t="str">
        <f t="shared" si="2"/>
        <v>60 - Shaiana Signorini UC 1 - 20xx-xx</v>
      </c>
    </row>
    <row r="74" spans="1:6" x14ac:dyDescent="0.25">
      <c r="A74" s="121">
        <v>61</v>
      </c>
      <c r="B74" s="61" t="s">
        <v>320</v>
      </c>
      <c r="C74" s="61">
        <v>1</v>
      </c>
      <c r="D74" s="61"/>
      <c r="E74" s="61"/>
      <c r="F74" s="121" t="str">
        <f t="shared" si="2"/>
        <v>61 - Fonse Atacado UC 1 - 20xx-xx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F278-C465-48CA-8F6C-DFDC4C4E44AF}">
  <sheetPr codeName="Planilha4">
    <tabColor theme="9" tint="-0.249977111117893"/>
  </sheetPr>
  <dimension ref="A1:G74"/>
  <sheetViews>
    <sheetView topLeftCell="A55" workbookViewId="0">
      <selection activeCell="B73" sqref="B73"/>
    </sheetView>
  </sheetViews>
  <sheetFormatPr defaultColWidth="8" defaultRowHeight="15" x14ac:dyDescent="0.25"/>
  <cols>
    <col min="1" max="1" width="7.7109375" style="2" bestFit="1" customWidth="1"/>
    <col min="2" max="2" width="36.140625" style="2" bestFit="1" customWidth="1"/>
    <col min="3" max="3" width="19.42578125" style="2" bestFit="1" customWidth="1"/>
    <col min="4" max="4" width="18.85546875" style="2" bestFit="1" customWidth="1"/>
    <col min="5" max="5" width="23.5703125" style="41" customWidth="1"/>
    <col min="6" max="6" width="14.85546875" style="41" bestFit="1" customWidth="1"/>
    <col min="7" max="7" width="15.140625" style="41" bestFit="1" customWidth="1"/>
    <col min="8" max="16384" width="8" style="41"/>
  </cols>
  <sheetData>
    <row r="1" spans="1:7" x14ac:dyDescent="0.25">
      <c r="A1" s="57" t="s">
        <v>63</v>
      </c>
      <c r="B1" s="58" t="s">
        <v>0</v>
      </c>
      <c r="C1" s="58" t="s">
        <v>1</v>
      </c>
      <c r="D1" s="58" t="s">
        <v>2</v>
      </c>
      <c r="E1" s="58" t="s">
        <v>265</v>
      </c>
      <c r="F1" s="58" t="s">
        <v>302</v>
      </c>
      <c r="G1" s="58" t="s">
        <v>303</v>
      </c>
    </row>
    <row r="2" spans="1:7" x14ac:dyDescent="0.25">
      <c r="A2" s="59">
        <v>1</v>
      </c>
      <c r="B2" s="49" t="s">
        <v>68</v>
      </c>
      <c r="C2" s="49">
        <v>14</v>
      </c>
      <c r="D2" s="49">
        <v>325</v>
      </c>
      <c r="E2" s="78">
        <f>Tabela1[[#This Row],[Pot.do módulo]]*Tabela1[[#This Row],[Nº de módulos ]]/1000</f>
        <v>4.55</v>
      </c>
      <c r="F2" s="78" t="s">
        <v>294</v>
      </c>
      <c r="G2" s="78" t="s">
        <v>294</v>
      </c>
    </row>
    <row r="3" spans="1:7" x14ac:dyDescent="0.25">
      <c r="A3" s="59">
        <v>2</v>
      </c>
      <c r="B3" s="49" t="s">
        <v>3</v>
      </c>
      <c r="C3" s="49">
        <v>6</v>
      </c>
      <c r="D3" s="49">
        <v>270</v>
      </c>
      <c r="E3" s="49">
        <f>Tabela1[[#This Row],[Pot.do módulo]]*Tabela1[[#This Row],[Nº de módulos ]]/1000</f>
        <v>1.62</v>
      </c>
      <c r="F3" s="49" t="s">
        <v>297</v>
      </c>
      <c r="G3" s="49" t="s">
        <v>297</v>
      </c>
    </row>
    <row r="4" spans="1:7" x14ac:dyDescent="0.25">
      <c r="A4" s="59">
        <v>3</v>
      </c>
      <c r="B4" s="49" t="s">
        <v>69</v>
      </c>
      <c r="C4" s="49">
        <v>11</v>
      </c>
      <c r="D4" s="49">
        <v>270</v>
      </c>
      <c r="E4" s="49">
        <f>Tabela1[[#This Row],[Pot.do módulo]]*Tabela1[[#This Row],[Nº de módulos ]]/1000</f>
        <v>2.97</v>
      </c>
      <c r="F4" s="78" t="s">
        <v>294</v>
      </c>
      <c r="G4" s="78" t="s">
        <v>294</v>
      </c>
    </row>
    <row r="5" spans="1:7" x14ac:dyDescent="0.25">
      <c r="A5" s="59">
        <v>4</v>
      </c>
      <c r="B5" s="49" t="s">
        <v>4</v>
      </c>
      <c r="C5" s="49">
        <v>5</v>
      </c>
      <c r="D5" s="49">
        <v>270</v>
      </c>
      <c r="E5" s="49">
        <f>Tabela1[[#This Row],[Pot.do módulo]]*Tabela1[[#This Row],[Nº de módulos ]]/1000</f>
        <v>1.35</v>
      </c>
      <c r="F5" s="49" t="s">
        <v>297</v>
      </c>
      <c r="G5" s="49" t="s">
        <v>297</v>
      </c>
    </row>
    <row r="6" spans="1:7" x14ac:dyDescent="0.25">
      <c r="A6" s="59">
        <v>5</v>
      </c>
      <c r="B6" s="49" t="s">
        <v>70</v>
      </c>
      <c r="C6" s="49">
        <v>7</v>
      </c>
      <c r="D6" s="49">
        <v>270</v>
      </c>
      <c r="E6" s="49">
        <f>Tabela1[[#This Row],[Pot.do módulo]]*Tabela1[[#This Row],[Nº de módulos ]]/1000</f>
        <v>1.89</v>
      </c>
      <c r="F6" s="78" t="s">
        <v>294</v>
      </c>
      <c r="G6" s="78" t="s">
        <v>294</v>
      </c>
    </row>
    <row r="7" spans="1:7" x14ac:dyDescent="0.25">
      <c r="A7" s="59">
        <v>6</v>
      </c>
      <c r="B7" s="49" t="s">
        <v>5</v>
      </c>
      <c r="C7" s="49">
        <v>10</v>
      </c>
      <c r="D7" s="49">
        <v>330</v>
      </c>
      <c r="E7" s="49">
        <f>Tabela1[[#This Row],[Pot.do módulo]]*Tabela1[[#This Row],[Nº de módulos ]]/1000</f>
        <v>3.3</v>
      </c>
      <c r="F7" s="49" t="s">
        <v>294</v>
      </c>
      <c r="G7" s="49" t="s">
        <v>294</v>
      </c>
    </row>
    <row r="8" spans="1:7" x14ac:dyDescent="0.25">
      <c r="A8" s="59">
        <v>7</v>
      </c>
      <c r="B8" s="49" t="s">
        <v>6</v>
      </c>
      <c r="C8" s="49">
        <v>80</v>
      </c>
      <c r="D8" s="49">
        <v>330</v>
      </c>
      <c r="E8" s="49">
        <f>Tabela1[[#This Row],[Pot.do módulo]]*Tabela1[[#This Row],[Nº de módulos ]]/1000</f>
        <v>26.4</v>
      </c>
      <c r="F8" s="78" t="s">
        <v>294</v>
      </c>
      <c r="G8" s="78" t="s">
        <v>294</v>
      </c>
    </row>
    <row r="9" spans="1:7" x14ac:dyDescent="0.25">
      <c r="A9" s="59">
        <v>8</v>
      </c>
      <c r="B9" s="49" t="s">
        <v>7</v>
      </c>
      <c r="C9" s="49">
        <v>24</v>
      </c>
      <c r="D9" s="49">
        <v>270</v>
      </c>
      <c r="E9" s="49">
        <f>Tabela1[[#This Row],[Pot.do módulo]]*Tabela1[[#This Row],[Nº de módulos ]]/1000</f>
        <v>6.48</v>
      </c>
      <c r="F9" s="49" t="s">
        <v>294</v>
      </c>
      <c r="G9" s="49" t="s">
        <v>294</v>
      </c>
    </row>
    <row r="10" spans="1:7" x14ac:dyDescent="0.25">
      <c r="A10" s="59">
        <v>9</v>
      </c>
      <c r="B10" s="49" t="s">
        <v>8</v>
      </c>
      <c r="C10" s="49">
        <v>8</v>
      </c>
      <c r="D10" s="49">
        <v>270</v>
      </c>
      <c r="E10" s="49">
        <f>Tabela1[[#This Row],[Pot.do módulo]]*Tabela1[[#This Row],[Nº de módulos ]]/1000</f>
        <v>2.16</v>
      </c>
      <c r="F10" s="78" t="s">
        <v>297</v>
      </c>
      <c r="G10" s="78" t="s">
        <v>297</v>
      </c>
    </row>
    <row r="11" spans="1:7" x14ac:dyDescent="0.25">
      <c r="A11" s="59">
        <v>10</v>
      </c>
      <c r="B11" s="49" t="s">
        <v>161</v>
      </c>
      <c r="C11" s="49">
        <v>11</v>
      </c>
      <c r="D11" s="49">
        <v>270</v>
      </c>
      <c r="E11" s="49">
        <f>Tabela1[[#This Row],[Pot.do módulo]]*Tabela1[[#This Row],[Nº de módulos ]]/1000</f>
        <v>2.97</v>
      </c>
      <c r="F11" s="49" t="s">
        <v>294</v>
      </c>
      <c r="G11" s="49" t="s">
        <v>294</v>
      </c>
    </row>
    <row r="12" spans="1:7" x14ac:dyDescent="0.25">
      <c r="A12" s="59">
        <v>11</v>
      </c>
      <c r="B12" s="49" t="s">
        <v>9</v>
      </c>
      <c r="C12" s="49">
        <v>7</v>
      </c>
      <c r="D12" s="49">
        <v>330</v>
      </c>
      <c r="E12" s="49">
        <f>Tabela1[[#This Row],[Pot.do módulo]]*Tabela1[[#This Row],[Nº de módulos ]]/1000</f>
        <v>2.31</v>
      </c>
      <c r="F12" s="78" t="s">
        <v>297</v>
      </c>
      <c r="G12" s="78" t="s">
        <v>297</v>
      </c>
    </row>
    <row r="13" spans="1:7" x14ac:dyDescent="0.25">
      <c r="A13" s="59">
        <v>12</v>
      </c>
      <c r="B13" s="49" t="s">
        <v>71</v>
      </c>
      <c r="C13" s="49">
        <v>9</v>
      </c>
      <c r="D13" s="49">
        <v>330</v>
      </c>
      <c r="E13" s="49">
        <f>Tabela1[[#This Row],[Pot.do módulo]]*Tabela1[[#This Row],[Nº de módulos ]]/1000</f>
        <v>2.97</v>
      </c>
      <c r="F13" s="49" t="s">
        <v>294</v>
      </c>
      <c r="G13" s="49" t="s">
        <v>294</v>
      </c>
    </row>
    <row r="14" spans="1:7" x14ac:dyDescent="0.25">
      <c r="A14" s="59">
        <v>13</v>
      </c>
      <c r="B14" s="49" t="s">
        <v>10</v>
      </c>
      <c r="C14" s="49">
        <v>10</v>
      </c>
      <c r="D14" s="49">
        <v>330</v>
      </c>
      <c r="E14" s="49">
        <f>Tabela1[[#This Row],[Pot.do módulo]]*Tabela1[[#This Row],[Nº de módulos ]]/1000</f>
        <v>3.3</v>
      </c>
      <c r="F14" s="78" t="s">
        <v>294</v>
      </c>
      <c r="G14" s="78" t="s">
        <v>294</v>
      </c>
    </row>
    <row r="15" spans="1:7" x14ac:dyDescent="0.25">
      <c r="A15" s="59">
        <v>14</v>
      </c>
      <c r="B15" s="49" t="s">
        <v>11</v>
      </c>
      <c r="C15" s="49">
        <v>48</v>
      </c>
      <c r="D15" s="49">
        <v>330</v>
      </c>
      <c r="E15" s="49">
        <f>Tabela1[[#This Row],[Pot.do módulo]]*Tabela1[[#This Row],[Nº de módulos ]]/1000</f>
        <v>15.84</v>
      </c>
      <c r="F15" s="49" t="s">
        <v>294</v>
      </c>
      <c r="G15" s="49" t="s">
        <v>294</v>
      </c>
    </row>
    <row r="16" spans="1:7" x14ac:dyDescent="0.25">
      <c r="A16" s="59">
        <v>15</v>
      </c>
      <c r="B16" s="49" t="s">
        <v>12</v>
      </c>
      <c r="C16" s="49">
        <v>64</v>
      </c>
      <c r="D16" s="49">
        <v>330</v>
      </c>
      <c r="E16" s="49">
        <f>Tabela1[[#This Row],[Pot.do módulo]]*Tabela1[[#This Row],[Nº de módulos ]]/1000</f>
        <v>21.12</v>
      </c>
      <c r="F16" s="78" t="s">
        <v>297</v>
      </c>
      <c r="G16" s="78" t="s">
        <v>297</v>
      </c>
    </row>
    <row r="17" spans="1:7" x14ac:dyDescent="0.25">
      <c r="A17" s="59">
        <v>16</v>
      </c>
      <c r="B17" s="49" t="s">
        <v>72</v>
      </c>
      <c r="C17" s="49">
        <v>80</v>
      </c>
      <c r="D17" s="49">
        <v>330</v>
      </c>
      <c r="E17" s="49">
        <f>Tabela1[[#This Row],[Pot.do módulo]]*Tabela1[[#This Row],[Nº de módulos ]]/1000</f>
        <v>26.4</v>
      </c>
      <c r="F17" s="49" t="s">
        <v>294</v>
      </c>
      <c r="G17" s="49" t="s">
        <v>294</v>
      </c>
    </row>
    <row r="18" spans="1:7" x14ac:dyDescent="0.25">
      <c r="A18" s="59">
        <v>17</v>
      </c>
      <c r="B18" s="49" t="s">
        <v>13</v>
      </c>
      <c r="C18" s="49">
        <v>173</v>
      </c>
      <c r="D18" s="49">
        <v>330</v>
      </c>
      <c r="E18" s="49">
        <f>Tabela1[[#This Row],[Pot.do módulo]]*Tabela1[[#This Row],[Nº de módulos ]]/1000</f>
        <v>57.09</v>
      </c>
      <c r="F18" s="78" t="s">
        <v>297</v>
      </c>
      <c r="G18" s="78" t="s">
        <v>297</v>
      </c>
    </row>
    <row r="19" spans="1:7" x14ac:dyDescent="0.25">
      <c r="A19" s="59">
        <v>18</v>
      </c>
      <c r="B19" s="49" t="s">
        <v>73</v>
      </c>
      <c r="C19" s="49">
        <v>186</v>
      </c>
      <c r="D19" s="49">
        <v>330</v>
      </c>
      <c r="E19" s="49">
        <f>Tabela1[[#This Row],[Pot.do módulo]]*Tabela1[[#This Row],[Nº de módulos ]]/1000</f>
        <v>61.38</v>
      </c>
      <c r="F19" s="49" t="s">
        <v>294</v>
      </c>
      <c r="G19" s="49" t="s">
        <v>294</v>
      </c>
    </row>
    <row r="20" spans="1:7" x14ac:dyDescent="0.25">
      <c r="A20" s="59">
        <v>19</v>
      </c>
      <c r="B20" s="49" t="s">
        <v>14</v>
      </c>
      <c r="C20" s="49">
        <v>18</v>
      </c>
      <c r="D20" s="49">
        <v>330</v>
      </c>
      <c r="E20" s="49">
        <f>Tabela1[[#This Row],[Pot.do módulo]]*Tabela1[[#This Row],[Nº de módulos ]]/1000</f>
        <v>5.94</v>
      </c>
      <c r="F20" s="78" t="s">
        <v>294</v>
      </c>
      <c r="G20" s="78" t="s">
        <v>294</v>
      </c>
    </row>
    <row r="21" spans="1:7" x14ac:dyDescent="0.25">
      <c r="A21" s="59">
        <v>20</v>
      </c>
      <c r="B21" s="49" t="s">
        <v>15</v>
      </c>
      <c r="C21" s="49">
        <v>19</v>
      </c>
      <c r="D21" s="49">
        <v>330</v>
      </c>
      <c r="E21" s="49">
        <f>Tabela1[[#This Row],[Pot.do módulo]]*Tabela1[[#This Row],[Nº de módulos ]]/1000</f>
        <v>6.27</v>
      </c>
      <c r="F21" s="49" t="s">
        <v>294</v>
      </c>
      <c r="G21" s="49" t="s">
        <v>294</v>
      </c>
    </row>
    <row r="22" spans="1:7" x14ac:dyDescent="0.25">
      <c r="A22" s="59">
        <v>21</v>
      </c>
      <c r="B22" s="49" t="s">
        <v>16</v>
      </c>
      <c r="C22" s="49">
        <v>14</v>
      </c>
      <c r="D22" s="49">
        <v>330</v>
      </c>
      <c r="E22" s="49">
        <f>Tabela1[[#This Row],[Pot.do módulo]]*Tabela1[[#This Row],[Nº de módulos ]]/1000</f>
        <v>4.62</v>
      </c>
      <c r="F22" s="78" t="s">
        <v>294</v>
      </c>
      <c r="G22" s="78" t="s">
        <v>294</v>
      </c>
    </row>
    <row r="23" spans="1:7" x14ac:dyDescent="0.25">
      <c r="A23" s="59">
        <v>22</v>
      </c>
      <c r="B23" s="49" t="s">
        <v>17</v>
      </c>
      <c r="C23" s="49">
        <v>38</v>
      </c>
      <c r="D23" s="49">
        <v>330</v>
      </c>
      <c r="E23" s="49">
        <f>Tabela1[[#This Row],[Pot.do módulo]]*Tabela1[[#This Row],[Nº de módulos ]]/1000</f>
        <v>12.54</v>
      </c>
      <c r="F23" s="49" t="s">
        <v>294</v>
      </c>
      <c r="G23" s="49" t="s">
        <v>294</v>
      </c>
    </row>
    <row r="24" spans="1:7" x14ac:dyDescent="0.25">
      <c r="A24" s="59">
        <v>23</v>
      </c>
      <c r="B24" s="49" t="s">
        <v>18</v>
      </c>
      <c r="C24" s="49">
        <v>10</v>
      </c>
      <c r="D24" s="49">
        <v>330</v>
      </c>
      <c r="E24" s="49">
        <f>Tabela1[[#This Row],[Pot.do módulo]]*Tabela1[[#This Row],[Nº de módulos ]]/1000</f>
        <v>3.3</v>
      </c>
      <c r="F24" s="78" t="s">
        <v>297</v>
      </c>
      <c r="G24" s="78" t="s">
        <v>297</v>
      </c>
    </row>
    <row r="25" spans="1:7" x14ac:dyDescent="0.25">
      <c r="A25" s="59">
        <v>24</v>
      </c>
      <c r="B25" s="49" t="s">
        <v>74</v>
      </c>
      <c r="C25" s="49">
        <v>12</v>
      </c>
      <c r="D25" s="49">
        <v>330</v>
      </c>
      <c r="E25" s="49">
        <f>Tabela1[[#This Row],[Pot.do módulo]]*Tabela1[[#This Row],[Nº de módulos ]]/1000</f>
        <v>3.96</v>
      </c>
      <c r="F25" s="49" t="s">
        <v>294</v>
      </c>
      <c r="G25" s="49" t="s">
        <v>294</v>
      </c>
    </row>
    <row r="26" spans="1:7" x14ac:dyDescent="0.25">
      <c r="A26" s="59">
        <v>25</v>
      </c>
      <c r="B26" s="49" t="s">
        <v>19</v>
      </c>
      <c r="C26" s="49">
        <v>28</v>
      </c>
      <c r="D26" s="49">
        <v>330</v>
      </c>
      <c r="E26" s="49">
        <f>Tabela1[[#This Row],[Pot.do módulo]]*Tabela1[[#This Row],[Nº de módulos ]]/1000</f>
        <v>9.24</v>
      </c>
      <c r="F26" s="78" t="s">
        <v>294</v>
      </c>
      <c r="G26" s="78" t="s">
        <v>294</v>
      </c>
    </row>
    <row r="27" spans="1:7" x14ac:dyDescent="0.25">
      <c r="A27" s="59">
        <v>26</v>
      </c>
      <c r="B27" s="49" t="s">
        <v>20</v>
      </c>
      <c r="C27" s="49">
        <v>180</v>
      </c>
      <c r="D27" s="49">
        <v>360</v>
      </c>
      <c r="E27" s="49">
        <f>Tabela1[[#This Row],[Pot.do módulo]]*Tabela1[[#This Row],[Nº de módulos ]]/1000</f>
        <v>64.8</v>
      </c>
      <c r="F27" s="49" t="s">
        <v>294</v>
      </c>
      <c r="G27" s="49" t="s">
        <v>294</v>
      </c>
    </row>
    <row r="28" spans="1:7" x14ac:dyDescent="0.25">
      <c r="A28" s="59">
        <v>27</v>
      </c>
      <c r="B28" s="49" t="s">
        <v>21</v>
      </c>
      <c r="C28" s="49">
        <v>108</v>
      </c>
      <c r="D28" s="49">
        <v>360</v>
      </c>
      <c r="E28" s="49">
        <f>Tabela1[[#This Row],[Pot.do módulo]]*Tabela1[[#This Row],[Nº de módulos ]]/1000</f>
        <v>38.880000000000003</v>
      </c>
      <c r="F28" s="78" t="s">
        <v>294</v>
      </c>
      <c r="G28" s="78" t="s">
        <v>294</v>
      </c>
    </row>
    <row r="29" spans="1:7" x14ac:dyDescent="0.25">
      <c r="A29" s="59">
        <v>28</v>
      </c>
      <c r="B29" s="49" t="s">
        <v>22</v>
      </c>
      <c r="C29" s="49">
        <v>12</v>
      </c>
      <c r="D29" s="49">
        <v>330</v>
      </c>
      <c r="E29" s="49">
        <f>Tabela1[[#This Row],[Pot.do módulo]]*Tabela1[[#This Row],[Nº de módulos ]]/1000</f>
        <v>3.96</v>
      </c>
      <c r="F29" s="49" t="s">
        <v>294</v>
      </c>
      <c r="G29" s="49" t="s">
        <v>294</v>
      </c>
    </row>
    <row r="30" spans="1:7" x14ac:dyDescent="0.25">
      <c r="A30" s="59">
        <v>29</v>
      </c>
      <c r="B30" s="49" t="s">
        <v>23</v>
      </c>
      <c r="C30" s="49">
        <v>18</v>
      </c>
      <c r="D30" s="49">
        <v>330</v>
      </c>
      <c r="E30" s="49">
        <f>Tabela1[[#This Row],[Pot.do módulo]]*Tabela1[[#This Row],[Nº de módulos ]]/1000</f>
        <v>5.94</v>
      </c>
      <c r="F30" s="78" t="s">
        <v>294</v>
      </c>
      <c r="G30" s="78" t="s">
        <v>294</v>
      </c>
    </row>
    <row r="31" spans="1:7" x14ac:dyDescent="0.25">
      <c r="A31" s="59">
        <v>30</v>
      </c>
      <c r="B31" s="49" t="s">
        <v>24</v>
      </c>
      <c r="C31" s="49">
        <v>10</v>
      </c>
      <c r="D31" s="49">
        <v>360</v>
      </c>
      <c r="E31" s="49">
        <f>Tabela1[[#This Row],[Pot.do módulo]]*Tabela1[[#This Row],[Nº de módulos ]]/1000</f>
        <v>3.6</v>
      </c>
      <c r="F31" s="49" t="s">
        <v>294</v>
      </c>
      <c r="G31" s="49" t="s">
        <v>294</v>
      </c>
    </row>
    <row r="32" spans="1:7" x14ac:dyDescent="0.25">
      <c r="A32" s="59">
        <v>31</v>
      </c>
      <c r="B32" s="49" t="s">
        <v>25</v>
      </c>
      <c r="C32" s="49">
        <v>30</v>
      </c>
      <c r="D32" s="49">
        <v>330</v>
      </c>
      <c r="E32" s="49">
        <f>Tabela1[[#This Row],[Pot.do módulo]]*Tabela1[[#This Row],[Nº de módulos ]]/1000</f>
        <v>9.9</v>
      </c>
      <c r="F32" s="78" t="s">
        <v>294</v>
      </c>
      <c r="G32" s="78" t="s">
        <v>294</v>
      </c>
    </row>
    <row r="33" spans="1:7" x14ac:dyDescent="0.25">
      <c r="A33" s="59">
        <v>32</v>
      </c>
      <c r="B33" s="49" t="s">
        <v>26</v>
      </c>
      <c r="C33" s="49">
        <v>50</v>
      </c>
      <c r="D33" s="49">
        <v>360</v>
      </c>
      <c r="E33" s="49">
        <f>Tabela1[[#This Row],[Pot.do módulo]]*Tabela1[[#This Row],[Nº de módulos ]]/1000</f>
        <v>18</v>
      </c>
      <c r="F33" s="49" t="s">
        <v>294</v>
      </c>
      <c r="G33" s="49" t="s">
        <v>294</v>
      </c>
    </row>
    <row r="34" spans="1:7" x14ac:dyDescent="0.25">
      <c r="A34" s="59">
        <v>33</v>
      </c>
      <c r="B34" s="49" t="s">
        <v>27</v>
      </c>
      <c r="C34" s="49">
        <v>28</v>
      </c>
      <c r="D34" s="49">
        <v>330</v>
      </c>
      <c r="E34" s="49">
        <f>Tabela1[[#This Row],[Pot.do módulo]]*Tabela1[[#This Row],[Nº de módulos ]]/1000</f>
        <v>9.24</v>
      </c>
      <c r="F34" s="78" t="s">
        <v>294</v>
      </c>
      <c r="G34" s="78" t="s">
        <v>294</v>
      </c>
    </row>
    <row r="35" spans="1:7" x14ac:dyDescent="0.25">
      <c r="A35" s="59">
        <v>34</v>
      </c>
      <c r="B35" s="49" t="s">
        <v>28</v>
      </c>
      <c r="C35" s="49">
        <v>18</v>
      </c>
      <c r="D35" s="49">
        <v>330</v>
      </c>
      <c r="E35" s="49">
        <f>Tabela1[[#This Row],[Pot.do módulo]]*Tabela1[[#This Row],[Nº de módulos ]]/1000</f>
        <v>5.94</v>
      </c>
      <c r="F35" s="49" t="s">
        <v>294</v>
      </c>
      <c r="G35" s="49" t="s">
        <v>294</v>
      </c>
    </row>
    <row r="36" spans="1:7" x14ac:dyDescent="0.25">
      <c r="A36" s="59">
        <v>35</v>
      </c>
      <c r="B36" s="49" t="s">
        <v>29</v>
      </c>
      <c r="C36" s="49">
        <v>80</v>
      </c>
      <c r="D36" s="49">
        <v>330</v>
      </c>
      <c r="E36" s="49">
        <f>Tabela1[[#This Row],[Pot.do módulo]]*Tabela1[[#This Row],[Nº de módulos ]]/1000</f>
        <v>26.4</v>
      </c>
      <c r="F36" s="78" t="s">
        <v>294</v>
      </c>
      <c r="G36" s="78" t="s">
        <v>294</v>
      </c>
    </row>
    <row r="37" spans="1:7" x14ac:dyDescent="0.25">
      <c r="A37" s="59">
        <v>36</v>
      </c>
      <c r="B37" s="49" t="s">
        <v>30</v>
      </c>
      <c r="C37" s="49">
        <v>60</v>
      </c>
      <c r="D37" s="49">
        <v>330</v>
      </c>
      <c r="E37" s="49">
        <f>Tabela1[[#This Row],[Pot.do módulo]]*Tabela1[[#This Row],[Nº de módulos ]]/1000</f>
        <v>19.8</v>
      </c>
      <c r="F37" s="49" t="s">
        <v>294</v>
      </c>
      <c r="G37" s="49" t="s">
        <v>294</v>
      </c>
    </row>
    <row r="38" spans="1:7" x14ac:dyDescent="0.25">
      <c r="A38" s="59">
        <v>37</v>
      </c>
      <c r="B38" s="49" t="s">
        <v>31</v>
      </c>
      <c r="C38" s="49">
        <v>200</v>
      </c>
      <c r="D38" s="49">
        <v>330</v>
      </c>
      <c r="E38" s="49">
        <f>Tabela1[[#This Row],[Pot.do módulo]]*Tabela1[[#This Row],[Nº de módulos ]]/1000</f>
        <v>66</v>
      </c>
      <c r="F38" s="78" t="s">
        <v>294</v>
      </c>
      <c r="G38" s="78" t="s">
        <v>294</v>
      </c>
    </row>
    <row r="39" spans="1:7" x14ac:dyDescent="0.25">
      <c r="A39" s="59">
        <v>38</v>
      </c>
      <c r="B39" s="49" t="s">
        <v>32</v>
      </c>
      <c r="C39" s="49">
        <v>152</v>
      </c>
      <c r="D39" s="49">
        <v>335</v>
      </c>
      <c r="E39" s="49">
        <f>Tabela1[[#This Row],[Pot.do módulo]]*Tabela1[[#This Row],[Nº de módulos ]]/1000</f>
        <v>50.92</v>
      </c>
      <c r="F39" s="49" t="s">
        <v>294</v>
      </c>
      <c r="G39" s="49" t="s">
        <v>294</v>
      </c>
    </row>
    <row r="40" spans="1:7" x14ac:dyDescent="0.25">
      <c r="A40" s="59">
        <v>39</v>
      </c>
      <c r="B40" s="49" t="s">
        <v>33</v>
      </c>
      <c r="C40" s="49">
        <v>28</v>
      </c>
      <c r="D40" s="49">
        <v>335</v>
      </c>
      <c r="E40" s="49">
        <f>Tabela1[[#This Row],[Pot.do módulo]]*Tabela1[[#This Row],[Nº de módulos ]]/1000</f>
        <v>9.3800000000000008</v>
      </c>
      <c r="F40" s="78" t="s">
        <v>294</v>
      </c>
      <c r="G40" s="78" t="s">
        <v>294</v>
      </c>
    </row>
    <row r="41" spans="1:7" x14ac:dyDescent="0.25">
      <c r="A41" s="59">
        <v>40</v>
      </c>
      <c r="B41" s="49" t="s">
        <v>34</v>
      </c>
      <c r="C41" s="49">
        <v>12</v>
      </c>
      <c r="D41" s="49">
        <v>335</v>
      </c>
      <c r="E41" s="49">
        <f>Tabela1[[#This Row],[Pot.do módulo]]*Tabela1[[#This Row],[Nº de módulos ]]/1000</f>
        <v>4.0199999999999996</v>
      </c>
      <c r="F41" s="49" t="s">
        <v>294</v>
      </c>
      <c r="G41" s="49" t="s">
        <v>294</v>
      </c>
    </row>
    <row r="42" spans="1:7" x14ac:dyDescent="0.25">
      <c r="A42" s="59">
        <v>41</v>
      </c>
      <c r="B42" s="49" t="s">
        <v>35</v>
      </c>
      <c r="C42" s="49">
        <v>34</v>
      </c>
      <c r="D42" s="49">
        <v>335</v>
      </c>
      <c r="E42" s="49">
        <f>Tabela1[[#This Row],[Pot.do módulo]]*Tabela1[[#This Row],[Nº de módulos ]]/1000</f>
        <v>11.39</v>
      </c>
      <c r="F42" s="78" t="s">
        <v>294</v>
      </c>
      <c r="G42" s="78" t="s">
        <v>294</v>
      </c>
    </row>
    <row r="43" spans="1:7" x14ac:dyDescent="0.25">
      <c r="A43" s="59">
        <v>42</v>
      </c>
      <c r="B43" s="49" t="s">
        <v>36</v>
      </c>
      <c r="C43" s="49">
        <v>20</v>
      </c>
      <c r="D43" s="49">
        <v>335</v>
      </c>
      <c r="E43" s="49">
        <f>Tabela1[[#This Row],[Pot.do módulo]]*Tabela1[[#This Row],[Nº de módulos ]]/1000</f>
        <v>6.7</v>
      </c>
      <c r="F43" s="49" t="s">
        <v>294</v>
      </c>
      <c r="G43" s="49" t="s">
        <v>294</v>
      </c>
    </row>
    <row r="44" spans="1:7" x14ac:dyDescent="0.25">
      <c r="A44" s="59">
        <v>43</v>
      </c>
      <c r="B44" s="49" t="s">
        <v>37</v>
      </c>
      <c r="C44" s="49">
        <v>12</v>
      </c>
      <c r="D44" s="49">
        <v>335</v>
      </c>
      <c r="E44" s="49">
        <f>Tabela1[[#This Row],[Pot.do módulo]]*Tabela1[[#This Row],[Nº de módulos ]]/1000</f>
        <v>4.0199999999999996</v>
      </c>
      <c r="F44" s="78" t="s">
        <v>294</v>
      </c>
      <c r="G44" s="78" t="s">
        <v>294</v>
      </c>
    </row>
    <row r="45" spans="1:7" x14ac:dyDescent="0.25">
      <c r="A45" s="59">
        <v>44</v>
      </c>
      <c r="B45" s="49" t="s">
        <v>38</v>
      </c>
      <c r="C45" s="49">
        <v>34</v>
      </c>
      <c r="D45" s="49">
        <v>335</v>
      </c>
      <c r="E45" s="49">
        <f>Tabela1[[#This Row],[Pot.do módulo]]*Tabela1[[#This Row],[Nº de módulos ]]/1000</f>
        <v>11.39</v>
      </c>
      <c r="F45" s="49" t="s">
        <v>294</v>
      </c>
      <c r="G45" s="49" t="s">
        <v>294</v>
      </c>
    </row>
    <row r="46" spans="1:7" x14ac:dyDescent="0.25">
      <c r="A46" s="59">
        <v>45</v>
      </c>
      <c r="B46" s="49" t="s">
        <v>39</v>
      </c>
      <c r="C46" s="49">
        <v>10</v>
      </c>
      <c r="D46" s="49">
        <v>335</v>
      </c>
      <c r="E46" s="49">
        <f>Tabela1[[#This Row],[Pot.do módulo]]*Tabela1[[#This Row],[Nº de módulos ]]/1000</f>
        <v>3.35</v>
      </c>
      <c r="F46" s="78" t="s">
        <v>294</v>
      </c>
      <c r="G46" s="78" t="s">
        <v>294</v>
      </c>
    </row>
    <row r="47" spans="1:7" x14ac:dyDescent="0.25">
      <c r="A47" s="59">
        <v>46</v>
      </c>
      <c r="B47" s="49" t="s">
        <v>40</v>
      </c>
      <c r="C47" s="49">
        <v>8</v>
      </c>
      <c r="D47" s="49">
        <v>335</v>
      </c>
      <c r="E47" s="49">
        <f>Tabela1[[#This Row],[Pot.do módulo]]*Tabela1[[#This Row],[Nº de módulos ]]/1000</f>
        <v>2.68</v>
      </c>
      <c r="F47" s="49" t="s">
        <v>297</v>
      </c>
      <c r="G47" s="49" t="s">
        <v>297</v>
      </c>
    </row>
    <row r="48" spans="1:7" x14ac:dyDescent="0.25">
      <c r="A48" s="59">
        <v>47</v>
      </c>
      <c r="B48" s="49" t="s">
        <v>75</v>
      </c>
      <c r="C48" s="49">
        <v>12</v>
      </c>
      <c r="D48" s="49">
        <v>335</v>
      </c>
      <c r="E48" s="49">
        <f>Tabela1[[#This Row],[Pot.do módulo]]*Tabela1[[#This Row],[Nº de módulos ]]/1000</f>
        <v>4.0199999999999996</v>
      </c>
      <c r="F48" s="78" t="s">
        <v>294</v>
      </c>
      <c r="G48" s="78" t="s">
        <v>294</v>
      </c>
    </row>
    <row r="49" spans="1:7" x14ac:dyDescent="0.25">
      <c r="A49" s="59">
        <v>48</v>
      </c>
      <c r="B49" s="49" t="s">
        <v>41</v>
      </c>
      <c r="C49" s="49">
        <v>24</v>
      </c>
      <c r="D49" s="49">
        <v>340</v>
      </c>
      <c r="E49" s="49">
        <f>Tabela1[[#This Row],[Pot.do módulo]]*Tabela1[[#This Row],[Nº de módulos ]]/1000</f>
        <v>8.16</v>
      </c>
      <c r="F49" s="49" t="s">
        <v>294</v>
      </c>
      <c r="G49" s="49" t="s">
        <v>294</v>
      </c>
    </row>
    <row r="50" spans="1:7" x14ac:dyDescent="0.25">
      <c r="A50" s="59">
        <v>49</v>
      </c>
      <c r="B50" s="49" t="s">
        <v>42</v>
      </c>
      <c r="C50" s="49">
        <v>20</v>
      </c>
      <c r="D50" s="49">
        <v>340</v>
      </c>
      <c r="E50" s="49">
        <f>Tabela1[[#This Row],[Pot.do módulo]]*Tabela1[[#This Row],[Nº de módulos ]]/1000</f>
        <v>6.8</v>
      </c>
      <c r="F50" s="78" t="s">
        <v>294</v>
      </c>
      <c r="G50" s="78" t="s">
        <v>294</v>
      </c>
    </row>
    <row r="51" spans="1:7" x14ac:dyDescent="0.25">
      <c r="A51" s="59">
        <v>50</v>
      </c>
      <c r="B51" s="49" t="s">
        <v>43</v>
      </c>
      <c r="C51" s="49">
        <v>30</v>
      </c>
      <c r="D51" s="49">
        <v>340</v>
      </c>
      <c r="E51" s="49">
        <f>Tabela1[[#This Row],[Pot.do módulo]]*Tabela1[[#This Row],[Nº de módulos ]]/1000</f>
        <v>10.199999999999999</v>
      </c>
      <c r="F51" s="49" t="s">
        <v>294</v>
      </c>
      <c r="G51" s="49" t="s">
        <v>294</v>
      </c>
    </row>
    <row r="52" spans="1:7" x14ac:dyDescent="0.25">
      <c r="A52" s="59">
        <v>51</v>
      </c>
      <c r="B52" s="49" t="s">
        <v>44</v>
      </c>
      <c r="C52" s="49">
        <v>18</v>
      </c>
      <c r="D52" s="49">
        <v>340</v>
      </c>
      <c r="E52" s="49">
        <f>Tabela1[[#This Row],[Pot.do módulo]]*Tabela1[[#This Row],[Nº de módulos ]]/1000</f>
        <v>6.12</v>
      </c>
      <c r="F52" s="78" t="s">
        <v>294</v>
      </c>
      <c r="G52" s="78" t="s">
        <v>294</v>
      </c>
    </row>
    <row r="53" spans="1:7" x14ac:dyDescent="0.25">
      <c r="A53" s="59">
        <v>52</v>
      </c>
      <c r="B53" s="49" t="s">
        <v>45</v>
      </c>
      <c r="C53" s="49">
        <v>148</v>
      </c>
      <c r="D53" s="49">
        <v>365</v>
      </c>
      <c r="E53" s="49">
        <f>Tabela1[[#This Row],[Pot.do módulo]]*Tabela1[[#This Row],[Nº de módulos ]]/1000</f>
        <v>54.02</v>
      </c>
      <c r="F53" s="49" t="s">
        <v>294</v>
      </c>
      <c r="G53" s="49" t="s">
        <v>294</v>
      </c>
    </row>
    <row r="54" spans="1:7" x14ac:dyDescent="0.25">
      <c r="A54" s="59">
        <v>53</v>
      </c>
      <c r="B54" s="49" t="s">
        <v>46</v>
      </c>
      <c r="C54" s="49">
        <v>18</v>
      </c>
      <c r="D54" s="49">
        <v>340</v>
      </c>
      <c r="E54" s="49">
        <f>Tabela1[[#This Row],[Pot.do módulo]]*Tabela1[[#This Row],[Nº de módulos ]]/1000</f>
        <v>6.12</v>
      </c>
      <c r="F54" s="78" t="s">
        <v>294</v>
      </c>
      <c r="G54" s="78" t="s">
        <v>294</v>
      </c>
    </row>
    <row r="55" spans="1:7" x14ac:dyDescent="0.25">
      <c r="A55" s="59">
        <v>54</v>
      </c>
      <c r="B55" s="49" t="s">
        <v>47</v>
      </c>
      <c r="C55" s="49">
        <v>130</v>
      </c>
      <c r="D55" s="49">
        <v>340</v>
      </c>
      <c r="E55" s="49">
        <f>Tabela1[[#This Row],[Pot.do módulo]]*Tabela1[[#This Row],[Nº de módulos ]]/1000</f>
        <v>44.2</v>
      </c>
      <c r="F55" s="49" t="s">
        <v>294</v>
      </c>
      <c r="G55" s="49" t="s">
        <v>294</v>
      </c>
    </row>
    <row r="56" spans="1:7" x14ac:dyDescent="0.25">
      <c r="A56" s="59">
        <v>55</v>
      </c>
      <c r="B56" s="49" t="s">
        <v>48</v>
      </c>
      <c r="C56" s="49">
        <v>288</v>
      </c>
      <c r="D56" s="49">
        <v>340</v>
      </c>
      <c r="E56" s="49">
        <f>Tabela1[[#This Row],[Pot.do módulo]]*Tabela1[[#This Row],[Nº de módulos ]]/1000</f>
        <v>97.92</v>
      </c>
      <c r="F56" s="61" t="s">
        <v>297</v>
      </c>
      <c r="G56" s="61" t="s">
        <v>294</v>
      </c>
    </row>
    <row r="57" spans="1:7" x14ac:dyDescent="0.25">
      <c r="A57" s="60">
        <v>56</v>
      </c>
      <c r="B57" s="61" t="s">
        <v>49</v>
      </c>
      <c r="C57" s="61">
        <v>76</v>
      </c>
      <c r="D57" s="61">
        <v>365</v>
      </c>
      <c r="E57" s="49">
        <f>Tabela1[[#This Row],[Pot.do módulo]]*Tabela1[[#This Row],[Nº de módulos ]]/1000</f>
        <v>27.74</v>
      </c>
      <c r="F57" s="49" t="s">
        <v>294</v>
      </c>
      <c r="G57" s="49" t="s">
        <v>294</v>
      </c>
    </row>
    <row r="58" spans="1:7" x14ac:dyDescent="0.25">
      <c r="A58" s="60">
        <v>57</v>
      </c>
      <c r="B58" s="61" t="s">
        <v>261</v>
      </c>
      <c r="C58" s="61">
        <v>36</v>
      </c>
      <c r="D58" s="61">
        <v>340</v>
      </c>
      <c r="E58" s="49">
        <f>Tabela1[[#This Row],[Pot.do módulo]]*Tabela1[[#This Row],[Nº de módulos ]]/1000</f>
        <v>12.24</v>
      </c>
      <c r="F58" s="78" t="s">
        <v>294</v>
      </c>
      <c r="G58" s="78" t="s">
        <v>294</v>
      </c>
    </row>
    <row r="59" spans="1:7" x14ac:dyDescent="0.25">
      <c r="A59" s="60">
        <v>58</v>
      </c>
      <c r="B59" s="61" t="s">
        <v>262</v>
      </c>
      <c r="C59" s="61">
        <v>14</v>
      </c>
      <c r="D59" s="61">
        <v>340</v>
      </c>
      <c r="E59" s="49">
        <f>Tabela1[[#This Row],[Pot.do módulo]]*Tabela1[[#This Row],[Nº de módulos ]]/1000</f>
        <v>4.76</v>
      </c>
      <c r="F59" s="49" t="s">
        <v>294</v>
      </c>
      <c r="G59" s="49" t="s">
        <v>294</v>
      </c>
    </row>
    <row r="60" spans="1:7" x14ac:dyDescent="0.25">
      <c r="A60" s="60">
        <v>59</v>
      </c>
      <c r="B60" s="61" t="s">
        <v>263</v>
      </c>
      <c r="C60" s="61">
        <v>10</v>
      </c>
      <c r="D60" s="61">
        <v>375</v>
      </c>
      <c r="E60" s="49">
        <f>Tabela1[[#This Row],[Pot.do módulo]]*Tabela1[[#This Row],[Nº de módulos ]]/1000</f>
        <v>3.75</v>
      </c>
      <c r="F60" s="78" t="s">
        <v>294</v>
      </c>
      <c r="G60" s="78" t="s">
        <v>294</v>
      </c>
    </row>
    <row r="61" spans="1:7" x14ac:dyDescent="0.25">
      <c r="A61" s="60">
        <v>60</v>
      </c>
      <c r="B61" s="61" t="s">
        <v>264</v>
      </c>
      <c r="C61" s="61">
        <v>150</v>
      </c>
      <c r="D61" s="61">
        <v>375</v>
      </c>
      <c r="E61" s="61">
        <f>Tabela1[[#This Row],[Pot.do módulo]]*Tabela1[[#This Row],[Nº de módulos ]]/1000</f>
        <v>56.25</v>
      </c>
      <c r="F61" s="49" t="s">
        <v>294</v>
      </c>
      <c r="G61" s="49" t="s">
        <v>294</v>
      </c>
    </row>
    <row r="62" spans="1:7" x14ac:dyDescent="0.25">
      <c r="A62" s="60">
        <v>61</v>
      </c>
      <c r="B62" s="61" t="s">
        <v>279</v>
      </c>
      <c r="C62" s="61">
        <v>11</v>
      </c>
      <c r="D62" s="61">
        <v>375</v>
      </c>
      <c r="E62" s="104">
        <f>Tabela1[[#This Row],[Pot.do módulo]]*Tabela1[[#This Row],[Nº de módulos ]]/1000</f>
        <v>4.125</v>
      </c>
      <c r="F62" s="61" t="s">
        <v>294</v>
      </c>
      <c r="G62" s="61" t="s">
        <v>294</v>
      </c>
    </row>
    <row r="63" spans="1:7" x14ac:dyDescent="0.25">
      <c r="A63" s="60">
        <v>62</v>
      </c>
      <c r="B63" s="61" t="s">
        <v>280</v>
      </c>
      <c r="C63" s="61">
        <v>30</v>
      </c>
      <c r="D63" s="61">
        <v>370</v>
      </c>
      <c r="E63" s="103">
        <f>Tabela1[[#This Row],[Pot.do módulo]]*Tabela1[[#This Row],[Nº de módulos ]]/1000</f>
        <v>11.1</v>
      </c>
      <c r="F63" s="61" t="s">
        <v>294</v>
      </c>
      <c r="G63" s="61" t="s">
        <v>294</v>
      </c>
    </row>
    <row r="64" spans="1:7" x14ac:dyDescent="0.25">
      <c r="A64" s="60">
        <v>63</v>
      </c>
      <c r="B64" s="61" t="s">
        <v>281</v>
      </c>
      <c r="C64" s="61">
        <v>12</v>
      </c>
      <c r="D64" s="61">
        <v>375</v>
      </c>
      <c r="E64" s="103">
        <f>Tabela1[[#This Row],[Pot.do módulo]]*Tabela1[[#This Row],[Nº de módulos ]]/1000</f>
        <v>4.5</v>
      </c>
      <c r="F64" s="61" t="s">
        <v>294</v>
      </c>
      <c r="G64" s="61" t="s">
        <v>294</v>
      </c>
    </row>
    <row r="65" spans="1:7" x14ac:dyDescent="0.25">
      <c r="A65" s="60">
        <v>64</v>
      </c>
      <c r="B65" s="61" t="s">
        <v>295</v>
      </c>
      <c r="C65" s="61">
        <v>14</v>
      </c>
      <c r="D65" s="61">
        <v>370</v>
      </c>
      <c r="E65" s="103">
        <f>Tabela1[[#This Row],[Pot.do módulo]]*Tabela1[[#This Row],[Nº de módulos ]]/1000</f>
        <v>5.18</v>
      </c>
      <c r="F65" s="61" t="s">
        <v>294</v>
      </c>
      <c r="G65" s="61" t="s">
        <v>294</v>
      </c>
    </row>
    <row r="66" spans="1:7" x14ac:dyDescent="0.25">
      <c r="A66" s="60">
        <v>65</v>
      </c>
      <c r="B66" s="61" t="s">
        <v>296</v>
      </c>
      <c r="C66" s="61">
        <v>16</v>
      </c>
      <c r="D66" s="61">
        <v>370</v>
      </c>
      <c r="E66" s="103">
        <f>Tabela1[[#This Row],[Pot.do módulo]]*Tabela1[[#This Row],[Nº de módulos ]]/1000</f>
        <v>5.92</v>
      </c>
      <c r="F66" s="61" t="s">
        <v>294</v>
      </c>
      <c r="G66" s="61" t="s">
        <v>294</v>
      </c>
    </row>
    <row r="67" spans="1:7" x14ac:dyDescent="0.25">
      <c r="A67" s="60">
        <v>66</v>
      </c>
      <c r="B67" s="61" t="s">
        <v>308</v>
      </c>
      <c r="C67" s="61">
        <v>26</v>
      </c>
      <c r="D67" s="61">
        <v>370</v>
      </c>
      <c r="E67" s="103">
        <f>Tabela1[[#This Row],[Pot.do módulo]]*Tabela1[[#This Row],[Nº de módulos ]]/1000</f>
        <v>9.6199999999999992</v>
      </c>
      <c r="F67" s="61" t="s">
        <v>294</v>
      </c>
      <c r="G67" s="61" t="s">
        <v>294</v>
      </c>
    </row>
    <row r="68" spans="1:7" x14ac:dyDescent="0.25">
      <c r="A68" s="60">
        <v>67</v>
      </c>
      <c r="B68" s="61" t="s">
        <v>315</v>
      </c>
      <c r="C68" s="61">
        <v>20</v>
      </c>
      <c r="D68" s="61">
        <v>370</v>
      </c>
      <c r="E68" s="136">
        <f>Tabela1[[#This Row],[Pot.do módulo]]*Tabela1[[#This Row],[Nº de módulos ]]/1000</f>
        <v>7.4</v>
      </c>
      <c r="F68" s="49" t="s">
        <v>294</v>
      </c>
      <c r="G68" s="49" t="s">
        <v>294</v>
      </c>
    </row>
    <row r="69" spans="1:7" x14ac:dyDescent="0.25">
      <c r="A69" s="60">
        <v>68</v>
      </c>
      <c r="B69" s="61" t="s">
        <v>316</v>
      </c>
      <c r="C69" s="61">
        <v>12</v>
      </c>
      <c r="D69" s="61">
        <v>370</v>
      </c>
      <c r="E69" s="136">
        <f>Tabela1[[#This Row],[Pot.do módulo]]*Tabela1[[#This Row],[Nº de módulos ]]/1000</f>
        <v>4.4400000000000004</v>
      </c>
      <c r="F69" s="49" t="s">
        <v>297</v>
      </c>
      <c r="G69" s="49" t="s">
        <v>294</v>
      </c>
    </row>
    <row r="70" spans="1:7" x14ac:dyDescent="0.25">
      <c r="A70" s="60">
        <v>69</v>
      </c>
      <c r="B70" s="61" t="s">
        <v>317</v>
      </c>
      <c r="C70" s="61">
        <v>14</v>
      </c>
      <c r="D70" s="61">
        <v>340</v>
      </c>
      <c r="E70" s="136">
        <f>Tabela1[[#This Row],[Pot.do módulo]]*Tabela1[[#This Row],[Nº de módulos ]]/1000</f>
        <v>4.76</v>
      </c>
      <c r="F70" s="49" t="s">
        <v>297</v>
      </c>
      <c r="G70" s="49" t="s">
        <v>294</v>
      </c>
    </row>
    <row r="71" spans="1:7" x14ac:dyDescent="0.25">
      <c r="A71" s="60">
        <v>70</v>
      </c>
      <c r="B71" s="61" t="s">
        <v>318</v>
      </c>
      <c r="C71" s="49">
        <v>14</v>
      </c>
      <c r="D71" s="49">
        <v>370</v>
      </c>
      <c r="E71" s="136">
        <f>Tabela1[[#This Row],[Pot.do módulo]]*Tabela1[[#This Row],[Nº de módulos ]]/1000</f>
        <v>5.18</v>
      </c>
      <c r="F71" s="49" t="s">
        <v>297</v>
      </c>
      <c r="G71" s="49" t="s">
        <v>294</v>
      </c>
    </row>
    <row r="72" spans="1:7" x14ac:dyDescent="0.25">
      <c r="A72" s="60">
        <v>71</v>
      </c>
      <c r="B72" s="61" t="s">
        <v>319</v>
      </c>
      <c r="C72" s="49">
        <v>8</v>
      </c>
      <c r="D72" s="49">
        <v>370</v>
      </c>
      <c r="E72" s="136">
        <f>Tabela1[[#This Row],[Pot.do módulo]]*Tabela1[[#This Row],[Nº de módulos ]]/1000</f>
        <v>2.96</v>
      </c>
      <c r="F72" s="49" t="s">
        <v>297</v>
      </c>
      <c r="G72" s="49" t="s">
        <v>294</v>
      </c>
    </row>
    <row r="73" spans="1:7" x14ac:dyDescent="0.25">
      <c r="A73" s="60">
        <v>72</v>
      </c>
      <c r="B73" s="61" t="s">
        <v>320</v>
      </c>
      <c r="C73" s="61">
        <v>120</v>
      </c>
      <c r="D73" s="61">
        <v>340</v>
      </c>
      <c r="E73" s="136">
        <f>Tabela1[[#This Row],[Pot.do módulo]]*Tabela1[[#This Row],[Nº de módulos ]]/1000</f>
        <v>40.799999999999997</v>
      </c>
      <c r="F73" s="49" t="s">
        <v>297</v>
      </c>
      <c r="G73" s="49" t="s">
        <v>294</v>
      </c>
    </row>
    <row r="74" spans="1:7" x14ac:dyDescent="0.25">
      <c r="B74" s="61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68C9-EF71-40FF-BAD0-72B86295012F}">
  <sheetPr codeName="Planilha5">
    <tabColor theme="6" tint="-0.249977111117893"/>
  </sheetPr>
  <dimension ref="A1:AD300"/>
  <sheetViews>
    <sheetView workbookViewId="0">
      <selection activeCell="J18" sqref="J18"/>
    </sheetView>
  </sheetViews>
  <sheetFormatPr defaultColWidth="5.140625" defaultRowHeight="15" x14ac:dyDescent="0.25"/>
  <cols>
    <col min="1" max="1" width="3" style="1" bestFit="1" customWidth="1"/>
    <col min="2" max="2" width="36.140625" style="1" bestFit="1" customWidth="1"/>
    <col min="3" max="7" width="6" style="5" bestFit="1" customWidth="1"/>
    <col min="8" max="8" width="5" style="5" bestFit="1" customWidth="1"/>
    <col min="9" max="14" width="6" style="5" bestFit="1" customWidth="1"/>
    <col min="15" max="15" width="6.5703125" style="5" bestFit="1" customWidth="1"/>
    <col min="16" max="16" width="1.28515625" style="5" customWidth="1"/>
    <col min="17" max="28" width="5" style="5" bestFit="1" customWidth="1"/>
    <col min="29" max="29" width="5.140625" style="5" bestFit="1" customWidth="1"/>
    <col min="30" max="30" width="6" style="5" bestFit="1" customWidth="1"/>
    <col min="31" max="31" width="5.140625" style="5"/>
    <col min="32" max="32" width="8.7109375" style="5" bestFit="1" customWidth="1"/>
    <col min="33" max="36" width="6" style="5" bestFit="1" customWidth="1"/>
    <col min="37" max="37" width="5" style="5" bestFit="1" customWidth="1"/>
    <col min="38" max="43" width="6" style="5" bestFit="1" customWidth="1"/>
    <col min="44" max="44" width="6.5703125" style="5" bestFit="1" customWidth="1"/>
    <col min="45" max="16384" width="5.140625" style="5"/>
  </cols>
  <sheetData>
    <row r="1" spans="1:30" ht="18" thickBot="1" x14ac:dyDescent="0.3">
      <c r="A1" s="178"/>
      <c r="B1" s="180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Q1" s="183" t="s">
        <v>61</v>
      </c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</row>
    <row r="2" spans="1:30" x14ac:dyDescent="0.25">
      <c r="A2" s="179"/>
      <c r="B2" s="181"/>
      <c r="C2" s="105" t="s">
        <v>50</v>
      </c>
      <c r="D2" s="105" t="s">
        <v>51</v>
      </c>
      <c r="E2" s="105" t="s">
        <v>52</v>
      </c>
      <c r="F2" s="105" t="s">
        <v>65</v>
      </c>
      <c r="G2" s="105" t="s">
        <v>67</v>
      </c>
      <c r="H2" s="105" t="s">
        <v>66</v>
      </c>
      <c r="I2" s="105" t="s">
        <v>53</v>
      </c>
      <c r="J2" s="105" t="s">
        <v>54</v>
      </c>
      <c r="K2" s="105" t="s">
        <v>55</v>
      </c>
      <c r="L2" s="105" t="s">
        <v>56</v>
      </c>
      <c r="M2" s="105" t="s">
        <v>57</v>
      </c>
      <c r="N2" s="105" t="s">
        <v>58</v>
      </c>
      <c r="O2" s="105" t="s">
        <v>60</v>
      </c>
      <c r="Q2" s="7">
        <v>31</v>
      </c>
      <c r="R2" s="7">
        <v>28</v>
      </c>
      <c r="S2" s="7">
        <v>31</v>
      </c>
      <c r="T2" s="7">
        <v>30</v>
      </c>
      <c r="U2" s="7">
        <v>31</v>
      </c>
      <c r="V2" s="7">
        <v>30</v>
      </c>
      <c r="W2" s="7">
        <v>31</v>
      </c>
      <c r="X2" s="7">
        <v>31</v>
      </c>
      <c r="Y2" s="7">
        <v>30</v>
      </c>
      <c r="Z2" s="7">
        <v>31</v>
      </c>
      <c r="AA2" s="7">
        <v>30</v>
      </c>
      <c r="AB2" s="50">
        <v>31</v>
      </c>
      <c r="AC2" s="54" t="s">
        <v>62</v>
      </c>
      <c r="AD2" s="52" t="s">
        <v>59</v>
      </c>
    </row>
    <row r="3" spans="1:30" x14ac:dyDescent="0.25">
      <c r="A3" s="120">
        <f>IF(B3=B2,A2,A2+1)</f>
        <v>1</v>
      </c>
      <c r="B3" s="49" t="s">
        <v>68</v>
      </c>
      <c r="C3" s="3">
        <f t="shared" ref="C3:C34" si="0">ROUNDDOWN($AD3*$AC3*(Q3*Q$2),0)</f>
        <v>627</v>
      </c>
      <c r="D3" s="3">
        <f t="shared" ref="D3:D34" si="1">ROUNDDOWN($AD3*$AC3*(R3*R$2),0)</f>
        <v>634</v>
      </c>
      <c r="E3" s="3">
        <f t="shared" ref="E3:E34" si="2">ROUNDDOWN($AD3*$AC3*(S3*S$2),0)</f>
        <v>705</v>
      </c>
      <c r="F3" s="3">
        <f t="shared" ref="F3:F34" si="3">ROUNDDOWN($AD3*$AC3*(T3*T$2),0)</f>
        <v>616</v>
      </c>
      <c r="G3" s="3">
        <f t="shared" ref="G3:G34" si="4">ROUNDDOWN($AD3*$AC3*(U3*U$2),0)</f>
        <v>555</v>
      </c>
      <c r="H3" s="3">
        <f t="shared" ref="H3:H34" si="5">ROUNDDOWN($AD3*$AC3*(V3*V$2),0)</f>
        <v>443</v>
      </c>
      <c r="I3" s="3">
        <f t="shared" ref="I3:I34" si="6">ROUNDDOWN($AD3*$AC3*(W3*W$2),0)</f>
        <v>477</v>
      </c>
      <c r="J3" s="3">
        <f t="shared" ref="J3:J34" si="7">ROUNDDOWN($AD3*$AC3*(X3*X$2),0)</f>
        <v>600</v>
      </c>
      <c r="K3" s="3">
        <f t="shared" ref="K3:K34" si="8">ROUNDDOWN($AD3*$AC3*(Y3*Y$2),0)</f>
        <v>623</v>
      </c>
      <c r="L3" s="3">
        <f t="shared" ref="L3:L34" si="9">ROUNDDOWN($AD3*$AC3*(Z3*Z$2),0)</f>
        <v>646</v>
      </c>
      <c r="M3" s="3">
        <f t="shared" ref="M3:M34" si="10">ROUNDDOWN($AD3*$AC3*(AA3*AA$2),0)</f>
        <v>625</v>
      </c>
      <c r="N3" s="3">
        <f t="shared" ref="N3:N34" si="11">ROUNDDOWN($AD3*$AC3*(AB3*AB$2),0)</f>
        <v>680</v>
      </c>
      <c r="O3" s="3">
        <f>AVERAGE(C3:N3)</f>
        <v>602.58333333333337</v>
      </c>
      <c r="Q3" s="6">
        <v>5.56</v>
      </c>
      <c r="R3" s="6">
        <v>6.23</v>
      </c>
      <c r="S3" s="6">
        <v>6.25</v>
      </c>
      <c r="T3" s="6">
        <v>5.65</v>
      </c>
      <c r="U3" s="6">
        <v>4.92</v>
      </c>
      <c r="V3" s="6">
        <v>4.0599999999999996</v>
      </c>
      <c r="W3" s="6">
        <v>4.2300000000000004</v>
      </c>
      <c r="X3" s="6">
        <v>5.32</v>
      </c>
      <c r="Y3" s="6">
        <v>5.71</v>
      </c>
      <c r="Z3" s="6">
        <v>5.73</v>
      </c>
      <c r="AA3" s="6">
        <v>5.73</v>
      </c>
      <c r="AB3" s="51">
        <v>6.03</v>
      </c>
      <c r="AC3" s="55">
        <v>0.8</v>
      </c>
      <c r="AD3" s="53">
        <f>VLOOKUP($B3,Tabela1[[Cliente]:[Potência]],4,0)</f>
        <v>4.55</v>
      </c>
    </row>
    <row r="4" spans="1:30" x14ac:dyDescent="0.25">
      <c r="A4" s="120">
        <f>IF(B4=B3,A3,A3+1)</f>
        <v>2</v>
      </c>
      <c r="B4" s="49" t="s">
        <v>3</v>
      </c>
      <c r="C4" s="3">
        <f t="shared" si="0"/>
        <v>223</v>
      </c>
      <c r="D4" s="3">
        <f t="shared" si="1"/>
        <v>226</v>
      </c>
      <c r="E4" s="3">
        <f t="shared" si="2"/>
        <v>251</v>
      </c>
      <c r="F4" s="3">
        <f t="shared" si="3"/>
        <v>219</v>
      </c>
      <c r="G4" s="3">
        <f t="shared" si="4"/>
        <v>197</v>
      </c>
      <c r="H4" s="3">
        <f t="shared" si="5"/>
        <v>157</v>
      </c>
      <c r="I4" s="3">
        <f t="shared" si="6"/>
        <v>169</v>
      </c>
      <c r="J4" s="3">
        <f t="shared" si="7"/>
        <v>213</v>
      </c>
      <c r="K4" s="3">
        <f t="shared" si="8"/>
        <v>222</v>
      </c>
      <c r="L4" s="3">
        <f t="shared" si="9"/>
        <v>230</v>
      </c>
      <c r="M4" s="3">
        <f t="shared" si="10"/>
        <v>222</v>
      </c>
      <c r="N4" s="3">
        <f t="shared" si="11"/>
        <v>242</v>
      </c>
      <c r="O4" s="3">
        <f>AVERAGE(C4:N4)</f>
        <v>214.25</v>
      </c>
      <c r="Q4" s="6">
        <v>5.56</v>
      </c>
      <c r="R4" s="6">
        <v>6.23</v>
      </c>
      <c r="S4" s="6">
        <v>6.25</v>
      </c>
      <c r="T4" s="6">
        <v>5.65</v>
      </c>
      <c r="U4" s="6">
        <v>4.92</v>
      </c>
      <c r="V4" s="6">
        <v>4.0599999999999996</v>
      </c>
      <c r="W4" s="6">
        <v>4.2300000000000004</v>
      </c>
      <c r="X4" s="6">
        <v>5.32</v>
      </c>
      <c r="Y4" s="6">
        <v>5.71</v>
      </c>
      <c r="Z4" s="6">
        <v>5.73</v>
      </c>
      <c r="AA4" s="6">
        <v>5.73</v>
      </c>
      <c r="AB4" s="51">
        <v>6.03</v>
      </c>
      <c r="AC4" s="55">
        <v>0.8</v>
      </c>
      <c r="AD4" s="53">
        <f>VLOOKUP($B4,Tabela1[[Cliente]:[Potência]],4,0)</f>
        <v>1.62</v>
      </c>
    </row>
    <row r="5" spans="1:30" x14ac:dyDescent="0.25">
      <c r="A5" s="120">
        <f>IF(B5=B4,A4,A4+1)</f>
        <v>3</v>
      </c>
      <c r="B5" s="49" t="s">
        <v>69</v>
      </c>
      <c r="C5" s="3">
        <f t="shared" si="0"/>
        <v>409</v>
      </c>
      <c r="D5" s="3">
        <f t="shared" si="1"/>
        <v>414</v>
      </c>
      <c r="E5" s="3">
        <f t="shared" si="2"/>
        <v>460</v>
      </c>
      <c r="F5" s="3">
        <f t="shared" si="3"/>
        <v>402</v>
      </c>
      <c r="G5" s="3">
        <f t="shared" si="4"/>
        <v>362</v>
      </c>
      <c r="H5" s="3">
        <f t="shared" si="5"/>
        <v>289</v>
      </c>
      <c r="I5" s="3">
        <f t="shared" si="6"/>
        <v>311</v>
      </c>
      <c r="J5" s="3">
        <f t="shared" si="7"/>
        <v>391</v>
      </c>
      <c r="K5" s="3">
        <f t="shared" si="8"/>
        <v>407</v>
      </c>
      <c r="L5" s="3">
        <f t="shared" si="9"/>
        <v>422</v>
      </c>
      <c r="M5" s="3">
        <f t="shared" si="10"/>
        <v>408</v>
      </c>
      <c r="N5" s="3">
        <f t="shared" si="11"/>
        <v>444</v>
      </c>
      <c r="O5" s="3">
        <f t="shared" ref="O5:O58" si="12">AVERAGE(C5:N5)</f>
        <v>393.25</v>
      </c>
      <c r="Q5" s="6">
        <v>5.56</v>
      </c>
      <c r="R5" s="6">
        <v>6.23</v>
      </c>
      <c r="S5" s="6">
        <v>6.25</v>
      </c>
      <c r="T5" s="6">
        <v>5.65</v>
      </c>
      <c r="U5" s="6">
        <v>4.92</v>
      </c>
      <c r="V5" s="6">
        <v>4.0599999999999996</v>
      </c>
      <c r="W5" s="6">
        <v>4.2300000000000004</v>
      </c>
      <c r="X5" s="6">
        <v>5.32</v>
      </c>
      <c r="Y5" s="6">
        <v>5.71</v>
      </c>
      <c r="Z5" s="6">
        <v>5.73</v>
      </c>
      <c r="AA5" s="6">
        <v>5.73</v>
      </c>
      <c r="AB5" s="51">
        <v>6.03</v>
      </c>
      <c r="AC5" s="55">
        <v>0.8</v>
      </c>
      <c r="AD5" s="53">
        <f>VLOOKUP($B5,Tabela1[[Cliente]:[Potência]],4,0)</f>
        <v>2.97</v>
      </c>
    </row>
    <row r="6" spans="1:30" x14ac:dyDescent="0.25">
      <c r="A6" s="120">
        <f t="shared" ref="A6:A57" si="13">IF(B6=B5,A5,A5+1)</f>
        <v>4</v>
      </c>
      <c r="B6" s="49" t="s">
        <v>4</v>
      </c>
      <c r="C6" s="3">
        <f t="shared" si="0"/>
        <v>205</v>
      </c>
      <c r="D6" s="3">
        <f t="shared" si="1"/>
        <v>181</v>
      </c>
      <c r="E6" s="3">
        <f t="shared" si="2"/>
        <v>197</v>
      </c>
      <c r="F6" s="3">
        <f t="shared" si="3"/>
        <v>171</v>
      </c>
      <c r="G6" s="3">
        <f t="shared" si="4"/>
        <v>159</v>
      </c>
      <c r="H6" s="3">
        <f t="shared" si="5"/>
        <v>143</v>
      </c>
      <c r="I6" s="3">
        <f t="shared" si="6"/>
        <v>147</v>
      </c>
      <c r="J6" s="3">
        <f t="shared" si="7"/>
        <v>172</v>
      </c>
      <c r="K6" s="3">
        <f t="shared" si="8"/>
        <v>172</v>
      </c>
      <c r="L6" s="3">
        <f t="shared" si="9"/>
        <v>191</v>
      </c>
      <c r="M6" s="3">
        <f t="shared" si="10"/>
        <v>190</v>
      </c>
      <c r="N6" s="3">
        <f t="shared" si="11"/>
        <v>202</v>
      </c>
      <c r="O6" s="3">
        <f>AVERAGE(C6:N6)</f>
        <v>177.5</v>
      </c>
      <c r="Q6" s="6">
        <v>6.14</v>
      </c>
      <c r="R6" s="6">
        <v>6.01</v>
      </c>
      <c r="S6" s="6">
        <v>5.89</v>
      </c>
      <c r="T6" s="6">
        <v>5.3</v>
      </c>
      <c r="U6" s="6">
        <v>4.75</v>
      </c>
      <c r="V6" s="6">
        <v>4.4400000000000004</v>
      </c>
      <c r="W6" s="6">
        <v>4.4000000000000004</v>
      </c>
      <c r="X6" s="6">
        <v>5.15</v>
      </c>
      <c r="Y6" s="6">
        <v>5.33</v>
      </c>
      <c r="Z6" s="6">
        <v>5.71</v>
      </c>
      <c r="AA6" s="6">
        <v>5.89</v>
      </c>
      <c r="AB6" s="51">
        <v>6.06</v>
      </c>
      <c r="AC6" s="55">
        <v>0.8</v>
      </c>
      <c r="AD6" s="53">
        <f>VLOOKUP($B6,Tabela1[[Cliente]:[Potência]],4,0)</f>
        <v>1.35</v>
      </c>
    </row>
    <row r="7" spans="1:30" x14ac:dyDescent="0.25">
      <c r="A7" s="120">
        <f t="shared" si="13"/>
        <v>5</v>
      </c>
      <c r="B7" s="49" t="s">
        <v>70</v>
      </c>
      <c r="C7" s="3">
        <f t="shared" si="0"/>
        <v>287</v>
      </c>
      <c r="D7" s="3">
        <f t="shared" si="1"/>
        <v>254</v>
      </c>
      <c r="E7" s="3">
        <f t="shared" si="2"/>
        <v>276</v>
      </c>
      <c r="F7" s="3">
        <f t="shared" si="3"/>
        <v>240</v>
      </c>
      <c r="G7" s="3">
        <f t="shared" si="4"/>
        <v>222</v>
      </c>
      <c r="H7" s="3">
        <f t="shared" si="5"/>
        <v>201</v>
      </c>
      <c r="I7" s="3">
        <f t="shared" si="6"/>
        <v>206</v>
      </c>
      <c r="J7" s="3">
        <f t="shared" si="7"/>
        <v>241</v>
      </c>
      <c r="K7" s="3">
        <f t="shared" si="8"/>
        <v>241</v>
      </c>
      <c r="L7" s="3">
        <f t="shared" si="9"/>
        <v>267</v>
      </c>
      <c r="M7" s="3">
        <f t="shared" si="10"/>
        <v>267</v>
      </c>
      <c r="N7" s="3">
        <f t="shared" si="11"/>
        <v>284</v>
      </c>
      <c r="O7" s="3">
        <f t="shared" si="12"/>
        <v>248.83333333333334</v>
      </c>
      <c r="Q7" s="6">
        <v>6.14</v>
      </c>
      <c r="R7" s="6">
        <v>6.01</v>
      </c>
      <c r="S7" s="6">
        <v>5.89</v>
      </c>
      <c r="T7" s="6">
        <v>5.3</v>
      </c>
      <c r="U7" s="6">
        <v>4.75</v>
      </c>
      <c r="V7" s="6">
        <v>4.4400000000000004</v>
      </c>
      <c r="W7" s="6">
        <v>4.4000000000000004</v>
      </c>
      <c r="X7" s="6">
        <v>5.15</v>
      </c>
      <c r="Y7" s="6">
        <v>5.33</v>
      </c>
      <c r="Z7" s="6">
        <v>5.71</v>
      </c>
      <c r="AA7" s="6">
        <v>5.89</v>
      </c>
      <c r="AB7" s="51">
        <v>6.06</v>
      </c>
      <c r="AC7" s="55">
        <v>0.8</v>
      </c>
      <c r="AD7" s="53">
        <f>VLOOKUP($B7,Tabela1[[Cliente]:[Potência]],4,0)</f>
        <v>1.89</v>
      </c>
    </row>
    <row r="8" spans="1:30" x14ac:dyDescent="0.25">
      <c r="A8" s="120">
        <f t="shared" si="13"/>
        <v>6</v>
      </c>
      <c r="B8" s="49" t="s">
        <v>5</v>
      </c>
      <c r="C8" s="3">
        <f t="shared" si="0"/>
        <v>502</v>
      </c>
      <c r="D8" s="3">
        <f t="shared" si="1"/>
        <v>444</v>
      </c>
      <c r="E8" s="3">
        <f t="shared" si="2"/>
        <v>482</v>
      </c>
      <c r="F8" s="3">
        <f t="shared" si="3"/>
        <v>419</v>
      </c>
      <c r="G8" s="3">
        <f t="shared" si="4"/>
        <v>388</v>
      </c>
      <c r="H8" s="3">
        <f t="shared" si="5"/>
        <v>351</v>
      </c>
      <c r="I8" s="3">
        <f t="shared" si="6"/>
        <v>360</v>
      </c>
      <c r="J8" s="3">
        <f t="shared" si="7"/>
        <v>421</v>
      </c>
      <c r="K8" s="3">
        <f t="shared" si="8"/>
        <v>422</v>
      </c>
      <c r="L8" s="3">
        <f t="shared" si="9"/>
        <v>467</v>
      </c>
      <c r="M8" s="3">
        <f t="shared" si="10"/>
        <v>466</v>
      </c>
      <c r="N8" s="3">
        <f t="shared" si="11"/>
        <v>495</v>
      </c>
      <c r="O8" s="3">
        <f t="shared" si="12"/>
        <v>434.75</v>
      </c>
      <c r="Q8" s="6">
        <v>6.14</v>
      </c>
      <c r="R8" s="6">
        <v>6.01</v>
      </c>
      <c r="S8" s="6">
        <v>5.89</v>
      </c>
      <c r="T8" s="6">
        <v>5.3</v>
      </c>
      <c r="U8" s="6">
        <v>4.75</v>
      </c>
      <c r="V8" s="6">
        <v>4.4400000000000004</v>
      </c>
      <c r="W8" s="6">
        <v>4.4000000000000004</v>
      </c>
      <c r="X8" s="6">
        <v>5.15</v>
      </c>
      <c r="Y8" s="6">
        <v>5.33</v>
      </c>
      <c r="Z8" s="6">
        <v>5.71</v>
      </c>
      <c r="AA8" s="6">
        <v>5.89</v>
      </c>
      <c r="AB8" s="51">
        <v>6.06</v>
      </c>
      <c r="AC8" s="55">
        <v>0.8</v>
      </c>
      <c r="AD8" s="53">
        <f>VLOOKUP($B8,Tabela1[[Cliente]:[Potência]],4,0)</f>
        <v>3.3</v>
      </c>
    </row>
    <row r="9" spans="1:30" x14ac:dyDescent="0.25">
      <c r="A9" s="120">
        <f t="shared" si="13"/>
        <v>7</v>
      </c>
      <c r="B9" s="49" t="s">
        <v>6</v>
      </c>
      <c r="C9" s="3">
        <f t="shared" si="0"/>
        <v>4120</v>
      </c>
      <c r="D9" s="3">
        <f t="shared" si="1"/>
        <v>3642</v>
      </c>
      <c r="E9" s="3">
        <f t="shared" si="2"/>
        <v>3952</v>
      </c>
      <c r="F9" s="3">
        <f t="shared" si="3"/>
        <v>3442</v>
      </c>
      <c r="G9" s="3">
        <f t="shared" si="4"/>
        <v>3187</v>
      </c>
      <c r="H9" s="3">
        <f t="shared" si="5"/>
        <v>2883</v>
      </c>
      <c r="I9" s="3">
        <f t="shared" si="6"/>
        <v>2952</v>
      </c>
      <c r="J9" s="3">
        <f t="shared" si="7"/>
        <v>3456</v>
      </c>
      <c r="K9" s="3">
        <f t="shared" si="8"/>
        <v>3461</v>
      </c>
      <c r="L9" s="3">
        <f t="shared" si="9"/>
        <v>3831</v>
      </c>
      <c r="M9" s="3">
        <f t="shared" si="10"/>
        <v>3825</v>
      </c>
      <c r="N9" s="3">
        <f t="shared" si="11"/>
        <v>4066</v>
      </c>
      <c r="O9" s="3">
        <f t="shared" si="12"/>
        <v>3568.0833333333335</v>
      </c>
      <c r="Q9" s="6">
        <v>6.14</v>
      </c>
      <c r="R9" s="6">
        <v>6.01</v>
      </c>
      <c r="S9" s="6">
        <v>5.89</v>
      </c>
      <c r="T9" s="6">
        <v>5.3</v>
      </c>
      <c r="U9" s="6">
        <v>4.75</v>
      </c>
      <c r="V9" s="6">
        <v>4.4400000000000004</v>
      </c>
      <c r="W9" s="6">
        <v>4.4000000000000004</v>
      </c>
      <c r="X9" s="6">
        <v>5.15</v>
      </c>
      <c r="Y9" s="6">
        <v>5.33</v>
      </c>
      <c r="Z9" s="6">
        <v>5.71</v>
      </c>
      <c r="AA9" s="6">
        <v>5.89</v>
      </c>
      <c r="AB9" s="51">
        <v>6.06</v>
      </c>
      <c r="AC9" s="55">
        <v>0.82</v>
      </c>
      <c r="AD9" s="53">
        <f>VLOOKUP($B9,Tabela1[[Cliente]:[Potência]],4,0)</f>
        <v>26.4</v>
      </c>
    </row>
    <row r="10" spans="1:30" x14ac:dyDescent="0.25">
      <c r="A10" s="120">
        <f t="shared" si="13"/>
        <v>8</v>
      </c>
      <c r="B10" s="49" t="s">
        <v>7</v>
      </c>
      <c r="C10" s="3">
        <f t="shared" si="0"/>
        <v>986</v>
      </c>
      <c r="D10" s="3">
        <f t="shared" si="1"/>
        <v>872</v>
      </c>
      <c r="E10" s="3">
        <f t="shared" si="2"/>
        <v>946</v>
      </c>
      <c r="F10" s="3">
        <f t="shared" si="3"/>
        <v>824</v>
      </c>
      <c r="G10" s="3">
        <f t="shared" si="4"/>
        <v>763</v>
      </c>
      <c r="H10" s="3">
        <f t="shared" si="5"/>
        <v>690</v>
      </c>
      <c r="I10" s="3">
        <f t="shared" si="6"/>
        <v>707</v>
      </c>
      <c r="J10" s="3">
        <f t="shared" si="7"/>
        <v>827</v>
      </c>
      <c r="K10" s="3">
        <f t="shared" si="8"/>
        <v>828</v>
      </c>
      <c r="L10" s="3">
        <f t="shared" si="9"/>
        <v>917</v>
      </c>
      <c r="M10" s="3">
        <f t="shared" si="10"/>
        <v>916</v>
      </c>
      <c r="N10" s="3">
        <f t="shared" si="11"/>
        <v>973</v>
      </c>
      <c r="O10" s="3">
        <f t="shared" si="12"/>
        <v>854.08333333333337</v>
      </c>
      <c r="Q10" s="6">
        <v>6.14</v>
      </c>
      <c r="R10" s="6">
        <v>6.01</v>
      </c>
      <c r="S10" s="6">
        <v>5.89</v>
      </c>
      <c r="T10" s="6">
        <v>5.3</v>
      </c>
      <c r="U10" s="6">
        <v>4.75</v>
      </c>
      <c r="V10" s="6">
        <v>4.4400000000000004</v>
      </c>
      <c r="W10" s="6">
        <v>4.4000000000000004</v>
      </c>
      <c r="X10" s="6">
        <v>5.15</v>
      </c>
      <c r="Y10" s="6">
        <v>5.33</v>
      </c>
      <c r="Z10" s="6">
        <v>5.71</v>
      </c>
      <c r="AA10" s="6">
        <v>5.89</v>
      </c>
      <c r="AB10" s="51">
        <v>6.06</v>
      </c>
      <c r="AC10" s="55">
        <v>0.8</v>
      </c>
      <c r="AD10" s="53">
        <f>VLOOKUP($B10,Tabela1[[Cliente]:[Potência]],4,0)</f>
        <v>6.48</v>
      </c>
    </row>
    <row r="11" spans="1:30" x14ac:dyDescent="0.25">
      <c r="A11" s="120">
        <f t="shared" si="13"/>
        <v>9</v>
      </c>
      <c r="B11" s="49" t="s">
        <v>8</v>
      </c>
      <c r="C11" s="3">
        <f t="shared" ref="C11:N12" si="14">ROUNDDOWN($AD11*$AC11*(Q11*Q$2),0)</f>
        <v>328</v>
      </c>
      <c r="D11" s="3">
        <f t="shared" si="14"/>
        <v>290</v>
      </c>
      <c r="E11" s="3">
        <f t="shared" si="14"/>
        <v>315</v>
      </c>
      <c r="F11" s="3">
        <f t="shared" si="14"/>
        <v>274</v>
      </c>
      <c r="G11" s="3">
        <f t="shared" si="14"/>
        <v>254</v>
      </c>
      <c r="H11" s="3">
        <f t="shared" si="14"/>
        <v>230</v>
      </c>
      <c r="I11" s="3">
        <f t="shared" si="14"/>
        <v>235</v>
      </c>
      <c r="J11" s="3">
        <f t="shared" si="14"/>
        <v>275</v>
      </c>
      <c r="K11" s="3">
        <f t="shared" si="14"/>
        <v>276</v>
      </c>
      <c r="L11" s="3">
        <f t="shared" si="14"/>
        <v>305</v>
      </c>
      <c r="M11" s="3">
        <f t="shared" si="14"/>
        <v>305</v>
      </c>
      <c r="N11" s="3">
        <f t="shared" si="14"/>
        <v>324</v>
      </c>
      <c r="O11" s="3">
        <f>AVERAGE(C11:N11)</f>
        <v>284.25</v>
      </c>
      <c r="Q11" s="6">
        <v>6.14</v>
      </c>
      <c r="R11" s="6">
        <v>6.01</v>
      </c>
      <c r="S11" s="6">
        <v>5.89</v>
      </c>
      <c r="T11" s="6">
        <v>5.3</v>
      </c>
      <c r="U11" s="6">
        <v>4.75</v>
      </c>
      <c r="V11" s="6">
        <v>4.4400000000000004</v>
      </c>
      <c r="W11" s="6">
        <v>4.4000000000000004</v>
      </c>
      <c r="X11" s="6">
        <v>5.15</v>
      </c>
      <c r="Y11" s="6">
        <v>5.33</v>
      </c>
      <c r="Z11" s="6">
        <v>5.71</v>
      </c>
      <c r="AA11" s="6">
        <v>5.89</v>
      </c>
      <c r="AB11" s="51">
        <v>6.06</v>
      </c>
      <c r="AC11" s="55">
        <v>0.8</v>
      </c>
      <c r="AD11" s="53">
        <f>VLOOKUP($B11,Tabela1[[Cliente]:[Potência]],4,0)</f>
        <v>2.16</v>
      </c>
    </row>
    <row r="12" spans="1:30" x14ac:dyDescent="0.25">
      <c r="A12" s="120">
        <f t="shared" si="13"/>
        <v>10</v>
      </c>
      <c r="B12" s="49" t="s">
        <v>161</v>
      </c>
      <c r="C12" s="3">
        <f t="shared" si="14"/>
        <v>452</v>
      </c>
      <c r="D12" s="3">
        <f t="shared" si="14"/>
        <v>399</v>
      </c>
      <c r="E12" s="3">
        <f t="shared" si="14"/>
        <v>433</v>
      </c>
      <c r="F12" s="3">
        <f t="shared" si="14"/>
        <v>377</v>
      </c>
      <c r="G12" s="3">
        <f t="shared" si="14"/>
        <v>349</v>
      </c>
      <c r="H12" s="3">
        <f t="shared" si="14"/>
        <v>316</v>
      </c>
      <c r="I12" s="3">
        <f t="shared" si="14"/>
        <v>324</v>
      </c>
      <c r="J12" s="3">
        <f t="shared" si="14"/>
        <v>379</v>
      </c>
      <c r="K12" s="3">
        <f t="shared" si="14"/>
        <v>379</v>
      </c>
      <c r="L12" s="3">
        <f t="shared" si="14"/>
        <v>420</v>
      </c>
      <c r="M12" s="3">
        <f t="shared" si="14"/>
        <v>419</v>
      </c>
      <c r="N12" s="3">
        <f t="shared" si="14"/>
        <v>446</v>
      </c>
      <c r="O12" s="3">
        <f>AVERAGE(C12:N12)</f>
        <v>391.08333333333331</v>
      </c>
      <c r="Q12" s="6">
        <v>6.14</v>
      </c>
      <c r="R12" s="6">
        <v>6.01</v>
      </c>
      <c r="S12" s="6">
        <v>5.89</v>
      </c>
      <c r="T12" s="6">
        <v>5.3</v>
      </c>
      <c r="U12" s="6">
        <v>4.75</v>
      </c>
      <c r="V12" s="6">
        <v>4.4400000000000004</v>
      </c>
      <c r="W12" s="6">
        <v>4.4000000000000004</v>
      </c>
      <c r="X12" s="6">
        <v>5.15</v>
      </c>
      <c r="Y12" s="6">
        <v>5.33</v>
      </c>
      <c r="Z12" s="6">
        <v>5.71</v>
      </c>
      <c r="AA12" s="6">
        <v>5.89</v>
      </c>
      <c r="AB12" s="51">
        <v>6.06</v>
      </c>
      <c r="AC12" s="55">
        <v>0.8</v>
      </c>
      <c r="AD12" s="53">
        <f>VLOOKUP($B12,Tabela1[[Cliente]:[Potência]],4,0)</f>
        <v>2.97</v>
      </c>
    </row>
    <row r="13" spans="1:30" x14ac:dyDescent="0.25">
      <c r="A13" s="120">
        <f t="shared" si="13"/>
        <v>11</v>
      </c>
      <c r="B13" s="49" t="s">
        <v>9</v>
      </c>
      <c r="C13" s="3">
        <f t="shared" si="0"/>
        <v>351</v>
      </c>
      <c r="D13" s="3">
        <f t="shared" si="1"/>
        <v>310</v>
      </c>
      <c r="E13" s="3">
        <f t="shared" si="2"/>
        <v>337</v>
      </c>
      <c r="F13" s="3">
        <f t="shared" si="3"/>
        <v>293</v>
      </c>
      <c r="G13" s="3">
        <f t="shared" si="4"/>
        <v>272</v>
      </c>
      <c r="H13" s="3">
        <f t="shared" si="5"/>
        <v>246</v>
      </c>
      <c r="I13" s="3">
        <f t="shared" si="6"/>
        <v>252</v>
      </c>
      <c r="J13" s="3">
        <f t="shared" si="7"/>
        <v>295</v>
      </c>
      <c r="K13" s="3">
        <f t="shared" si="8"/>
        <v>295</v>
      </c>
      <c r="L13" s="3">
        <f t="shared" si="9"/>
        <v>327</v>
      </c>
      <c r="M13" s="3">
        <f t="shared" si="10"/>
        <v>326</v>
      </c>
      <c r="N13" s="3">
        <f t="shared" si="11"/>
        <v>347</v>
      </c>
      <c r="O13" s="3">
        <f t="shared" si="12"/>
        <v>304.25</v>
      </c>
      <c r="Q13" s="6">
        <v>6.14</v>
      </c>
      <c r="R13" s="6">
        <v>6.01</v>
      </c>
      <c r="S13" s="6">
        <v>5.89</v>
      </c>
      <c r="T13" s="6">
        <v>5.3</v>
      </c>
      <c r="U13" s="6">
        <v>4.75</v>
      </c>
      <c r="V13" s="6">
        <v>4.4400000000000004</v>
      </c>
      <c r="W13" s="6">
        <v>4.4000000000000004</v>
      </c>
      <c r="X13" s="6">
        <v>5.15</v>
      </c>
      <c r="Y13" s="6">
        <v>5.33</v>
      </c>
      <c r="Z13" s="6">
        <v>5.71</v>
      </c>
      <c r="AA13" s="6">
        <v>5.89</v>
      </c>
      <c r="AB13" s="51">
        <v>6.06</v>
      </c>
      <c r="AC13" s="55">
        <v>0.8</v>
      </c>
      <c r="AD13" s="53">
        <f>VLOOKUP($B13,Tabela1[[Cliente]:[Potência]],4,0)</f>
        <v>2.31</v>
      </c>
    </row>
    <row r="14" spans="1:30" x14ac:dyDescent="0.25">
      <c r="A14" s="120">
        <f t="shared" si="13"/>
        <v>12</v>
      </c>
      <c r="B14" s="49" t="s">
        <v>71</v>
      </c>
      <c r="C14" s="3">
        <f t="shared" si="0"/>
        <v>452</v>
      </c>
      <c r="D14" s="3">
        <f t="shared" si="1"/>
        <v>399</v>
      </c>
      <c r="E14" s="3">
        <f t="shared" si="2"/>
        <v>433</v>
      </c>
      <c r="F14" s="3">
        <f t="shared" si="3"/>
        <v>377</v>
      </c>
      <c r="G14" s="3">
        <f t="shared" si="4"/>
        <v>349</v>
      </c>
      <c r="H14" s="3">
        <f t="shared" si="5"/>
        <v>316</v>
      </c>
      <c r="I14" s="3">
        <f t="shared" si="6"/>
        <v>324</v>
      </c>
      <c r="J14" s="3">
        <f t="shared" si="7"/>
        <v>379</v>
      </c>
      <c r="K14" s="3">
        <f t="shared" si="8"/>
        <v>379</v>
      </c>
      <c r="L14" s="3">
        <f t="shared" si="9"/>
        <v>420</v>
      </c>
      <c r="M14" s="3">
        <f t="shared" si="10"/>
        <v>419</v>
      </c>
      <c r="N14" s="3">
        <f t="shared" si="11"/>
        <v>446</v>
      </c>
      <c r="O14" s="3">
        <f t="shared" si="12"/>
        <v>391.08333333333331</v>
      </c>
      <c r="Q14" s="6">
        <v>6.14</v>
      </c>
      <c r="R14" s="6">
        <v>6.01</v>
      </c>
      <c r="S14" s="6">
        <v>5.89</v>
      </c>
      <c r="T14" s="6">
        <v>5.3</v>
      </c>
      <c r="U14" s="6">
        <v>4.75</v>
      </c>
      <c r="V14" s="6">
        <v>4.4400000000000004</v>
      </c>
      <c r="W14" s="6">
        <v>4.4000000000000004</v>
      </c>
      <c r="X14" s="6">
        <v>5.15</v>
      </c>
      <c r="Y14" s="6">
        <v>5.33</v>
      </c>
      <c r="Z14" s="6">
        <v>5.71</v>
      </c>
      <c r="AA14" s="6">
        <v>5.89</v>
      </c>
      <c r="AB14" s="51">
        <v>6.06</v>
      </c>
      <c r="AC14" s="55">
        <v>0.8</v>
      </c>
      <c r="AD14" s="53">
        <f>VLOOKUP($B14,Tabela1[[Cliente]:[Potência]],4,0)</f>
        <v>2.97</v>
      </c>
    </row>
    <row r="15" spans="1:30" x14ac:dyDescent="0.25">
      <c r="A15" s="120">
        <f t="shared" si="13"/>
        <v>13</v>
      </c>
      <c r="B15" s="49" t="s">
        <v>10</v>
      </c>
      <c r="C15" s="3">
        <f t="shared" si="0"/>
        <v>500</v>
      </c>
      <c r="D15" s="3">
        <f t="shared" si="1"/>
        <v>450</v>
      </c>
      <c r="E15" s="3">
        <f t="shared" si="2"/>
        <v>474</v>
      </c>
      <c r="F15" s="3">
        <f t="shared" si="3"/>
        <v>401</v>
      </c>
      <c r="G15" s="3">
        <f t="shared" si="4"/>
        <v>353</v>
      </c>
      <c r="H15" s="3">
        <f t="shared" si="5"/>
        <v>292</v>
      </c>
      <c r="I15" s="3">
        <f t="shared" si="6"/>
        <v>332</v>
      </c>
      <c r="J15" s="3">
        <f t="shared" si="7"/>
        <v>384</v>
      </c>
      <c r="K15" s="3">
        <f t="shared" si="8"/>
        <v>366</v>
      </c>
      <c r="L15" s="3">
        <f t="shared" si="9"/>
        <v>440</v>
      </c>
      <c r="M15" s="3">
        <f t="shared" si="10"/>
        <v>478</v>
      </c>
      <c r="N15" s="3">
        <f t="shared" si="11"/>
        <v>509</v>
      </c>
      <c r="O15" s="3">
        <f t="shared" si="12"/>
        <v>414.91666666666669</v>
      </c>
      <c r="Q15" s="6">
        <v>5.76</v>
      </c>
      <c r="R15" s="6">
        <v>5.73</v>
      </c>
      <c r="S15" s="6">
        <v>5.46</v>
      </c>
      <c r="T15" s="6">
        <v>4.7699999999999996</v>
      </c>
      <c r="U15" s="6">
        <v>4.0599999999999996</v>
      </c>
      <c r="V15" s="6">
        <v>3.47</v>
      </c>
      <c r="W15" s="6">
        <v>3.82</v>
      </c>
      <c r="X15" s="6">
        <v>4.42</v>
      </c>
      <c r="Y15" s="6">
        <v>4.3499999999999996</v>
      </c>
      <c r="Z15" s="6">
        <v>5.07</v>
      </c>
      <c r="AA15" s="6">
        <v>5.69</v>
      </c>
      <c r="AB15" s="51">
        <v>5.86</v>
      </c>
      <c r="AC15" s="55">
        <v>0.85</v>
      </c>
      <c r="AD15" s="53">
        <f>VLOOKUP($B15,Tabela1[[Cliente]:[Potência]],4,0)</f>
        <v>3.3</v>
      </c>
    </row>
    <row r="16" spans="1:30" x14ac:dyDescent="0.25">
      <c r="A16" s="120">
        <f t="shared" si="13"/>
        <v>14</v>
      </c>
      <c r="B16" s="49" t="s">
        <v>11</v>
      </c>
      <c r="C16" s="3">
        <f t="shared" si="0"/>
        <v>2121</v>
      </c>
      <c r="D16" s="3">
        <f t="shared" si="1"/>
        <v>1906</v>
      </c>
      <c r="E16" s="3">
        <f t="shared" si="2"/>
        <v>2010</v>
      </c>
      <c r="F16" s="3">
        <f t="shared" si="3"/>
        <v>1700</v>
      </c>
      <c r="G16" s="3">
        <f t="shared" si="4"/>
        <v>1495</v>
      </c>
      <c r="H16" s="3">
        <f t="shared" si="5"/>
        <v>1236</v>
      </c>
      <c r="I16" s="3">
        <f t="shared" si="6"/>
        <v>1406</v>
      </c>
      <c r="J16" s="3">
        <f t="shared" si="7"/>
        <v>1627</v>
      </c>
      <c r="K16" s="3">
        <f t="shared" si="8"/>
        <v>1550</v>
      </c>
      <c r="L16" s="3">
        <f t="shared" si="9"/>
        <v>1867</v>
      </c>
      <c r="M16" s="3">
        <f t="shared" si="10"/>
        <v>2027</v>
      </c>
      <c r="N16" s="3">
        <f t="shared" si="11"/>
        <v>2158</v>
      </c>
      <c r="O16" s="3">
        <f t="shared" si="12"/>
        <v>1758.5833333333333</v>
      </c>
      <c r="Q16" s="6">
        <v>5.76</v>
      </c>
      <c r="R16" s="6">
        <v>5.73</v>
      </c>
      <c r="S16" s="6">
        <v>5.46</v>
      </c>
      <c r="T16" s="6">
        <v>4.7699999999999996</v>
      </c>
      <c r="U16" s="6">
        <v>4.0599999999999996</v>
      </c>
      <c r="V16" s="6">
        <v>3.47</v>
      </c>
      <c r="W16" s="6">
        <v>3.82</v>
      </c>
      <c r="X16" s="6">
        <v>4.42</v>
      </c>
      <c r="Y16" s="6">
        <v>4.3499999999999996</v>
      </c>
      <c r="Z16" s="6">
        <v>5.07</v>
      </c>
      <c r="AA16" s="6">
        <v>5.69</v>
      </c>
      <c r="AB16" s="51">
        <v>5.86</v>
      </c>
      <c r="AC16" s="55">
        <v>0.75</v>
      </c>
      <c r="AD16" s="53">
        <f>VLOOKUP($B16,Tabela1[[Cliente]:[Potência]],4,0)</f>
        <v>15.84</v>
      </c>
    </row>
    <row r="17" spans="1:30" x14ac:dyDescent="0.25">
      <c r="A17" s="120">
        <f t="shared" si="13"/>
        <v>15</v>
      </c>
      <c r="B17" s="49" t="s">
        <v>12</v>
      </c>
      <c r="C17" s="3">
        <f t="shared" si="0"/>
        <v>3205</v>
      </c>
      <c r="D17" s="3">
        <f t="shared" si="1"/>
        <v>2880</v>
      </c>
      <c r="E17" s="3">
        <f t="shared" si="2"/>
        <v>3038</v>
      </c>
      <c r="F17" s="3">
        <f t="shared" si="3"/>
        <v>2568</v>
      </c>
      <c r="G17" s="3">
        <f t="shared" si="4"/>
        <v>2259</v>
      </c>
      <c r="H17" s="3">
        <f t="shared" si="5"/>
        <v>1868</v>
      </c>
      <c r="I17" s="3">
        <f t="shared" si="6"/>
        <v>2125</v>
      </c>
      <c r="J17" s="3">
        <f t="shared" si="7"/>
        <v>2459</v>
      </c>
      <c r="K17" s="3">
        <f t="shared" si="8"/>
        <v>2342</v>
      </c>
      <c r="L17" s="3">
        <f t="shared" si="9"/>
        <v>2821</v>
      </c>
      <c r="M17" s="3">
        <f t="shared" si="10"/>
        <v>3064</v>
      </c>
      <c r="N17" s="3">
        <f t="shared" si="11"/>
        <v>3261</v>
      </c>
      <c r="O17" s="3">
        <f t="shared" si="12"/>
        <v>2657.5</v>
      </c>
      <c r="Q17" s="6">
        <v>5.76</v>
      </c>
      <c r="R17" s="6">
        <v>5.73</v>
      </c>
      <c r="S17" s="6">
        <v>5.46</v>
      </c>
      <c r="T17" s="6">
        <v>4.7699999999999996</v>
      </c>
      <c r="U17" s="6">
        <v>4.0599999999999996</v>
      </c>
      <c r="V17" s="6">
        <v>3.47</v>
      </c>
      <c r="W17" s="6">
        <v>3.82</v>
      </c>
      <c r="X17" s="6">
        <v>4.42</v>
      </c>
      <c r="Y17" s="6">
        <v>4.3499999999999996</v>
      </c>
      <c r="Z17" s="6">
        <v>5.07</v>
      </c>
      <c r="AA17" s="6">
        <v>5.69</v>
      </c>
      <c r="AB17" s="51">
        <v>5.86</v>
      </c>
      <c r="AC17" s="55">
        <v>0.85</v>
      </c>
      <c r="AD17" s="53">
        <f>VLOOKUP($B17,Tabela1[[Cliente]:[Potência]],4,0)</f>
        <v>21.12</v>
      </c>
    </row>
    <row r="18" spans="1:30" x14ac:dyDescent="0.25">
      <c r="A18" s="120">
        <f t="shared" si="13"/>
        <v>16</v>
      </c>
      <c r="B18" s="49" t="s">
        <v>72</v>
      </c>
      <c r="C18" s="3">
        <f t="shared" si="0"/>
        <v>3535</v>
      </c>
      <c r="D18" s="3">
        <f t="shared" si="1"/>
        <v>3176</v>
      </c>
      <c r="E18" s="3">
        <f t="shared" si="2"/>
        <v>3351</v>
      </c>
      <c r="F18" s="3">
        <f t="shared" si="3"/>
        <v>2833</v>
      </c>
      <c r="G18" s="3">
        <f t="shared" si="4"/>
        <v>2492</v>
      </c>
      <c r="H18" s="3">
        <f t="shared" si="5"/>
        <v>2061</v>
      </c>
      <c r="I18" s="3">
        <f t="shared" si="6"/>
        <v>2344</v>
      </c>
      <c r="J18" s="3">
        <f t="shared" si="7"/>
        <v>2712</v>
      </c>
      <c r="K18" s="3">
        <f t="shared" si="8"/>
        <v>2583</v>
      </c>
      <c r="L18" s="3">
        <f t="shared" si="9"/>
        <v>3111</v>
      </c>
      <c r="M18" s="3">
        <f t="shared" si="10"/>
        <v>3379</v>
      </c>
      <c r="N18" s="3">
        <f t="shared" si="11"/>
        <v>3596</v>
      </c>
      <c r="O18" s="3">
        <f t="shared" si="12"/>
        <v>2931.0833333333335</v>
      </c>
      <c r="Q18" s="6">
        <v>5.76</v>
      </c>
      <c r="R18" s="6">
        <v>5.73</v>
      </c>
      <c r="S18" s="6">
        <v>5.46</v>
      </c>
      <c r="T18" s="6">
        <v>4.7699999999999996</v>
      </c>
      <c r="U18" s="6">
        <v>4.0599999999999996</v>
      </c>
      <c r="V18" s="6">
        <v>3.47</v>
      </c>
      <c r="W18" s="6">
        <v>3.82</v>
      </c>
      <c r="X18" s="6">
        <v>4.42</v>
      </c>
      <c r="Y18" s="6">
        <v>4.3499999999999996</v>
      </c>
      <c r="Z18" s="6">
        <v>5.07</v>
      </c>
      <c r="AA18" s="6">
        <v>5.69</v>
      </c>
      <c r="AB18" s="51">
        <v>5.86</v>
      </c>
      <c r="AC18" s="55">
        <v>0.75</v>
      </c>
      <c r="AD18" s="53">
        <f>VLOOKUP($B18,Tabela1[[Cliente]:[Potência]],4,0)</f>
        <v>26.4</v>
      </c>
    </row>
    <row r="19" spans="1:30" x14ac:dyDescent="0.25">
      <c r="A19" s="120">
        <f t="shared" si="13"/>
        <v>17</v>
      </c>
      <c r="B19" s="49" t="s">
        <v>13</v>
      </c>
      <c r="C19" s="3">
        <f t="shared" si="0"/>
        <v>8149</v>
      </c>
      <c r="D19" s="3">
        <f t="shared" si="1"/>
        <v>7205</v>
      </c>
      <c r="E19" s="3">
        <f t="shared" si="2"/>
        <v>7818</v>
      </c>
      <c r="F19" s="3">
        <f t="shared" si="3"/>
        <v>6807</v>
      </c>
      <c r="G19" s="3">
        <f t="shared" si="4"/>
        <v>6304</v>
      </c>
      <c r="H19" s="3">
        <f t="shared" si="5"/>
        <v>5703</v>
      </c>
      <c r="I19" s="3">
        <f t="shared" si="6"/>
        <v>5840</v>
      </c>
      <c r="J19" s="3">
        <f t="shared" si="7"/>
        <v>6835</v>
      </c>
      <c r="K19" s="3">
        <f t="shared" si="8"/>
        <v>6846</v>
      </c>
      <c r="L19" s="3">
        <f t="shared" si="9"/>
        <v>7579</v>
      </c>
      <c r="M19" s="3">
        <f t="shared" si="10"/>
        <v>7565</v>
      </c>
      <c r="N19" s="3">
        <f t="shared" si="11"/>
        <v>8043</v>
      </c>
      <c r="O19" s="3">
        <f t="shared" si="12"/>
        <v>7057.833333333333</v>
      </c>
      <c r="Q19" s="6">
        <v>6.14</v>
      </c>
      <c r="R19" s="6">
        <v>6.01</v>
      </c>
      <c r="S19" s="6">
        <v>5.89</v>
      </c>
      <c r="T19" s="6">
        <v>5.3</v>
      </c>
      <c r="U19" s="6">
        <v>4.75</v>
      </c>
      <c r="V19" s="6">
        <v>4.4400000000000004</v>
      </c>
      <c r="W19" s="6">
        <v>4.4000000000000004</v>
      </c>
      <c r="X19" s="6">
        <v>5.15</v>
      </c>
      <c r="Y19" s="6">
        <v>5.33</v>
      </c>
      <c r="Z19" s="6">
        <v>5.71</v>
      </c>
      <c r="AA19" s="6">
        <v>5.89</v>
      </c>
      <c r="AB19" s="51">
        <v>6.06</v>
      </c>
      <c r="AC19" s="55">
        <v>0.75</v>
      </c>
      <c r="AD19" s="53">
        <f>VLOOKUP($B19,Tabela1[[Cliente]:[Potência]],4,0)</f>
        <v>57.09</v>
      </c>
    </row>
    <row r="20" spans="1:30" x14ac:dyDescent="0.25">
      <c r="A20" s="120">
        <f t="shared" si="13"/>
        <v>18</v>
      </c>
      <c r="B20" s="49" t="s">
        <v>73</v>
      </c>
      <c r="C20" s="3">
        <f t="shared" si="0"/>
        <v>8762</v>
      </c>
      <c r="D20" s="3">
        <f t="shared" si="1"/>
        <v>7746</v>
      </c>
      <c r="E20" s="3">
        <f t="shared" si="2"/>
        <v>8405</v>
      </c>
      <c r="F20" s="3">
        <f t="shared" si="3"/>
        <v>7319</v>
      </c>
      <c r="G20" s="3">
        <f t="shared" si="4"/>
        <v>6778</v>
      </c>
      <c r="H20" s="3">
        <f t="shared" si="5"/>
        <v>6131</v>
      </c>
      <c r="I20" s="3">
        <f t="shared" si="6"/>
        <v>6279</v>
      </c>
      <c r="J20" s="3">
        <f t="shared" si="7"/>
        <v>7349</v>
      </c>
      <c r="K20" s="3">
        <f t="shared" si="8"/>
        <v>7360</v>
      </c>
      <c r="L20" s="3">
        <f t="shared" si="9"/>
        <v>8148</v>
      </c>
      <c r="M20" s="3">
        <f t="shared" si="10"/>
        <v>8134</v>
      </c>
      <c r="N20" s="3">
        <f t="shared" si="11"/>
        <v>8648</v>
      </c>
      <c r="O20" s="3">
        <f t="shared" si="12"/>
        <v>7588.25</v>
      </c>
      <c r="Q20" s="6">
        <v>6.14</v>
      </c>
      <c r="R20" s="6">
        <v>6.01</v>
      </c>
      <c r="S20" s="6">
        <v>5.89</v>
      </c>
      <c r="T20" s="6">
        <v>5.3</v>
      </c>
      <c r="U20" s="6">
        <v>4.75</v>
      </c>
      <c r="V20" s="6">
        <v>4.4400000000000004</v>
      </c>
      <c r="W20" s="6">
        <v>4.4000000000000004</v>
      </c>
      <c r="X20" s="6">
        <v>5.15</v>
      </c>
      <c r="Y20" s="6">
        <v>5.33</v>
      </c>
      <c r="Z20" s="6">
        <v>5.71</v>
      </c>
      <c r="AA20" s="6">
        <v>5.89</v>
      </c>
      <c r="AB20" s="51">
        <v>6.06</v>
      </c>
      <c r="AC20" s="55">
        <v>0.75</v>
      </c>
      <c r="AD20" s="53">
        <f>VLOOKUP($B20,Tabela1[[Cliente]:[Potência]],4,0)</f>
        <v>61.38</v>
      </c>
    </row>
    <row r="21" spans="1:30" x14ac:dyDescent="0.25">
      <c r="A21" s="120">
        <f t="shared" si="13"/>
        <v>19</v>
      </c>
      <c r="B21" s="49" t="s">
        <v>14</v>
      </c>
      <c r="C21" s="3">
        <f t="shared" si="0"/>
        <v>901</v>
      </c>
      <c r="D21" s="3">
        <f t="shared" si="1"/>
        <v>810</v>
      </c>
      <c r="E21" s="3">
        <f t="shared" si="2"/>
        <v>854</v>
      </c>
      <c r="F21" s="3">
        <f t="shared" si="3"/>
        <v>722</v>
      </c>
      <c r="G21" s="3">
        <f t="shared" si="4"/>
        <v>635</v>
      </c>
      <c r="H21" s="3">
        <f t="shared" si="5"/>
        <v>525</v>
      </c>
      <c r="I21" s="3">
        <f t="shared" si="6"/>
        <v>597</v>
      </c>
      <c r="J21" s="3">
        <f t="shared" si="7"/>
        <v>691</v>
      </c>
      <c r="K21" s="3">
        <f t="shared" si="8"/>
        <v>658</v>
      </c>
      <c r="L21" s="3">
        <f t="shared" si="9"/>
        <v>793</v>
      </c>
      <c r="M21" s="3">
        <f t="shared" si="10"/>
        <v>861</v>
      </c>
      <c r="N21" s="3">
        <f t="shared" si="11"/>
        <v>917</v>
      </c>
      <c r="O21" s="3">
        <f t="shared" si="12"/>
        <v>747</v>
      </c>
      <c r="Q21" s="6">
        <v>5.76</v>
      </c>
      <c r="R21" s="6">
        <v>5.73</v>
      </c>
      <c r="S21" s="6">
        <v>5.46</v>
      </c>
      <c r="T21" s="6">
        <v>4.7699999999999996</v>
      </c>
      <c r="U21" s="6">
        <v>4.0599999999999996</v>
      </c>
      <c r="V21" s="6">
        <v>3.47</v>
      </c>
      <c r="W21" s="6">
        <v>3.82</v>
      </c>
      <c r="X21" s="6">
        <v>4.42</v>
      </c>
      <c r="Y21" s="6">
        <v>4.3499999999999996</v>
      </c>
      <c r="Z21" s="6">
        <v>5.07</v>
      </c>
      <c r="AA21" s="6">
        <v>5.69</v>
      </c>
      <c r="AB21" s="51">
        <v>5.86</v>
      </c>
      <c r="AC21" s="55">
        <v>0.85</v>
      </c>
      <c r="AD21" s="53">
        <f>VLOOKUP($B21,Tabela1[[Cliente]:[Potência]],4,0)</f>
        <v>5.94</v>
      </c>
    </row>
    <row r="22" spans="1:30" x14ac:dyDescent="0.25">
      <c r="A22" s="120">
        <f t="shared" si="13"/>
        <v>20</v>
      </c>
      <c r="B22" s="49" t="s">
        <v>15</v>
      </c>
      <c r="C22" s="3">
        <f t="shared" si="0"/>
        <v>895</v>
      </c>
      <c r="D22" s="3">
        <f t="shared" si="1"/>
        <v>804</v>
      </c>
      <c r="E22" s="3">
        <f t="shared" si="2"/>
        <v>849</v>
      </c>
      <c r="F22" s="3">
        <f t="shared" si="3"/>
        <v>717</v>
      </c>
      <c r="G22" s="3">
        <f t="shared" si="4"/>
        <v>631</v>
      </c>
      <c r="H22" s="3">
        <f t="shared" si="5"/>
        <v>522</v>
      </c>
      <c r="I22" s="3">
        <f t="shared" si="6"/>
        <v>593</v>
      </c>
      <c r="J22" s="3">
        <f t="shared" si="7"/>
        <v>687</v>
      </c>
      <c r="K22" s="3">
        <f t="shared" si="8"/>
        <v>654</v>
      </c>
      <c r="L22" s="3">
        <f t="shared" si="9"/>
        <v>788</v>
      </c>
      <c r="M22" s="3">
        <f t="shared" si="10"/>
        <v>856</v>
      </c>
      <c r="N22" s="3">
        <f t="shared" si="11"/>
        <v>911</v>
      </c>
      <c r="O22" s="3">
        <f t="shared" si="12"/>
        <v>742.25</v>
      </c>
      <c r="Q22" s="6">
        <v>5.76</v>
      </c>
      <c r="R22" s="6">
        <v>5.73</v>
      </c>
      <c r="S22" s="6">
        <v>5.46</v>
      </c>
      <c r="T22" s="6">
        <v>4.7699999999999996</v>
      </c>
      <c r="U22" s="6">
        <v>4.0599999999999996</v>
      </c>
      <c r="V22" s="6">
        <v>3.47</v>
      </c>
      <c r="W22" s="6">
        <v>3.82</v>
      </c>
      <c r="X22" s="6">
        <v>4.42</v>
      </c>
      <c r="Y22" s="6">
        <v>4.3499999999999996</v>
      </c>
      <c r="Z22" s="6">
        <v>5.07</v>
      </c>
      <c r="AA22" s="6">
        <v>5.69</v>
      </c>
      <c r="AB22" s="51">
        <v>5.86</v>
      </c>
      <c r="AC22" s="55">
        <v>0.8</v>
      </c>
      <c r="AD22" s="53">
        <f>VLOOKUP($B22,Tabela1[[Cliente]:[Potência]],4,0)</f>
        <v>6.27</v>
      </c>
    </row>
    <row r="23" spans="1:30" x14ac:dyDescent="0.25">
      <c r="A23" s="120">
        <f t="shared" si="13"/>
        <v>21</v>
      </c>
      <c r="B23" s="49" t="s">
        <v>16</v>
      </c>
      <c r="C23" s="3">
        <f t="shared" si="0"/>
        <v>701</v>
      </c>
      <c r="D23" s="3">
        <f t="shared" si="1"/>
        <v>630</v>
      </c>
      <c r="E23" s="3">
        <f t="shared" si="2"/>
        <v>664</v>
      </c>
      <c r="F23" s="3">
        <f t="shared" si="3"/>
        <v>561</v>
      </c>
      <c r="G23" s="3">
        <f t="shared" si="4"/>
        <v>494</v>
      </c>
      <c r="H23" s="3">
        <f t="shared" si="5"/>
        <v>408</v>
      </c>
      <c r="I23" s="3">
        <f t="shared" si="6"/>
        <v>465</v>
      </c>
      <c r="J23" s="3">
        <f t="shared" si="7"/>
        <v>538</v>
      </c>
      <c r="K23" s="3">
        <f t="shared" si="8"/>
        <v>512</v>
      </c>
      <c r="L23" s="3">
        <f t="shared" si="9"/>
        <v>617</v>
      </c>
      <c r="M23" s="3">
        <f t="shared" si="10"/>
        <v>670</v>
      </c>
      <c r="N23" s="3">
        <f t="shared" si="11"/>
        <v>713</v>
      </c>
      <c r="O23" s="3">
        <f t="shared" si="12"/>
        <v>581.08333333333337</v>
      </c>
      <c r="Q23" s="6">
        <v>5.76</v>
      </c>
      <c r="R23" s="6">
        <v>5.73</v>
      </c>
      <c r="S23" s="6">
        <v>5.46</v>
      </c>
      <c r="T23" s="6">
        <v>4.7699999999999996</v>
      </c>
      <c r="U23" s="6">
        <v>4.0599999999999996</v>
      </c>
      <c r="V23" s="6">
        <v>3.47</v>
      </c>
      <c r="W23" s="6">
        <v>3.82</v>
      </c>
      <c r="X23" s="6">
        <v>4.42</v>
      </c>
      <c r="Y23" s="6">
        <v>4.3499999999999996</v>
      </c>
      <c r="Z23" s="6">
        <v>5.07</v>
      </c>
      <c r="AA23" s="6">
        <v>5.69</v>
      </c>
      <c r="AB23" s="51">
        <v>5.86</v>
      </c>
      <c r="AC23" s="55">
        <v>0.85</v>
      </c>
      <c r="AD23" s="53">
        <f>VLOOKUP($B23,Tabela1[[Cliente]:[Potência]],4,0)</f>
        <v>4.62</v>
      </c>
    </row>
    <row r="24" spans="1:30" x14ac:dyDescent="0.25">
      <c r="A24" s="120">
        <f t="shared" si="13"/>
        <v>22</v>
      </c>
      <c r="B24" s="49" t="s">
        <v>17</v>
      </c>
      <c r="C24" s="3">
        <f t="shared" si="0"/>
        <v>1791</v>
      </c>
      <c r="D24" s="3">
        <f t="shared" si="1"/>
        <v>1609</v>
      </c>
      <c r="E24" s="3">
        <f t="shared" si="2"/>
        <v>1698</v>
      </c>
      <c r="F24" s="3">
        <f t="shared" si="3"/>
        <v>1435</v>
      </c>
      <c r="G24" s="3">
        <f t="shared" si="4"/>
        <v>1262</v>
      </c>
      <c r="H24" s="3">
        <f t="shared" si="5"/>
        <v>1044</v>
      </c>
      <c r="I24" s="3">
        <f t="shared" si="6"/>
        <v>1187</v>
      </c>
      <c r="J24" s="3">
        <f t="shared" si="7"/>
        <v>1374</v>
      </c>
      <c r="K24" s="3">
        <f t="shared" si="8"/>
        <v>1309</v>
      </c>
      <c r="L24" s="3">
        <f t="shared" si="9"/>
        <v>1576</v>
      </c>
      <c r="M24" s="3">
        <f t="shared" si="10"/>
        <v>1712</v>
      </c>
      <c r="N24" s="3">
        <f t="shared" si="11"/>
        <v>1822</v>
      </c>
      <c r="O24" s="3">
        <f t="shared" si="12"/>
        <v>1484.9166666666667</v>
      </c>
      <c r="Q24" s="6">
        <v>5.76</v>
      </c>
      <c r="R24" s="6">
        <v>5.73</v>
      </c>
      <c r="S24" s="6">
        <v>5.46</v>
      </c>
      <c r="T24" s="6">
        <v>4.7699999999999996</v>
      </c>
      <c r="U24" s="6">
        <v>4.0599999999999996</v>
      </c>
      <c r="V24" s="6">
        <v>3.47</v>
      </c>
      <c r="W24" s="6">
        <v>3.82</v>
      </c>
      <c r="X24" s="6">
        <v>4.42</v>
      </c>
      <c r="Y24" s="6">
        <v>4.3499999999999996</v>
      </c>
      <c r="Z24" s="6">
        <v>5.07</v>
      </c>
      <c r="AA24" s="6">
        <v>5.69</v>
      </c>
      <c r="AB24" s="51">
        <v>5.86</v>
      </c>
      <c r="AC24" s="55">
        <v>0.8</v>
      </c>
      <c r="AD24" s="53">
        <f>VLOOKUP($B24,Tabela1[[Cliente]:[Potência]],4,0)</f>
        <v>12.54</v>
      </c>
    </row>
    <row r="25" spans="1:30" x14ac:dyDescent="0.25">
      <c r="A25" s="120">
        <f t="shared" si="13"/>
        <v>23</v>
      </c>
      <c r="B25" s="49" t="s">
        <v>18</v>
      </c>
      <c r="C25" s="3">
        <f t="shared" si="0"/>
        <v>471</v>
      </c>
      <c r="D25" s="3">
        <f t="shared" si="1"/>
        <v>423</v>
      </c>
      <c r="E25" s="3">
        <f t="shared" si="2"/>
        <v>446</v>
      </c>
      <c r="F25" s="3">
        <f t="shared" si="3"/>
        <v>377</v>
      </c>
      <c r="G25" s="3">
        <f t="shared" si="4"/>
        <v>332</v>
      </c>
      <c r="H25" s="3">
        <f t="shared" si="5"/>
        <v>274</v>
      </c>
      <c r="I25" s="3">
        <f t="shared" si="6"/>
        <v>312</v>
      </c>
      <c r="J25" s="3">
        <f t="shared" si="7"/>
        <v>361</v>
      </c>
      <c r="K25" s="3">
        <f t="shared" si="8"/>
        <v>344</v>
      </c>
      <c r="L25" s="3">
        <f t="shared" si="9"/>
        <v>414</v>
      </c>
      <c r="M25" s="3">
        <f t="shared" si="10"/>
        <v>450</v>
      </c>
      <c r="N25" s="3">
        <f t="shared" si="11"/>
        <v>479</v>
      </c>
      <c r="O25" s="3">
        <f t="shared" si="12"/>
        <v>390.25</v>
      </c>
      <c r="Q25" s="6">
        <v>5.76</v>
      </c>
      <c r="R25" s="6">
        <v>5.73</v>
      </c>
      <c r="S25" s="6">
        <v>5.46</v>
      </c>
      <c r="T25" s="6">
        <v>4.7699999999999996</v>
      </c>
      <c r="U25" s="6">
        <v>4.0599999999999996</v>
      </c>
      <c r="V25" s="6">
        <v>3.47</v>
      </c>
      <c r="W25" s="6">
        <v>3.82</v>
      </c>
      <c r="X25" s="6">
        <v>4.42</v>
      </c>
      <c r="Y25" s="6">
        <v>4.3499999999999996</v>
      </c>
      <c r="Z25" s="6">
        <v>5.07</v>
      </c>
      <c r="AA25" s="6">
        <v>5.69</v>
      </c>
      <c r="AB25" s="51">
        <v>5.86</v>
      </c>
      <c r="AC25" s="55">
        <v>0.8</v>
      </c>
      <c r="AD25" s="53">
        <f>VLOOKUP($B25,Tabela1[[Cliente]:[Potência]],4,0)</f>
        <v>3.3</v>
      </c>
    </row>
    <row r="26" spans="1:30" x14ac:dyDescent="0.25">
      <c r="A26" s="120">
        <f t="shared" si="13"/>
        <v>24</v>
      </c>
      <c r="B26" s="49" t="s">
        <v>74</v>
      </c>
      <c r="C26" s="3">
        <f t="shared" si="0"/>
        <v>565</v>
      </c>
      <c r="D26" s="3">
        <f t="shared" si="1"/>
        <v>508</v>
      </c>
      <c r="E26" s="3">
        <f t="shared" si="2"/>
        <v>536</v>
      </c>
      <c r="F26" s="3">
        <f t="shared" si="3"/>
        <v>453</v>
      </c>
      <c r="G26" s="3">
        <f t="shared" si="4"/>
        <v>398</v>
      </c>
      <c r="H26" s="3">
        <f t="shared" si="5"/>
        <v>329</v>
      </c>
      <c r="I26" s="3">
        <f t="shared" si="6"/>
        <v>375</v>
      </c>
      <c r="J26" s="3">
        <f t="shared" si="7"/>
        <v>434</v>
      </c>
      <c r="K26" s="3">
        <f t="shared" si="8"/>
        <v>413</v>
      </c>
      <c r="L26" s="3">
        <f t="shared" si="9"/>
        <v>497</v>
      </c>
      <c r="M26" s="3">
        <f t="shared" si="10"/>
        <v>540</v>
      </c>
      <c r="N26" s="3">
        <f t="shared" si="11"/>
        <v>575</v>
      </c>
      <c r="O26" s="3">
        <f t="shared" si="12"/>
        <v>468.58333333333331</v>
      </c>
      <c r="Q26" s="6">
        <v>5.76</v>
      </c>
      <c r="R26" s="6">
        <v>5.73</v>
      </c>
      <c r="S26" s="6">
        <v>5.46</v>
      </c>
      <c r="T26" s="6">
        <v>4.7699999999999996</v>
      </c>
      <c r="U26" s="6">
        <v>4.0599999999999996</v>
      </c>
      <c r="V26" s="6">
        <v>3.47</v>
      </c>
      <c r="W26" s="6">
        <v>3.82</v>
      </c>
      <c r="X26" s="6">
        <v>4.42</v>
      </c>
      <c r="Y26" s="6">
        <v>4.3499999999999996</v>
      </c>
      <c r="Z26" s="6">
        <v>5.07</v>
      </c>
      <c r="AA26" s="6">
        <v>5.69</v>
      </c>
      <c r="AB26" s="51">
        <v>5.86</v>
      </c>
      <c r="AC26" s="55">
        <v>0.8</v>
      </c>
      <c r="AD26" s="53">
        <f>VLOOKUP($B26,Tabela1[[Cliente]:[Potência]],4,0)</f>
        <v>3.96</v>
      </c>
    </row>
    <row r="27" spans="1:30" x14ac:dyDescent="0.25">
      <c r="A27" s="120">
        <f t="shared" si="13"/>
        <v>25</v>
      </c>
      <c r="B27" s="49" t="s">
        <v>19</v>
      </c>
      <c r="C27" s="3">
        <f t="shared" si="0"/>
        <v>1468</v>
      </c>
      <c r="D27" s="3">
        <f t="shared" si="1"/>
        <v>1233</v>
      </c>
      <c r="E27" s="3">
        <f t="shared" si="2"/>
        <v>1159</v>
      </c>
      <c r="F27" s="3">
        <f t="shared" si="3"/>
        <v>884</v>
      </c>
      <c r="G27" s="3">
        <f t="shared" si="4"/>
        <v>694</v>
      </c>
      <c r="H27" s="3">
        <f t="shared" si="5"/>
        <v>547</v>
      </c>
      <c r="I27" s="3">
        <f t="shared" si="6"/>
        <v>632</v>
      </c>
      <c r="J27" s="3">
        <f t="shared" si="7"/>
        <v>811</v>
      </c>
      <c r="K27" s="3">
        <f t="shared" si="8"/>
        <v>860</v>
      </c>
      <c r="L27" s="3">
        <f t="shared" si="9"/>
        <v>1154</v>
      </c>
      <c r="M27" s="3">
        <f t="shared" si="10"/>
        <v>1390</v>
      </c>
      <c r="N27" s="3">
        <f t="shared" si="11"/>
        <v>1526</v>
      </c>
      <c r="O27" s="3">
        <f t="shared" si="12"/>
        <v>1029.8333333333333</v>
      </c>
      <c r="Q27" s="6">
        <v>6.41</v>
      </c>
      <c r="R27" s="6">
        <v>5.96</v>
      </c>
      <c r="S27" s="6">
        <v>5.0599999999999996</v>
      </c>
      <c r="T27" s="6">
        <v>3.99</v>
      </c>
      <c r="U27" s="6">
        <v>3.03</v>
      </c>
      <c r="V27" s="6">
        <v>2.4700000000000002</v>
      </c>
      <c r="W27" s="6">
        <v>2.76</v>
      </c>
      <c r="X27" s="6">
        <v>3.54</v>
      </c>
      <c r="Y27" s="6">
        <v>3.88</v>
      </c>
      <c r="Z27" s="6">
        <v>5.04</v>
      </c>
      <c r="AA27" s="6">
        <v>6.27</v>
      </c>
      <c r="AB27" s="51">
        <v>6.66</v>
      </c>
      <c r="AC27" s="55">
        <v>0.8</v>
      </c>
      <c r="AD27" s="53">
        <f>VLOOKUP($B27,Tabela1[[Cliente]:[Potência]],4,0)</f>
        <v>9.24</v>
      </c>
    </row>
    <row r="28" spans="1:30" x14ac:dyDescent="0.25">
      <c r="A28" s="120">
        <f t="shared" si="13"/>
        <v>26</v>
      </c>
      <c r="B28" s="49" t="s">
        <v>20</v>
      </c>
      <c r="C28" s="3">
        <f t="shared" si="0"/>
        <v>8678</v>
      </c>
      <c r="D28" s="3">
        <f t="shared" si="1"/>
        <v>7797</v>
      </c>
      <c r="E28" s="3">
        <f t="shared" si="2"/>
        <v>8226</v>
      </c>
      <c r="F28" s="3">
        <f t="shared" si="3"/>
        <v>6954</v>
      </c>
      <c r="G28" s="3">
        <f t="shared" si="4"/>
        <v>6116</v>
      </c>
      <c r="H28" s="3">
        <f t="shared" si="5"/>
        <v>5059</v>
      </c>
      <c r="I28" s="3">
        <f t="shared" si="6"/>
        <v>5755</v>
      </c>
      <c r="J28" s="3">
        <f t="shared" si="7"/>
        <v>6659</v>
      </c>
      <c r="K28" s="3">
        <f t="shared" si="8"/>
        <v>6342</v>
      </c>
      <c r="L28" s="3">
        <f t="shared" si="9"/>
        <v>7638</v>
      </c>
      <c r="M28" s="3">
        <f t="shared" si="10"/>
        <v>8296</v>
      </c>
      <c r="N28" s="3">
        <f t="shared" si="11"/>
        <v>8828</v>
      </c>
      <c r="O28" s="3">
        <f t="shared" si="12"/>
        <v>7195.666666666667</v>
      </c>
      <c r="Q28" s="6">
        <v>5.76</v>
      </c>
      <c r="R28" s="6">
        <v>5.73</v>
      </c>
      <c r="S28" s="6">
        <v>5.46</v>
      </c>
      <c r="T28" s="6">
        <v>4.7699999999999996</v>
      </c>
      <c r="U28" s="6">
        <v>4.0599999999999996</v>
      </c>
      <c r="V28" s="6">
        <v>3.47</v>
      </c>
      <c r="W28" s="6">
        <v>3.82</v>
      </c>
      <c r="X28" s="6">
        <v>4.42</v>
      </c>
      <c r="Y28" s="6">
        <v>4.3499999999999996</v>
      </c>
      <c r="Z28" s="6">
        <v>5.07</v>
      </c>
      <c r="AA28" s="6">
        <v>5.69</v>
      </c>
      <c r="AB28" s="51">
        <v>5.86</v>
      </c>
      <c r="AC28" s="55">
        <v>0.75</v>
      </c>
      <c r="AD28" s="53">
        <f>VLOOKUP($B28,Tabela1[[Cliente]:[Potência]],4,0)</f>
        <v>64.8</v>
      </c>
    </row>
    <row r="29" spans="1:30" x14ac:dyDescent="0.25">
      <c r="A29" s="120">
        <f t="shared" si="13"/>
        <v>27</v>
      </c>
      <c r="B29" s="49" t="s">
        <v>21</v>
      </c>
      <c r="C29" s="3">
        <f t="shared" si="0"/>
        <v>5276</v>
      </c>
      <c r="D29" s="3">
        <f t="shared" si="1"/>
        <v>4740</v>
      </c>
      <c r="E29" s="3">
        <f t="shared" si="2"/>
        <v>5001</v>
      </c>
      <c r="F29" s="3">
        <f t="shared" si="3"/>
        <v>4228</v>
      </c>
      <c r="G29" s="3">
        <f t="shared" si="4"/>
        <v>3719</v>
      </c>
      <c r="H29" s="3">
        <f t="shared" si="5"/>
        <v>3076</v>
      </c>
      <c r="I29" s="3">
        <f t="shared" si="6"/>
        <v>3499</v>
      </c>
      <c r="J29" s="3">
        <f t="shared" si="7"/>
        <v>4048</v>
      </c>
      <c r="K29" s="3">
        <f t="shared" si="8"/>
        <v>3856</v>
      </c>
      <c r="L29" s="3">
        <f t="shared" si="9"/>
        <v>4644</v>
      </c>
      <c r="M29" s="3">
        <f t="shared" si="10"/>
        <v>5043</v>
      </c>
      <c r="N29" s="3">
        <f t="shared" si="11"/>
        <v>5367</v>
      </c>
      <c r="O29" s="3">
        <f t="shared" si="12"/>
        <v>4374.75</v>
      </c>
      <c r="Q29" s="6">
        <v>5.76</v>
      </c>
      <c r="R29" s="6">
        <v>5.73</v>
      </c>
      <c r="S29" s="6">
        <v>5.46</v>
      </c>
      <c r="T29" s="6">
        <v>4.7699999999999996</v>
      </c>
      <c r="U29" s="6">
        <v>4.0599999999999996</v>
      </c>
      <c r="V29" s="6">
        <v>3.47</v>
      </c>
      <c r="W29" s="6">
        <v>3.82</v>
      </c>
      <c r="X29" s="6">
        <v>4.42</v>
      </c>
      <c r="Y29" s="6">
        <v>4.3499999999999996</v>
      </c>
      <c r="Z29" s="6">
        <v>5.07</v>
      </c>
      <c r="AA29" s="6">
        <v>5.69</v>
      </c>
      <c r="AB29" s="51">
        <v>5.86</v>
      </c>
      <c r="AC29" s="55">
        <v>0.76</v>
      </c>
      <c r="AD29" s="53">
        <f>VLOOKUP($B29,Tabela1[[Cliente]:[Potência]],4,0)</f>
        <v>38.880000000000003</v>
      </c>
    </row>
    <row r="30" spans="1:30" x14ac:dyDescent="0.25">
      <c r="A30" s="120">
        <f t="shared" si="13"/>
        <v>28</v>
      </c>
      <c r="B30" s="49" t="s">
        <v>22</v>
      </c>
      <c r="C30" s="3">
        <f t="shared" si="0"/>
        <v>530</v>
      </c>
      <c r="D30" s="3">
        <f t="shared" si="1"/>
        <v>476</v>
      </c>
      <c r="E30" s="3">
        <f t="shared" si="2"/>
        <v>502</v>
      </c>
      <c r="F30" s="3">
        <f t="shared" si="3"/>
        <v>425</v>
      </c>
      <c r="G30" s="3">
        <f t="shared" si="4"/>
        <v>373</v>
      </c>
      <c r="H30" s="3">
        <f t="shared" si="5"/>
        <v>309</v>
      </c>
      <c r="I30" s="3">
        <f t="shared" si="6"/>
        <v>351</v>
      </c>
      <c r="J30" s="3">
        <f t="shared" si="7"/>
        <v>406</v>
      </c>
      <c r="K30" s="3">
        <f t="shared" si="8"/>
        <v>387</v>
      </c>
      <c r="L30" s="3">
        <f t="shared" si="9"/>
        <v>466</v>
      </c>
      <c r="M30" s="3">
        <f t="shared" si="10"/>
        <v>506</v>
      </c>
      <c r="N30" s="3">
        <f t="shared" si="11"/>
        <v>539</v>
      </c>
      <c r="O30" s="3">
        <f t="shared" si="12"/>
        <v>439.16666666666669</v>
      </c>
      <c r="Q30" s="6">
        <v>5.76</v>
      </c>
      <c r="R30" s="6">
        <v>5.73</v>
      </c>
      <c r="S30" s="6">
        <v>5.46</v>
      </c>
      <c r="T30" s="6">
        <v>4.7699999999999996</v>
      </c>
      <c r="U30" s="6">
        <v>4.0599999999999996</v>
      </c>
      <c r="V30" s="6">
        <v>3.47</v>
      </c>
      <c r="W30" s="6">
        <v>3.82</v>
      </c>
      <c r="X30" s="6">
        <v>4.42</v>
      </c>
      <c r="Y30" s="6">
        <v>4.3499999999999996</v>
      </c>
      <c r="Z30" s="6">
        <v>5.07</v>
      </c>
      <c r="AA30" s="6">
        <v>5.69</v>
      </c>
      <c r="AB30" s="51">
        <v>5.86</v>
      </c>
      <c r="AC30" s="55">
        <v>0.75</v>
      </c>
      <c r="AD30" s="53">
        <f>VLOOKUP($B30,Tabela1[[Cliente]:[Potência]],4,0)</f>
        <v>3.96</v>
      </c>
    </row>
    <row r="31" spans="1:30" x14ac:dyDescent="0.25">
      <c r="A31" s="120">
        <f t="shared" si="13"/>
        <v>29</v>
      </c>
      <c r="B31" s="49" t="s">
        <v>23</v>
      </c>
      <c r="C31" s="3">
        <f t="shared" si="0"/>
        <v>801</v>
      </c>
      <c r="D31" s="3">
        <f t="shared" si="1"/>
        <v>723</v>
      </c>
      <c r="E31" s="3">
        <f t="shared" si="2"/>
        <v>749</v>
      </c>
      <c r="F31" s="3">
        <f t="shared" si="3"/>
        <v>646</v>
      </c>
      <c r="G31" s="3">
        <f t="shared" si="4"/>
        <v>566</v>
      </c>
      <c r="H31" s="3">
        <f t="shared" si="5"/>
        <v>471</v>
      </c>
      <c r="I31" s="3">
        <f t="shared" si="6"/>
        <v>537</v>
      </c>
      <c r="J31" s="3">
        <f t="shared" si="7"/>
        <v>626</v>
      </c>
      <c r="K31" s="3">
        <f t="shared" si="8"/>
        <v>586</v>
      </c>
      <c r="L31" s="3">
        <f t="shared" si="9"/>
        <v>701</v>
      </c>
      <c r="M31" s="3">
        <f t="shared" si="10"/>
        <v>761</v>
      </c>
      <c r="N31" s="3">
        <f t="shared" si="11"/>
        <v>806</v>
      </c>
      <c r="O31" s="3">
        <f t="shared" si="12"/>
        <v>664.41666666666663</v>
      </c>
      <c r="Q31" s="6">
        <v>5.8</v>
      </c>
      <c r="R31" s="6">
        <v>5.8</v>
      </c>
      <c r="S31" s="6">
        <v>5.43</v>
      </c>
      <c r="T31" s="6">
        <v>4.84</v>
      </c>
      <c r="U31" s="6">
        <v>4.0999999999999996</v>
      </c>
      <c r="V31" s="6">
        <v>3.53</v>
      </c>
      <c r="W31" s="6">
        <v>3.89</v>
      </c>
      <c r="X31" s="6">
        <v>4.54</v>
      </c>
      <c r="Y31" s="6">
        <v>4.3899999999999997</v>
      </c>
      <c r="Z31" s="6">
        <v>5.08</v>
      </c>
      <c r="AA31" s="6">
        <v>5.7</v>
      </c>
      <c r="AB31" s="51">
        <v>5.84</v>
      </c>
      <c r="AC31" s="55">
        <v>0.75</v>
      </c>
      <c r="AD31" s="53">
        <f>VLOOKUP($B31,Tabela1[[Cliente]:[Potência]],4,0)</f>
        <v>5.94</v>
      </c>
    </row>
    <row r="32" spans="1:30" x14ac:dyDescent="0.25">
      <c r="A32" s="120">
        <f t="shared" si="13"/>
        <v>30</v>
      </c>
      <c r="B32" s="49" t="s">
        <v>24</v>
      </c>
      <c r="C32" s="3">
        <f t="shared" si="0"/>
        <v>514</v>
      </c>
      <c r="D32" s="3">
        <f t="shared" si="1"/>
        <v>462</v>
      </c>
      <c r="E32" s="3">
        <f t="shared" si="2"/>
        <v>487</v>
      </c>
      <c r="F32" s="3">
        <f t="shared" si="3"/>
        <v>412</v>
      </c>
      <c r="G32" s="3">
        <f t="shared" si="4"/>
        <v>362</v>
      </c>
      <c r="H32" s="3">
        <f t="shared" si="5"/>
        <v>299</v>
      </c>
      <c r="I32" s="3">
        <f t="shared" si="6"/>
        <v>341</v>
      </c>
      <c r="J32" s="3">
        <f t="shared" si="7"/>
        <v>394</v>
      </c>
      <c r="K32" s="3">
        <f t="shared" si="8"/>
        <v>375</v>
      </c>
      <c r="L32" s="3">
        <f t="shared" si="9"/>
        <v>452</v>
      </c>
      <c r="M32" s="3">
        <f t="shared" si="10"/>
        <v>491</v>
      </c>
      <c r="N32" s="3">
        <f t="shared" si="11"/>
        <v>523</v>
      </c>
      <c r="O32" s="3">
        <f t="shared" si="12"/>
        <v>426</v>
      </c>
      <c r="Q32" s="6">
        <v>5.76</v>
      </c>
      <c r="R32" s="6">
        <v>5.73</v>
      </c>
      <c r="S32" s="6">
        <v>5.46</v>
      </c>
      <c r="T32" s="6">
        <v>4.7699999999999996</v>
      </c>
      <c r="U32" s="6">
        <v>4.0599999999999996</v>
      </c>
      <c r="V32" s="6">
        <v>3.47</v>
      </c>
      <c r="W32" s="6">
        <v>3.82</v>
      </c>
      <c r="X32" s="6">
        <v>4.42</v>
      </c>
      <c r="Y32" s="6">
        <v>4.3499999999999996</v>
      </c>
      <c r="Z32" s="6">
        <v>5.07</v>
      </c>
      <c r="AA32" s="6">
        <v>5.69</v>
      </c>
      <c r="AB32" s="51">
        <v>5.86</v>
      </c>
      <c r="AC32" s="55">
        <v>0.8</v>
      </c>
      <c r="AD32" s="53">
        <f>VLOOKUP($B32,Tabela1[[Cliente]:[Potência]],4,0)</f>
        <v>3.6</v>
      </c>
    </row>
    <row r="33" spans="1:30" x14ac:dyDescent="0.25">
      <c r="A33" s="120">
        <f t="shared" si="13"/>
        <v>31</v>
      </c>
      <c r="B33" s="49" t="s">
        <v>25</v>
      </c>
      <c r="C33" s="3">
        <f t="shared" si="0"/>
        <v>1237</v>
      </c>
      <c r="D33" s="3">
        <f t="shared" si="1"/>
        <v>1111</v>
      </c>
      <c r="E33" s="3">
        <f t="shared" si="2"/>
        <v>1172</v>
      </c>
      <c r="F33" s="3">
        <f t="shared" si="3"/>
        <v>991</v>
      </c>
      <c r="G33" s="3">
        <f t="shared" si="4"/>
        <v>872</v>
      </c>
      <c r="H33" s="3">
        <f t="shared" si="5"/>
        <v>721</v>
      </c>
      <c r="I33" s="3">
        <f t="shared" si="6"/>
        <v>820</v>
      </c>
      <c r="J33" s="3">
        <f t="shared" si="7"/>
        <v>949</v>
      </c>
      <c r="K33" s="3">
        <f t="shared" si="8"/>
        <v>904</v>
      </c>
      <c r="L33" s="3">
        <f t="shared" si="9"/>
        <v>1089</v>
      </c>
      <c r="M33" s="3">
        <f t="shared" si="10"/>
        <v>1182</v>
      </c>
      <c r="N33" s="3">
        <f t="shared" si="11"/>
        <v>1258</v>
      </c>
      <c r="O33" s="3">
        <f t="shared" si="12"/>
        <v>1025.5</v>
      </c>
      <c r="Q33" s="6">
        <v>5.76</v>
      </c>
      <c r="R33" s="6">
        <v>5.73</v>
      </c>
      <c r="S33" s="6">
        <v>5.46</v>
      </c>
      <c r="T33" s="6">
        <v>4.7699999999999996</v>
      </c>
      <c r="U33" s="6">
        <v>4.0599999999999996</v>
      </c>
      <c r="V33" s="6">
        <v>3.47</v>
      </c>
      <c r="W33" s="6">
        <v>3.82</v>
      </c>
      <c r="X33" s="6">
        <v>4.42</v>
      </c>
      <c r="Y33" s="6">
        <v>4.3499999999999996</v>
      </c>
      <c r="Z33" s="6">
        <v>5.07</v>
      </c>
      <c r="AA33" s="6">
        <v>5.69</v>
      </c>
      <c r="AB33" s="51">
        <v>5.86</v>
      </c>
      <c r="AC33" s="55">
        <v>0.7</v>
      </c>
      <c r="AD33" s="53">
        <f>VLOOKUP($B33,Tabela1[[Cliente]:[Potência]],4,0)</f>
        <v>9.9</v>
      </c>
    </row>
    <row r="34" spans="1:30" x14ac:dyDescent="0.25">
      <c r="A34" s="120">
        <f t="shared" si="13"/>
        <v>32</v>
      </c>
      <c r="B34" s="49" t="s">
        <v>26</v>
      </c>
      <c r="C34" s="3">
        <f t="shared" si="0"/>
        <v>2557</v>
      </c>
      <c r="D34" s="3">
        <f t="shared" si="1"/>
        <v>2302</v>
      </c>
      <c r="E34" s="3">
        <f t="shared" si="2"/>
        <v>2410</v>
      </c>
      <c r="F34" s="3">
        <f t="shared" si="3"/>
        <v>2064</v>
      </c>
      <c r="G34" s="3">
        <f t="shared" si="4"/>
        <v>1785</v>
      </c>
      <c r="H34" s="3">
        <f t="shared" si="5"/>
        <v>1481</v>
      </c>
      <c r="I34" s="3">
        <f t="shared" si="6"/>
        <v>1696</v>
      </c>
      <c r="J34" s="3">
        <f t="shared" si="7"/>
        <v>1977</v>
      </c>
      <c r="K34" s="3">
        <f t="shared" si="8"/>
        <v>1861</v>
      </c>
      <c r="L34" s="3">
        <f t="shared" si="9"/>
        <v>2209</v>
      </c>
      <c r="M34" s="3">
        <f t="shared" si="10"/>
        <v>2475</v>
      </c>
      <c r="N34" s="3">
        <f t="shared" si="11"/>
        <v>2633</v>
      </c>
      <c r="O34" s="3">
        <f t="shared" si="12"/>
        <v>2120.8333333333335</v>
      </c>
      <c r="Q34" s="6">
        <v>5.73</v>
      </c>
      <c r="R34" s="6">
        <v>5.71</v>
      </c>
      <c r="S34" s="6">
        <v>5.4</v>
      </c>
      <c r="T34" s="6">
        <v>4.78</v>
      </c>
      <c r="U34" s="6">
        <v>4</v>
      </c>
      <c r="V34" s="6">
        <v>3.43</v>
      </c>
      <c r="W34" s="6">
        <v>3.8</v>
      </c>
      <c r="X34" s="6">
        <v>4.43</v>
      </c>
      <c r="Y34" s="6">
        <v>4.3099999999999996</v>
      </c>
      <c r="Z34" s="6">
        <v>4.95</v>
      </c>
      <c r="AA34" s="6">
        <v>5.73</v>
      </c>
      <c r="AB34" s="51">
        <v>5.9</v>
      </c>
      <c r="AC34" s="55">
        <v>0.8</v>
      </c>
      <c r="AD34" s="53">
        <f>VLOOKUP($B34,Tabela1[[Cliente]:[Potência]],4,0)</f>
        <v>18</v>
      </c>
    </row>
    <row r="35" spans="1:30" x14ac:dyDescent="0.25">
      <c r="A35" s="120">
        <f t="shared" si="13"/>
        <v>33</v>
      </c>
      <c r="B35" s="49" t="s">
        <v>27</v>
      </c>
      <c r="C35" s="3">
        <f t="shared" ref="C35:C58" si="15">ROUNDDOWN($AD35*$AC35*(Q35*Q$2),0)</f>
        <v>1237</v>
      </c>
      <c r="D35" s="3">
        <f t="shared" ref="D35:D58" si="16">ROUNDDOWN($AD35*$AC35*(R35*R$2),0)</f>
        <v>1111</v>
      </c>
      <c r="E35" s="3">
        <f t="shared" ref="E35:E58" si="17">ROUNDDOWN($AD35*$AC35*(S35*S$2),0)</f>
        <v>1172</v>
      </c>
      <c r="F35" s="3">
        <f t="shared" ref="F35:F58" si="18">ROUNDDOWN($AD35*$AC35*(T35*T$2),0)</f>
        <v>991</v>
      </c>
      <c r="G35" s="3">
        <f t="shared" ref="G35:G58" si="19">ROUNDDOWN($AD35*$AC35*(U35*U$2),0)</f>
        <v>872</v>
      </c>
      <c r="H35" s="3">
        <f t="shared" ref="H35:H58" si="20">ROUNDDOWN($AD35*$AC35*(V35*V$2),0)</f>
        <v>721</v>
      </c>
      <c r="I35" s="3">
        <f t="shared" ref="I35:I58" si="21">ROUNDDOWN($AD35*$AC35*(W35*W$2),0)</f>
        <v>820</v>
      </c>
      <c r="J35" s="3">
        <f t="shared" ref="J35:J58" si="22">ROUNDDOWN($AD35*$AC35*(X35*X$2),0)</f>
        <v>949</v>
      </c>
      <c r="K35" s="3">
        <f t="shared" ref="K35:K58" si="23">ROUNDDOWN($AD35*$AC35*(Y35*Y$2),0)</f>
        <v>904</v>
      </c>
      <c r="L35" s="3">
        <f t="shared" ref="L35:L58" si="24">ROUNDDOWN($AD35*$AC35*(Z35*Z$2),0)</f>
        <v>1089</v>
      </c>
      <c r="M35" s="3">
        <f t="shared" ref="M35:M58" si="25">ROUNDDOWN($AD35*$AC35*(AA35*AA$2),0)</f>
        <v>1182</v>
      </c>
      <c r="N35" s="3">
        <f t="shared" ref="N35:N57" si="26">ROUNDDOWN($AD35*$AC35*(AB35*AB$2),0)</f>
        <v>1258</v>
      </c>
      <c r="O35" s="3">
        <f t="shared" si="12"/>
        <v>1025.5</v>
      </c>
      <c r="Q35" s="6">
        <v>5.76</v>
      </c>
      <c r="R35" s="6">
        <v>5.73</v>
      </c>
      <c r="S35" s="6">
        <v>5.46</v>
      </c>
      <c r="T35" s="6">
        <v>4.7699999999999996</v>
      </c>
      <c r="U35" s="6">
        <v>4.0599999999999996</v>
      </c>
      <c r="V35" s="6">
        <v>3.47</v>
      </c>
      <c r="W35" s="6">
        <v>3.82</v>
      </c>
      <c r="X35" s="6">
        <v>4.42</v>
      </c>
      <c r="Y35" s="6">
        <v>4.3499999999999996</v>
      </c>
      <c r="Z35" s="6">
        <v>5.07</v>
      </c>
      <c r="AA35" s="6">
        <v>5.69</v>
      </c>
      <c r="AB35" s="51">
        <v>5.86</v>
      </c>
      <c r="AC35" s="55">
        <v>0.75</v>
      </c>
      <c r="AD35" s="53">
        <f>VLOOKUP($B35,Tabela1[[Cliente]:[Potência]],4,0)</f>
        <v>9.24</v>
      </c>
    </row>
    <row r="36" spans="1:30" x14ac:dyDescent="0.25">
      <c r="A36" s="120">
        <f t="shared" si="13"/>
        <v>34</v>
      </c>
      <c r="B36" s="49" t="s">
        <v>28</v>
      </c>
      <c r="C36" s="3">
        <f t="shared" si="15"/>
        <v>795</v>
      </c>
      <c r="D36" s="3">
        <f t="shared" si="16"/>
        <v>714</v>
      </c>
      <c r="E36" s="3">
        <f t="shared" si="17"/>
        <v>754</v>
      </c>
      <c r="F36" s="3">
        <f t="shared" si="18"/>
        <v>637</v>
      </c>
      <c r="G36" s="3">
        <f t="shared" si="19"/>
        <v>560</v>
      </c>
      <c r="H36" s="3">
        <f t="shared" si="20"/>
        <v>463</v>
      </c>
      <c r="I36" s="3">
        <f t="shared" si="21"/>
        <v>527</v>
      </c>
      <c r="J36" s="3">
        <f t="shared" si="22"/>
        <v>610</v>
      </c>
      <c r="K36" s="3">
        <f t="shared" si="23"/>
        <v>581</v>
      </c>
      <c r="L36" s="3">
        <f t="shared" si="24"/>
        <v>700</v>
      </c>
      <c r="M36" s="3">
        <f t="shared" si="25"/>
        <v>760</v>
      </c>
      <c r="N36" s="3">
        <f t="shared" si="26"/>
        <v>809</v>
      </c>
      <c r="O36" s="3">
        <f t="shared" si="12"/>
        <v>659.16666666666663</v>
      </c>
      <c r="Q36" s="6">
        <v>5.76</v>
      </c>
      <c r="R36" s="6">
        <v>5.73</v>
      </c>
      <c r="S36" s="6">
        <v>5.46</v>
      </c>
      <c r="T36" s="6">
        <v>4.7699999999999996</v>
      </c>
      <c r="U36" s="6">
        <v>4.0599999999999996</v>
      </c>
      <c r="V36" s="6">
        <v>3.47</v>
      </c>
      <c r="W36" s="6">
        <v>3.82</v>
      </c>
      <c r="X36" s="6">
        <v>4.42</v>
      </c>
      <c r="Y36" s="6">
        <v>4.3499999999999996</v>
      </c>
      <c r="Z36" s="6">
        <v>5.07</v>
      </c>
      <c r="AA36" s="6">
        <v>5.69</v>
      </c>
      <c r="AB36" s="51">
        <v>5.86</v>
      </c>
      <c r="AC36" s="55">
        <v>0.75</v>
      </c>
      <c r="AD36" s="53">
        <f>VLOOKUP($B36,Tabela1[[Cliente]:[Potência]],4,0)</f>
        <v>5.94</v>
      </c>
    </row>
    <row r="37" spans="1:30" x14ac:dyDescent="0.25">
      <c r="A37" s="120">
        <f t="shared" si="13"/>
        <v>35</v>
      </c>
      <c r="B37" s="49" t="s">
        <v>29</v>
      </c>
      <c r="C37" s="3">
        <f t="shared" si="15"/>
        <v>3771</v>
      </c>
      <c r="D37" s="3">
        <f t="shared" si="16"/>
        <v>3388</v>
      </c>
      <c r="E37" s="3">
        <f t="shared" si="17"/>
        <v>3574</v>
      </c>
      <c r="F37" s="3">
        <f t="shared" si="18"/>
        <v>3022</v>
      </c>
      <c r="G37" s="3">
        <f t="shared" si="19"/>
        <v>2658</v>
      </c>
      <c r="H37" s="3">
        <f t="shared" si="20"/>
        <v>2198</v>
      </c>
      <c r="I37" s="3">
        <f t="shared" si="21"/>
        <v>2501</v>
      </c>
      <c r="J37" s="3">
        <f t="shared" si="22"/>
        <v>2893</v>
      </c>
      <c r="K37" s="3">
        <f t="shared" si="23"/>
        <v>2756</v>
      </c>
      <c r="L37" s="3">
        <f t="shared" si="24"/>
        <v>3319</v>
      </c>
      <c r="M37" s="3">
        <f t="shared" si="25"/>
        <v>3605</v>
      </c>
      <c r="N37" s="3">
        <f t="shared" si="26"/>
        <v>3836</v>
      </c>
      <c r="O37" s="3">
        <f t="shared" si="12"/>
        <v>3126.75</v>
      </c>
      <c r="Q37" s="6">
        <v>5.76</v>
      </c>
      <c r="R37" s="6">
        <v>5.73</v>
      </c>
      <c r="S37" s="6">
        <v>5.46</v>
      </c>
      <c r="T37" s="6">
        <v>4.7699999999999996</v>
      </c>
      <c r="U37" s="6">
        <v>4.0599999999999996</v>
      </c>
      <c r="V37" s="6">
        <v>3.47</v>
      </c>
      <c r="W37" s="6">
        <v>3.82</v>
      </c>
      <c r="X37" s="6">
        <v>4.42</v>
      </c>
      <c r="Y37" s="6">
        <v>4.3499999999999996</v>
      </c>
      <c r="Z37" s="6">
        <v>5.07</v>
      </c>
      <c r="AA37" s="6">
        <v>5.69</v>
      </c>
      <c r="AB37" s="51">
        <v>5.86</v>
      </c>
      <c r="AC37" s="55">
        <v>0.8</v>
      </c>
      <c r="AD37" s="53">
        <f>VLOOKUP($B37,Tabela1[[Cliente]:[Potência]],4,0)</f>
        <v>26.4</v>
      </c>
    </row>
    <row r="38" spans="1:30" x14ac:dyDescent="0.25">
      <c r="A38" s="120">
        <f t="shared" si="13"/>
        <v>36</v>
      </c>
      <c r="B38" s="49" t="s">
        <v>30</v>
      </c>
      <c r="C38" s="3">
        <f t="shared" si="15"/>
        <v>2651</v>
      </c>
      <c r="D38" s="3">
        <f t="shared" si="16"/>
        <v>2382</v>
      </c>
      <c r="E38" s="3">
        <f t="shared" si="17"/>
        <v>2513</v>
      </c>
      <c r="F38" s="3">
        <f t="shared" si="18"/>
        <v>2125</v>
      </c>
      <c r="G38" s="3">
        <f t="shared" si="19"/>
        <v>1869</v>
      </c>
      <c r="H38" s="3">
        <f t="shared" si="20"/>
        <v>1545</v>
      </c>
      <c r="I38" s="3">
        <f t="shared" si="21"/>
        <v>1758</v>
      </c>
      <c r="J38" s="3">
        <f t="shared" si="22"/>
        <v>2034</v>
      </c>
      <c r="K38" s="3">
        <f t="shared" si="23"/>
        <v>1937</v>
      </c>
      <c r="L38" s="3">
        <f t="shared" si="24"/>
        <v>2333</v>
      </c>
      <c r="M38" s="3">
        <f t="shared" si="25"/>
        <v>2534</v>
      </c>
      <c r="N38" s="3">
        <f t="shared" si="26"/>
        <v>2697</v>
      </c>
      <c r="O38" s="3">
        <f t="shared" si="12"/>
        <v>2198.1666666666665</v>
      </c>
      <c r="Q38" s="6">
        <v>5.76</v>
      </c>
      <c r="R38" s="6">
        <v>5.73</v>
      </c>
      <c r="S38" s="6">
        <v>5.46</v>
      </c>
      <c r="T38" s="6">
        <v>4.7699999999999996</v>
      </c>
      <c r="U38" s="6">
        <v>4.0599999999999996</v>
      </c>
      <c r="V38" s="6">
        <v>3.47</v>
      </c>
      <c r="W38" s="6">
        <v>3.82</v>
      </c>
      <c r="X38" s="6">
        <v>4.42</v>
      </c>
      <c r="Y38" s="6">
        <v>4.3499999999999996</v>
      </c>
      <c r="Z38" s="6">
        <v>5.07</v>
      </c>
      <c r="AA38" s="6">
        <v>5.69</v>
      </c>
      <c r="AB38" s="51">
        <v>5.86</v>
      </c>
      <c r="AC38" s="55">
        <v>0.75</v>
      </c>
      <c r="AD38" s="53">
        <f>VLOOKUP($B38,Tabela1[[Cliente]:[Potência]],4,0)</f>
        <v>19.8</v>
      </c>
    </row>
    <row r="39" spans="1:30" x14ac:dyDescent="0.25">
      <c r="A39" s="120">
        <f t="shared" si="13"/>
        <v>37</v>
      </c>
      <c r="B39" s="49" t="s">
        <v>31</v>
      </c>
      <c r="C39" s="3">
        <f t="shared" si="15"/>
        <v>9427</v>
      </c>
      <c r="D39" s="3">
        <f t="shared" si="16"/>
        <v>8471</v>
      </c>
      <c r="E39" s="3">
        <f t="shared" si="17"/>
        <v>8936</v>
      </c>
      <c r="F39" s="3">
        <f t="shared" si="18"/>
        <v>7555</v>
      </c>
      <c r="G39" s="3">
        <f t="shared" si="19"/>
        <v>6645</v>
      </c>
      <c r="H39" s="3">
        <f t="shared" si="20"/>
        <v>5496</v>
      </c>
      <c r="I39" s="3">
        <f t="shared" si="21"/>
        <v>6252</v>
      </c>
      <c r="J39" s="3">
        <f t="shared" si="22"/>
        <v>7234</v>
      </c>
      <c r="K39" s="3">
        <f t="shared" si="23"/>
        <v>6890</v>
      </c>
      <c r="L39" s="3">
        <f t="shared" si="24"/>
        <v>8298</v>
      </c>
      <c r="M39" s="3">
        <f t="shared" si="25"/>
        <v>9012</v>
      </c>
      <c r="N39" s="3">
        <f t="shared" si="26"/>
        <v>9591</v>
      </c>
      <c r="O39" s="3">
        <f t="shared" si="12"/>
        <v>7817.25</v>
      </c>
      <c r="Q39" s="6">
        <v>5.76</v>
      </c>
      <c r="R39" s="6">
        <v>5.73</v>
      </c>
      <c r="S39" s="6">
        <v>5.46</v>
      </c>
      <c r="T39" s="6">
        <v>4.7699999999999996</v>
      </c>
      <c r="U39" s="6">
        <v>4.0599999999999996</v>
      </c>
      <c r="V39" s="6">
        <v>3.47</v>
      </c>
      <c r="W39" s="6">
        <v>3.82</v>
      </c>
      <c r="X39" s="6">
        <v>4.42</v>
      </c>
      <c r="Y39" s="6">
        <v>4.3499999999999996</v>
      </c>
      <c r="Z39" s="6">
        <v>5.07</v>
      </c>
      <c r="AA39" s="6">
        <v>5.69</v>
      </c>
      <c r="AB39" s="51">
        <v>5.86</v>
      </c>
      <c r="AC39" s="55">
        <v>0.8</v>
      </c>
      <c r="AD39" s="53">
        <f>VLOOKUP($B39,Tabela1[[Cliente]:[Potência]],4,0)</f>
        <v>66</v>
      </c>
    </row>
    <row r="40" spans="1:30" x14ac:dyDescent="0.25">
      <c r="A40" s="120">
        <f t="shared" si="13"/>
        <v>38</v>
      </c>
      <c r="B40" s="49" t="s">
        <v>32</v>
      </c>
      <c r="C40" s="3">
        <f t="shared" si="15"/>
        <v>7273</v>
      </c>
      <c r="D40" s="3">
        <f t="shared" si="16"/>
        <v>6535</v>
      </c>
      <c r="E40" s="3">
        <f t="shared" si="17"/>
        <v>6894</v>
      </c>
      <c r="F40" s="3">
        <f t="shared" si="18"/>
        <v>5829</v>
      </c>
      <c r="G40" s="3">
        <f t="shared" si="19"/>
        <v>5127</v>
      </c>
      <c r="H40" s="3">
        <f t="shared" si="20"/>
        <v>4240</v>
      </c>
      <c r="I40" s="3">
        <f t="shared" si="21"/>
        <v>4823</v>
      </c>
      <c r="J40" s="3">
        <f t="shared" si="22"/>
        <v>5581</v>
      </c>
      <c r="K40" s="3">
        <f t="shared" si="23"/>
        <v>5316</v>
      </c>
      <c r="L40" s="3">
        <f t="shared" si="24"/>
        <v>6402</v>
      </c>
      <c r="M40" s="3">
        <f t="shared" si="25"/>
        <v>6953</v>
      </c>
      <c r="N40" s="3">
        <f t="shared" si="26"/>
        <v>7400</v>
      </c>
      <c r="O40" s="3">
        <f t="shared" si="12"/>
        <v>6031.083333333333</v>
      </c>
      <c r="Q40" s="6">
        <v>5.76</v>
      </c>
      <c r="R40" s="6">
        <v>5.73</v>
      </c>
      <c r="S40" s="6">
        <v>5.46</v>
      </c>
      <c r="T40" s="6">
        <v>4.7699999999999996</v>
      </c>
      <c r="U40" s="6">
        <v>4.0599999999999996</v>
      </c>
      <c r="V40" s="6">
        <v>3.47</v>
      </c>
      <c r="W40" s="6">
        <v>3.82</v>
      </c>
      <c r="X40" s="6">
        <v>4.42</v>
      </c>
      <c r="Y40" s="6">
        <v>4.3499999999999996</v>
      </c>
      <c r="Z40" s="6">
        <v>5.07</v>
      </c>
      <c r="AA40" s="6">
        <v>5.69</v>
      </c>
      <c r="AB40" s="51">
        <v>5.86</v>
      </c>
      <c r="AC40" s="55">
        <v>0.8</v>
      </c>
      <c r="AD40" s="53">
        <f>VLOOKUP($B40,Tabela1[[Cliente]:[Potência]],4,0)</f>
        <v>50.92</v>
      </c>
    </row>
    <row r="41" spans="1:30" x14ac:dyDescent="0.25">
      <c r="A41" s="120">
        <f t="shared" si="13"/>
        <v>39</v>
      </c>
      <c r="B41" s="49" t="s">
        <v>33</v>
      </c>
      <c r="C41" s="3">
        <f t="shared" si="15"/>
        <v>1339</v>
      </c>
      <c r="D41" s="3">
        <f t="shared" si="16"/>
        <v>1203</v>
      </c>
      <c r="E41" s="3">
        <f t="shared" si="17"/>
        <v>1270</v>
      </c>
      <c r="F41" s="3">
        <f t="shared" si="18"/>
        <v>1073</v>
      </c>
      <c r="G41" s="3">
        <f t="shared" si="19"/>
        <v>944</v>
      </c>
      <c r="H41" s="3">
        <f t="shared" si="20"/>
        <v>781</v>
      </c>
      <c r="I41" s="3">
        <f t="shared" si="21"/>
        <v>888</v>
      </c>
      <c r="J41" s="3">
        <f t="shared" si="22"/>
        <v>1028</v>
      </c>
      <c r="K41" s="3">
        <f t="shared" si="23"/>
        <v>979</v>
      </c>
      <c r="L41" s="3">
        <f t="shared" si="24"/>
        <v>1179</v>
      </c>
      <c r="M41" s="3">
        <f t="shared" si="25"/>
        <v>1280</v>
      </c>
      <c r="N41" s="3">
        <f t="shared" si="26"/>
        <v>1363</v>
      </c>
      <c r="O41" s="3">
        <f t="shared" si="12"/>
        <v>1110.5833333333333</v>
      </c>
      <c r="Q41" s="6">
        <v>5.76</v>
      </c>
      <c r="R41" s="6">
        <v>5.73</v>
      </c>
      <c r="S41" s="6">
        <v>5.46</v>
      </c>
      <c r="T41" s="6">
        <v>4.7699999999999996</v>
      </c>
      <c r="U41" s="6">
        <v>4.0599999999999996</v>
      </c>
      <c r="V41" s="6">
        <v>3.47</v>
      </c>
      <c r="W41" s="6">
        <v>3.82</v>
      </c>
      <c r="X41" s="6">
        <v>4.42</v>
      </c>
      <c r="Y41" s="6">
        <v>4.3499999999999996</v>
      </c>
      <c r="Z41" s="6">
        <v>5.07</v>
      </c>
      <c r="AA41" s="6">
        <v>5.69</v>
      </c>
      <c r="AB41" s="51">
        <v>5.86</v>
      </c>
      <c r="AC41" s="55">
        <v>0.8</v>
      </c>
      <c r="AD41" s="53">
        <f>VLOOKUP($B41,Tabela1[[Cliente]:[Potência]],4,0)</f>
        <v>9.3800000000000008</v>
      </c>
    </row>
    <row r="42" spans="1:30" x14ac:dyDescent="0.25">
      <c r="A42" s="120">
        <f t="shared" si="13"/>
        <v>40</v>
      </c>
      <c r="B42" s="49" t="s">
        <v>34</v>
      </c>
      <c r="C42" s="3">
        <f t="shared" si="15"/>
        <v>538</v>
      </c>
      <c r="D42" s="3">
        <f t="shared" si="16"/>
        <v>483</v>
      </c>
      <c r="E42" s="3">
        <f t="shared" si="17"/>
        <v>510</v>
      </c>
      <c r="F42" s="3">
        <f t="shared" si="18"/>
        <v>431</v>
      </c>
      <c r="G42" s="3">
        <f t="shared" si="19"/>
        <v>379</v>
      </c>
      <c r="H42" s="3">
        <f t="shared" si="20"/>
        <v>313</v>
      </c>
      <c r="I42" s="3">
        <f t="shared" si="21"/>
        <v>357</v>
      </c>
      <c r="J42" s="3">
        <f t="shared" si="22"/>
        <v>413</v>
      </c>
      <c r="K42" s="3">
        <f t="shared" si="23"/>
        <v>393</v>
      </c>
      <c r="L42" s="3">
        <f t="shared" si="24"/>
        <v>473</v>
      </c>
      <c r="M42" s="3">
        <f t="shared" si="25"/>
        <v>514</v>
      </c>
      <c r="N42" s="3">
        <f t="shared" si="26"/>
        <v>547</v>
      </c>
      <c r="O42" s="3">
        <f t="shared" si="12"/>
        <v>445.91666666666669</v>
      </c>
      <c r="Q42" s="6">
        <v>5.76</v>
      </c>
      <c r="R42" s="6">
        <v>5.73</v>
      </c>
      <c r="S42" s="6">
        <v>5.46</v>
      </c>
      <c r="T42" s="6">
        <v>4.7699999999999996</v>
      </c>
      <c r="U42" s="6">
        <v>4.0599999999999996</v>
      </c>
      <c r="V42" s="6">
        <v>3.47</v>
      </c>
      <c r="W42" s="6">
        <v>3.82</v>
      </c>
      <c r="X42" s="6">
        <v>4.42</v>
      </c>
      <c r="Y42" s="6">
        <v>4.3499999999999996</v>
      </c>
      <c r="Z42" s="6">
        <v>5.07</v>
      </c>
      <c r="AA42" s="6">
        <v>5.69</v>
      </c>
      <c r="AB42" s="51">
        <v>5.86</v>
      </c>
      <c r="AC42" s="55">
        <v>0.75</v>
      </c>
      <c r="AD42" s="53">
        <f>VLOOKUP($B42,Tabela1[[Cliente]:[Potência]],4,0)</f>
        <v>4.0199999999999996</v>
      </c>
    </row>
    <row r="43" spans="1:30" x14ac:dyDescent="0.25">
      <c r="A43" s="120">
        <f t="shared" si="13"/>
        <v>41</v>
      </c>
      <c r="B43" s="49" t="s">
        <v>35</v>
      </c>
      <c r="C43" s="3">
        <f t="shared" si="15"/>
        <v>1627</v>
      </c>
      <c r="D43" s="3">
        <f t="shared" si="16"/>
        <v>1461</v>
      </c>
      <c r="E43" s="3">
        <f t="shared" si="17"/>
        <v>1542</v>
      </c>
      <c r="F43" s="3">
        <f t="shared" si="18"/>
        <v>1303</v>
      </c>
      <c r="G43" s="3">
        <f t="shared" si="19"/>
        <v>1146</v>
      </c>
      <c r="H43" s="3">
        <f t="shared" si="20"/>
        <v>948</v>
      </c>
      <c r="I43" s="3">
        <f t="shared" si="21"/>
        <v>1079</v>
      </c>
      <c r="J43" s="3">
        <f t="shared" si="22"/>
        <v>1248</v>
      </c>
      <c r="K43" s="3">
        <f t="shared" si="23"/>
        <v>1189</v>
      </c>
      <c r="L43" s="3">
        <f t="shared" si="24"/>
        <v>1432</v>
      </c>
      <c r="M43" s="3">
        <f t="shared" si="25"/>
        <v>1555</v>
      </c>
      <c r="N43" s="3">
        <f t="shared" si="26"/>
        <v>1655</v>
      </c>
      <c r="O43" s="3">
        <f t="shared" si="12"/>
        <v>1348.75</v>
      </c>
      <c r="Q43" s="6">
        <v>5.76</v>
      </c>
      <c r="R43" s="6">
        <v>5.73</v>
      </c>
      <c r="S43" s="6">
        <v>5.46</v>
      </c>
      <c r="T43" s="6">
        <v>4.7699999999999996</v>
      </c>
      <c r="U43" s="6">
        <v>4.0599999999999996</v>
      </c>
      <c r="V43" s="6">
        <v>3.47</v>
      </c>
      <c r="W43" s="6">
        <v>3.82</v>
      </c>
      <c r="X43" s="6">
        <v>4.42</v>
      </c>
      <c r="Y43" s="6">
        <v>4.3499999999999996</v>
      </c>
      <c r="Z43" s="6">
        <v>5.07</v>
      </c>
      <c r="AA43" s="6">
        <v>5.69</v>
      </c>
      <c r="AB43" s="51">
        <v>5.86</v>
      </c>
      <c r="AC43" s="55">
        <v>0.8</v>
      </c>
      <c r="AD43" s="53">
        <f>VLOOKUP($B43,Tabela1[[Cliente]:[Potência]],4,0)</f>
        <v>11.39</v>
      </c>
    </row>
    <row r="44" spans="1:30" x14ac:dyDescent="0.25">
      <c r="A44" s="120">
        <f t="shared" si="13"/>
        <v>42</v>
      </c>
      <c r="B44" s="49" t="s">
        <v>36</v>
      </c>
      <c r="C44" s="3">
        <f t="shared" si="15"/>
        <v>897</v>
      </c>
      <c r="D44" s="3">
        <f t="shared" si="16"/>
        <v>806</v>
      </c>
      <c r="E44" s="3">
        <f t="shared" si="17"/>
        <v>850</v>
      </c>
      <c r="F44" s="3">
        <f t="shared" si="18"/>
        <v>719</v>
      </c>
      <c r="G44" s="3">
        <f t="shared" si="19"/>
        <v>632</v>
      </c>
      <c r="H44" s="3">
        <f t="shared" si="20"/>
        <v>523</v>
      </c>
      <c r="I44" s="3">
        <f t="shared" si="21"/>
        <v>595</v>
      </c>
      <c r="J44" s="3">
        <f t="shared" si="22"/>
        <v>688</v>
      </c>
      <c r="K44" s="3">
        <f t="shared" si="23"/>
        <v>655</v>
      </c>
      <c r="L44" s="3">
        <f t="shared" si="24"/>
        <v>789</v>
      </c>
      <c r="M44" s="3">
        <f t="shared" si="25"/>
        <v>857</v>
      </c>
      <c r="N44" s="3">
        <f t="shared" si="26"/>
        <v>912</v>
      </c>
      <c r="O44" s="3">
        <f t="shared" si="12"/>
        <v>743.58333333333337</v>
      </c>
      <c r="Q44" s="6">
        <v>5.76</v>
      </c>
      <c r="R44" s="6">
        <v>5.73</v>
      </c>
      <c r="S44" s="6">
        <v>5.46</v>
      </c>
      <c r="T44" s="6">
        <v>4.7699999999999996</v>
      </c>
      <c r="U44" s="6">
        <v>4.0599999999999996</v>
      </c>
      <c r="V44" s="6">
        <v>3.47</v>
      </c>
      <c r="W44" s="6">
        <v>3.82</v>
      </c>
      <c r="X44" s="6">
        <v>4.42</v>
      </c>
      <c r="Y44" s="6">
        <v>4.3499999999999996</v>
      </c>
      <c r="Z44" s="6">
        <v>5.07</v>
      </c>
      <c r="AA44" s="6">
        <v>5.69</v>
      </c>
      <c r="AB44" s="51">
        <v>5.86</v>
      </c>
      <c r="AC44" s="55">
        <v>0.75</v>
      </c>
      <c r="AD44" s="53">
        <f>VLOOKUP($B44,Tabela1[[Cliente]:[Potência]],4,0)</f>
        <v>6.7</v>
      </c>
    </row>
    <row r="45" spans="1:30" x14ac:dyDescent="0.25">
      <c r="A45" s="120">
        <f t="shared" si="13"/>
        <v>43</v>
      </c>
      <c r="B45" s="49" t="s">
        <v>37</v>
      </c>
      <c r="C45" s="3">
        <f t="shared" si="15"/>
        <v>538</v>
      </c>
      <c r="D45" s="3">
        <f t="shared" si="16"/>
        <v>483</v>
      </c>
      <c r="E45" s="3">
        <f t="shared" si="17"/>
        <v>510</v>
      </c>
      <c r="F45" s="3">
        <f t="shared" si="18"/>
        <v>431</v>
      </c>
      <c r="G45" s="3">
        <f t="shared" si="19"/>
        <v>379</v>
      </c>
      <c r="H45" s="3">
        <f t="shared" si="20"/>
        <v>313</v>
      </c>
      <c r="I45" s="3">
        <f t="shared" si="21"/>
        <v>357</v>
      </c>
      <c r="J45" s="3">
        <f t="shared" si="22"/>
        <v>413</v>
      </c>
      <c r="K45" s="3">
        <f t="shared" si="23"/>
        <v>393</v>
      </c>
      <c r="L45" s="3">
        <f t="shared" si="24"/>
        <v>473</v>
      </c>
      <c r="M45" s="3">
        <f t="shared" si="25"/>
        <v>514</v>
      </c>
      <c r="N45" s="3">
        <f t="shared" si="26"/>
        <v>547</v>
      </c>
      <c r="O45" s="3">
        <f t="shared" si="12"/>
        <v>445.91666666666669</v>
      </c>
      <c r="Q45" s="6">
        <v>5.76</v>
      </c>
      <c r="R45" s="6">
        <v>5.73</v>
      </c>
      <c r="S45" s="6">
        <v>5.46</v>
      </c>
      <c r="T45" s="6">
        <v>4.7699999999999996</v>
      </c>
      <c r="U45" s="6">
        <v>4.0599999999999996</v>
      </c>
      <c r="V45" s="6">
        <v>3.47</v>
      </c>
      <c r="W45" s="6">
        <v>3.82</v>
      </c>
      <c r="X45" s="6">
        <v>4.42</v>
      </c>
      <c r="Y45" s="6">
        <v>4.3499999999999996</v>
      </c>
      <c r="Z45" s="6">
        <v>5.07</v>
      </c>
      <c r="AA45" s="6">
        <v>5.69</v>
      </c>
      <c r="AB45" s="51">
        <v>5.86</v>
      </c>
      <c r="AC45" s="55">
        <v>0.75</v>
      </c>
      <c r="AD45" s="53">
        <f>VLOOKUP($B45,Tabela1[[Cliente]:[Potência]],4,0)</f>
        <v>4.0199999999999996</v>
      </c>
    </row>
    <row r="46" spans="1:30" x14ac:dyDescent="0.25">
      <c r="A46" s="120">
        <f t="shared" si="13"/>
        <v>44</v>
      </c>
      <c r="B46" s="49" t="s">
        <v>38</v>
      </c>
      <c r="C46" s="3">
        <f t="shared" si="15"/>
        <v>1525</v>
      </c>
      <c r="D46" s="3">
        <f t="shared" si="16"/>
        <v>1370</v>
      </c>
      <c r="E46" s="3">
        <f t="shared" si="17"/>
        <v>1445</v>
      </c>
      <c r="F46" s="3">
        <f t="shared" si="18"/>
        <v>1222</v>
      </c>
      <c r="G46" s="3">
        <f t="shared" si="19"/>
        <v>1075</v>
      </c>
      <c r="H46" s="3">
        <f t="shared" si="20"/>
        <v>889</v>
      </c>
      <c r="I46" s="3">
        <f t="shared" si="21"/>
        <v>1011</v>
      </c>
      <c r="J46" s="3">
        <f t="shared" si="22"/>
        <v>1170</v>
      </c>
      <c r="K46" s="3">
        <f t="shared" si="23"/>
        <v>1114</v>
      </c>
      <c r="L46" s="3">
        <f t="shared" si="24"/>
        <v>1342</v>
      </c>
      <c r="M46" s="3">
        <f t="shared" si="25"/>
        <v>1458</v>
      </c>
      <c r="N46" s="3">
        <f t="shared" si="26"/>
        <v>1551</v>
      </c>
      <c r="O46" s="3">
        <f t="shared" si="12"/>
        <v>1264.3333333333333</v>
      </c>
      <c r="Q46" s="6">
        <v>5.76</v>
      </c>
      <c r="R46" s="6">
        <v>5.73</v>
      </c>
      <c r="S46" s="6">
        <v>5.46</v>
      </c>
      <c r="T46" s="6">
        <v>4.7699999999999996</v>
      </c>
      <c r="U46" s="6">
        <v>4.0599999999999996</v>
      </c>
      <c r="V46" s="6">
        <v>3.47</v>
      </c>
      <c r="W46" s="6">
        <v>3.82</v>
      </c>
      <c r="X46" s="6">
        <v>4.42</v>
      </c>
      <c r="Y46" s="6">
        <v>4.3499999999999996</v>
      </c>
      <c r="Z46" s="6">
        <v>5.07</v>
      </c>
      <c r="AA46" s="6">
        <v>5.69</v>
      </c>
      <c r="AB46" s="51">
        <v>5.86</v>
      </c>
      <c r="AC46" s="55">
        <v>0.75</v>
      </c>
      <c r="AD46" s="53">
        <f>VLOOKUP($B46,Tabela1[[Cliente]:[Potência]],4,0)</f>
        <v>11.39</v>
      </c>
    </row>
    <row r="47" spans="1:30" x14ac:dyDescent="0.25">
      <c r="A47" s="120">
        <f t="shared" si="13"/>
        <v>45</v>
      </c>
      <c r="B47" s="49" t="s">
        <v>39</v>
      </c>
      <c r="C47" s="3">
        <f t="shared" si="15"/>
        <v>448</v>
      </c>
      <c r="D47" s="3">
        <f t="shared" si="16"/>
        <v>403</v>
      </c>
      <c r="E47" s="3">
        <f t="shared" si="17"/>
        <v>425</v>
      </c>
      <c r="F47" s="3">
        <f t="shared" si="18"/>
        <v>359</v>
      </c>
      <c r="G47" s="3">
        <f t="shared" si="19"/>
        <v>316</v>
      </c>
      <c r="H47" s="3">
        <f t="shared" si="20"/>
        <v>261</v>
      </c>
      <c r="I47" s="3">
        <f t="shared" si="21"/>
        <v>297</v>
      </c>
      <c r="J47" s="3">
        <f t="shared" si="22"/>
        <v>344</v>
      </c>
      <c r="K47" s="3">
        <f t="shared" si="23"/>
        <v>327</v>
      </c>
      <c r="L47" s="3">
        <f t="shared" si="24"/>
        <v>394</v>
      </c>
      <c r="M47" s="3">
        <f t="shared" si="25"/>
        <v>428</v>
      </c>
      <c r="N47" s="3">
        <f t="shared" si="26"/>
        <v>456</v>
      </c>
      <c r="O47" s="3">
        <f t="shared" si="12"/>
        <v>371.5</v>
      </c>
      <c r="Q47" s="6">
        <v>5.76</v>
      </c>
      <c r="R47" s="6">
        <v>5.73</v>
      </c>
      <c r="S47" s="6">
        <v>5.46</v>
      </c>
      <c r="T47" s="6">
        <v>4.7699999999999996</v>
      </c>
      <c r="U47" s="6">
        <v>4.0599999999999996</v>
      </c>
      <c r="V47" s="6">
        <v>3.47</v>
      </c>
      <c r="W47" s="6">
        <v>3.82</v>
      </c>
      <c r="X47" s="6">
        <v>4.42</v>
      </c>
      <c r="Y47" s="6">
        <v>4.3499999999999996</v>
      </c>
      <c r="Z47" s="6">
        <v>5.07</v>
      </c>
      <c r="AA47" s="6">
        <v>5.69</v>
      </c>
      <c r="AB47" s="51">
        <v>5.86</v>
      </c>
      <c r="AC47" s="55">
        <v>0.75</v>
      </c>
      <c r="AD47" s="53">
        <f>VLOOKUP($B47,Tabela1[[Cliente]:[Potência]],4,0)</f>
        <v>3.35</v>
      </c>
    </row>
    <row r="48" spans="1:30" x14ac:dyDescent="0.25">
      <c r="A48" s="120">
        <f t="shared" si="13"/>
        <v>46</v>
      </c>
      <c r="B48" s="49" t="s">
        <v>40</v>
      </c>
      <c r="C48" s="3">
        <f t="shared" si="15"/>
        <v>358</v>
      </c>
      <c r="D48" s="3">
        <f t="shared" si="16"/>
        <v>322</v>
      </c>
      <c r="E48" s="3">
        <f t="shared" si="17"/>
        <v>340</v>
      </c>
      <c r="F48" s="3">
        <f t="shared" si="18"/>
        <v>287</v>
      </c>
      <c r="G48" s="3">
        <f t="shared" si="19"/>
        <v>252</v>
      </c>
      <c r="H48" s="3">
        <f t="shared" si="20"/>
        <v>209</v>
      </c>
      <c r="I48" s="3">
        <f t="shared" si="21"/>
        <v>238</v>
      </c>
      <c r="J48" s="3">
        <f t="shared" si="22"/>
        <v>275</v>
      </c>
      <c r="K48" s="3">
        <f t="shared" si="23"/>
        <v>262</v>
      </c>
      <c r="L48" s="3">
        <f t="shared" si="24"/>
        <v>315</v>
      </c>
      <c r="M48" s="3">
        <f t="shared" si="25"/>
        <v>343</v>
      </c>
      <c r="N48" s="3">
        <f t="shared" si="26"/>
        <v>365</v>
      </c>
      <c r="O48" s="3">
        <f t="shared" si="12"/>
        <v>297.16666666666669</v>
      </c>
      <c r="Q48" s="6">
        <v>5.76</v>
      </c>
      <c r="R48" s="6">
        <v>5.73</v>
      </c>
      <c r="S48" s="6">
        <v>5.46</v>
      </c>
      <c r="T48" s="6">
        <v>4.7699999999999996</v>
      </c>
      <c r="U48" s="6">
        <v>4.0599999999999996</v>
      </c>
      <c r="V48" s="6">
        <v>3.47</v>
      </c>
      <c r="W48" s="6">
        <v>3.82</v>
      </c>
      <c r="X48" s="6">
        <v>4.42</v>
      </c>
      <c r="Y48" s="6">
        <v>4.3499999999999996</v>
      </c>
      <c r="Z48" s="6">
        <v>5.07</v>
      </c>
      <c r="AA48" s="6">
        <v>5.69</v>
      </c>
      <c r="AB48" s="51">
        <v>5.86</v>
      </c>
      <c r="AC48" s="55">
        <v>0.75</v>
      </c>
      <c r="AD48" s="53">
        <f>VLOOKUP($B48,Tabela1[[Cliente]:[Potência]],4,0)</f>
        <v>2.68</v>
      </c>
    </row>
    <row r="49" spans="1:30" x14ac:dyDescent="0.25">
      <c r="A49" s="120">
        <f t="shared" si="13"/>
        <v>47</v>
      </c>
      <c r="B49" s="49" t="s">
        <v>75</v>
      </c>
      <c r="C49" s="3">
        <f t="shared" si="15"/>
        <v>538</v>
      </c>
      <c r="D49" s="3">
        <f t="shared" si="16"/>
        <v>483</v>
      </c>
      <c r="E49" s="3">
        <f t="shared" si="17"/>
        <v>510</v>
      </c>
      <c r="F49" s="3">
        <f t="shared" si="18"/>
        <v>431</v>
      </c>
      <c r="G49" s="3">
        <f t="shared" si="19"/>
        <v>379</v>
      </c>
      <c r="H49" s="3">
        <f t="shared" si="20"/>
        <v>313</v>
      </c>
      <c r="I49" s="3">
        <f t="shared" si="21"/>
        <v>357</v>
      </c>
      <c r="J49" s="3">
        <f t="shared" si="22"/>
        <v>413</v>
      </c>
      <c r="K49" s="3">
        <f t="shared" si="23"/>
        <v>393</v>
      </c>
      <c r="L49" s="3">
        <f t="shared" si="24"/>
        <v>473</v>
      </c>
      <c r="M49" s="3">
        <f t="shared" si="25"/>
        <v>514</v>
      </c>
      <c r="N49" s="3">
        <f t="shared" si="26"/>
        <v>547</v>
      </c>
      <c r="O49" s="3">
        <f t="shared" si="12"/>
        <v>445.91666666666669</v>
      </c>
      <c r="Q49" s="6">
        <v>5.76</v>
      </c>
      <c r="R49" s="6">
        <v>5.73</v>
      </c>
      <c r="S49" s="6">
        <v>5.46</v>
      </c>
      <c r="T49" s="6">
        <v>4.7699999999999996</v>
      </c>
      <c r="U49" s="6">
        <v>4.0599999999999996</v>
      </c>
      <c r="V49" s="6">
        <v>3.47</v>
      </c>
      <c r="W49" s="6">
        <v>3.82</v>
      </c>
      <c r="X49" s="6">
        <v>4.42</v>
      </c>
      <c r="Y49" s="6">
        <v>4.3499999999999996</v>
      </c>
      <c r="Z49" s="6">
        <v>5.07</v>
      </c>
      <c r="AA49" s="6">
        <v>5.69</v>
      </c>
      <c r="AB49" s="51">
        <v>5.86</v>
      </c>
      <c r="AC49" s="55">
        <v>0.75</v>
      </c>
      <c r="AD49" s="53">
        <f>VLOOKUP($B49,Tabela1[[Cliente]:[Potência]],4,0)</f>
        <v>4.0199999999999996</v>
      </c>
    </row>
    <row r="50" spans="1:30" x14ac:dyDescent="0.25">
      <c r="A50" s="120">
        <f t="shared" si="13"/>
        <v>48</v>
      </c>
      <c r="B50" s="49" t="s">
        <v>41</v>
      </c>
      <c r="C50" s="3">
        <f t="shared" si="15"/>
        <v>1019</v>
      </c>
      <c r="D50" s="3">
        <f t="shared" si="16"/>
        <v>916</v>
      </c>
      <c r="E50" s="3">
        <f t="shared" si="17"/>
        <v>966</v>
      </c>
      <c r="F50" s="3">
        <f t="shared" si="18"/>
        <v>817</v>
      </c>
      <c r="G50" s="3">
        <f t="shared" si="19"/>
        <v>718</v>
      </c>
      <c r="H50" s="3">
        <f t="shared" si="20"/>
        <v>594</v>
      </c>
      <c r="I50" s="3">
        <f t="shared" si="21"/>
        <v>676</v>
      </c>
      <c r="J50" s="3">
        <f t="shared" si="22"/>
        <v>782</v>
      </c>
      <c r="K50" s="3">
        <f t="shared" si="23"/>
        <v>745</v>
      </c>
      <c r="L50" s="3">
        <f t="shared" si="24"/>
        <v>897</v>
      </c>
      <c r="M50" s="3">
        <f t="shared" si="25"/>
        <v>975</v>
      </c>
      <c r="N50" s="3">
        <f t="shared" si="26"/>
        <v>1037</v>
      </c>
      <c r="O50" s="3">
        <f t="shared" si="12"/>
        <v>845.16666666666663</v>
      </c>
      <c r="Q50" s="6">
        <v>5.76</v>
      </c>
      <c r="R50" s="6">
        <v>5.73</v>
      </c>
      <c r="S50" s="6">
        <v>5.46</v>
      </c>
      <c r="T50" s="6">
        <v>4.7699999999999996</v>
      </c>
      <c r="U50" s="6">
        <v>4.0599999999999996</v>
      </c>
      <c r="V50" s="6">
        <v>3.47</v>
      </c>
      <c r="W50" s="6">
        <v>3.82</v>
      </c>
      <c r="X50" s="6">
        <v>4.42</v>
      </c>
      <c r="Y50" s="6">
        <v>4.3499999999999996</v>
      </c>
      <c r="Z50" s="6">
        <v>5.07</v>
      </c>
      <c r="AA50" s="6">
        <v>5.69</v>
      </c>
      <c r="AB50" s="51">
        <v>5.86</v>
      </c>
      <c r="AC50" s="55">
        <v>0.7</v>
      </c>
      <c r="AD50" s="53">
        <f>VLOOKUP($B50,Tabela1[[Cliente]:[Potência]],4,0)</f>
        <v>8.16</v>
      </c>
    </row>
    <row r="51" spans="1:30" x14ac:dyDescent="0.25">
      <c r="A51" s="120">
        <f t="shared" si="13"/>
        <v>49</v>
      </c>
      <c r="B51" s="49" t="s">
        <v>42</v>
      </c>
      <c r="C51" s="3">
        <f t="shared" si="15"/>
        <v>910</v>
      </c>
      <c r="D51" s="3">
        <f t="shared" si="16"/>
        <v>818</v>
      </c>
      <c r="E51" s="3">
        <f t="shared" si="17"/>
        <v>863</v>
      </c>
      <c r="F51" s="3">
        <f t="shared" si="18"/>
        <v>729</v>
      </c>
      <c r="G51" s="3">
        <f t="shared" si="19"/>
        <v>641</v>
      </c>
      <c r="H51" s="3">
        <f t="shared" si="20"/>
        <v>530</v>
      </c>
      <c r="I51" s="3">
        <f t="shared" si="21"/>
        <v>603</v>
      </c>
      <c r="J51" s="3">
        <f t="shared" si="22"/>
        <v>698</v>
      </c>
      <c r="K51" s="3">
        <f t="shared" si="23"/>
        <v>665</v>
      </c>
      <c r="L51" s="3">
        <f t="shared" si="24"/>
        <v>801</v>
      </c>
      <c r="M51" s="3">
        <f t="shared" si="25"/>
        <v>870</v>
      </c>
      <c r="N51" s="3">
        <f t="shared" si="26"/>
        <v>926</v>
      </c>
      <c r="O51" s="3">
        <f t="shared" si="12"/>
        <v>754.5</v>
      </c>
      <c r="Q51" s="6">
        <v>5.76</v>
      </c>
      <c r="R51" s="6">
        <v>5.73</v>
      </c>
      <c r="S51" s="6">
        <v>5.46</v>
      </c>
      <c r="T51" s="6">
        <v>4.7699999999999996</v>
      </c>
      <c r="U51" s="6">
        <v>4.0599999999999996</v>
      </c>
      <c r="V51" s="6">
        <v>3.47</v>
      </c>
      <c r="W51" s="6">
        <v>3.82</v>
      </c>
      <c r="X51" s="6">
        <v>4.42</v>
      </c>
      <c r="Y51" s="6">
        <v>4.3499999999999996</v>
      </c>
      <c r="Z51" s="6">
        <v>5.07</v>
      </c>
      <c r="AA51" s="6">
        <v>5.69</v>
      </c>
      <c r="AB51" s="51">
        <v>5.86</v>
      </c>
      <c r="AC51" s="55">
        <v>0.75</v>
      </c>
      <c r="AD51" s="53">
        <f>VLOOKUP($B51,Tabela1[[Cliente]:[Potência]],4,0)</f>
        <v>6.8</v>
      </c>
    </row>
    <row r="52" spans="1:30" x14ac:dyDescent="0.25">
      <c r="A52" s="120">
        <f t="shared" si="13"/>
        <v>50</v>
      </c>
      <c r="B52" s="49" t="s">
        <v>43</v>
      </c>
      <c r="C52" s="3">
        <f t="shared" si="15"/>
        <v>1274</v>
      </c>
      <c r="D52" s="3">
        <f t="shared" si="16"/>
        <v>1145</v>
      </c>
      <c r="E52" s="3">
        <f t="shared" si="17"/>
        <v>1208</v>
      </c>
      <c r="F52" s="3">
        <f t="shared" si="18"/>
        <v>1021</v>
      </c>
      <c r="G52" s="3">
        <f t="shared" si="19"/>
        <v>898</v>
      </c>
      <c r="H52" s="3">
        <f t="shared" si="20"/>
        <v>743</v>
      </c>
      <c r="I52" s="3">
        <f t="shared" si="21"/>
        <v>845</v>
      </c>
      <c r="J52" s="3">
        <f t="shared" si="22"/>
        <v>978</v>
      </c>
      <c r="K52" s="3">
        <f t="shared" si="23"/>
        <v>931</v>
      </c>
      <c r="L52" s="3">
        <f t="shared" si="24"/>
        <v>1122</v>
      </c>
      <c r="M52" s="3">
        <f t="shared" si="25"/>
        <v>1218</v>
      </c>
      <c r="N52" s="3">
        <f t="shared" si="26"/>
        <v>1297</v>
      </c>
      <c r="O52" s="3">
        <f t="shared" si="12"/>
        <v>1056.6666666666667</v>
      </c>
      <c r="Q52" s="6">
        <v>5.76</v>
      </c>
      <c r="R52" s="6">
        <v>5.73</v>
      </c>
      <c r="S52" s="6">
        <v>5.46</v>
      </c>
      <c r="T52" s="6">
        <v>4.7699999999999996</v>
      </c>
      <c r="U52" s="6">
        <v>4.0599999999999996</v>
      </c>
      <c r="V52" s="6">
        <v>3.47</v>
      </c>
      <c r="W52" s="6">
        <v>3.82</v>
      </c>
      <c r="X52" s="6">
        <v>4.42</v>
      </c>
      <c r="Y52" s="6">
        <v>4.3499999999999996</v>
      </c>
      <c r="Z52" s="6">
        <v>5.07</v>
      </c>
      <c r="AA52" s="6">
        <v>5.69</v>
      </c>
      <c r="AB52" s="51">
        <v>5.86</v>
      </c>
      <c r="AC52" s="55">
        <v>0.7</v>
      </c>
      <c r="AD52" s="53">
        <f>VLOOKUP($B52,Tabela1[[Cliente]:[Potência]],4,0)</f>
        <v>10.199999999999999</v>
      </c>
    </row>
    <row r="53" spans="1:30" x14ac:dyDescent="0.25">
      <c r="A53" s="120">
        <f t="shared" si="13"/>
        <v>51</v>
      </c>
      <c r="B53" s="49" t="s">
        <v>44</v>
      </c>
      <c r="C53" s="3">
        <f t="shared" si="15"/>
        <v>819</v>
      </c>
      <c r="D53" s="3">
        <f t="shared" si="16"/>
        <v>736</v>
      </c>
      <c r="E53" s="3">
        <f t="shared" si="17"/>
        <v>776</v>
      </c>
      <c r="F53" s="3">
        <f t="shared" si="18"/>
        <v>656</v>
      </c>
      <c r="G53" s="3">
        <f t="shared" si="19"/>
        <v>577</v>
      </c>
      <c r="H53" s="3">
        <f t="shared" si="20"/>
        <v>477</v>
      </c>
      <c r="I53" s="3">
        <f t="shared" si="21"/>
        <v>543</v>
      </c>
      <c r="J53" s="3">
        <f t="shared" si="22"/>
        <v>628</v>
      </c>
      <c r="K53" s="3">
        <f t="shared" si="23"/>
        <v>598</v>
      </c>
      <c r="L53" s="3">
        <f t="shared" si="24"/>
        <v>721</v>
      </c>
      <c r="M53" s="3">
        <f t="shared" si="25"/>
        <v>783</v>
      </c>
      <c r="N53" s="3">
        <f t="shared" si="26"/>
        <v>833</v>
      </c>
      <c r="O53" s="3">
        <f t="shared" si="12"/>
        <v>678.91666666666663</v>
      </c>
      <c r="Q53" s="6">
        <v>5.76</v>
      </c>
      <c r="R53" s="6">
        <v>5.73</v>
      </c>
      <c r="S53" s="6">
        <v>5.46</v>
      </c>
      <c r="T53" s="6">
        <v>4.7699999999999996</v>
      </c>
      <c r="U53" s="6">
        <v>4.0599999999999996</v>
      </c>
      <c r="V53" s="6">
        <v>3.47</v>
      </c>
      <c r="W53" s="6">
        <v>3.82</v>
      </c>
      <c r="X53" s="6">
        <v>4.42</v>
      </c>
      <c r="Y53" s="6">
        <v>4.3499999999999996</v>
      </c>
      <c r="Z53" s="6">
        <v>5.07</v>
      </c>
      <c r="AA53" s="6">
        <v>5.69</v>
      </c>
      <c r="AB53" s="51">
        <v>5.86</v>
      </c>
      <c r="AC53" s="55">
        <v>0.75</v>
      </c>
      <c r="AD53" s="53">
        <f>VLOOKUP($B53,Tabela1[[Cliente]:[Potência]],4,0)</f>
        <v>6.12</v>
      </c>
    </row>
    <row r="54" spans="1:30" x14ac:dyDescent="0.25">
      <c r="A54" s="120">
        <f t="shared" si="13"/>
        <v>52</v>
      </c>
      <c r="B54" s="49" t="s">
        <v>45</v>
      </c>
      <c r="C54" s="3">
        <f t="shared" si="15"/>
        <v>7234</v>
      </c>
      <c r="D54" s="3">
        <f t="shared" si="16"/>
        <v>6500</v>
      </c>
      <c r="E54" s="3">
        <f t="shared" si="17"/>
        <v>6857</v>
      </c>
      <c r="F54" s="3">
        <f t="shared" si="18"/>
        <v>5797</v>
      </c>
      <c r="G54" s="3">
        <f t="shared" si="19"/>
        <v>5099</v>
      </c>
      <c r="H54" s="3">
        <f t="shared" si="20"/>
        <v>4217</v>
      </c>
      <c r="I54" s="3">
        <f t="shared" si="21"/>
        <v>4797</v>
      </c>
      <c r="J54" s="3">
        <f t="shared" si="22"/>
        <v>5551</v>
      </c>
      <c r="K54" s="3">
        <f t="shared" si="23"/>
        <v>5287</v>
      </c>
      <c r="L54" s="3">
        <f t="shared" si="24"/>
        <v>6367</v>
      </c>
      <c r="M54" s="3">
        <f t="shared" si="25"/>
        <v>6915</v>
      </c>
      <c r="N54" s="3">
        <f t="shared" si="26"/>
        <v>7359</v>
      </c>
      <c r="O54" s="3">
        <f t="shared" si="12"/>
        <v>5998.333333333333</v>
      </c>
      <c r="Q54" s="6">
        <v>5.76</v>
      </c>
      <c r="R54" s="6">
        <v>5.73</v>
      </c>
      <c r="S54" s="6">
        <v>5.46</v>
      </c>
      <c r="T54" s="6">
        <v>4.7699999999999996</v>
      </c>
      <c r="U54" s="6">
        <v>4.0599999999999996</v>
      </c>
      <c r="V54" s="6">
        <v>3.47</v>
      </c>
      <c r="W54" s="6">
        <v>3.82</v>
      </c>
      <c r="X54" s="6">
        <v>4.42</v>
      </c>
      <c r="Y54" s="6">
        <v>4.3499999999999996</v>
      </c>
      <c r="Z54" s="6">
        <v>5.07</v>
      </c>
      <c r="AA54" s="6">
        <v>5.69</v>
      </c>
      <c r="AB54" s="51">
        <v>5.86</v>
      </c>
      <c r="AC54" s="55">
        <v>0.75</v>
      </c>
      <c r="AD54" s="53">
        <f>VLOOKUP($B54,Tabela1[[Cliente]:[Potência]],4,0)</f>
        <v>54.02</v>
      </c>
    </row>
    <row r="55" spans="1:30" x14ac:dyDescent="0.25">
      <c r="A55" s="120">
        <f t="shared" si="13"/>
        <v>53</v>
      </c>
      <c r="B55" s="49" t="s">
        <v>46</v>
      </c>
      <c r="C55" s="3">
        <f t="shared" si="15"/>
        <v>825</v>
      </c>
      <c r="D55" s="3">
        <f t="shared" si="16"/>
        <v>745</v>
      </c>
      <c r="E55" s="3">
        <f t="shared" si="17"/>
        <v>772</v>
      </c>
      <c r="F55" s="3">
        <f t="shared" si="18"/>
        <v>666</v>
      </c>
      <c r="G55" s="3">
        <f t="shared" si="19"/>
        <v>583</v>
      </c>
      <c r="H55" s="3">
        <f t="shared" si="20"/>
        <v>486</v>
      </c>
      <c r="I55" s="3">
        <f t="shared" si="21"/>
        <v>553</v>
      </c>
      <c r="J55" s="3">
        <f t="shared" si="22"/>
        <v>645</v>
      </c>
      <c r="K55" s="3">
        <f t="shared" si="23"/>
        <v>604</v>
      </c>
      <c r="L55" s="3">
        <f t="shared" si="24"/>
        <v>722</v>
      </c>
      <c r="M55" s="3">
        <f t="shared" si="25"/>
        <v>784</v>
      </c>
      <c r="N55" s="3">
        <f t="shared" si="26"/>
        <v>830</v>
      </c>
      <c r="O55" s="3">
        <f t="shared" si="12"/>
        <v>684.58333333333337</v>
      </c>
      <c r="Q55" s="6">
        <v>5.8</v>
      </c>
      <c r="R55" s="6">
        <v>5.8</v>
      </c>
      <c r="S55" s="6">
        <v>5.43</v>
      </c>
      <c r="T55" s="6">
        <v>4.84</v>
      </c>
      <c r="U55" s="6">
        <v>4.0999999999999996</v>
      </c>
      <c r="V55" s="6">
        <v>3.53</v>
      </c>
      <c r="W55" s="6">
        <v>3.89</v>
      </c>
      <c r="X55" s="6">
        <v>4.54</v>
      </c>
      <c r="Y55" s="6">
        <v>4.3899999999999997</v>
      </c>
      <c r="Z55" s="6">
        <v>5.08</v>
      </c>
      <c r="AA55" s="6">
        <v>5.7</v>
      </c>
      <c r="AB55" s="51">
        <v>5.84</v>
      </c>
      <c r="AC55" s="55">
        <v>0.75</v>
      </c>
      <c r="AD55" s="53">
        <f>VLOOKUP($B55,Tabela1[[Cliente]:[Potência]],4,0)</f>
        <v>6.12</v>
      </c>
    </row>
    <row r="56" spans="1:30" x14ac:dyDescent="0.25">
      <c r="A56" s="120">
        <f t="shared" si="13"/>
        <v>54</v>
      </c>
      <c r="B56" s="49" t="s">
        <v>47</v>
      </c>
      <c r="C56" s="3">
        <f t="shared" si="15"/>
        <v>5919</v>
      </c>
      <c r="D56" s="3">
        <f t="shared" si="16"/>
        <v>5318</v>
      </c>
      <c r="E56" s="3">
        <f t="shared" si="17"/>
        <v>5610</v>
      </c>
      <c r="F56" s="3">
        <f t="shared" si="18"/>
        <v>4743</v>
      </c>
      <c r="G56" s="3">
        <f t="shared" si="19"/>
        <v>4172</v>
      </c>
      <c r="H56" s="3">
        <f t="shared" si="20"/>
        <v>3450</v>
      </c>
      <c r="I56" s="3">
        <f t="shared" si="21"/>
        <v>3925</v>
      </c>
      <c r="J56" s="3">
        <f t="shared" si="22"/>
        <v>4542</v>
      </c>
      <c r="K56" s="3">
        <f t="shared" si="23"/>
        <v>4326</v>
      </c>
      <c r="L56" s="3">
        <f t="shared" si="24"/>
        <v>5210</v>
      </c>
      <c r="M56" s="3">
        <f t="shared" si="25"/>
        <v>5658</v>
      </c>
      <c r="N56" s="3">
        <f t="shared" si="26"/>
        <v>6022</v>
      </c>
      <c r="O56" s="3">
        <f t="shared" si="12"/>
        <v>4907.916666666667</v>
      </c>
      <c r="Q56" s="6">
        <v>5.76</v>
      </c>
      <c r="R56" s="6">
        <v>5.73</v>
      </c>
      <c r="S56" s="6">
        <v>5.46</v>
      </c>
      <c r="T56" s="6">
        <v>4.7699999999999996</v>
      </c>
      <c r="U56" s="6">
        <v>4.0599999999999996</v>
      </c>
      <c r="V56" s="6">
        <v>3.47</v>
      </c>
      <c r="W56" s="6">
        <v>3.82</v>
      </c>
      <c r="X56" s="6">
        <v>4.42</v>
      </c>
      <c r="Y56" s="6">
        <v>4.3499999999999996</v>
      </c>
      <c r="Z56" s="6">
        <v>5.07</v>
      </c>
      <c r="AA56" s="6">
        <v>5.69</v>
      </c>
      <c r="AB56" s="51">
        <v>5.86</v>
      </c>
      <c r="AC56" s="55">
        <v>0.75</v>
      </c>
      <c r="AD56" s="53">
        <f>VLOOKUP($B56,Tabela1[[Cliente]:[Potência]],4,0)</f>
        <v>44.2</v>
      </c>
    </row>
    <row r="57" spans="1:30" x14ac:dyDescent="0.25">
      <c r="A57" s="120">
        <f t="shared" si="13"/>
        <v>55</v>
      </c>
      <c r="B57" s="49" t="s">
        <v>48</v>
      </c>
      <c r="C57" s="3">
        <f t="shared" si="15"/>
        <v>13987</v>
      </c>
      <c r="D57" s="3">
        <f t="shared" si="16"/>
        <v>12568</v>
      </c>
      <c r="E57" s="3">
        <f t="shared" si="17"/>
        <v>13259</v>
      </c>
      <c r="F57" s="3">
        <f t="shared" si="18"/>
        <v>11209</v>
      </c>
      <c r="G57" s="3">
        <f t="shared" si="19"/>
        <v>9859</v>
      </c>
      <c r="H57" s="3">
        <f t="shared" si="20"/>
        <v>8154</v>
      </c>
      <c r="I57" s="3">
        <f t="shared" si="21"/>
        <v>9276</v>
      </c>
      <c r="J57" s="3">
        <f t="shared" si="22"/>
        <v>10733</v>
      </c>
      <c r="K57" s="3">
        <f t="shared" si="23"/>
        <v>10222</v>
      </c>
      <c r="L57" s="3">
        <f t="shared" si="24"/>
        <v>12312</v>
      </c>
      <c r="M57" s="3">
        <f t="shared" si="25"/>
        <v>13371</v>
      </c>
      <c r="N57" s="3">
        <f t="shared" si="26"/>
        <v>14230</v>
      </c>
      <c r="O57" s="3">
        <f t="shared" si="12"/>
        <v>11598.333333333334</v>
      </c>
      <c r="Q57" s="6">
        <v>5.76</v>
      </c>
      <c r="R57" s="6">
        <v>5.73</v>
      </c>
      <c r="S57" s="6">
        <v>5.46</v>
      </c>
      <c r="T57" s="6">
        <v>4.7699999999999996</v>
      </c>
      <c r="U57" s="6">
        <v>4.0599999999999996</v>
      </c>
      <c r="V57" s="6">
        <v>3.47</v>
      </c>
      <c r="W57" s="6">
        <v>3.82</v>
      </c>
      <c r="X57" s="6">
        <v>4.42</v>
      </c>
      <c r="Y57" s="6">
        <v>4.3499999999999996</v>
      </c>
      <c r="Z57" s="6">
        <v>5.07</v>
      </c>
      <c r="AA57" s="6">
        <v>5.69</v>
      </c>
      <c r="AB57" s="51">
        <v>5.86</v>
      </c>
      <c r="AC57" s="55">
        <v>0.8</v>
      </c>
      <c r="AD57" s="53">
        <f>VLOOKUP($B57,Tabela1[[Cliente]:[Potência]],4,0)</f>
        <v>97.92</v>
      </c>
    </row>
    <row r="58" spans="1:30" ht="15.75" thickBot="1" x14ac:dyDescent="0.3">
      <c r="A58" s="120">
        <v>56</v>
      </c>
      <c r="B58" s="49" t="s">
        <v>49</v>
      </c>
      <c r="C58" s="3">
        <f t="shared" si="15"/>
        <v>3566</v>
      </c>
      <c r="D58" s="3">
        <f t="shared" si="16"/>
        <v>3204</v>
      </c>
      <c r="E58" s="3">
        <f t="shared" si="17"/>
        <v>3380</v>
      </c>
      <c r="F58" s="3">
        <f t="shared" si="18"/>
        <v>2858</v>
      </c>
      <c r="G58" s="3">
        <f t="shared" si="19"/>
        <v>2513</v>
      </c>
      <c r="H58" s="3">
        <f t="shared" si="20"/>
        <v>2079</v>
      </c>
      <c r="I58" s="3">
        <f t="shared" si="21"/>
        <v>2365</v>
      </c>
      <c r="J58" s="3">
        <f t="shared" si="22"/>
        <v>2736</v>
      </c>
      <c r="K58" s="3">
        <f t="shared" si="23"/>
        <v>2606</v>
      </c>
      <c r="L58" s="3">
        <f t="shared" si="24"/>
        <v>3139</v>
      </c>
      <c r="M58" s="3">
        <f t="shared" si="25"/>
        <v>3409</v>
      </c>
      <c r="N58" s="3">
        <f t="shared" ref="N58:N71" si="27">ROUNDDOWN($AD58*$AC58*(AB58*AB$2),0)</f>
        <v>3628</v>
      </c>
      <c r="O58" s="3">
        <f t="shared" si="12"/>
        <v>2956.9166666666665</v>
      </c>
      <c r="Q58" s="6">
        <v>5.76</v>
      </c>
      <c r="R58" s="6">
        <v>5.73</v>
      </c>
      <c r="S58" s="6">
        <v>5.46</v>
      </c>
      <c r="T58" s="6">
        <v>4.7699999999999996</v>
      </c>
      <c r="U58" s="6">
        <v>4.0599999999999996</v>
      </c>
      <c r="V58" s="6">
        <v>3.47</v>
      </c>
      <c r="W58" s="6">
        <v>3.82</v>
      </c>
      <c r="X58" s="6">
        <v>4.42</v>
      </c>
      <c r="Y58" s="6">
        <v>4.3499999999999996</v>
      </c>
      <c r="Z58" s="6">
        <v>5.07</v>
      </c>
      <c r="AA58" s="6">
        <v>5.69</v>
      </c>
      <c r="AB58" s="51">
        <v>5.86</v>
      </c>
      <c r="AC58" s="56">
        <v>0.72</v>
      </c>
      <c r="AD58" s="53">
        <f>VLOOKUP($B58,Tabela1[[Cliente]:[Potência]],4,0)</f>
        <v>27.74</v>
      </c>
    </row>
    <row r="59" spans="1:30" ht="15.75" thickBot="1" x14ac:dyDescent="0.3">
      <c r="A59" s="120">
        <v>57</v>
      </c>
      <c r="B59" s="49" t="s">
        <v>261</v>
      </c>
      <c r="C59" s="3">
        <f t="shared" ref="C59:C71" si="28">ROUNDDOWN($AD59*$AC59*(Q59*Q$2),0)</f>
        <v>1639</v>
      </c>
      <c r="D59" s="3">
        <f t="shared" ref="D59:D71" si="29">ROUNDDOWN($AD59*$AC59*(R59*R$2),0)</f>
        <v>1472</v>
      </c>
      <c r="E59" s="3">
        <f t="shared" ref="E59:E71" si="30">ROUNDDOWN($AD59*$AC59*(S59*S$2),0)</f>
        <v>1553</v>
      </c>
      <c r="F59" s="3">
        <f t="shared" ref="F59:F71" si="31">ROUNDDOWN($AD59*$AC59*(T59*T$2),0)</f>
        <v>1313</v>
      </c>
      <c r="G59" s="3">
        <f t="shared" ref="G59:G71" si="32">ROUNDDOWN($AD59*$AC59*(U59*U$2),0)</f>
        <v>1155</v>
      </c>
      <c r="H59" s="3">
        <f t="shared" ref="H59:H71" si="33">ROUNDDOWN($AD59*$AC59*(V59*V$2),0)</f>
        <v>955</v>
      </c>
      <c r="I59" s="3">
        <f t="shared" ref="I59:I71" si="34">ROUNDDOWN($AD59*$AC59*(W59*W$2),0)</f>
        <v>1087</v>
      </c>
      <c r="J59" s="3">
        <f t="shared" ref="J59:J71" si="35">ROUNDDOWN($AD59*$AC59*(X59*X$2),0)</f>
        <v>1257</v>
      </c>
      <c r="K59" s="3">
        <f t="shared" ref="K59:K71" si="36">ROUNDDOWN($AD59*$AC59*(Y59*Y$2),0)</f>
        <v>1197</v>
      </c>
      <c r="L59" s="3">
        <f t="shared" ref="L59:L71" si="37">ROUNDDOWN($AD59*$AC59*(Z59*Z$2),0)</f>
        <v>1442</v>
      </c>
      <c r="M59" s="3">
        <f t="shared" ref="M59:M71" si="38">ROUNDDOWN($AD59*$AC59*(AA59*AA$2),0)</f>
        <v>1567</v>
      </c>
      <c r="N59" s="3">
        <f t="shared" si="27"/>
        <v>1667</v>
      </c>
      <c r="O59" s="3">
        <f t="shared" ref="O59:O71" si="39">AVERAGE(C59:N59)</f>
        <v>1358.6666666666667</v>
      </c>
      <c r="Q59" s="6">
        <v>5.76</v>
      </c>
      <c r="R59" s="6">
        <v>5.73</v>
      </c>
      <c r="S59" s="6">
        <v>5.46</v>
      </c>
      <c r="T59" s="6">
        <v>4.7699999999999996</v>
      </c>
      <c r="U59" s="6">
        <v>4.0599999999999996</v>
      </c>
      <c r="V59" s="6">
        <v>3.47</v>
      </c>
      <c r="W59" s="6">
        <v>3.82</v>
      </c>
      <c r="X59" s="6">
        <v>4.42</v>
      </c>
      <c r="Y59" s="6">
        <v>4.3499999999999996</v>
      </c>
      <c r="Z59" s="6">
        <v>5.07</v>
      </c>
      <c r="AA59" s="6">
        <v>5.69</v>
      </c>
      <c r="AB59" s="51">
        <v>5.86</v>
      </c>
      <c r="AC59" s="56">
        <v>0.75</v>
      </c>
      <c r="AD59" s="53">
        <f>VLOOKUP($B59,Tabela1[[Cliente]:[Potência]],4,0)</f>
        <v>12.24</v>
      </c>
    </row>
    <row r="60" spans="1:30" ht="15.75" thickBot="1" x14ac:dyDescent="0.3">
      <c r="A60" s="120">
        <v>58</v>
      </c>
      <c r="B60" s="49" t="s">
        <v>262</v>
      </c>
      <c r="C60" s="3">
        <f t="shared" si="28"/>
        <v>594</v>
      </c>
      <c r="D60" s="3">
        <f t="shared" si="29"/>
        <v>534</v>
      </c>
      <c r="E60" s="3">
        <f t="shared" si="30"/>
        <v>563</v>
      </c>
      <c r="F60" s="3">
        <f t="shared" si="31"/>
        <v>476</v>
      </c>
      <c r="G60" s="3">
        <f t="shared" si="32"/>
        <v>419</v>
      </c>
      <c r="H60" s="3">
        <f t="shared" si="33"/>
        <v>346</v>
      </c>
      <c r="I60" s="3">
        <f t="shared" si="34"/>
        <v>394</v>
      </c>
      <c r="J60" s="3">
        <f t="shared" si="35"/>
        <v>456</v>
      </c>
      <c r="K60" s="3">
        <f t="shared" si="36"/>
        <v>434</v>
      </c>
      <c r="L60" s="3">
        <f t="shared" si="37"/>
        <v>523</v>
      </c>
      <c r="M60" s="3">
        <f t="shared" si="38"/>
        <v>568</v>
      </c>
      <c r="N60" s="3">
        <f t="shared" si="27"/>
        <v>605</v>
      </c>
      <c r="O60" s="3">
        <f t="shared" si="39"/>
        <v>492.66666666666669</v>
      </c>
      <c r="Q60" s="6">
        <v>5.76</v>
      </c>
      <c r="R60" s="6">
        <v>5.73</v>
      </c>
      <c r="S60" s="6">
        <v>5.46</v>
      </c>
      <c r="T60" s="6">
        <v>4.7699999999999996</v>
      </c>
      <c r="U60" s="6">
        <v>4.0599999999999996</v>
      </c>
      <c r="V60" s="6">
        <v>3.47</v>
      </c>
      <c r="W60" s="6">
        <v>3.82</v>
      </c>
      <c r="X60" s="6">
        <v>4.42</v>
      </c>
      <c r="Y60" s="6">
        <v>4.3499999999999996</v>
      </c>
      <c r="Z60" s="6">
        <v>5.07</v>
      </c>
      <c r="AA60" s="6">
        <v>5.69</v>
      </c>
      <c r="AB60" s="51">
        <v>5.86</v>
      </c>
      <c r="AC60" s="56">
        <v>0.7</v>
      </c>
      <c r="AD60" s="53">
        <f>VLOOKUP($B60,Tabela1[[Cliente]:[Potência]],4,0)</f>
        <v>4.76</v>
      </c>
    </row>
    <row r="61" spans="1:30" ht="15.75" thickBot="1" x14ac:dyDescent="0.3">
      <c r="A61" s="120">
        <v>59</v>
      </c>
      <c r="B61" s="49" t="s">
        <v>263</v>
      </c>
      <c r="C61" s="3">
        <f t="shared" si="28"/>
        <v>502</v>
      </c>
      <c r="D61" s="3">
        <f t="shared" si="29"/>
        <v>451</v>
      </c>
      <c r="E61" s="3">
        <f t="shared" si="30"/>
        <v>476</v>
      </c>
      <c r="F61" s="3">
        <f t="shared" si="31"/>
        <v>402</v>
      </c>
      <c r="G61" s="3">
        <f t="shared" si="32"/>
        <v>353</v>
      </c>
      <c r="H61" s="3">
        <f t="shared" si="33"/>
        <v>292</v>
      </c>
      <c r="I61" s="3">
        <f t="shared" si="34"/>
        <v>333</v>
      </c>
      <c r="J61" s="3">
        <f t="shared" si="35"/>
        <v>385</v>
      </c>
      <c r="K61" s="3">
        <f t="shared" si="36"/>
        <v>367</v>
      </c>
      <c r="L61" s="3">
        <f t="shared" si="37"/>
        <v>442</v>
      </c>
      <c r="M61" s="3">
        <f t="shared" si="38"/>
        <v>480</v>
      </c>
      <c r="N61" s="3">
        <f t="shared" si="27"/>
        <v>510</v>
      </c>
      <c r="O61" s="3">
        <f t="shared" si="39"/>
        <v>416.08333333333331</v>
      </c>
      <c r="Q61" s="6">
        <v>5.76</v>
      </c>
      <c r="R61" s="6">
        <v>5.73</v>
      </c>
      <c r="S61" s="6">
        <v>5.46</v>
      </c>
      <c r="T61" s="6">
        <v>4.7699999999999996</v>
      </c>
      <c r="U61" s="6">
        <v>4.0599999999999996</v>
      </c>
      <c r="V61" s="6">
        <v>3.47</v>
      </c>
      <c r="W61" s="6">
        <v>3.82</v>
      </c>
      <c r="X61" s="6">
        <v>4.42</v>
      </c>
      <c r="Y61" s="6">
        <v>4.3499999999999996</v>
      </c>
      <c r="Z61" s="6">
        <v>5.07</v>
      </c>
      <c r="AA61" s="6">
        <v>5.69</v>
      </c>
      <c r="AB61" s="51">
        <v>5.86</v>
      </c>
      <c r="AC61" s="56">
        <v>0.75</v>
      </c>
      <c r="AD61" s="53">
        <f>VLOOKUP($B61,Tabela1[[Cliente]:[Potência]],4,0)</f>
        <v>3.75</v>
      </c>
    </row>
    <row r="62" spans="1:30" ht="15.75" thickBot="1" x14ac:dyDescent="0.3">
      <c r="A62" s="120">
        <v>60</v>
      </c>
      <c r="B62" s="106" t="s">
        <v>264</v>
      </c>
      <c r="C62" s="3">
        <f t="shared" si="28"/>
        <v>7533</v>
      </c>
      <c r="D62" s="3">
        <f t="shared" si="29"/>
        <v>6768</v>
      </c>
      <c r="E62" s="3">
        <f t="shared" si="30"/>
        <v>7140</v>
      </c>
      <c r="F62" s="3">
        <f t="shared" si="31"/>
        <v>6037</v>
      </c>
      <c r="G62" s="3">
        <f t="shared" si="32"/>
        <v>5309</v>
      </c>
      <c r="H62" s="3">
        <f t="shared" si="33"/>
        <v>4391</v>
      </c>
      <c r="I62" s="3">
        <f t="shared" si="34"/>
        <v>4995</v>
      </c>
      <c r="J62" s="3">
        <f t="shared" si="35"/>
        <v>5780</v>
      </c>
      <c r="K62" s="3">
        <f t="shared" si="36"/>
        <v>5505</v>
      </c>
      <c r="L62" s="3">
        <f t="shared" si="37"/>
        <v>6630</v>
      </c>
      <c r="M62" s="3">
        <f t="shared" si="38"/>
        <v>7201</v>
      </c>
      <c r="N62" s="3">
        <f t="shared" si="27"/>
        <v>7663</v>
      </c>
      <c r="O62" s="3">
        <f t="shared" si="39"/>
        <v>6246</v>
      </c>
      <c r="Q62" s="6">
        <v>5.76</v>
      </c>
      <c r="R62" s="6">
        <v>5.73</v>
      </c>
      <c r="S62" s="6">
        <v>5.46</v>
      </c>
      <c r="T62" s="6">
        <v>4.7699999999999996</v>
      </c>
      <c r="U62" s="6">
        <v>4.0599999999999996</v>
      </c>
      <c r="V62" s="6">
        <v>3.47</v>
      </c>
      <c r="W62" s="6">
        <v>3.82</v>
      </c>
      <c r="X62" s="6">
        <v>4.42</v>
      </c>
      <c r="Y62" s="6">
        <v>4.3499999999999996</v>
      </c>
      <c r="Z62" s="6">
        <v>5.07</v>
      </c>
      <c r="AA62" s="6">
        <v>5.69</v>
      </c>
      <c r="AB62" s="51">
        <v>5.86</v>
      </c>
      <c r="AC62" s="56">
        <v>0.75</v>
      </c>
      <c r="AD62" s="53">
        <f>VLOOKUP($B62,Tabela1[[Cliente]:[Potência]],4,0)</f>
        <v>56.25</v>
      </c>
    </row>
    <row r="63" spans="1:30" ht="15.75" thickBot="1" x14ac:dyDescent="0.3">
      <c r="A63" s="120">
        <v>61</v>
      </c>
      <c r="B63" s="107" t="s">
        <v>279</v>
      </c>
      <c r="C63" s="3">
        <f t="shared" si="28"/>
        <v>552</v>
      </c>
      <c r="D63" s="3">
        <f t="shared" si="29"/>
        <v>496</v>
      </c>
      <c r="E63" s="3">
        <f t="shared" si="30"/>
        <v>523</v>
      </c>
      <c r="F63" s="3">
        <f t="shared" si="31"/>
        <v>442</v>
      </c>
      <c r="G63" s="3">
        <f t="shared" si="32"/>
        <v>389</v>
      </c>
      <c r="H63" s="3">
        <f t="shared" si="33"/>
        <v>322</v>
      </c>
      <c r="I63" s="3">
        <f t="shared" si="34"/>
        <v>366</v>
      </c>
      <c r="J63" s="3">
        <f t="shared" si="35"/>
        <v>423</v>
      </c>
      <c r="K63" s="3">
        <f t="shared" si="36"/>
        <v>403</v>
      </c>
      <c r="L63" s="3">
        <f t="shared" si="37"/>
        <v>486</v>
      </c>
      <c r="M63" s="3">
        <f t="shared" si="38"/>
        <v>528</v>
      </c>
      <c r="N63" s="3">
        <f t="shared" si="27"/>
        <v>562</v>
      </c>
      <c r="O63" s="3">
        <f t="shared" si="39"/>
        <v>457.66666666666669</v>
      </c>
      <c r="Q63" s="6">
        <v>5.76</v>
      </c>
      <c r="R63" s="6">
        <v>5.73</v>
      </c>
      <c r="S63" s="6">
        <v>5.46</v>
      </c>
      <c r="T63" s="6">
        <v>4.7699999999999996</v>
      </c>
      <c r="U63" s="6">
        <v>4.0599999999999996</v>
      </c>
      <c r="V63" s="6">
        <v>3.47</v>
      </c>
      <c r="W63" s="6">
        <v>3.82</v>
      </c>
      <c r="X63" s="6">
        <v>4.42</v>
      </c>
      <c r="Y63" s="6">
        <v>4.3499999999999996</v>
      </c>
      <c r="Z63" s="6">
        <v>5.07</v>
      </c>
      <c r="AA63" s="6">
        <v>5.69</v>
      </c>
      <c r="AB63" s="51">
        <v>5.86</v>
      </c>
      <c r="AC63" s="56">
        <v>0.75</v>
      </c>
      <c r="AD63" s="53">
        <f>VLOOKUP($B63,Tabela1[[Cliente]:[Potência]],4,0)</f>
        <v>4.125</v>
      </c>
    </row>
    <row r="64" spans="1:30" ht="15.75" thickBot="1" x14ac:dyDescent="0.3">
      <c r="A64" s="120">
        <v>62</v>
      </c>
      <c r="B64" s="106" t="s">
        <v>280</v>
      </c>
      <c r="C64" s="3">
        <f t="shared" si="28"/>
        <v>1486</v>
      </c>
      <c r="D64" s="3">
        <f t="shared" si="29"/>
        <v>1335</v>
      </c>
      <c r="E64" s="3">
        <f t="shared" si="30"/>
        <v>1409</v>
      </c>
      <c r="F64" s="3">
        <f t="shared" si="31"/>
        <v>1191</v>
      </c>
      <c r="G64" s="3">
        <f t="shared" si="32"/>
        <v>1047</v>
      </c>
      <c r="H64" s="3">
        <f t="shared" si="33"/>
        <v>866</v>
      </c>
      <c r="I64" s="3">
        <f t="shared" si="34"/>
        <v>985</v>
      </c>
      <c r="J64" s="3">
        <f t="shared" si="35"/>
        <v>1140</v>
      </c>
      <c r="K64" s="3">
        <f t="shared" si="36"/>
        <v>1086</v>
      </c>
      <c r="L64" s="3">
        <f t="shared" si="37"/>
        <v>1308</v>
      </c>
      <c r="M64" s="3">
        <f t="shared" si="38"/>
        <v>1421</v>
      </c>
      <c r="N64" s="3">
        <f t="shared" si="27"/>
        <v>1512</v>
      </c>
      <c r="O64" s="3">
        <f t="shared" si="39"/>
        <v>1232.1666666666667</v>
      </c>
      <c r="Q64" s="6">
        <v>5.76</v>
      </c>
      <c r="R64" s="6">
        <v>5.73</v>
      </c>
      <c r="S64" s="6">
        <v>5.46</v>
      </c>
      <c r="T64" s="6">
        <v>4.7699999999999996</v>
      </c>
      <c r="U64" s="6">
        <v>4.0599999999999996</v>
      </c>
      <c r="V64" s="6">
        <v>3.47</v>
      </c>
      <c r="W64" s="6">
        <v>3.82</v>
      </c>
      <c r="X64" s="6">
        <v>4.42</v>
      </c>
      <c r="Y64" s="6">
        <v>4.3499999999999996</v>
      </c>
      <c r="Z64" s="6">
        <v>5.07</v>
      </c>
      <c r="AA64" s="6">
        <v>5.69</v>
      </c>
      <c r="AB64" s="51">
        <v>5.86</v>
      </c>
      <c r="AC64" s="56">
        <v>0.75</v>
      </c>
      <c r="AD64" s="53">
        <f>VLOOKUP($B64,Tabela1[[Cliente]:[Potência]],4,0)</f>
        <v>11.1</v>
      </c>
    </row>
    <row r="65" spans="1:30" ht="15.75" thickBot="1" x14ac:dyDescent="0.3">
      <c r="A65" s="120">
        <v>63</v>
      </c>
      <c r="B65" s="107" t="s">
        <v>281</v>
      </c>
      <c r="C65" s="3">
        <f t="shared" si="28"/>
        <v>602</v>
      </c>
      <c r="D65" s="3">
        <f t="shared" si="29"/>
        <v>541</v>
      </c>
      <c r="E65" s="3">
        <f t="shared" si="30"/>
        <v>571</v>
      </c>
      <c r="F65" s="3">
        <f t="shared" si="31"/>
        <v>482</v>
      </c>
      <c r="G65" s="3">
        <f t="shared" si="32"/>
        <v>424</v>
      </c>
      <c r="H65" s="3">
        <f t="shared" si="33"/>
        <v>351</v>
      </c>
      <c r="I65" s="3">
        <f t="shared" si="34"/>
        <v>399</v>
      </c>
      <c r="J65" s="3">
        <f t="shared" si="35"/>
        <v>462</v>
      </c>
      <c r="K65" s="3">
        <f t="shared" si="36"/>
        <v>440</v>
      </c>
      <c r="L65" s="3">
        <f t="shared" si="37"/>
        <v>530</v>
      </c>
      <c r="M65" s="3">
        <f t="shared" si="38"/>
        <v>576</v>
      </c>
      <c r="N65" s="3">
        <f t="shared" si="27"/>
        <v>613</v>
      </c>
      <c r="O65" s="3">
        <f t="shared" si="39"/>
        <v>499.25</v>
      </c>
      <c r="Q65" s="6">
        <v>5.76</v>
      </c>
      <c r="R65" s="6">
        <v>5.73</v>
      </c>
      <c r="S65" s="6">
        <v>5.46</v>
      </c>
      <c r="T65" s="6">
        <v>4.7699999999999996</v>
      </c>
      <c r="U65" s="6">
        <v>4.0599999999999996</v>
      </c>
      <c r="V65" s="6">
        <v>3.47</v>
      </c>
      <c r="W65" s="6">
        <v>3.82</v>
      </c>
      <c r="X65" s="6">
        <v>4.42</v>
      </c>
      <c r="Y65" s="6">
        <v>4.3499999999999996</v>
      </c>
      <c r="Z65" s="6">
        <v>5.07</v>
      </c>
      <c r="AA65" s="6">
        <v>5.69</v>
      </c>
      <c r="AB65" s="51">
        <v>5.86</v>
      </c>
      <c r="AC65" s="56">
        <v>0.75</v>
      </c>
      <c r="AD65" s="53">
        <f>VLOOKUP($B65,Tabela1[[Cliente]:[Potência]],4,0)</f>
        <v>4.5</v>
      </c>
    </row>
    <row r="66" spans="1:30" ht="15.75" thickBot="1" x14ac:dyDescent="0.3">
      <c r="A66" s="120">
        <v>64</v>
      </c>
      <c r="B66" s="123" t="s">
        <v>308</v>
      </c>
      <c r="C66" s="3">
        <f t="shared" si="28"/>
        <v>1288</v>
      </c>
      <c r="D66" s="3">
        <f t="shared" si="29"/>
        <v>1157</v>
      </c>
      <c r="E66" s="3">
        <f t="shared" si="30"/>
        <v>1221</v>
      </c>
      <c r="F66" s="3">
        <f t="shared" si="31"/>
        <v>1032</v>
      </c>
      <c r="G66" s="3">
        <f t="shared" si="32"/>
        <v>908</v>
      </c>
      <c r="H66" s="3">
        <f t="shared" si="33"/>
        <v>751</v>
      </c>
      <c r="I66" s="3">
        <f t="shared" si="34"/>
        <v>854</v>
      </c>
      <c r="J66" s="3">
        <f t="shared" si="35"/>
        <v>988</v>
      </c>
      <c r="K66" s="3">
        <f t="shared" si="36"/>
        <v>941</v>
      </c>
      <c r="L66" s="3">
        <f t="shared" si="37"/>
        <v>1133</v>
      </c>
      <c r="M66" s="3">
        <f t="shared" si="38"/>
        <v>1231</v>
      </c>
      <c r="N66" s="3">
        <f t="shared" si="27"/>
        <v>1310</v>
      </c>
      <c r="O66" s="3">
        <f t="shared" si="39"/>
        <v>1067.8333333333333</v>
      </c>
      <c r="Q66" s="6">
        <v>5.76</v>
      </c>
      <c r="R66" s="6">
        <v>5.73</v>
      </c>
      <c r="S66" s="6">
        <v>5.46</v>
      </c>
      <c r="T66" s="6">
        <v>4.7699999999999996</v>
      </c>
      <c r="U66" s="6">
        <v>4.0599999999999996</v>
      </c>
      <c r="V66" s="6">
        <v>3.47</v>
      </c>
      <c r="W66" s="6">
        <v>3.82</v>
      </c>
      <c r="X66" s="6">
        <v>4.42</v>
      </c>
      <c r="Y66" s="6">
        <v>4.3499999999999996</v>
      </c>
      <c r="Z66" s="6">
        <v>5.07</v>
      </c>
      <c r="AA66" s="6">
        <v>5.69</v>
      </c>
      <c r="AB66" s="51">
        <v>5.86</v>
      </c>
      <c r="AC66" s="56">
        <v>0.75</v>
      </c>
      <c r="AD66" s="53">
        <f>VLOOKUP($B66,Tabela1[[Cliente]:[Potência]],4,0)</f>
        <v>9.6199999999999992</v>
      </c>
    </row>
    <row r="67" spans="1:30" ht="15.75" thickBot="1" x14ac:dyDescent="0.3">
      <c r="A67" s="120">
        <v>65</v>
      </c>
      <c r="B67" s="123" t="s">
        <v>315</v>
      </c>
      <c r="C67" s="3">
        <f t="shared" si="28"/>
        <v>991</v>
      </c>
      <c r="D67" s="3">
        <f t="shared" si="29"/>
        <v>890</v>
      </c>
      <c r="E67" s="3">
        <f t="shared" si="30"/>
        <v>939</v>
      </c>
      <c r="F67" s="3">
        <f t="shared" si="31"/>
        <v>794</v>
      </c>
      <c r="G67" s="3">
        <f t="shared" si="32"/>
        <v>698</v>
      </c>
      <c r="H67" s="3">
        <f t="shared" si="33"/>
        <v>577</v>
      </c>
      <c r="I67" s="3">
        <f t="shared" si="34"/>
        <v>657</v>
      </c>
      <c r="J67" s="3">
        <f t="shared" si="35"/>
        <v>760</v>
      </c>
      <c r="K67" s="3">
        <f t="shared" si="36"/>
        <v>724</v>
      </c>
      <c r="L67" s="3">
        <f t="shared" si="37"/>
        <v>872</v>
      </c>
      <c r="M67" s="3">
        <f t="shared" si="38"/>
        <v>947</v>
      </c>
      <c r="N67" s="3">
        <f t="shared" si="27"/>
        <v>1008</v>
      </c>
      <c r="O67" s="3">
        <f t="shared" si="39"/>
        <v>821.41666666666663</v>
      </c>
      <c r="Q67" s="6">
        <v>5.76</v>
      </c>
      <c r="R67" s="6">
        <v>5.73</v>
      </c>
      <c r="S67" s="6">
        <v>5.46</v>
      </c>
      <c r="T67" s="6">
        <v>4.7699999999999996</v>
      </c>
      <c r="U67" s="6">
        <v>4.0599999999999996</v>
      </c>
      <c r="V67" s="6">
        <v>3.47</v>
      </c>
      <c r="W67" s="6">
        <v>3.82</v>
      </c>
      <c r="X67" s="6">
        <v>4.42</v>
      </c>
      <c r="Y67" s="6">
        <v>4.3499999999999996</v>
      </c>
      <c r="Z67" s="6">
        <v>5.07</v>
      </c>
      <c r="AA67" s="6">
        <v>5.69</v>
      </c>
      <c r="AB67" s="51">
        <v>5.86</v>
      </c>
      <c r="AC67" s="56">
        <v>0.75</v>
      </c>
      <c r="AD67" s="53">
        <f>VLOOKUP($B67,Tabela1[[Cliente]:[Potência]],4,0)</f>
        <v>7.4</v>
      </c>
    </row>
    <row r="68" spans="1:30" ht="15.75" thickBot="1" x14ac:dyDescent="0.3">
      <c r="A68" s="120">
        <v>66</v>
      </c>
      <c r="B68" s="123" t="s">
        <v>316</v>
      </c>
      <c r="C68" s="3">
        <f t="shared" si="28"/>
        <v>594</v>
      </c>
      <c r="D68" s="3">
        <f t="shared" si="29"/>
        <v>534</v>
      </c>
      <c r="E68" s="3">
        <f t="shared" si="30"/>
        <v>563</v>
      </c>
      <c r="F68" s="3">
        <f t="shared" si="31"/>
        <v>476</v>
      </c>
      <c r="G68" s="3">
        <f t="shared" si="32"/>
        <v>419</v>
      </c>
      <c r="H68" s="3">
        <f t="shared" si="33"/>
        <v>346</v>
      </c>
      <c r="I68" s="3">
        <f t="shared" si="34"/>
        <v>394</v>
      </c>
      <c r="J68" s="3">
        <f t="shared" si="35"/>
        <v>456</v>
      </c>
      <c r="K68" s="3">
        <f t="shared" si="36"/>
        <v>434</v>
      </c>
      <c r="L68" s="3">
        <f t="shared" si="37"/>
        <v>523</v>
      </c>
      <c r="M68" s="3">
        <f t="shared" si="38"/>
        <v>568</v>
      </c>
      <c r="N68" s="3">
        <f t="shared" si="27"/>
        <v>604</v>
      </c>
      <c r="O68" s="3">
        <f t="shared" si="39"/>
        <v>492.58333333333331</v>
      </c>
      <c r="Q68" s="6">
        <v>5.76</v>
      </c>
      <c r="R68" s="6">
        <v>5.73</v>
      </c>
      <c r="S68" s="6">
        <v>5.46</v>
      </c>
      <c r="T68" s="6">
        <v>4.7699999999999996</v>
      </c>
      <c r="U68" s="6">
        <v>4.0599999999999996</v>
      </c>
      <c r="V68" s="6">
        <v>3.47</v>
      </c>
      <c r="W68" s="6">
        <v>3.82</v>
      </c>
      <c r="X68" s="6">
        <v>4.42</v>
      </c>
      <c r="Y68" s="6">
        <v>4.3499999999999996</v>
      </c>
      <c r="Z68" s="6">
        <v>5.07</v>
      </c>
      <c r="AA68" s="6">
        <v>5.69</v>
      </c>
      <c r="AB68" s="51">
        <v>5.86</v>
      </c>
      <c r="AC68" s="56">
        <v>0.75</v>
      </c>
      <c r="AD68" s="53">
        <f>VLOOKUP($B68,Tabela1[[Cliente]:[Potência]],4,0)</f>
        <v>4.4400000000000004</v>
      </c>
    </row>
    <row r="69" spans="1:30" ht="15.75" thickBot="1" x14ac:dyDescent="0.3">
      <c r="A69" s="120">
        <v>67</v>
      </c>
      <c r="B69" s="123" t="s">
        <v>317</v>
      </c>
      <c r="C69" s="3">
        <f t="shared" si="28"/>
        <v>637</v>
      </c>
      <c r="D69" s="3">
        <f t="shared" si="29"/>
        <v>572</v>
      </c>
      <c r="E69" s="3">
        <f t="shared" si="30"/>
        <v>604</v>
      </c>
      <c r="F69" s="3">
        <f t="shared" si="31"/>
        <v>510</v>
      </c>
      <c r="G69" s="3">
        <f t="shared" si="32"/>
        <v>449</v>
      </c>
      <c r="H69" s="3">
        <f t="shared" si="33"/>
        <v>371</v>
      </c>
      <c r="I69" s="3">
        <f t="shared" si="34"/>
        <v>422</v>
      </c>
      <c r="J69" s="3">
        <f t="shared" si="35"/>
        <v>489</v>
      </c>
      <c r="K69" s="3">
        <f t="shared" si="36"/>
        <v>465</v>
      </c>
      <c r="L69" s="3">
        <f t="shared" si="37"/>
        <v>561</v>
      </c>
      <c r="M69" s="3">
        <f t="shared" si="38"/>
        <v>609</v>
      </c>
      <c r="N69" s="3">
        <f t="shared" si="27"/>
        <v>648</v>
      </c>
      <c r="O69" s="3">
        <f t="shared" si="39"/>
        <v>528.08333333333337</v>
      </c>
      <c r="Q69" s="6">
        <v>5.76</v>
      </c>
      <c r="R69" s="6">
        <v>5.73</v>
      </c>
      <c r="S69" s="6">
        <v>5.46</v>
      </c>
      <c r="T69" s="6">
        <v>4.7699999999999996</v>
      </c>
      <c r="U69" s="6">
        <v>4.0599999999999996</v>
      </c>
      <c r="V69" s="6">
        <v>3.47</v>
      </c>
      <c r="W69" s="6">
        <v>3.82</v>
      </c>
      <c r="X69" s="6">
        <v>4.42</v>
      </c>
      <c r="Y69" s="6">
        <v>4.3499999999999996</v>
      </c>
      <c r="Z69" s="6">
        <v>5.07</v>
      </c>
      <c r="AA69" s="6">
        <v>5.69</v>
      </c>
      <c r="AB69" s="51">
        <v>5.86</v>
      </c>
      <c r="AC69" s="56">
        <v>0.75</v>
      </c>
      <c r="AD69" s="53">
        <f>VLOOKUP($B69,Tabela1[[Cliente]:[Potência]],4,0)</f>
        <v>4.76</v>
      </c>
    </row>
    <row r="70" spans="1:30" ht="15.75" thickBot="1" x14ac:dyDescent="0.3">
      <c r="A70" s="120">
        <v>68</v>
      </c>
      <c r="B70" s="123" t="s">
        <v>318</v>
      </c>
      <c r="C70" s="3">
        <f t="shared" si="28"/>
        <v>693</v>
      </c>
      <c r="D70" s="3">
        <f t="shared" si="29"/>
        <v>623</v>
      </c>
      <c r="E70" s="3">
        <f t="shared" si="30"/>
        <v>657</v>
      </c>
      <c r="F70" s="3">
        <f t="shared" si="31"/>
        <v>555</v>
      </c>
      <c r="G70" s="3">
        <f t="shared" si="32"/>
        <v>488</v>
      </c>
      <c r="H70" s="3">
        <f t="shared" si="33"/>
        <v>404</v>
      </c>
      <c r="I70" s="3">
        <f t="shared" si="34"/>
        <v>460</v>
      </c>
      <c r="J70" s="3">
        <f t="shared" si="35"/>
        <v>532</v>
      </c>
      <c r="K70" s="3">
        <f t="shared" si="36"/>
        <v>506</v>
      </c>
      <c r="L70" s="3">
        <f t="shared" si="37"/>
        <v>610</v>
      </c>
      <c r="M70" s="3">
        <f t="shared" si="38"/>
        <v>663</v>
      </c>
      <c r="N70" s="3">
        <f t="shared" si="27"/>
        <v>705</v>
      </c>
      <c r="O70" s="3">
        <f t="shared" si="39"/>
        <v>574.66666666666663</v>
      </c>
      <c r="Q70" s="6">
        <v>5.76</v>
      </c>
      <c r="R70" s="6">
        <v>5.73</v>
      </c>
      <c r="S70" s="6">
        <v>5.46</v>
      </c>
      <c r="T70" s="6">
        <v>4.7699999999999996</v>
      </c>
      <c r="U70" s="6">
        <v>4.0599999999999996</v>
      </c>
      <c r="V70" s="6">
        <v>3.47</v>
      </c>
      <c r="W70" s="6">
        <v>3.82</v>
      </c>
      <c r="X70" s="6">
        <v>4.42</v>
      </c>
      <c r="Y70" s="6">
        <v>4.3499999999999996</v>
      </c>
      <c r="Z70" s="6">
        <v>5.07</v>
      </c>
      <c r="AA70" s="6">
        <v>5.69</v>
      </c>
      <c r="AB70" s="51">
        <v>5.86</v>
      </c>
      <c r="AC70" s="56">
        <v>0.75</v>
      </c>
      <c r="AD70" s="53">
        <f>VLOOKUP($B70,Tabela1[[Cliente]:[Potência]],4,0)</f>
        <v>5.18</v>
      </c>
    </row>
    <row r="71" spans="1:30" ht="15.75" thickBot="1" x14ac:dyDescent="0.3">
      <c r="A71" s="120">
        <v>69</v>
      </c>
      <c r="B71" s="123" t="s">
        <v>319</v>
      </c>
      <c r="C71" s="3">
        <f t="shared" si="28"/>
        <v>396</v>
      </c>
      <c r="D71" s="3">
        <f t="shared" si="29"/>
        <v>356</v>
      </c>
      <c r="E71" s="3">
        <f t="shared" si="30"/>
        <v>375</v>
      </c>
      <c r="F71" s="3">
        <f t="shared" si="31"/>
        <v>317</v>
      </c>
      <c r="G71" s="3">
        <f t="shared" si="32"/>
        <v>279</v>
      </c>
      <c r="H71" s="3">
        <f t="shared" si="33"/>
        <v>231</v>
      </c>
      <c r="I71" s="3">
        <f t="shared" si="34"/>
        <v>262</v>
      </c>
      <c r="J71" s="3">
        <f t="shared" si="35"/>
        <v>304</v>
      </c>
      <c r="K71" s="3">
        <f t="shared" si="36"/>
        <v>289</v>
      </c>
      <c r="L71" s="3">
        <f t="shared" si="37"/>
        <v>348</v>
      </c>
      <c r="M71" s="3">
        <f t="shared" si="38"/>
        <v>378</v>
      </c>
      <c r="N71" s="3">
        <f t="shared" si="27"/>
        <v>403</v>
      </c>
      <c r="O71" s="3">
        <f t="shared" si="39"/>
        <v>328.16666666666669</v>
      </c>
      <c r="Q71" s="6">
        <v>5.76</v>
      </c>
      <c r="R71" s="6">
        <v>5.73</v>
      </c>
      <c r="S71" s="6">
        <v>5.46</v>
      </c>
      <c r="T71" s="6">
        <v>4.7699999999999996</v>
      </c>
      <c r="U71" s="6">
        <v>4.0599999999999996</v>
      </c>
      <c r="V71" s="6">
        <v>3.47</v>
      </c>
      <c r="W71" s="6">
        <v>3.82</v>
      </c>
      <c r="X71" s="6">
        <v>4.42</v>
      </c>
      <c r="Y71" s="6">
        <v>4.3499999999999996</v>
      </c>
      <c r="Z71" s="6">
        <v>5.07</v>
      </c>
      <c r="AA71" s="6">
        <v>5.69</v>
      </c>
      <c r="AB71" s="51">
        <v>5.86</v>
      </c>
      <c r="AC71" s="56">
        <v>0.75</v>
      </c>
      <c r="AD71" s="53">
        <f>VLOOKUP($B71,Tabela1[[Cliente]:[Potência]],4,0)</f>
        <v>2.96</v>
      </c>
    </row>
    <row r="72" spans="1:30" ht="15.75" thickBot="1" x14ac:dyDescent="0.3">
      <c r="A72" s="1">
        <v>70</v>
      </c>
      <c r="B72" s="123" t="s">
        <v>320</v>
      </c>
      <c r="C72" s="3">
        <f t="shared" ref="C72" si="40">ROUNDDOWN($AD72*$AC72*(Q72*Q$2),0)</f>
        <v>5463</v>
      </c>
      <c r="D72" s="3">
        <f t="shared" ref="D72" si="41">ROUNDDOWN($AD72*$AC72*(R72*R$2),0)</f>
        <v>4909</v>
      </c>
      <c r="E72" s="3">
        <f t="shared" ref="E72" si="42">ROUNDDOWN($AD72*$AC72*(S72*S$2),0)</f>
        <v>5179</v>
      </c>
      <c r="F72" s="3">
        <f t="shared" ref="F72" si="43">ROUNDDOWN($AD72*$AC72*(T72*T$2),0)</f>
        <v>4378</v>
      </c>
      <c r="G72" s="3">
        <f t="shared" ref="G72" si="44">ROUNDDOWN($AD72*$AC72*(U72*U$2),0)</f>
        <v>3851</v>
      </c>
      <c r="H72" s="3">
        <f t="shared" ref="H72" si="45">ROUNDDOWN($AD72*$AC72*(V72*V$2),0)</f>
        <v>3185</v>
      </c>
      <c r="I72" s="3">
        <f t="shared" ref="I72" si="46">ROUNDDOWN($AD72*$AC72*(W72*W$2),0)</f>
        <v>3623</v>
      </c>
      <c r="J72" s="3">
        <f t="shared" ref="J72" si="47">ROUNDDOWN($AD72*$AC72*(X72*X$2),0)</f>
        <v>4192</v>
      </c>
      <c r="K72" s="3">
        <f t="shared" ref="K72" si="48">ROUNDDOWN($AD72*$AC72*(Y72*Y$2),0)</f>
        <v>3993</v>
      </c>
      <c r="L72" s="3">
        <f t="shared" ref="L72" si="49">ROUNDDOWN($AD72*$AC72*(Z72*Z$2),0)</f>
        <v>4809</v>
      </c>
      <c r="M72" s="3">
        <f t="shared" ref="M72" si="50">ROUNDDOWN($AD72*$AC72*(AA72*AA$2),0)</f>
        <v>5223</v>
      </c>
      <c r="N72" s="3">
        <f t="shared" ref="N72" si="51">ROUNDDOWN($AD72*$AC72*(AB72*AB$2),0)</f>
        <v>5558</v>
      </c>
      <c r="O72" s="3">
        <f t="shared" ref="O72" si="52">AVERAGE(C72:N72)</f>
        <v>4530.25</v>
      </c>
      <c r="Q72" s="6">
        <v>5.76</v>
      </c>
      <c r="R72" s="6">
        <v>5.73</v>
      </c>
      <c r="S72" s="6">
        <v>5.46</v>
      </c>
      <c r="T72" s="6">
        <v>4.7699999999999996</v>
      </c>
      <c r="U72" s="6">
        <v>4.0599999999999996</v>
      </c>
      <c r="V72" s="6">
        <v>3.47</v>
      </c>
      <c r="W72" s="6">
        <v>3.82</v>
      </c>
      <c r="X72" s="6">
        <v>4.42</v>
      </c>
      <c r="Y72" s="6">
        <v>4.3499999999999996</v>
      </c>
      <c r="Z72" s="6">
        <v>5.07</v>
      </c>
      <c r="AA72" s="6">
        <v>5.69</v>
      </c>
      <c r="AB72" s="51">
        <v>5.86</v>
      </c>
      <c r="AC72" s="56">
        <v>0.75</v>
      </c>
      <c r="AD72" s="53">
        <f>VLOOKUP($B72,Tabela1[[Cliente]:[Potência]],4,0)</f>
        <v>40.799999999999997</v>
      </c>
    </row>
    <row r="73" spans="1:30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4"/>
    </row>
    <row r="74" spans="1:30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4"/>
    </row>
    <row r="75" spans="1:30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4"/>
    </row>
    <row r="76" spans="1:30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4"/>
    </row>
    <row r="77" spans="1:30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4"/>
    </row>
    <row r="78" spans="1:30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4"/>
    </row>
    <row r="79" spans="1:30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4"/>
    </row>
    <row r="80" spans="1:30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4"/>
    </row>
    <row r="81" spans="3:15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4"/>
    </row>
    <row r="82" spans="3:15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4"/>
    </row>
    <row r="83" spans="3:15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4"/>
    </row>
    <row r="84" spans="3:15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4"/>
    </row>
    <row r="85" spans="3:15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4"/>
    </row>
    <row r="86" spans="3:15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4"/>
    </row>
    <row r="87" spans="3:15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4"/>
    </row>
    <row r="88" spans="3:15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4"/>
    </row>
    <row r="89" spans="3:15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3:15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4"/>
    </row>
    <row r="91" spans="3:15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3:15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4"/>
    </row>
    <row r="93" spans="3:15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4"/>
    </row>
    <row r="94" spans="3:15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4"/>
    </row>
    <row r="95" spans="3:15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4"/>
    </row>
    <row r="96" spans="3:15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4"/>
    </row>
    <row r="97" spans="3:15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4"/>
    </row>
    <row r="98" spans="3:15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4"/>
    </row>
    <row r="99" spans="3:15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4"/>
    </row>
    <row r="100" spans="3:15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4"/>
    </row>
    <row r="101" spans="3:15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4"/>
    </row>
    <row r="102" spans="3:15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4"/>
    </row>
    <row r="103" spans="3:15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4"/>
    </row>
    <row r="104" spans="3:15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4"/>
    </row>
    <row r="105" spans="3:15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4"/>
    </row>
    <row r="106" spans="3:15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4"/>
    </row>
    <row r="107" spans="3:15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4"/>
    </row>
    <row r="108" spans="3:15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4"/>
    </row>
    <row r="109" spans="3:15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4"/>
    </row>
    <row r="110" spans="3:15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4"/>
    </row>
    <row r="111" spans="3:15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4"/>
    </row>
    <row r="112" spans="3:15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4"/>
    </row>
    <row r="113" spans="3:15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4"/>
    </row>
    <row r="114" spans="3:15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4"/>
    </row>
    <row r="115" spans="3:15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4"/>
    </row>
    <row r="116" spans="3:15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4"/>
    </row>
    <row r="117" spans="3:15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4"/>
    </row>
    <row r="118" spans="3:15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4"/>
    </row>
    <row r="119" spans="3:15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4"/>
    </row>
    <row r="120" spans="3:15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4"/>
    </row>
    <row r="121" spans="3:15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4"/>
    </row>
    <row r="122" spans="3:15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4"/>
    </row>
    <row r="123" spans="3:15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4"/>
    </row>
    <row r="124" spans="3:15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4"/>
    </row>
    <row r="125" spans="3:15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4"/>
    </row>
    <row r="126" spans="3:15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4"/>
    </row>
    <row r="127" spans="3:15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4"/>
    </row>
    <row r="128" spans="3:15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4"/>
    </row>
    <row r="129" spans="3:15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4"/>
    </row>
    <row r="130" spans="3:15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4"/>
    </row>
    <row r="131" spans="3:15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4"/>
    </row>
    <row r="132" spans="3:15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4"/>
    </row>
    <row r="133" spans="3:15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4"/>
    </row>
    <row r="134" spans="3:15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4"/>
    </row>
    <row r="135" spans="3:15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4"/>
    </row>
    <row r="136" spans="3:15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4"/>
    </row>
    <row r="137" spans="3:15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4"/>
    </row>
    <row r="138" spans="3:15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4"/>
    </row>
    <row r="139" spans="3:15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4"/>
    </row>
    <row r="140" spans="3:15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4"/>
    </row>
    <row r="141" spans="3:15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4"/>
    </row>
    <row r="142" spans="3:15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4"/>
    </row>
    <row r="143" spans="3:15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4"/>
    </row>
    <row r="144" spans="3:15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4"/>
    </row>
    <row r="145" spans="3:15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4"/>
    </row>
    <row r="146" spans="3:15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4"/>
    </row>
    <row r="147" spans="3:15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4"/>
    </row>
    <row r="148" spans="3:15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4"/>
    </row>
    <row r="149" spans="3:15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4"/>
    </row>
    <row r="150" spans="3:15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4"/>
    </row>
    <row r="151" spans="3:15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4"/>
    </row>
    <row r="152" spans="3:15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4"/>
    </row>
    <row r="153" spans="3:15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4"/>
    </row>
    <row r="154" spans="3:15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4"/>
    </row>
    <row r="155" spans="3:15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4"/>
    </row>
    <row r="156" spans="3:15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4"/>
    </row>
    <row r="157" spans="3:15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4"/>
    </row>
    <row r="158" spans="3:15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4"/>
    </row>
    <row r="159" spans="3:15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4"/>
    </row>
    <row r="160" spans="3:15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4"/>
    </row>
    <row r="161" spans="3:15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4"/>
    </row>
    <row r="162" spans="3:15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4"/>
    </row>
    <row r="163" spans="3:15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4"/>
    </row>
    <row r="164" spans="3:15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4"/>
    </row>
    <row r="165" spans="3:15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4"/>
    </row>
    <row r="166" spans="3:15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4"/>
    </row>
    <row r="167" spans="3:15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4"/>
    </row>
    <row r="168" spans="3:15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4"/>
    </row>
    <row r="169" spans="3:15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4"/>
    </row>
    <row r="170" spans="3:15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4"/>
    </row>
    <row r="171" spans="3:15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4"/>
    </row>
    <row r="172" spans="3:15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4"/>
    </row>
    <row r="173" spans="3:15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4"/>
    </row>
    <row r="174" spans="3:15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4"/>
    </row>
    <row r="175" spans="3:15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4"/>
    </row>
    <row r="176" spans="3:15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4"/>
    </row>
    <row r="177" spans="3:15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4"/>
    </row>
    <row r="178" spans="3:15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4"/>
    </row>
    <row r="179" spans="3:15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4"/>
    </row>
    <row r="180" spans="3:15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4"/>
    </row>
    <row r="181" spans="3:15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4"/>
    </row>
    <row r="182" spans="3:15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4"/>
    </row>
    <row r="183" spans="3:15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4"/>
    </row>
    <row r="184" spans="3:15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4"/>
    </row>
    <row r="185" spans="3:15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4"/>
    </row>
    <row r="186" spans="3:15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4"/>
    </row>
    <row r="187" spans="3:15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4"/>
    </row>
    <row r="188" spans="3:15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4"/>
    </row>
    <row r="189" spans="3:15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4"/>
    </row>
    <row r="190" spans="3:15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4"/>
    </row>
    <row r="191" spans="3:15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4"/>
    </row>
    <row r="192" spans="3:15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4"/>
    </row>
    <row r="193" spans="3:15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4"/>
    </row>
    <row r="194" spans="3:15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4"/>
    </row>
    <row r="195" spans="3:15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4"/>
    </row>
    <row r="196" spans="3:15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4"/>
    </row>
    <row r="197" spans="3:15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4"/>
    </row>
    <row r="198" spans="3:15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4"/>
    </row>
    <row r="199" spans="3:15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4"/>
    </row>
    <row r="200" spans="3:15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4"/>
    </row>
    <row r="201" spans="3:15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4"/>
    </row>
    <row r="202" spans="3:15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4"/>
    </row>
    <row r="203" spans="3:15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4"/>
    </row>
    <row r="204" spans="3:15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4"/>
    </row>
    <row r="205" spans="3:15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4"/>
    </row>
    <row r="206" spans="3:15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4"/>
    </row>
    <row r="207" spans="3:15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4"/>
    </row>
    <row r="208" spans="3:15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4"/>
    </row>
    <row r="209" spans="3:15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4"/>
    </row>
    <row r="210" spans="3:15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4"/>
    </row>
    <row r="211" spans="3:15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4"/>
    </row>
    <row r="212" spans="3:15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4"/>
    </row>
    <row r="213" spans="3:15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4"/>
    </row>
    <row r="214" spans="3:15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4"/>
    </row>
    <row r="215" spans="3:15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4"/>
    </row>
    <row r="216" spans="3:15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4"/>
    </row>
    <row r="217" spans="3:15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4"/>
    </row>
    <row r="218" spans="3:15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4"/>
    </row>
    <row r="219" spans="3:15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4"/>
    </row>
    <row r="220" spans="3:15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4"/>
    </row>
    <row r="221" spans="3:15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4"/>
    </row>
    <row r="222" spans="3:15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4"/>
    </row>
    <row r="223" spans="3:15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4"/>
    </row>
    <row r="224" spans="3:15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4"/>
    </row>
    <row r="225" spans="3:15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4"/>
    </row>
    <row r="226" spans="3:15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4"/>
    </row>
    <row r="227" spans="3:15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4"/>
    </row>
    <row r="228" spans="3:15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4"/>
    </row>
    <row r="229" spans="3:15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4"/>
    </row>
    <row r="230" spans="3:15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4"/>
    </row>
    <row r="231" spans="3:15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4"/>
    </row>
    <row r="232" spans="3:15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4"/>
    </row>
    <row r="233" spans="3:15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4"/>
    </row>
    <row r="234" spans="3:15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4"/>
    </row>
    <row r="235" spans="3:15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4"/>
    </row>
    <row r="236" spans="3:15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4"/>
    </row>
    <row r="237" spans="3:15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4"/>
    </row>
    <row r="238" spans="3:15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4"/>
    </row>
    <row r="239" spans="3:15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4"/>
    </row>
    <row r="240" spans="3:15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4"/>
    </row>
    <row r="241" spans="3:15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4"/>
    </row>
    <row r="242" spans="3:15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4"/>
    </row>
    <row r="243" spans="3:15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4"/>
    </row>
    <row r="244" spans="3:15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4"/>
    </row>
    <row r="245" spans="3:15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4"/>
    </row>
    <row r="246" spans="3:15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4"/>
    </row>
    <row r="247" spans="3:15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4"/>
    </row>
    <row r="248" spans="3:15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4"/>
    </row>
    <row r="249" spans="3:15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4"/>
    </row>
    <row r="250" spans="3:15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4"/>
    </row>
    <row r="251" spans="3:15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4"/>
    </row>
    <row r="252" spans="3:15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4"/>
    </row>
    <row r="253" spans="3:15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4"/>
    </row>
    <row r="254" spans="3:15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4"/>
    </row>
    <row r="255" spans="3:15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4"/>
    </row>
    <row r="256" spans="3:15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4"/>
    </row>
    <row r="257" spans="3:15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4"/>
    </row>
    <row r="258" spans="3:15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4"/>
    </row>
    <row r="259" spans="3:15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4"/>
    </row>
    <row r="260" spans="3:15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4"/>
    </row>
    <row r="261" spans="3:15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4"/>
    </row>
    <row r="262" spans="3:15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4"/>
    </row>
    <row r="263" spans="3:15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4"/>
    </row>
    <row r="264" spans="3:15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4"/>
    </row>
    <row r="265" spans="3:15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4"/>
    </row>
    <row r="266" spans="3:15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4"/>
    </row>
    <row r="267" spans="3:15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4"/>
    </row>
    <row r="268" spans="3:15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4"/>
    </row>
    <row r="269" spans="3:15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4"/>
    </row>
    <row r="270" spans="3:15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4"/>
    </row>
    <row r="271" spans="3:15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4"/>
    </row>
    <row r="272" spans="3:15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4"/>
    </row>
    <row r="273" spans="3:15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4"/>
    </row>
    <row r="274" spans="3:15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4"/>
    </row>
    <row r="275" spans="3:15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4"/>
    </row>
    <row r="276" spans="3:15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4"/>
    </row>
    <row r="277" spans="3:15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4"/>
    </row>
    <row r="278" spans="3:15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4"/>
    </row>
    <row r="279" spans="3:15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4"/>
    </row>
    <row r="280" spans="3:15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4"/>
    </row>
    <row r="281" spans="3:15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4"/>
    </row>
    <row r="282" spans="3:15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4"/>
    </row>
    <row r="283" spans="3:15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4"/>
    </row>
    <row r="284" spans="3:15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4"/>
    </row>
    <row r="285" spans="3:15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4"/>
    </row>
    <row r="286" spans="3:15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4"/>
    </row>
    <row r="287" spans="3:15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4"/>
    </row>
    <row r="288" spans="3:15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4"/>
    </row>
    <row r="289" spans="3:15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4"/>
    </row>
    <row r="290" spans="3:15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4"/>
    </row>
    <row r="291" spans="3:15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4"/>
    </row>
    <row r="292" spans="3:15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4"/>
    </row>
    <row r="293" spans="3:15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4"/>
    </row>
    <row r="294" spans="3:15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4"/>
    </row>
    <row r="295" spans="3:15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4"/>
    </row>
    <row r="296" spans="3:15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4"/>
    </row>
    <row r="297" spans="3:15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4"/>
    </row>
    <row r="298" spans="3:15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4"/>
    </row>
    <row r="299" spans="3:15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4"/>
    </row>
    <row r="300" spans="3:15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4"/>
    </row>
  </sheetData>
  <mergeCells count="4">
    <mergeCell ref="A1:A2"/>
    <mergeCell ref="B1:B2"/>
    <mergeCell ref="C1:O1"/>
    <mergeCell ref="Q1:AB1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CCA6-6F87-45F9-9339-C1FFD885BB13}">
  <sheetPr codeName="Planilha6">
    <tabColor theme="7" tint="-0.249977111117893"/>
  </sheetPr>
  <dimension ref="A1:DE74"/>
  <sheetViews>
    <sheetView topLeftCell="A64" workbookViewId="0">
      <selection activeCell="B74" sqref="B74"/>
    </sheetView>
  </sheetViews>
  <sheetFormatPr defaultRowHeight="15" x14ac:dyDescent="0.25"/>
  <cols>
    <col min="1" max="1" width="36.140625" style="1" bestFit="1" customWidth="1"/>
    <col min="2" max="2" width="7" style="115" bestFit="1" customWidth="1"/>
    <col min="3" max="3" width="9" style="1" bestFit="1" customWidth="1"/>
    <col min="4" max="4" width="5.140625" style="1" bestFit="1" customWidth="1"/>
    <col min="5" max="6" width="4.5703125" style="1" bestFit="1" customWidth="1"/>
    <col min="7" max="11" width="5" style="1" bestFit="1" customWidth="1"/>
    <col min="12" max="12" width="5.140625" style="1" bestFit="1" customWidth="1"/>
    <col min="13" max="13" width="5" style="116" bestFit="1" customWidth="1"/>
    <col min="14" max="14" width="5" style="117" bestFit="1" customWidth="1"/>
    <col min="15" max="15" width="5" style="17" bestFit="1" customWidth="1"/>
    <col min="16" max="16" width="6" style="17" bestFit="1" customWidth="1"/>
    <col min="17" max="22" width="5" style="17" bestFit="1" customWidth="1"/>
    <col min="23" max="23" width="4.7109375" style="17" bestFit="1" customWidth="1"/>
    <col min="24" max="24" width="5.140625" style="17" bestFit="1" customWidth="1"/>
    <col min="25" max="25" width="4.28515625" style="118" bestFit="1" customWidth="1"/>
    <col min="26" max="26" width="4.42578125" style="117" bestFit="1" customWidth="1"/>
    <col min="27" max="27" width="4.28515625" style="17" bestFit="1" customWidth="1"/>
    <col min="28" max="28" width="5.140625" style="17" bestFit="1" customWidth="1"/>
    <col min="29" max="30" width="4.5703125" style="17" bestFit="1" customWidth="1"/>
    <col min="31" max="31" width="4.42578125" style="17" bestFit="1" customWidth="1"/>
    <col min="32" max="32" width="3.85546875" style="17" bestFit="1" customWidth="1"/>
    <col min="33" max="33" width="5" style="17" bestFit="1" customWidth="1"/>
    <col min="34" max="34" width="4" style="17" bestFit="1" customWidth="1"/>
    <col min="35" max="35" width="4.7109375" style="17" bestFit="1" customWidth="1"/>
    <col min="36" max="36" width="5.140625" style="17" bestFit="1" customWidth="1"/>
    <col min="37" max="37" width="4.28515625" style="118" bestFit="1" customWidth="1"/>
    <col min="38" max="38" width="4.42578125" style="117" bestFit="1" customWidth="1"/>
    <col min="39" max="39" width="4.28515625" style="17" bestFit="1" customWidth="1"/>
    <col min="40" max="40" width="5.140625" style="17" bestFit="1" customWidth="1"/>
    <col min="41" max="42" width="4.5703125" style="17" bestFit="1" customWidth="1"/>
    <col min="43" max="43" width="4.42578125" style="17" bestFit="1" customWidth="1"/>
    <col min="44" max="44" width="3.85546875" style="17" bestFit="1" customWidth="1"/>
    <col min="45" max="45" width="5" style="17" bestFit="1" customWidth="1"/>
    <col min="46" max="46" width="4" style="17" bestFit="1" customWidth="1"/>
    <col min="47" max="47" width="4.7109375" style="17" bestFit="1" customWidth="1"/>
    <col min="48" max="48" width="5.140625" style="17" bestFit="1" customWidth="1"/>
    <col min="49" max="49" width="4.28515625" style="118" bestFit="1" customWidth="1"/>
    <col min="50" max="50" width="4.42578125" style="117" bestFit="1" customWidth="1"/>
    <col min="51" max="51" width="4.28515625" style="17" bestFit="1" customWidth="1"/>
    <col min="52" max="52" width="5.140625" style="17" bestFit="1" customWidth="1"/>
    <col min="53" max="54" width="4.5703125" style="17" bestFit="1" customWidth="1"/>
    <col min="55" max="55" width="4.42578125" style="17" bestFit="1" customWidth="1"/>
    <col min="56" max="56" width="3.85546875" style="17" bestFit="1" customWidth="1"/>
    <col min="57" max="57" width="5" style="17" bestFit="1" customWidth="1"/>
    <col min="58" max="58" width="4" style="17" bestFit="1" customWidth="1"/>
    <col min="59" max="59" width="4.7109375" style="17" bestFit="1" customWidth="1"/>
    <col min="60" max="60" width="5.140625" style="17" bestFit="1" customWidth="1"/>
    <col min="61" max="61" width="4.28515625" style="118" bestFit="1" customWidth="1"/>
    <col min="62" max="62" width="4.42578125" style="117" bestFit="1" customWidth="1"/>
    <col min="63" max="63" width="4.28515625" style="17" bestFit="1" customWidth="1"/>
    <col min="64" max="64" width="5.140625" style="17" bestFit="1" customWidth="1"/>
    <col min="65" max="66" width="4.5703125" style="17" bestFit="1" customWidth="1"/>
    <col min="67" max="67" width="4.42578125" style="17" bestFit="1" customWidth="1"/>
    <col min="68" max="68" width="3.85546875" style="17" bestFit="1" customWidth="1"/>
    <col min="69" max="69" width="5" style="17" bestFit="1" customWidth="1"/>
    <col min="70" max="70" width="4" style="17" bestFit="1" customWidth="1"/>
    <col min="71" max="71" width="4.7109375" style="17" bestFit="1" customWidth="1"/>
    <col min="72" max="72" width="5.140625" style="17" bestFit="1" customWidth="1"/>
    <col min="73" max="73" width="4.28515625" style="118" bestFit="1" customWidth="1"/>
    <col min="74" max="74" width="4.42578125" style="117" bestFit="1" customWidth="1"/>
    <col min="75" max="75" width="4.28515625" style="17" bestFit="1" customWidth="1"/>
    <col min="76" max="76" width="5.140625" style="17" bestFit="1" customWidth="1"/>
    <col min="77" max="78" width="4.5703125" style="17" bestFit="1" customWidth="1"/>
    <col min="79" max="79" width="4.42578125" style="17" bestFit="1" customWidth="1"/>
    <col min="80" max="80" width="3.85546875" style="17" bestFit="1" customWidth="1"/>
    <col min="81" max="81" width="5" style="17" bestFit="1" customWidth="1"/>
    <col min="82" max="82" width="4" style="17" bestFit="1" customWidth="1"/>
    <col min="83" max="83" width="4.7109375" style="17" bestFit="1" customWidth="1"/>
    <col min="84" max="84" width="5.140625" style="17" bestFit="1" customWidth="1"/>
    <col min="85" max="85" width="4.28515625" style="118" bestFit="1" customWidth="1"/>
    <col min="86" max="86" width="4.42578125" style="117" bestFit="1" customWidth="1"/>
    <col min="87" max="87" width="4.28515625" style="17" bestFit="1" customWidth="1"/>
    <col min="88" max="88" width="5.140625" style="17" bestFit="1" customWidth="1"/>
    <col min="89" max="90" width="4.5703125" style="17" bestFit="1" customWidth="1"/>
    <col min="91" max="91" width="4.42578125" style="17" bestFit="1" customWidth="1"/>
    <col min="92" max="92" width="3.85546875" style="17" bestFit="1" customWidth="1"/>
    <col min="93" max="93" width="5" style="17" bestFit="1" customWidth="1"/>
    <col min="94" max="94" width="4" style="17" bestFit="1" customWidth="1"/>
    <col min="95" max="95" width="4.7109375" style="17" bestFit="1" customWidth="1"/>
    <col min="96" max="96" width="5.140625" style="17" bestFit="1" customWidth="1"/>
    <col min="97" max="97" width="4.28515625" style="118" bestFit="1" customWidth="1"/>
    <col min="98" max="98" width="4.42578125" style="117" bestFit="1" customWidth="1"/>
    <col min="99" max="99" width="4.28515625" style="17" bestFit="1" customWidth="1"/>
    <col min="100" max="100" width="5.140625" style="17" bestFit="1" customWidth="1"/>
    <col min="101" max="102" width="4.5703125" style="17" bestFit="1" customWidth="1"/>
    <col min="103" max="103" width="4.42578125" style="17" bestFit="1" customWidth="1"/>
    <col min="104" max="104" width="3.85546875" style="17" bestFit="1" customWidth="1"/>
    <col min="105" max="105" width="5" style="17" bestFit="1" customWidth="1"/>
    <col min="106" max="106" width="4" style="17" bestFit="1" customWidth="1"/>
    <col min="107" max="107" width="4.7109375" style="17" bestFit="1" customWidth="1"/>
    <col min="108" max="108" width="5.140625" style="17" bestFit="1" customWidth="1"/>
    <col min="109" max="109" width="4.28515625" style="118" bestFit="1" customWidth="1"/>
  </cols>
  <sheetData>
    <row r="1" spans="1:109" x14ac:dyDescent="0.25">
      <c r="A1" s="109"/>
      <c r="B1" s="184">
        <v>2018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6"/>
      <c r="N1" s="187">
        <v>2019</v>
      </c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9"/>
      <c r="Z1" s="190">
        <v>2020</v>
      </c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2"/>
      <c r="AL1" s="190">
        <v>2021</v>
      </c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2"/>
      <c r="AX1" s="190">
        <v>2022</v>
      </c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2"/>
      <c r="BJ1" s="190">
        <v>2023</v>
      </c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2"/>
      <c r="BV1" s="190">
        <v>2024</v>
      </c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2"/>
      <c r="CH1" s="190">
        <v>2025</v>
      </c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2"/>
      <c r="CT1" s="190">
        <v>2026</v>
      </c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2"/>
    </row>
    <row r="2" spans="1:109" ht="17.25" x14ac:dyDescent="0.3">
      <c r="A2" s="109"/>
      <c r="B2" s="193" t="s">
        <v>64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6" t="s">
        <v>64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8"/>
      <c r="Z2" s="193" t="s">
        <v>64</v>
      </c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5"/>
      <c r="AL2" s="193" t="s">
        <v>64</v>
      </c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5"/>
      <c r="AX2" s="193" t="s">
        <v>64</v>
      </c>
      <c r="AY2" s="194"/>
      <c r="AZ2" s="194"/>
      <c r="BA2" s="194"/>
      <c r="BB2" s="194"/>
      <c r="BC2" s="194"/>
      <c r="BD2" s="194"/>
      <c r="BE2" s="194"/>
      <c r="BF2" s="194"/>
      <c r="BG2" s="194"/>
      <c r="BH2" s="194"/>
      <c r="BI2" s="195"/>
      <c r="BJ2" s="193" t="s">
        <v>64</v>
      </c>
      <c r="BK2" s="194"/>
      <c r="BL2" s="194"/>
      <c r="BM2" s="194"/>
      <c r="BN2" s="194"/>
      <c r="BO2" s="194"/>
      <c r="BP2" s="194"/>
      <c r="BQ2" s="194"/>
      <c r="BR2" s="194"/>
      <c r="BS2" s="194"/>
      <c r="BT2" s="194"/>
      <c r="BU2" s="195"/>
      <c r="BV2" s="193" t="s">
        <v>64</v>
      </c>
      <c r="BW2" s="194"/>
      <c r="BX2" s="194"/>
      <c r="BY2" s="194"/>
      <c r="BZ2" s="194"/>
      <c r="CA2" s="194"/>
      <c r="CB2" s="194"/>
      <c r="CC2" s="194"/>
      <c r="CD2" s="194"/>
      <c r="CE2" s="194"/>
      <c r="CF2" s="194"/>
      <c r="CG2" s="195"/>
      <c r="CH2" s="193" t="s">
        <v>64</v>
      </c>
      <c r="CI2" s="194"/>
      <c r="CJ2" s="194"/>
      <c r="CK2" s="194"/>
      <c r="CL2" s="194"/>
      <c r="CM2" s="194"/>
      <c r="CN2" s="194"/>
      <c r="CO2" s="194"/>
      <c r="CP2" s="194"/>
      <c r="CQ2" s="194"/>
      <c r="CR2" s="194"/>
      <c r="CS2" s="195"/>
      <c r="CT2" s="193" t="s">
        <v>64</v>
      </c>
      <c r="CU2" s="194"/>
      <c r="CV2" s="194"/>
      <c r="CW2" s="194"/>
      <c r="CX2" s="194"/>
      <c r="CY2" s="194"/>
      <c r="CZ2" s="194"/>
      <c r="DA2" s="194"/>
      <c r="DB2" s="194"/>
      <c r="DC2" s="194"/>
      <c r="DD2" s="194"/>
      <c r="DE2" s="195"/>
    </row>
    <row r="3" spans="1:109" x14ac:dyDescent="0.25">
      <c r="A3" s="110" t="s">
        <v>0</v>
      </c>
      <c r="B3" s="113" t="s">
        <v>50</v>
      </c>
      <c r="C3" s="135" t="s">
        <v>51</v>
      </c>
      <c r="D3" s="135" t="s">
        <v>52</v>
      </c>
      <c r="E3" s="135" t="s">
        <v>65</v>
      </c>
      <c r="F3" s="135" t="s">
        <v>67</v>
      </c>
      <c r="G3" s="135" t="s">
        <v>66</v>
      </c>
      <c r="H3" s="135" t="s">
        <v>53</v>
      </c>
      <c r="I3" s="135" t="s">
        <v>54</v>
      </c>
      <c r="J3" s="135" t="s">
        <v>55</v>
      </c>
      <c r="K3" s="135" t="s">
        <v>56</v>
      </c>
      <c r="L3" s="135" t="s">
        <v>57</v>
      </c>
      <c r="M3" s="114" t="s">
        <v>58</v>
      </c>
      <c r="N3" s="113" t="s">
        <v>50</v>
      </c>
      <c r="O3" s="135" t="s">
        <v>51</v>
      </c>
      <c r="P3" s="135" t="s">
        <v>52</v>
      </c>
      <c r="Q3" s="135" t="s">
        <v>65</v>
      </c>
      <c r="R3" s="135" t="s">
        <v>67</v>
      </c>
      <c r="S3" s="135" t="s">
        <v>66</v>
      </c>
      <c r="T3" s="135" t="s">
        <v>53</v>
      </c>
      <c r="U3" s="135" t="s">
        <v>54</v>
      </c>
      <c r="V3" s="135" t="s">
        <v>55</v>
      </c>
      <c r="W3" s="135" t="s">
        <v>56</v>
      </c>
      <c r="X3" s="135" t="s">
        <v>57</v>
      </c>
      <c r="Y3" s="114" t="s">
        <v>58</v>
      </c>
      <c r="Z3" s="113" t="s">
        <v>50</v>
      </c>
      <c r="AA3" s="135" t="s">
        <v>51</v>
      </c>
      <c r="AB3" s="135" t="s">
        <v>52</v>
      </c>
      <c r="AC3" s="135" t="s">
        <v>65</v>
      </c>
      <c r="AD3" s="135" t="s">
        <v>67</v>
      </c>
      <c r="AE3" s="135" t="s">
        <v>66</v>
      </c>
      <c r="AF3" s="135" t="s">
        <v>53</v>
      </c>
      <c r="AG3" s="135" t="s">
        <v>54</v>
      </c>
      <c r="AH3" s="135" t="s">
        <v>55</v>
      </c>
      <c r="AI3" s="135" t="s">
        <v>56</v>
      </c>
      <c r="AJ3" s="135" t="s">
        <v>57</v>
      </c>
      <c r="AK3" s="114" t="s">
        <v>58</v>
      </c>
      <c r="AL3" s="113" t="s">
        <v>50</v>
      </c>
      <c r="AM3" s="135" t="s">
        <v>51</v>
      </c>
      <c r="AN3" s="135" t="s">
        <v>52</v>
      </c>
      <c r="AO3" s="135" t="s">
        <v>65</v>
      </c>
      <c r="AP3" s="135" t="s">
        <v>67</v>
      </c>
      <c r="AQ3" s="135" t="s">
        <v>66</v>
      </c>
      <c r="AR3" s="135" t="s">
        <v>53</v>
      </c>
      <c r="AS3" s="135" t="s">
        <v>54</v>
      </c>
      <c r="AT3" s="135" t="s">
        <v>55</v>
      </c>
      <c r="AU3" s="135" t="s">
        <v>56</v>
      </c>
      <c r="AV3" s="135" t="s">
        <v>57</v>
      </c>
      <c r="AW3" s="114" t="s">
        <v>58</v>
      </c>
      <c r="AX3" s="113" t="s">
        <v>50</v>
      </c>
      <c r="AY3" s="135" t="s">
        <v>51</v>
      </c>
      <c r="AZ3" s="135" t="s">
        <v>52</v>
      </c>
      <c r="BA3" s="135" t="s">
        <v>65</v>
      </c>
      <c r="BB3" s="135" t="s">
        <v>67</v>
      </c>
      <c r="BC3" s="135" t="s">
        <v>66</v>
      </c>
      <c r="BD3" s="135" t="s">
        <v>53</v>
      </c>
      <c r="BE3" s="135" t="s">
        <v>54</v>
      </c>
      <c r="BF3" s="135" t="s">
        <v>55</v>
      </c>
      <c r="BG3" s="135" t="s">
        <v>56</v>
      </c>
      <c r="BH3" s="135" t="s">
        <v>57</v>
      </c>
      <c r="BI3" s="114" t="s">
        <v>58</v>
      </c>
      <c r="BJ3" s="113" t="s">
        <v>50</v>
      </c>
      <c r="BK3" s="135" t="s">
        <v>51</v>
      </c>
      <c r="BL3" s="135" t="s">
        <v>52</v>
      </c>
      <c r="BM3" s="135" t="s">
        <v>65</v>
      </c>
      <c r="BN3" s="135" t="s">
        <v>67</v>
      </c>
      <c r="BO3" s="135" t="s">
        <v>66</v>
      </c>
      <c r="BP3" s="135" t="s">
        <v>53</v>
      </c>
      <c r="BQ3" s="135" t="s">
        <v>54</v>
      </c>
      <c r="BR3" s="135" t="s">
        <v>55</v>
      </c>
      <c r="BS3" s="135" t="s">
        <v>56</v>
      </c>
      <c r="BT3" s="135" t="s">
        <v>57</v>
      </c>
      <c r="BU3" s="114" t="s">
        <v>58</v>
      </c>
      <c r="BV3" s="113" t="s">
        <v>50</v>
      </c>
      <c r="BW3" s="135" t="s">
        <v>51</v>
      </c>
      <c r="BX3" s="135" t="s">
        <v>52</v>
      </c>
      <c r="BY3" s="135" t="s">
        <v>65</v>
      </c>
      <c r="BZ3" s="135" t="s">
        <v>67</v>
      </c>
      <c r="CA3" s="135" t="s">
        <v>66</v>
      </c>
      <c r="CB3" s="135" t="s">
        <v>53</v>
      </c>
      <c r="CC3" s="135" t="s">
        <v>54</v>
      </c>
      <c r="CD3" s="135" t="s">
        <v>55</v>
      </c>
      <c r="CE3" s="135" t="s">
        <v>56</v>
      </c>
      <c r="CF3" s="135" t="s">
        <v>57</v>
      </c>
      <c r="CG3" s="114" t="s">
        <v>58</v>
      </c>
      <c r="CH3" s="113" t="s">
        <v>50</v>
      </c>
      <c r="CI3" s="135" t="s">
        <v>51</v>
      </c>
      <c r="CJ3" s="135" t="s">
        <v>52</v>
      </c>
      <c r="CK3" s="135" t="s">
        <v>65</v>
      </c>
      <c r="CL3" s="135" t="s">
        <v>67</v>
      </c>
      <c r="CM3" s="135" t="s">
        <v>66</v>
      </c>
      <c r="CN3" s="135" t="s">
        <v>53</v>
      </c>
      <c r="CO3" s="135" t="s">
        <v>54</v>
      </c>
      <c r="CP3" s="135" t="s">
        <v>55</v>
      </c>
      <c r="CQ3" s="135" t="s">
        <v>56</v>
      </c>
      <c r="CR3" s="135" t="s">
        <v>57</v>
      </c>
      <c r="CS3" s="114" t="s">
        <v>58</v>
      </c>
      <c r="CT3" s="113" t="s">
        <v>50</v>
      </c>
      <c r="CU3" s="135" t="s">
        <v>51</v>
      </c>
      <c r="CV3" s="135" t="s">
        <v>52</v>
      </c>
      <c r="CW3" s="135" t="s">
        <v>65</v>
      </c>
      <c r="CX3" s="135" t="s">
        <v>67</v>
      </c>
      <c r="CY3" s="135" t="s">
        <v>66</v>
      </c>
      <c r="CZ3" s="135" t="s">
        <v>53</v>
      </c>
      <c r="DA3" s="135" t="s">
        <v>54</v>
      </c>
      <c r="DB3" s="135" t="s">
        <v>55</v>
      </c>
      <c r="DC3" s="135" t="s">
        <v>56</v>
      </c>
      <c r="DD3" s="135" t="s">
        <v>57</v>
      </c>
      <c r="DE3" s="114" t="s">
        <v>58</v>
      </c>
    </row>
    <row r="4" spans="1:109" x14ac:dyDescent="0.25">
      <c r="A4" s="79" t="s">
        <v>68</v>
      </c>
      <c r="B4" s="19"/>
      <c r="C4" s="10">
        <v>658</v>
      </c>
      <c r="D4" s="10">
        <v>622</v>
      </c>
      <c r="E4" s="10">
        <v>551</v>
      </c>
      <c r="F4" s="10">
        <v>470</v>
      </c>
      <c r="G4" s="10">
        <v>374</v>
      </c>
      <c r="H4" s="10">
        <v>370</v>
      </c>
      <c r="I4" s="10">
        <v>507</v>
      </c>
      <c r="J4" s="10">
        <v>512</v>
      </c>
      <c r="K4" s="10">
        <v>536</v>
      </c>
      <c r="L4" s="10">
        <v>648</v>
      </c>
      <c r="M4" s="20">
        <v>698</v>
      </c>
      <c r="N4" s="21">
        <v>624</v>
      </c>
      <c r="O4" s="8">
        <v>589</v>
      </c>
      <c r="P4" s="8">
        <v>592</v>
      </c>
      <c r="Q4" s="8">
        <v>460</v>
      </c>
      <c r="R4" s="8">
        <v>303</v>
      </c>
      <c r="S4" s="8">
        <v>437</v>
      </c>
      <c r="T4" s="8">
        <v>431</v>
      </c>
      <c r="U4" s="8">
        <v>585</v>
      </c>
      <c r="V4" s="8">
        <v>574</v>
      </c>
      <c r="W4" s="8"/>
      <c r="X4" s="8"/>
      <c r="Y4" s="11"/>
      <c r="Z4" s="18"/>
      <c r="AA4" s="8"/>
      <c r="AB4" s="8"/>
      <c r="AC4" s="8"/>
      <c r="AD4" s="8"/>
      <c r="AE4" s="8"/>
      <c r="AF4" s="8"/>
      <c r="AG4" s="8"/>
      <c r="AH4" s="8"/>
      <c r="AI4" s="8"/>
      <c r="AJ4" s="8"/>
      <c r="AK4" s="11"/>
      <c r="AL4" s="18"/>
      <c r="AM4" s="8"/>
      <c r="AN4" s="8"/>
      <c r="AO4" s="8"/>
      <c r="AP4" s="8"/>
      <c r="AQ4" s="8"/>
      <c r="AR4" s="8"/>
      <c r="AS4" s="8"/>
      <c r="AT4" s="8"/>
      <c r="AU4" s="8"/>
      <c r="AV4" s="8"/>
      <c r="AW4" s="11"/>
      <c r="AX4" s="18"/>
      <c r="AY4" s="8"/>
      <c r="AZ4" s="8"/>
      <c r="BA4" s="8"/>
      <c r="BB4" s="8"/>
      <c r="BC4" s="8"/>
      <c r="BD4" s="8"/>
      <c r="BE4" s="8"/>
      <c r="BF4" s="8"/>
      <c r="BG4" s="8"/>
      <c r="BH4" s="8"/>
      <c r="BI4" s="11"/>
      <c r="BJ4" s="18"/>
      <c r="BK4" s="8"/>
      <c r="BL4" s="8"/>
      <c r="BM4" s="8"/>
      <c r="BN4" s="8"/>
      <c r="BO4" s="8"/>
      <c r="BP4" s="8"/>
      <c r="BQ4" s="8"/>
      <c r="BR4" s="8"/>
      <c r="BS4" s="8"/>
      <c r="BT4" s="8"/>
      <c r="BU4" s="11"/>
      <c r="BV4" s="18"/>
      <c r="BW4" s="8"/>
      <c r="BX4" s="8"/>
      <c r="BY4" s="8"/>
      <c r="BZ4" s="8"/>
      <c r="CA4" s="8"/>
      <c r="CB4" s="8"/>
      <c r="CC4" s="8"/>
      <c r="CD4" s="8"/>
      <c r="CE4" s="8"/>
      <c r="CF4" s="8"/>
      <c r="CG4" s="11"/>
      <c r="CH4" s="18"/>
      <c r="CI4" s="8"/>
      <c r="CJ4" s="8"/>
      <c r="CK4" s="8"/>
      <c r="CL4" s="8"/>
      <c r="CM4" s="8"/>
      <c r="CN4" s="8"/>
      <c r="CO4" s="8"/>
      <c r="CP4" s="8"/>
      <c r="CQ4" s="8"/>
      <c r="CR4" s="8"/>
      <c r="CS4" s="11"/>
      <c r="CT4" s="18"/>
      <c r="CU4" s="8"/>
      <c r="CV4" s="8"/>
      <c r="CW4" s="8"/>
      <c r="CX4" s="8"/>
      <c r="CY4" s="8"/>
      <c r="CZ4" s="8"/>
      <c r="DA4" s="8"/>
      <c r="DB4" s="8"/>
      <c r="DC4" s="8"/>
      <c r="DD4" s="8"/>
      <c r="DE4" s="11"/>
    </row>
    <row r="5" spans="1:109" x14ac:dyDescent="0.25">
      <c r="A5" s="79" t="s">
        <v>3</v>
      </c>
      <c r="B5" s="19"/>
      <c r="C5" s="10">
        <v>194</v>
      </c>
      <c r="D5" s="10">
        <v>206</v>
      </c>
      <c r="E5" s="10">
        <v>171</v>
      </c>
      <c r="F5" s="10">
        <v>127</v>
      </c>
      <c r="G5" s="10">
        <v>96</v>
      </c>
      <c r="H5" s="10">
        <v>101</v>
      </c>
      <c r="I5" s="10">
        <v>142</v>
      </c>
      <c r="J5" s="10">
        <v>156</v>
      </c>
      <c r="K5" s="10">
        <v>188</v>
      </c>
      <c r="L5" s="10">
        <v>232</v>
      </c>
      <c r="M5" s="20">
        <v>263</v>
      </c>
      <c r="N5" s="21">
        <v>230</v>
      </c>
      <c r="O5" s="8">
        <v>208</v>
      </c>
      <c r="P5" s="8">
        <v>189</v>
      </c>
      <c r="Q5" s="8">
        <v>136</v>
      </c>
      <c r="R5" s="8">
        <v>84</v>
      </c>
      <c r="S5" s="8">
        <v>104</v>
      </c>
      <c r="T5" s="8">
        <v>103</v>
      </c>
      <c r="U5" s="8">
        <v>239</v>
      </c>
      <c r="V5" s="8">
        <v>333</v>
      </c>
      <c r="W5" s="8"/>
      <c r="X5" s="8"/>
      <c r="Y5" s="11"/>
      <c r="Z5" s="18"/>
      <c r="AA5" s="8"/>
      <c r="AB5" s="8"/>
      <c r="AC5" s="8"/>
      <c r="AD5" s="8"/>
      <c r="AE5" s="8"/>
      <c r="AF5" s="8"/>
      <c r="AG5" s="8"/>
      <c r="AH5" s="8"/>
      <c r="AI5" s="8"/>
      <c r="AJ5" s="8"/>
      <c r="AK5" s="11"/>
      <c r="AL5" s="18"/>
      <c r="AM5" s="8"/>
      <c r="AN5" s="8"/>
      <c r="AO5" s="8"/>
      <c r="AP5" s="8"/>
      <c r="AQ5" s="8"/>
      <c r="AR5" s="8"/>
      <c r="AS5" s="8"/>
      <c r="AT5" s="8"/>
      <c r="AU5" s="8"/>
      <c r="AV5" s="8"/>
      <c r="AW5" s="11"/>
      <c r="AX5" s="18"/>
      <c r="AY5" s="8"/>
      <c r="AZ5" s="8"/>
      <c r="BA5" s="8"/>
      <c r="BB5" s="8"/>
      <c r="BC5" s="8"/>
      <c r="BD5" s="8"/>
      <c r="BE5" s="8"/>
      <c r="BF5" s="8"/>
      <c r="BG5" s="8"/>
      <c r="BH5" s="8"/>
      <c r="BI5" s="11"/>
      <c r="BJ5" s="18"/>
      <c r="BK5" s="8"/>
      <c r="BL5" s="8"/>
      <c r="BM5" s="8"/>
      <c r="BN5" s="8"/>
      <c r="BO5" s="8"/>
      <c r="BP5" s="8"/>
      <c r="BQ5" s="8"/>
      <c r="BR5" s="8"/>
      <c r="BS5" s="8"/>
      <c r="BT5" s="8"/>
      <c r="BU5" s="11"/>
      <c r="BV5" s="18"/>
      <c r="BW5" s="8"/>
      <c r="BX5" s="8"/>
      <c r="BY5" s="8"/>
      <c r="BZ5" s="8"/>
      <c r="CA5" s="8"/>
      <c r="CB5" s="8"/>
      <c r="CC5" s="8"/>
      <c r="CD5" s="8"/>
      <c r="CE5" s="8"/>
      <c r="CF5" s="8"/>
      <c r="CG5" s="11"/>
      <c r="CH5" s="18"/>
      <c r="CI5" s="8"/>
      <c r="CJ5" s="8"/>
      <c r="CK5" s="8"/>
      <c r="CL5" s="8"/>
      <c r="CM5" s="8"/>
      <c r="CN5" s="8"/>
      <c r="CO5" s="8"/>
      <c r="CP5" s="8"/>
      <c r="CQ5" s="8"/>
      <c r="CR5" s="8"/>
      <c r="CS5" s="11"/>
      <c r="CT5" s="18"/>
      <c r="CU5" s="8"/>
      <c r="CV5" s="8"/>
      <c r="CW5" s="8"/>
      <c r="CX5" s="8"/>
      <c r="CY5" s="8"/>
      <c r="CZ5" s="8"/>
      <c r="DA5" s="8"/>
      <c r="DB5" s="8"/>
      <c r="DC5" s="8"/>
      <c r="DD5" s="8"/>
      <c r="DE5" s="11"/>
    </row>
    <row r="6" spans="1:109" x14ac:dyDescent="0.25">
      <c r="A6" s="79" t="s">
        <v>69</v>
      </c>
      <c r="B6" s="19"/>
      <c r="C6" s="10"/>
      <c r="D6" s="10"/>
      <c r="E6" s="10"/>
      <c r="F6" s="10"/>
      <c r="G6" s="10"/>
      <c r="H6" s="10"/>
      <c r="I6" s="10"/>
      <c r="J6" s="10"/>
      <c r="K6" s="10"/>
      <c r="L6" s="10"/>
      <c r="M6" s="20"/>
      <c r="N6" s="21"/>
      <c r="O6" s="8"/>
      <c r="P6" s="8"/>
      <c r="Q6" s="8">
        <v>136</v>
      </c>
      <c r="R6" s="8">
        <v>84</v>
      </c>
      <c r="S6" s="8">
        <v>104</v>
      </c>
      <c r="T6" s="8">
        <v>103</v>
      </c>
      <c r="U6" s="8">
        <v>239</v>
      </c>
      <c r="V6" s="8">
        <v>333</v>
      </c>
      <c r="W6" s="8"/>
      <c r="X6" s="8"/>
      <c r="Y6" s="11"/>
      <c r="Z6" s="18"/>
      <c r="AA6" s="8"/>
      <c r="AB6" s="8"/>
      <c r="AC6" s="8"/>
      <c r="AD6" s="8"/>
      <c r="AE6" s="8"/>
      <c r="AF6" s="8"/>
      <c r="AG6" s="8"/>
      <c r="AH6" s="8"/>
      <c r="AI6" s="8"/>
      <c r="AJ6" s="8"/>
      <c r="AK6" s="11"/>
      <c r="AL6" s="18"/>
      <c r="AM6" s="8"/>
      <c r="AN6" s="8"/>
      <c r="AO6" s="8"/>
      <c r="AP6" s="8"/>
      <c r="AQ6" s="8"/>
      <c r="AR6" s="8"/>
      <c r="AS6" s="8"/>
      <c r="AT6" s="8"/>
      <c r="AU6" s="8"/>
      <c r="AV6" s="8"/>
      <c r="AW6" s="11"/>
      <c r="AX6" s="18"/>
      <c r="AY6" s="8"/>
      <c r="AZ6" s="8"/>
      <c r="BA6" s="8"/>
      <c r="BB6" s="8"/>
      <c r="BC6" s="8"/>
      <c r="BD6" s="8"/>
      <c r="BE6" s="8"/>
      <c r="BF6" s="8"/>
      <c r="BG6" s="8"/>
      <c r="BH6" s="8"/>
      <c r="BI6" s="11"/>
      <c r="BJ6" s="18"/>
      <c r="BK6" s="8"/>
      <c r="BL6" s="8"/>
      <c r="BM6" s="8"/>
      <c r="BN6" s="8"/>
      <c r="BO6" s="8"/>
      <c r="BP6" s="8"/>
      <c r="BQ6" s="8"/>
      <c r="BR6" s="8"/>
      <c r="BS6" s="8"/>
      <c r="BT6" s="8"/>
      <c r="BU6" s="11"/>
      <c r="BV6" s="18"/>
      <c r="BW6" s="8"/>
      <c r="BX6" s="8"/>
      <c r="BY6" s="8"/>
      <c r="BZ6" s="8"/>
      <c r="CA6" s="8"/>
      <c r="CB6" s="8"/>
      <c r="CC6" s="8"/>
      <c r="CD6" s="8"/>
      <c r="CE6" s="8"/>
      <c r="CF6" s="8"/>
      <c r="CG6" s="11"/>
      <c r="CH6" s="18"/>
      <c r="CI6" s="8"/>
      <c r="CJ6" s="8"/>
      <c r="CK6" s="8"/>
      <c r="CL6" s="8"/>
      <c r="CM6" s="8"/>
      <c r="CN6" s="8"/>
      <c r="CO6" s="8"/>
      <c r="CP6" s="8"/>
      <c r="CQ6" s="8"/>
      <c r="CR6" s="8"/>
      <c r="CS6" s="11"/>
      <c r="CT6" s="18"/>
      <c r="CU6" s="8"/>
      <c r="CV6" s="8"/>
      <c r="CW6" s="8"/>
      <c r="CX6" s="8"/>
      <c r="CY6" s="8"/>
      <c r="CZ6" s="8"/>
      <c r="DA6" s="8"/>
      <c r="DB6" s="8"/>
      <c r="DC6" s="8"/>
      <c r="DD6" s="8"/>
      <c r="DE6" s="11"/>
    </row>
    <row r="7" spans="1:109" x14ac:dyDescent="0.25">
      <c r="A7" s="79" t="s">
        <v>4</v>
      </c>
      <c r="B7" s="19"/>
      <c r="C7" s="9"/>
      <c r="D7" s="9"/>
      <c r="E7" s="10">
        <v>123</v>
      </c>
      <c r="F7" s="10">
        <v>90</v>
      </c>
      <c r="G7" s="10">
        <v>95</v>
      </c>
      <c r="H7" s="10">
        <v>99</v>
      </c>
      <c r="I7" s="10">
        <v>133</v>
      </c>
      <c r="J7" s="10">
        <v>158</v>
      </c>
      <c r="K7" s="10">
        <v>187</v>
      </c>
      <c r="L7" s="10">
        <v>221</v>
      </c>
      <c r="M7" s="20">
        <v>235</v>
      </c>
      <c r="N7" s="21">
        <v>230</v>
      </c>
      <c r="O7" s="10">
        <v>207</v>
      </c>
      <c r="P7" s="10">
        <v>191</v>
      </c>
      <c r="Q7" s="8">
        <v>132</v>
      </c>
      <c r="R7" s="8">
        <v>81</v>
      </c>
      <c r="S7" s="8">
        <v>100</v>
      </c>
      <c r="T7" s="8">
        <v>104</v>
      </c>
      <c r="U7" s="8">
        <v>155</v>
      </c>
      <c r="V7" s="8">
        <v>188</v>
      </c>
      <c r="W7" s="8"/>
      <c r="X7" s="8"/>
      <c r="Y7" s="11"/>
      <c r="Z7" s="18"/>
      <c r="AA7" s="8"/>
      <c r="AB7" s="8"/>
      <c r="AC7" s="8"/>
      <c r="AD7" s="8"/>
      <c r="AE7" s="8"/>
      <c r="AF7" s="8"/>
      <c r="AG7" s="8"/>
      <c r="AH7" s="8"/>
      <c r="AI7" s="8"/>
      <c r="AJ7" s="8"/>
      <c r="AK7" s="11"/>
      <c r="AL7" s="18"/>
      <c r="AM7" s="8"/>
      <c r="AN7" s="8"/>
      <c r="AO7" s="8"/>
      <c r="AP7" s="8"/>
      <c r="AQ7" s="8"/>
      <c r="AR7" s="8"/>
      <c r="AS7" s="8"/>
      <c r="AT7" s="8"/>
      <c r="AU7" s="8"/>
      <c r="AV7" s="8"/>
      <c r="AW7" s="11"/>
      <c r="AX7" s="18"/>
      <c r="AY7" s="8"/>
      <c r="AZ7" s="8"/>
      <c r="BA7" s="8"/>
      <c r="BB7" s="8"/>
      <c r="BC7" s="8"/>
      <c r="BD7" s="8"/>
      <c r="BE7" s="8"/>
      <c r="BF7" s="8"/>
      <c r="BG7" s="8"/>
      <c r="BH7" s="8"/>
      <c r="BI7" s="11"/>
      <c r="BJ7" s="18"/>
      <c r="BK7" s="8"/>
      <c r="BL7" s="8"/>
      <c r="BM7" s="8"/>
      <c r="BN7" s="8"/>
      <c r="BO7" s="8"/>
      <c r="BP7" s="8"/>
      <c r="BQ7" s="8"/>
      <c r="BR7" s="8"/>
      <c r="BS7" s="8"/>
      <c r="BT7" s="8"/>
      <c r="BU7" s="11"/>
      <c r="BV7" s="18"/>
      <c r="BW7" s="8"/>
      <c r="BX7" s="8"/>
      <c r="BY7" s="8"/>
      <c r="BZ7" s="8"/>
      <c r="CA7" s="8"/>
      <c r="CB7" s="8"/>
      <c r="CC7" s="8"/>
      <c r="CD7" s="8"/>
      <c r="CE7" s="8"/>
      <c r="CF7" s="8"/>
      <c r="CG7" s="11"/>
      <c r="CH7" s="18"/>
      <c r="CI7" s="8"/>
      <c r="CJ7" s="8"/>
      <c r="CK7" s="8"/>
      <c r="CL7" s="8"/>
      <c r="CM7" s="8"/>
      <c r="CN7" s="8"/>
      <c r="CO7" s="8"/>
      <c r="CP7" s="8"/>
      <c r="CQ7" s="8"/>
      <c r="CR7" s="8"/>
      <c r="CS7" s="11"/>
      <c r="CT7" s="18"/>
      <c r="CU7" s="8"/>
      <c r="CV7" s="8"/>
      <c r="CW7" s="8"/>
      <c r="CX7" s="8"/>
      <c r="CY7" s="8"/>
      <c r="CZ7" s="8"/>
      <c r="DA7" s="8"/>
      <c r="DB7" s="8"/>
      <c r="DC7" s="8"/>
      <c r="DD7" s="8"/>
      <c r="DE7" s="11"/>
    </row>
    <row r="8" spans="1:109" x14ac:dyDescent="0.25">
      <c r="A8" s="79" t="s">
        <v>70</v>
      </c>
      <c r="B8" s="19"/>
      <c r="C8" s="9"/>
      <c r="D8" s="9"/>
      <c r="E8" s="10"/>
      <c r="F8" s="10"/>
      <c r="G8" s="10">
        <v>95</v>
      </c>
      <c r="H8" s="10">
        <v>99</v>
      </c>
      <c r="I8" s="10">
        <v>133</v>
      </c>
      <c r="J8" s="10">
        <v>158</v>
      </c>
      <c r="K8" s="10">
        <v>187</v>
      </c>
      <c r="L8" s="10">
        <v>221</v>
      </c>
      <c r="M8" s="20">
        <v>235</v>
      </c>
      <c r="N8" s="21">
        <v>230</v>
      </c>
      <c r="O8" s="10">
        <v>207</v>
      </c>
      <c r="P8" s="10">
        <v>191</v>
      </c>
      <c r="Q8" s="8">
        <v>132</v>
      </c>
      <c r="R8" s="8">
        <v>81</v>
      </c>
      <c r="S8" s="8">
        <v>100</v>
      </c>
      <c r="T8" s="8">
        <v>104</v>
      </c>
      <c r="U8" s="8">
        <v>155</v>
      </c>
      <c r="V8" s="8">
        <v>188</v>
      </c>
      <c r="W8" s="8"/>
      <c r="X8" s="8"/>
      <c r="Y8" s="11"/>
      <c r="Z8" s="18"/>
      <c r="AA8" s="8"/>
      <c r="AB8" s="8"/>
      <c r="AC8" s="8"/>
      <c r="AD8" s="8"/>
      <c r="AE8" s="8"/>
      <c r="AF8" s="8"/>
      <c r="AG8" s="8"/>
      <c r="AH8" s="8"/>
      <c r="AI8" s="8"/>
      <c r="AJ8" s="8"/>
      <c r="AK8" s="11"/>
      <c r="AL8" s="18"/>
      <c r="AM8" s="8"/>
      <c r="AN8" s="8"/>
      <c r="AO8" s="8"/>
      <c r="AP8" s="8"/>
      <c r="AQ8" s="8"/>
      <c r="AR8" s="8"/>
      <c r="AS8" s="8"/>
      <c r="AT8" s="8"/>
      <c r="AU8" s="8"/>
      <c r="AV8" s="8"/>
      <c r="AW8" s="11"/>
      <c r="AX8" s="18"/>
      <c r="AY8" s="8"/>
      <c r="AZ8" s="8"/>
      <c r="BA8" s="8"/>
      <c r="BB8" s="8"/>
      <c r="BC8" s="8"/>
      <c r="BD8" s="8"/>
      <c r="BE8" s="8"/>
      <c r="BF8" s="8"/>
      <c r="BG8" s="8"/>
      <c r="BH8" s="8"/>
      <c r="BI8" s="11"/>
      <c r="BJ8" s="18"/>
      <c r="BK8" s="8"/>
      <c r="BL8" s="8"/>
      <c r="BM8" s="8"/>
      <c r="BN8" s="8"/>
      <c r="BO8" s="8"/>
      <c r="BP8" s="8"/>
      <c r="BQ8" s="8"/>
      <c r="BR8" s="8"/>
      <c r="BS8" s="8"/>
      <c r="BT8" s="8"/>
      <c r="BU8" s="11"/>
      <c r="BV8" s="18"/>
      <c r="BW8" s="8"/>
      <c r="BX8" s="8"/>
      <c r="BY8" s="8"/>
      <c r="BZ8" s="8"/>
      <c r="CA8" s="8"/>
      <c r="CB8" s="8"/>
      <c r="CC8" s="8"/>
      <c r="CD8" s="8"/>
      <c r="CE8" s="8"/>
      <c r="CF8" s="8"/>
      <c r="CG8" s="11"/>
      <c r="CH8" s="18"/>
      <c r="CI8" s="8"/>
      <c r="CJ8" s="8"/>
      <c r="CK8" s="8"/>
      <c r="CL8" s="8"/>
      <c r="CM8" s="8"/>
      <c r="CN8" s="8"/>
      <c r="CO8" s="8"/>
      <c r="CP8" s="8"/>
      <c r="CQ8" s="8"/>
      <c r="CR8" s="8"/>
      <c r="CS8" s="11"/>
      <c r="CT8" s="18"/>
      <c r="CU8" s="8"/>
      <c r="CV8" s="8"/>
      <c r="CW8" s="8"/>
      <c r="CX8" s="8"/>
      <c r="CY8" s="8"/>
      <c r="CZ8" s="8"/>
      <c r="DA8" s="8"/>
      <c r="DB8" s="8"/>
      <c r="DC8" s="8"/>
      <c r="DD8" s="8"/>
      <c r="DE8" s="11"/>
    </row>
    <row r="9" spans="1:109" x14ac:dyDescent="0.25">
      <c r="A9" s="79" t="s">
        <v>5</v>
      </c>
      <c r="B9" s="19"/>
      <c r="C9" s="9"/>
      <c r="D9" s="10">
        <v>346</v>
      </c>
      <c r="E9" s="10">
        <v>387</v>
      </c>
      <c r="F9" s="10">
        <v>318</v>
      </c>
      <c r="G9" s="10">
        <v>249</v>
      </c>
      <c r="H9" s="10">
        <v>249</v>
      </c>
      <c r="I9" s="10">
        <v>337</v>
      </c>
      <c r="J9" s="10">
        <v>346</v>
      </c>
      <c r="K9" s="10">
        <v>380</v>
      </c>
      <c r="L9" s="10">
        <v>449</v>
      </c>
      <c r="M9" s="20">
        <v>493</v>
      </c>
      <c r="N9" s="21">
        <v>447</v>
      </c>
      <c r="O9" s="10">
        <v>409</v>
      </c>
      <c r="P9" s="8">
        <v>410</v>
      </c>
      <c r="Q9" s="8">
        <v>313</v>
      </c>
      <c r="R9" s="8">
        <v>209</v>
      </c>
      <c r="S9" s="8">
        <v>278</v>
      </c>
      <c r="T9" s="8">
        <v>268</v>
      </c>
      <c r="U9" s="8">
        <v>365</v>
      </c>
      <c r="V9" s="8">
        <v>355</v>
      </c>
      <c r="W9" s="8"/>
      <c r="X9" s="8"/>
      <c r="Y9" s="11"/>
      <c r="Z9" s="18"/>
      <c r="AA9" s="8"/>
      <c r="AB9" s="8"/>
      <c r="AC9" s="8"/>
      <c r="AD9" s="8"/>
      <c r="AE9" s="8"/>
      <c r="AF9" s="8"/>
      <c r="AG9" s="8"/>
      <c r="AH9" s="8"/>
      <c r="AI9" s="8"/>
      <c r="AJ9" s="8"/>
      <c r="AK9" s="11"/>
      <c r="AL9" s="18"/>
      <c r="AM9" s="8"/>
      <c r="AN9" s="8"/>
      <c r="AO9" s="8"/>
      <c r="AP9" s="8"/>
      <c r="AQ9" s="8"/>
      <c r="AR9" s="8"/>
      <c r="AS9" s="8"/>
      <c r="AT9" s="8"/>
      <c r="AU9" s="8"/>
      <c r="AV9" s="8"/>
      <c r="AW9" s="11"/>
      <c r="AX9" s="18"/>
      <c r="AY9" s="8"/>
      <c r="AZ9" s="8"/>
      <c r="BA9" s="8"/>
      <c r="BB9" s="8"/>
      <c r="BC9" s="8"/>
      <c r="BD9" s="8"/>
      <c r="BE9" s="8"/>
      <c r="BF9" s="8"/>
      <c r="BG9" s="8"/>
      <c r="BH9" s="8"/>
      <c r="BI9" s="11"/>
      <c r="BJ9" s="18"/>
      <c r="BK9" s="8"/>
      <c r="BL9" s="8"/>
      <c r="BM9" s="8"/>
      <c r="BN9" s="8"/>
      <c r="BO9" s="8"/>
      <c r="BP9" s="8"/>
      <c r="BQ9" s="8"/>
      <c r="BR9" s="8"/>
      <c r="BS9" s="8"/>
      <c r="BT9" s="8"/>
      <c r="BU9" s="11"/>
      <c r="BV9" s="18"/>
      <c r="BW9" s="8"/>
      <c r="BX9" s="8"/>
      <c r="BY9" s="8"/>
      <c r="BZ9" s="8"/>
      <c r="CA9" s="8"/>
      <c r="CB9" s="8"/>
      <c r="CC9" s="8"/>
      <c r="CD9" s="8"/>
      <c r="CE9" s="8"/>
      <c r="CF9" s="8"/>
      <c r="CG9" s="11"/>
      <c r="CH9" s="18"/>
      <c r="CI9" s="8"/>
      <c r="CJ9" s="8"/>
      <c r="CK9" s="8"/>
      <c r="CL9" s="8"/>
      <c r="CM9" s="8"/>
      <c r="CN9" s="8"/>
      <c r="CO9" s="8"/>
      <c r="CP9" s="8"/>
      <c r="CQ9" s="8"/>
      <c r="CR9" s="8"/>
      <c r="CS9" s="11"/>
      <c r="CT9" s="18"/>
      <c r="CU9" s="8"/>
      <c r="CV9" s="8"/>
      <c r="CW9" s="8"/>
      <c r="CX9" s="8"/>
      <c r="CY9" s="8"/>
      <c r="CZ9" s="8"/>
      <c r="DA9" s="8"/>
      <c r="DB9" s="8"/>
      <c r="DC9" s="8"/>
      <c r="DD9" s="8"/>
      <c r="DE9" s="11"/>
    </row>
    <row r="10" spans="1:109" x14ac:dyDescent="0.25">
      <c r="A10" s="79" t="s">
        <v>6</v>
      </c>
      <c r="B10" s="18"/>
      <c r="C10" s="8"/>
      <c r="D10" s="8"/>
      <c r="E10" s="8"/>
      <c r="F10" s="8"/>
      <c r="G10" s="8">
        <v>1928</v>
      </c>
      <c r="H10" s="8">
        <v>1953</v>
      </c>
      <c r="I10" s="8">
        <v>2677</v>
      </c>
      <c r="J10" s="8">
        <v>2811</v>
      </c>
      <c r="K10" s="8">
        <v>3155</v>
      </c>
      <c r="L10" s="8">
        <v>3913</v>
      </c>
      <c r="M10" s="11">
        <v>4275</v>
      </c>
      <c r="N10" s="18">
        <v>3805</v>
      </c>
      <c r="O10" s="8">
        <v>3417</v>
      </c>
      <c r="P10" s="8">
        <v>3429</v>
      </c>
      <c r="Q10" s="8">
        <v>2497</v>
      </c>
      <c r="R10" s="8">
        <v>1704</v>
      </c>
      <c r="S10" s="8">
        <v>2205</v>
      </c>
      <c r="T10" s="8">
        <v>1971</v>
      </c>
      <c r="U10" s="8">
        <v>2789</v>
      </c>
      <c r="V10" s="8">
        <v>2978</v>
      </c>
      <c r="W10" s="8"/>
      <c r="X10" s="8"/>
      <c r="Y10" s="11"/>
      <c r="Z10" s="1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1"/>
      <c r="AL10" s="1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11"/>
      <c r="AX10" s="1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11"/>
      <c r="BJ10" s="1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11"/>
      <c r="BV10" s="1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11"/>
      <c r="CH10" s="1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11"/>
      <c r="CT10" s="1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11"/>
    </row>
    <row r="11" spans="1:109" x14ac:dyDescent="0.25">
      <c r="A11" s="79" t="s">
        <v>7</v>
      </c>
      <c r="B11" s="19"/>
      <c r="C11" s="9"/>
      <c r="D11" s="10">
        <v>690</v>
      </c>
      <c r="E11" s="10">
        <v>575</v>
      </c>
      <c r="F11" s="10">
        <v>461</v>
      </c>
      <c r="G11" s="10">
        <v>358</v>
      </c>
      <c r="H11" s="12"/>
      <c r="I11" s="10"/>
      <c r="J11" s="10">
        <v>514</v>
      </c>
      <c r="K11" s="10">
        <v>667</v>
      </c>
      <c r="L11" s="10">
        <v>851</v>
      </c>
      <c r="M11" s="20">
        <v>950</v>
      </c>
      <c r="N11" s="21">
        <v>833</v>
      </c>
      <c r="O11" s="10">
        <v>795</v>
      </c>
      <c r="P11" s="10">
        <v>677</v>
      </c>
      <c r="Q11" s="10">
        <v>494</v>
      </c>
      <c r="R11" s="8">
        <v>324</v>
      </c>
      <c r="S11" s="8">
        <v>385</v>
      </c>
      <c r="T11" s="8">
        <v>384</v>
      </c>
      <c r="U11" s="8">
        <v>544</v>
      </c>
      <c r="V11" s="8">
        <v>560</v>
      </c>
      <c r="W11" s="8"/>
      <c r="X11" s="8"/>
      <c r="Y11" s="11"/>
      <c r="Z11" s="1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1"/>
      <c r="AL11" s="1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11"/>
      <c r="AX11" s="1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11"/>
      <c r="BJ11" s="1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11"/>
      <c r="BV11" s="1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11"/>
      <c r="CH11" s="1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11"/>
      <c r="CT11" s="1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11"/>
    </row>
    <row r="12" spans="1:109" x14ac:dyDescent="0.25">
      <c r="A12" s="79" t="s">
        <v>8</v>
      </c>
      <c r="B12" s="19"/>
      <c r="C12" s="9"/>
      <c r="D12" s="10">
        <v>246</v>
      </c>
      <c r="E12" s="10">
        <v>285</v>
      </c>
      <c r="F12" s="10">
        <v>238</v>
      </c>
      <c r="G12" s="10">
        <v>190</v>
      </c>
      <c r="H12" s="10">
        <v>183</v>
      </c>
      <c r="I12" s="10">
        <v>245</v>
      </c>
      <c r="J12" s="10">
        <v>240</v>
      </c>
      <c r="K12" s="10">
        <v>250</v>
      </c>
      <c r="L12" s="10">
        <v>278</v>
      </c>
      <c r="M12" s="20">
        <v>305</v>
      </c>
      <c r="N12" s="21">
        <v>264</v>
      </c>
      <c r="O12" s="10">
        <v>271</v>
      </c>
      <c r="P12" s="8">
        <v>280</v>
      </c>
      <c r="Q12" s="8">
        <v>290</v>
      </c>
      <c r="R12" s="8">
        <v>220</v>
      </c>
      <c r="S12" s="8">
        <v>293</v>
      </c>
      <c r="T12" s="8">
        <v>296</v>
      </c>
      <c r="U12" s="8">
        <v>398</v>
      </c>
      <c r="V12" s="8">
        <v>301</v>
      </c>
      <c r="W12" s="8"/>
      <c r="X12" s="8"/>
      <c r="Y12" s="11"/>
      <c r="Z12" s="1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11"/>
      <c r="AL12" s="1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11"/>
      <c r="AX12" s="1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11"/>
      <c r="BJ12" s="1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11"/>
      <c r="BV12" s="1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11"/>
      <c r="CH12" s="1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11"/>
      <c r="CT12" s="1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11"/>
    </row>
    <row r="13" spans="1:109" x14ac:dyDescent="0.25">
      <c r="A13" s="79" t="s">
        <v>161</v>
      </c>
      <c r="B13" s="19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20"/>
      <c r="N13" s="21"/>
      <c r="O13" s="10"/>
      <c r="P13" s="8"/>
      <c r="Q13" s="8">
        <v>290</v>
      </c>
      <c r="R13" s="8">
        <v>220</v>
      </c>
      <c r="S13" s="8">
        <v>293</v>
      </c>
      <c r="T13" s="8">
        <v>296</v>
      </c>
      <c r="U13" s="8">
        <v>398</v>
      </c>
      <c r="V13" s="8">
        <v>301</v>
      </c>
      <c r="W13" s="8"/>
      <c r="X13" s="8"/>
      <c r="Y13" s="11"/>
      <c r="Z13" s="1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11"/>
      <c r="AL13" s="1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11"/>
      <c r="AX13" s="1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11"/>
      <c r="BJ13" s="1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11"/>
      <c r="BV13" s="1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11"/>
      <c r="CH13" s="1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11"/>
      <c r="CT13" s="1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11"/>
    </row>
    <row r="14" spans="1:109" x14ac:dyDescent="0.25">
      <c r="A14" s="79" t="s">
        <v>9</v>
      </c>
      <c r="B14" s="19"/>
      <c r="C14" s="9"/>
      <c r="D14" s="10">
        <v>191</v>
      </c>
      <c r="E14" s="10">
        <v>279</v>
      </c>
      <c r="F14" s="10">
        <v>233</v>
      </c>
      <c r="G14" s="10">
        <v>188</v>
      </c>
      <c r="H14" s="10">
        <v>187</v>
      </c>
      <c r="I14" s="10">
        <v>255</v>
      </c>
      <c r="J14" s="10">
        <v>260</v>
      </c>
      <c r="K14" s="10">
        <v>278</v>
      </c>
      <c r="L14" s="10">
        <v>336</v>
      </c>
      <c r="M14" s="20">
        <v>481</v>
      </c>
      <c r="N14" s="21">
        <v>418</v>
      </c>
      <c r="O14" s="10">
        <v>381</v>
      </c>
      <c r="P14" s="8">
        <v>386</v>
      </c>
      <c r="Q14" s="8">
        <v>320</v>
      </c>
      <c r="R14" s="8">
        <v>209</v>
      </c>
      <c r="S14" s="8">
        <v>262</v>
      </c>
      <c r="T14" s="8">
        <v>198</v>
      </c>
      <c r="U14" s="8">
        <v>308</v>
      </c>
      <c r="V14" s="8">
        <v>354</v>
      </c>
      <c r="W14" s="8"/>
      <c r="X14" s="8"/>
      <c r="Y14" s="11"/>
      <c r="Z14" s="1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11"/>
      <c r="AL14" s="1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11"/>
      <c r="AX14" s="1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11"/>
      <c r="BJ14" s="1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11"/>
      <c r="BV14" s="1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11"/>
      <c r="CH14" s="1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11"/>
      <c r="CT14" s="1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1"/>
    </row>
    <row r="15" spans="1:109" x14ac:dyDescent="0.25">
      <c r="A15" s="79" t="s">
        <v>71</v>
      </c>
      <c r="B15" s="19"/>
      <c r="C15" s="9"/>
      <c r="D15" s="10"/>
      <c r="E15" s="10"/>
      <c r="F15" s="10"/>
      <c r="G15" s="10"/>
      <c r="H15" s="10"/>
      <c r="I15" s="10"/>
      <c r="J15" s="10"/>
      <c r="K15" s="10"/>
      <c r="L15" s="10">
        <v>336</v>
      </c>
      <c r="M15" s="20">
        <v>481</v>
      </c>
      <c r="N15" s="21">
        <v>418</v>
      </c>
      <c r="O15" s="10">
        <v>381</v>
      </c>
      <c r="P15" s="8">
        <v>386</v>
      </c>
      <c r="Q15" s="8">
        <v>320</v>
      </c>
      <c r="R15" s="8">
        <v>209</v>
      </c>
      <c r="S15" s="8">
        <v>262</v>
      </c>
      <c r="T15" s="8">
        <v>198</v>
      </c>
      <c r="U15" s="8">
        <v>308</v>
      </c>
      <c r="V15" s="8">
        <v>354</v>
      </c>
      <c r="W15" s="8"/>
      <c r="X15" s="8"/>
      <c r="Y15" s="11"/>
      <c r="Z15" s="1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11"/>
      <c r="AL15" s="1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11"/>
      <c r="AX15" s="1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11"/>
      <c r="BJ15" s="1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11"/>
      <c r="BV15" s="1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11"/>
      <c r="CH15" s="1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11"/>
      <c r="CT15" s="1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11"/>
    </row>
    <row r="16" spans="1:109" x14ac:dyDescent="0.25">
      <c r="A16" s="79" t="s">
        <v>10</v>
      </c>
      <c r="B16" s="18"/>
      <c r="C16" s="8"/>
      <c r="D16" s="8"/>
      <c r="E16" s="8"/>
      <c r="F16" s="8"/>
      <c r="G16" s="8">
        <v>276</v>
      </c>
      <c r="H16" s="8">
        <v>274</v>
      </c>
      <c r="I16" s="8">
        <v>384</v>
      </c>
      <c r="J16" s="8">
        <v>368</v>
      </c>
      <c r="K16" s="13">
        <v>397</v>
      </c>
      <c r="L16" s="8">
        <v>444</v>
      </c>
      <c r="M16" s="11">
        <v>510</v>
      </c>
      <c r="N16" s="18">
        <v>432</v>
      </c>
      <c r="O16" s="8">
        <v>424</v>
      </c>
      <c r="P16" s="8">
        <v>446</v>
      </c>
      <c r="Q16" s="8">
        <v>341</v>
      </c>
      <c r="R16" s="8">
        <v>237</v>
      </c>
      <c r="S16" s="8">
        <v>316</v>
      </c>
      <c r="T16" s="8">
        <v>300</v>
      </c>
      <c r="U16" s="8">
        <v>405</v>
      </c>
      <c r="V16" s="8">
        <v>389</v>
      </c>
      <c r="W16" s="8"/>
      <c r="X16" s="8"/>
      <c r="Y16" s="11"/>
      <c r="Z16" s="1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11"/>
      <c r="AL16" s="1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11"/>
      <c r="AX16" s="1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11"/>
      <c r="BJ16" s="1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11"/>
      <c r="BV16" s="1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1"/>
      <c r="CH16" s="1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11"/>
      <c r="CT16" s="1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11"/>
    </row>
    <row r="17" spans="1:109" x14ac:dyDescent="0.25">
      <c r="A17" s="79" t="s">
        <v>11</v>
      </c>
      <c r="B17" s="18"/>
      <c r="C17" s="8"/>
      <c r="D17" s="8"/>
      <c r="E17" s="8"/>
      <c r="F17" s="8"/>
      <c r="G17" s="8">
        <v>1078</v>
      </c>
      <c r="H17" s="8">
        <v>1066</v>
      </c>
      <c r="I17" s="8">
        <v>1427</v>
      </c>
      <c r="J17" s="8">
        <v>1593</v>
      </c>
      <c r="K17" s="8">
        <v>1770</v>
      </c>
      <c r="L17" s="8">
        <v>2076</v>
      </c>
      <c r="M17" s="11">
        <v>2338</v>
      </c>
      <c r="N17" s="18">
        <v>2064</v>
      </c>
      <c r="O17" s="8">
        <v>1926</v>
      </c>
      <c r="P17" s="8">
        <v>1857</v>
      </c>
      <c r="Q17" s="8">
        <v>1350</v>
      </c>
      <c r="R17" s="8">
        <v>873</v>
      </c>
      <c r="S17" s="8">
        <v>1100</v>
      </c>
      <c r="T17" s="8">
        <v>1048</v>
      </c>
      <c r="U17" s="8">
        <v>1489</v>
      </c>
      <c r="V17" s="8">
        <v>1556</v>
      </c>
      <c r="W17" s="8"/>
      <c r="X17" s="8"/>
      <c r="Y17" s="11"/>
      <c r="Z17" s="1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11"/>
      <c r="AL17" s="1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11"/>
      <c r="AX17" s="1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11"/>
      <c r="BJ17" s="1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11"/>
      <c r="BV17" s="1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1"/>
      <c r="CH17" s="1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11"/>
      <c r="CT17" s="1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11"/>
    </row>
    <row r="18" spans="1:109" x14ac:dyDescent="0.25">
      <c r="A18" s="79" t="s">
        <v>12</v>
      </c>
      <c r="B18" s="18"/>
      <c r="C18" s="8"/>
      <c r="D18" s="8"/>
      <c r="E18" s="8"/>
      <c r="F18" s="8"/>
      <c r="G18" s="8"/>
      <c r="H18" s="8">
        <v>1500</v>
      </c>
      <c r="I18" s="8">
        <v>2235</v>
      </c>
      <c r="J18" s="8">
        <v>2362</v>
      </c>
      <c r="K18" s="8">
        <v>2578</v>
      </c>
      <c r="L18" s="8">
        <v>3116</v>
      </c>
      <c r="M18" s="11">
        <v>3442</v>
      </c>
      <c r="N18" s="18">
        <v>3035</v>
      </c>
      <c r="O18" s="8">
        <v>2780</v>
      </c>
      <c r="P18" s="8">
        <v>2694</v>
      </c>
      <c r="Q18" s="8">
        <v>2524</v>
      </c>
      <c r="R18" s="8">
        <v>1816</v>
      </c>
      <c r="S18" s="8">
        <v>2376</v>
      </c>
      <c r="T18" s="8">
        <v>2334</v>
      </c>
      <c r="U18" s="8">
        <v>3279</v>
      </c>
      <c r="V18" s="8">
        <v>3296</v>
      </c>
      <c r="W18" s="8"/>
      <c r="X18" s="8"/>
      <c r="Y18" s="11"/>
      <c r="Z18" s="1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11"/>
      <c r="AL18" s="1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11"/>
      <c r="AX18" s="1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11"/>
      <c r="BJ18" s="1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11"/>
      <c r="BV18" s="1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1"/>
      <c r="CH18" s="1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11"/>
      <c r="CT18" s="1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11"/>
    </row>
    <row r="19" spans="1:109" x14ac:dyDescent="0.25">
      <c r="A19" s="79" t="s">
        <v>72</v>
      </c>
      <c r="B19" s="18"/>
      <c r="C19" s="8"/>
      <c r="D19" s="8"/>
      <c r="E19" s="8"/>
      <c r="F19" s="8"/>
      <c r="G19" s="8"/>
      <c r="H19" s="8"/>
      <c r="I19" s="8"/>
      <c r="J19" s="8"/>
      <c r="K19" s="8"/>
      <c r="L19" s="8"/>
      <c r="M19" s="11"/>
      <c r="N19" s="18"/>
      <c r="O19" s="8"/>
      <c r="P19" s="8"/>
      <c r="Q19" s="8">
        <v>2524</v>
      </c>
      <c r="R19" s="8">
        <v>1816</v>
      </c>
      <c r="S19" s="8">
        <v>2376</v>
      </c>
      <c r="T19" s="8">
        <v>2334</v>
      </c>
      <c r="U19" s="8">
        <v>3279</v>
      </c>
      <c r="V19" s="8">
        <v>3296</v>
      </c>
      <c r="W19" s="8"/>
      <c r="X19" s="8"/>
      <c r="Y19" s="11"/>
      <c r="Z19" s="1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11"/>
      <c r="AL19" s="1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11"/>
      <c r="AX19" s="1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11"/>
      <c r="BJ19" s="1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11"/>
      <c r="BV19" s="1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11"/>
      <c r="CH19" s="1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11"/>
      <c r="CT19" s="1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11"/>
    </row>
    <row r="20" spans="1:109" x14ac:dyDescent="0.25">
      <c r="A20" s="79" t="s">
        <v>13</v>
      </c>
      <c r="B20" s="18"/>
      <c r="C20" s="8"/>
      <c r="D20" s="8"/>
      <c r="E20" s="8"/>
      <c r="F20" s="8"/>
      <c r="G20" s="8"/>
      <c r="H20" s="8">
        <f>1632+2158</f>
        <v>3790</v>
      </c>
      <c r="I20" s="8">
        <f>2264+2978</f>
        <v>5242</v>
      </c>
      <c r="J20" s="8">
        <f>2501+3172</f>
        <v>5673</v>
      </c>
      <c r="K20" s="8">
        <f>2848+3499</f>
        <v>6347</v>
      </c>
      <c r="L20" s="8">
        <v>7989</v>
      </c>
      <c r="M20" s="11">
        <v>8842</v>
      </c>
      <c r="N20" s="18">
        <v>7816</v>
      </c>
      <c r="O20" s="8">
        <v>6978</v>
      </c>
      <c r="P20" s="8">
        <v>6714</v>
      </c>
      <c r="Q20" s="8">
        <v>5512</v>
      </c>
      <c r="R20" s="8">
        <v>3584</v>
      </c>
      <c r="S20" s="8">
        <v>4561</v>
      </c>
      <c r="T20" s="8">
        <v>4407</v>
      </c>
      <c r="U20" s="8">
        <v>6204</v>
      </c>
      <c r="V20" s="8">
        <v>6604</v>
      </c>
      <c r="W20" s="8"/>
      <c r="X20" s="8"/>
      <c r="Y20" s="11"/>
      <c r="Z20" s="1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11"/>
      <c r="AL20" s="1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11"/>
      <c r="AX20" s="1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11"/>
      <c r="BJ20" s="1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11"/>
      <c r="BV20" s="1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11"/>
      <c r="CH20" s="1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11"/>
      <c r="CT20" s="1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11"/>
    </row>
    <row r="21" spans="1:109" x14ac:dyDescent="0.25">
      <c r="A21" s="79" t="s">
        <v>73</v>
      </c>
      <c r="B21" s="18"/>
      <c r="C21" s="8"/>
      <c r="D21" s="8"/>
      <c r="E21" s="8"/>
      <c r="F21" s="8"/>
      <c r="G21" s="8"/>
      <c r="H21" s="8"/>
      <c r="I21" s="8"/>
      <c r="J21" s="8"/>
      <c r="K21" s="8"/>
      <c r="L21" s="8"/>
      <c r="M21" s="11"/>
      <c r="N21" s="18"/>
      <c r="O21" s="8"/>
      <c r="P21" s="8"/>
      <c r="Q21" s="8">
        <v>5512</v>
      </c>
      <c r="R21" s="8">
        <v>3584</v>
      </c>
      <c r="S21" s="8">
        <v>4561</v>
      </c>
      <c r="T21" s="8">
        <v>4407</v>
      </c>
      <c r="U21" s="8">
        <v>6204</v>
      </c>
      <c r="V21" s="8">
        <v>6604</v>
      </c>
      <c r="W21" s="8"/>
      <c r="X21" s="8"/>
      <c r="Y21" s="11"/>
      <c r="Z21" s="1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11"/>
      <c r="AL21" s="1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11"/>
      <c r="AX21" s="1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11"/>
      <c r="BJ21" s="1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11"/>
      <c r="BV21" s="1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11"/>
      <c r="CH21" s="1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11"/>
      <c r="CT21" s="1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11"/>
    </row>
    <row r="22" spans="1:109" x14ac:dyDescent="0.25">
      <c r="A22" s="79" t="s">
        <v>14</v>
      </c>
      <c r="B22" s="18"/>
      <c r="C22" s="8"/>
      <c r="D22" s="8"/>
      <c r="E22" s="8"/>
      <c r="F22" s="8"/>
      <c r="G22" s="8"/>
      <c r="H22" s="8">
        <v>434</v>
      </c>
      <c r="I22" s="8">
        <v>601</v>
      </c>
      <c r="J22" s="8">
        <v>643</v>
      </c>
      <c r="K22" s="8">
        <v>723</v>
      </c>
      <c r="L22" s="8">
        <v>866</v>
      </c>
      <c r="M22" s="11">
        <v>962</v>
      </c>
      <c r="N22" s="18">
        <v>851</v>
      </c>
      <c r="O22" s="8">
        <v>777</v>
      </c>
      <c r="P22" s="8">
        <v>767</v>
      </c>
      <c r="Q22" s="8">
        <v>562</v>
      </c>
      <c r="R22" s="8">
        <v>361</v>
      </c>
      <c r="S22" s="8">
        <v>471</v>
      </c>
      <c r="T22" s="8">
        <v>452</v>
      </c>
      <c r="U22" s="8">
        <v>631</v>
      </c>
      <c r="V22" s="8">
        <v>645</v>
      </c>
      <c r="W22" s="8"/>
      <c r="X22" s="8"/>
      <c r="Y22" s="11"/>
      <c r="Z22" s="1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11"/>
      <c r="AL22" s="1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11"/>
      <c r="AX22" s="1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11"/>
      <c r="BJ22" s="1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11"/>
      <c r="BV22" s="1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11"/>
      <c r="CH22" s="1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11"/>
      <c r="CT22" s="1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11"/>
    </row>
    <row r="23" spans="1:109" x14ac:dyDescent="0.25">
      <c r="A23" s="79" t="s">
        <v>15</v>
      </c>
      <c r="B23" s="21"/>
      <c r="C23" s="10"/>
      <c r="D23" s="10"/>
      <c r="E23" s="10"/>
      <c r="F23" s="10"/>
      <c r="G23" s="10"/>
      <c r="H23" s="12">
        <v>330</v>
      </c>
      <c r="I23" s="12">
        <v>206</v>
      </c>
      <c r="J23" s="10">
        <v>621</v>
      </c>
      <c r="K23" s="10">
        <v>745</v>
      </c>
      <c r="L23" s="10">
        <v>909</v>
      </c>
      <c r="M23" s="20">
        <v>1024</v>
      </c>
      <c r="N23" s="21">
        <v>914</v>
      </c>
      <c r="O23" s="10">
        <v>867</v>
      </c>
      <c r="P23" s="10">
        <v>736</v>
      </c>
      <c r="Q23" s="10">
        <v>560</v>
      </c>
      <c r="R23" s="8">
        <v>366</v>
      </c>
      <c r="S23" s="8">
        <v>439</v>
      </c>
      <c r="T23" s="8">
        <v>437</v>
      </c>
      <c r="U23" s="8">
        <v>623</v>
      </c>
      <c r="V23" s="8">
        <v>651</v>
      </c>
      <c r="W23" s="8"/>
      <c r="X23" s="8"/>
      <c r="Y23" s="11"/>
      <c r="Z23" s="1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11"/>
      <c r="AL23" s="1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11"/>
      <c r="AX23" s="1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11"/>
      <c r="BJ23" s="1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11"/>
      <c r="BV23" s="1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11"/>
      <c r="CH23" s="1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11"/>
      <c r="CT23" s="1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11"/>
    </row>
    <row r="24" spans="1:109" x14ac:dyDescent="0.25">
      <c r="A24" s="79" t="s">
        <v>16</v>
      </c>
      <c r="B24" s="18"/>
      <c r="C24" s="8"/>
      <c r="D24" s="8"/>
      <c r="E24" s="8"/>
      <c r="F24" s="8"/>
      <c r="G24" s="8"/>
      <c r="H24" s="8">
        <v>374</v>
      </c>
      <c r="I24" s="8">
        <v>513</v>
      </c>
      <c r="J24" s="8">
        <v>525</v>
      </c>
      <c r="K24" s="8">
        <v>567</v>
      </c>
      <c r="L24" s="8">
        <v>689</v>
      </c>
      <c r="M24" s="11">
        <v>747</v>
      </c>
      <c r="N24" s="18">
        <v>665</v>
      </c>
      <c r="O24" s="8">
        <v>618</v>
      </c>
      <c r="P24" s="8">
        <v>612</v>
      </c>
      <c r="Q24" s="8">
        <v>467</v>
      </c>
      <c r="R24" s="8">
        <v>310</v>
      </c>
      <c r="S24" s="8">
        <v>415</v>
      </c>
      <c r="T24" s="8">
        <v>424</v>
      </c>
      <c r="U24" s="8">
        <v>589</v>
      </c>
      <c r="V24" s="8">
        <v>584</v>
      </c>
      <c r="W24" s="8"/>
      <c r="X24" s="8"/>
      <c r="Y24" s="11"/>
      <c r="Z24" s="1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11"/>
      <c r="AL24" s="1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11"/>
      <c r="AX24" s="1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11"/>
      <c r="BJ24" s="1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11"/>
      <c r="BV24" s="1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11"/>
      <c r="CH24" s="1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11"/>
      <c r="CT24" s="1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11"/>
    </row>
    <row r="25" spans="1:109" x14ac:dyDescent="0.25">
      <c r="A25" s="79" t="s">
        <v>17</v>
      </c>
      <c r="B25" s="18"/>
      <c r="C25" s="8"/>
      <c r="D25" s="8"/>
      <c r="E25" s="8"/>
      <c r="F25" s="8"/>
      <c r="G25" s="8"/>
      <c r="H25" s="8"/>
      <c r="I25" s="8"/>
      <c r="J25" s="8">
        <v>1197</v>
      </c>
      <c r="K25" s="8">
        <v>1454</v>
      </c>
      <c r="L25" s="8">
        <v>1767</v>
      </c>
      <c r="M25" s="11">
        <v>1949</v>
      </c>
      <c r="N25" s="18">
        <v>1745</v>
      </c>
      <c r="O25" s="8">
        <v>1554</v>
      </c>
      <c r="P25" s="8">
        <v>1441</v>
      </c>
      <c r="Q25" s="8">
        <v>965</v>
      </c>
      <c r="R25" s="8">
        <v>618</v>
      </c>
      <c r="S25" s="8">
        <v>738</v>
      </c>
      <c r="T25" s="8">
        <v>722</v>
      </c>
      <c r="U25" s="8">
        <v>1002</v>
      </c>
      <c r="V25" s="8">
        <v>1168</v>
      </c>
      <c r="W25" s="8"/>
      <c r="X25" s="8"/>
      <c r="Y25" s="11"/>
      <c r="Z25" s="1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11"/>
      <c r="AL25" s="1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11"/>
      <c r="AX25" s="1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11"/>
      <c r="BJ25" s="1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11"/>
      <c r="BV25" s="1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11"/>
      <c r="CH25" s="1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11"/>
      <c r="CT25" s="1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11"/>
    </row>
    <row r="26" spans="1:109" x14ac:dyDescent="0.25">
      <c r="A26" s="79" t="s">
        <v>18</v>
      </c>
      <c r="B26" s="18"/>
      <c r="C26" s="8"/>
      <c r="D26" s="8"/>
      <c r="E26" s="8"/>
      <c r="F26" s="8"/>
      <c r="G26" s="8"/>
      <c r="H26" s="8"/>
      <c r="I26" s="8"/>
      <c r="J26" s="8">
        <v>307</v>
      </c>
      <c r="K26" s="8">
        <v>307</v>
      </c>
      <c r="L26" s="8">
        <v>389</v>
      </c>
      <c r="M26" s="11">
        <v>455</v>
      </c>
      <c r="N26" s="18">
        <v>406</v>
      </c>
      <c r="O26" s="8">
        <v>373</v>
      </c>
      <c r="P26" s="8">
        <v>420</v>
      </c>
      <c r="Q26" s="8">
        <v>416</v>
      </c>
      <c r="R26" s="8">
        <v>286</v>
      </c>
      <c r="S26" s="8">
        <v>399</v>
      </c>
      <c r="T26" s="8">
        <v>368</v>
      </c>
      <c r="U26" s="8">
        <v>504</v>
      </c>
      <c r="V26" s="8">
        <v>482</v>
      </c>
      <c r="W26" s="8"/>
      <c r="X26" s="8"/>
      <c r="Y26" s="11"/>
      <c r="Z26" s="1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1"/>
      <c r="AL26" s="1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11"/>
      <c r="AX26" s="1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11"/>
      <c r="BJ26" s="1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11"/>
      <c r="BV26" s="1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11"/>
      <c r="CH26" s="1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11"/>
      <c r="CT26" s="1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11"/>
    </row>
    <row r="27" spans="1:109" x14ac:dyDescent="0.25">
      <c r="A27" s="79" t="s">
        <v>74</v>
      </c>
      <c r="B27" s="18"/>
      <c r="C27" s="8"/>
      <c r="D27" s="8"/>
      <c r="E27" s="8"/>
      <c r="F27" s="8"/>
      <c r="G27" s="8"/>
      <c r="H27" s="8"/>
      <c r="I27" s="8"/>
      <c r="J27" s="8"/>
      <c r="K27" s="8"/>
      <c r="L27" s="8"/>
      <c r="M27" s="11"/>
      <c r="N27" s="18"/>
      <c r="O27" s="8">
        <v>373</v>
      </c>
      <c r="P27" s="8">
        <v>420</v>
      </c>
      <c r="Q27" s="8">
        <v>416</v>
      </c>
      <c r="R27" s="8">
        <v>286</v>
      </c>
      <c r="S27" s="8">
        <v>399</v>
      </c>
      <c r="T27" s="8">
        <v>368</v>
      </c>
      <c r="U27" s="8">
        <v>504</v>
      </c>
      <c r="V27" s="8">
        <v>482</v>
      </c>
      <c r="W27" s="8"/>
      <c r="X27" s="8"/>
      <c r="Y27" s="11"/>
      <c r="Z27" s="1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1"/>
      <c r="AL27" s="1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11"/>
      <c r="AX27" s="1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11"/>
      <c r="BJ27" s="1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11"/>
      <c r="BV27" s="1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11"/>
      <c r="CH27" s="1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11"/>
      <c r="CT27" s="1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11"/>
    </row>
    <row r="28" spans="1:109" x14ac:dyDescent="0.25">
      <c r="A28" s="79" t="s">
        <v>19</v>
      </c>
      <c r="B28" s="18"/>
      <c r="C28" s="8"/>
      <c r="D28" s="8"/>
      <c r="E28" s="8"/>
      <c r="F28" s="8"/>
      <c r="G28" s="8"/>
      <c r="H28" s="8"/>
      <c r="I28" s="8"/>
      <c r="J28" s="8"/>
      <c r="K28" s="8">
        <f>411+289+373</f>
        <v>1073</v>
      </c>
      <c r="L28" s="8">
        <v>1191</v>
      </c>
      <c r="M28" s="11">
        <v>1497</v>
      </c>
      <c r="N28" s="18">
        <v>1351</v>
      </c>
      <c r="O28" s="8">
        <v>1231</v>
      </c>
      <c r="P28" s="8">
        <v>1200</v>
      </c>
      <c r="Q28" s="8">
        <v>917</v>
      </c>
      <c r="R28" s="8">
        <v>626</v>
      </c>
      <c r="S28" s="8">
        <v>832</v>
      </c>
      <c r="T28" s="8">
        <v>800</v>
      </c>
      <c r="U28" s="8">
        <v>1075</v>
      </c>
      <c r="V28" s="8">
        <v>1145</v>
      </c>
      <c r="W28" s="8"/>
      <c r="X28" s="8"/>
      <c r="Y28" s="11"/>
      <c r="Z28" s="1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1"/>
      <c r="AL28" s="1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11"/>
      <c r="AX28" s="1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11"/>
      <c r="BJ28" s="1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11"/>
      <c r="BV28" s="1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11"/>
      <c r="CH28" s="1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11"/>
      <c r="CT28" s="1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11"/>
    </row>
    <row r="29" spans="1:109" x14ac:dyDescent="0.25">
      <c r="A29" s="79" t="s">
        <v>20</v>
      </c>
      <c r="B29" s="22"/>
      <c r="C29" s="14"/>
      <c r="D29" s="14"/>
      <c r="E29" s="14"/>
      <c r="F29" s="14"/>
      <c r="G29" s="14"/>
      <c r="H29" s="14"/>
      <c r="I29" s="14"/>
      <c r="J29" s="14"/>
      <c r="K29" s="14">
        <f>2582+2690+1647</f>
        <v>6919</v>
      </c>
      <c r="L29" s="14">
        <v>8832</v>
      </c>
      <c r="M29" s="23">
        <v>9876</v>
      </c>
      <c r="N29" s="22">
        <v>8763</v>
      </c>
      <c r="O29" s="14"/>
      <c r="P29" s="14">
        <v>7604</v>
      </c>
      <c r="Q29" s="14">
        <v>5142</v>
      </c>
      <c r="R29" s="8">
        <v>3294</v>
      </c>
      <c r="S29" s="8">
        <v>4213</v>
      </c>
      <c r="T29" s="8">
        <v>4422</v>
      </c>
      <c r="U29" s="8">
        <v>6188</v>
      </c>
      <c r="V29" s="8">
        <v>6745</v>
      </c>
      <c r="W29" s="8"/>
      <c r="X29" s="8"/>
      <c r="Y29" s="11"/>
      <c r="Z29" s="1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1"/>
      <c r="AL29" s="1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11"/>
      <c r="AX29" s="1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11"/>
      <c r="BJ29" s="1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11"/>
      <c r="BV29" s="1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11"/>
      <c r="CH29" s="1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11"/>
      <c r="CT29" s="1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11"/>
    </row>
    <row r="30" spans="1:109" x14ac:dyDescent="0.25">
      <c r="A30" s="79" t="s">
        <v>21</v>
      </c>
      <c r="B30" s="18"/>
      <c r="C30" s="8"/>
      <c r="D30" s="8"/>
      <c r="E30" s="8"/>
      <c r="F30" s="8"/>
      <c r="G30" s="8"/>
      <c r="H30" s="8"/>
      <c r="I30" s="8"/>
      <c r="J30" s="8"/>
      <c r="K30" s="15"/>
      <c r="L30" s="8">
        <v>5783</v>
      </c>
      <c r="M30" s="11">
        <v>6401</v>
      </c>
      <c r="N30" s="18">
        <v>5780</v>
      </c>
      <c r="O30" s="8">
        <v>5211</v>
      </c>
      <c r="P30" s="8">
        <v>4947</v>
      </c>
      <c r="Q30" s="8">
        <v>3471</v>
      </c>
      <c r="R30" s="8">
        <v>2188</v>
      </c>
      <c r="S30" s="8">
        <v>2606</v>
      </c>
      <c r="T30" s="8">
        <v>2500</v>
      </c>
      <c r="U30" s="8">
        <v>4083</v>
      </c>
      <c r="V30" s="8">
        <v>4423</v>
      </c>
      <c r="W30" s="8"/>
      <c r="X30" s="8"/>
      <c r="Y30" s="11"/>
      <c r="Z30" s="1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1"/>
      <c r="AL30" s="1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11"/>
      <c r="AX30" s="1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11"/>
      <c r="BJ30" s="1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11"/>
      <c r="BV30" s="1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11"/>
      <c r="CH30" s="1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11"/>
      <c r="CT30" s="1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11"/>
    </row>
    <row r="31" spans="1:109" x14ac:dyDescent="0.25">
      <c r="A31" s="79" t="s">
        <v>22</v>
      </c>
      <c r="B31" s="18"/>
      <c r="C31" s="8"/>
      <c r="D31" s="8"/>
      <c r="E31" s="8"/>
      <c r="F31" s="8"/>
      <c r="G31" s="8"/>
      <c r="H31" s="8"/>
      <c r="I31" s="8"/>
      <c r="J31" s="8"/>
      <c r="K31" s="15"/>
      <c r="L31" s="8">
        <v>603</v>
      </c>
      <c r="M31" s="11">
        <v>646</v>
      </c>
      <c r="N31" s="18">
        <v>586</v>
      </c>
      <c r="O31" s="8">
        <v>559</v>
      </c>
      <c r="P31" s="8">
        <v>553</v>
      </c>
      <c r="Q31" s="8">
        <v>445</v>
      </c>
      <c r="R31" s="8">
        <v>297</v>
      </c>
      <c r="S31" s="8">
        <v>411</v>
      </c>
      <c r="T31" s="8">
        <v>388</v>
      </c>
      <c r="U31" s="8">
        <v>532</v>
      </c>
      <c r="V31" s="8">
        <v>491</v>
      </c>
      <c r="W31" s="8"/>
      <c r="X31" s="8"/>
      <c r="Y31" s="11"/>
      <c r="Z31" s="1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11"/>
      <c r="AL31" s="1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11"/>
      <c r="AX31" s="1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11"/>
      <c r="BJ31" s="1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11"/>
      <c r="BV31" s="1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11"/>
      <c r="CH31" s="1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11"/>
      <c r="CT31" s="1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11"/>
    </row>
    <row r="32" spans="1:109" x14ac:dyDescent="0.25">
      <c r="A32" s="79" t="s">
        <v>23</v>
      </c>
      <c r="B32" s="18"/>
      <c r="C32" s="8"/>
      <c r="D32" s="8"/>
      <c r="E32" s="8"/>
      <c r="F32" s="8"/>
      <c r="G32" s="8"/>
      <c r="H32" s="8"/>
      <c r="I32" s="8"/>
      <c r="J32" s="8"/>
      <c r="K32" s="15"/>
      <c r="L32" s="8">
        <v>845</v>
      </c>
      <c r="M32" s="11">
        <v>930</v>
      </c>
      <c r="N32" s="18">
        <v>841</v>
      </c>
      <c r="O32" s="8">
        <v>773</v>
      </c>
      <c r="P32" s="8">
        <v>715</v>
      </c>
      <c r="Q32" s="8">
        <v>590</v>
      </c>
      <c r="R32" s="8">
        <v>381</v>
      </c>
      <c r="S32" s="8">
        <v>411</v>
      </c>
      <c r="T32" s="8">
        <v>494</v>
      </c>
      <c r="U32" s="8">
        <v>695</v>
      </c>
      <c r="V32" s="14">
        <v>538</v>
      </c>
      <c r="W32" s="8"/>
      <c r="X32" s="8"/>
      <c r="Y32" s="11"/>
      <c r="Z32" s="1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11"/>
      <c r="AL32" s="1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11"/>
      <c r="AX32" s="1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11"/>
      <c r="BJ32" s="1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11"/>
      <c r="BV32" s="1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11"/>
      <c r="CH32" s="1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11"/>
      <c r="CT32" s="1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11"/>
    </row>
    <row r="33" spans="1:109" x14ac:dyDescent="0.25">
      <c r="A33" s="79" t="s">
        <v>24</v>
      </c>
      <c r="B33" s="18"/>
      <c r="C33" s="8"/>
      <c r="D33" s="8"/>
      <c r="E33" s="8"/>
      <c r="F33" s="8"/>
      <c r="G33" s="8"/>
      <c r="H33" s="8"/>
      <c r="I33" s="8"/>
      <c r="J33" s="8"/>
      <c r="K33" s="8"/>
      <c r="L33" s="8">
        <v>533</v>
      </c>
      <c r="M33" s="11">
        <v>581</v>
      </c>
      <c r="N33" s="18">
        <v>525</v>
      </c>
      <c r="O33" s="8">
        <v>500</v>
      </c>
      <c r="P33" s="8">
        <v>513</v>
      </c>
      <c r="Q33" s="8">
        <v>410</v>
      </c>
      <c r="R33" s="8">
        <v>276</v>
      </c>
      <c r="S33" s="8">
        <v>399</v>
      </c>
      <c r="T33" s="8">
        <v>363</v>
      </c>
      <c r="U33" s="8">
        <v>499</v>
      </c>
      <c r="V33" s="8">
        <v>473</v>
      </c>
      <c r="W33" s="8"/>
      <c r="X33" s="8"/>
      <c r="Y33" s="11"/>
      <c r="Z33" s="1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1"/>
      <c r="AL33" s="1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11"/>
      <c r="AX33" s="1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11"/>
      <c r="BJ33" s="1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11"/>
      <c r="BV33" s="1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11"/>
      <c r="CH33" s="1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11"/>
      <c r="CT33" s="1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11"/>
    </row>
    <row r="34" spans="1:109" x14ac:dyDescent="0.25">
      <c r="A34" s="79" t="s">
        <v>25</v>
      </c>
      <c r="B34" s="18"/>
      <c r="C34" s="8"/>
      <c r="D34" s="8"/>
      <c r="E34" s="8"/>
      <c r="F34" s="8"/>
      <c r="G34" s="8"/>
      <c r="H34" s="8"/>
      <c r="I34" s="8"/>
      <c r="J34" s="8"/>
      <c r="K34" s="8"/>
      <c r="L34" s="8"/>
      <c r="M34" s="11">
        <v>1769</v>
      </c>
      <c r="N34" s="18">
        <v>1557</v>
      </c>
      <c r="O34" s="8">
        <v>1392</v>
      </c>
      <c r="P34" s="8">
        <v>1267</v>
      </c>
      <c r="Q34" s="8">
        <v>941</v>
      </c>
      <c r="R34" s="8">
        <v>601</v>
      </c>
      <c r="S34" s="8">
        <v>696</v>
      </c>
      <c r="T34" s="8">
        <v>681</v>
      </c>
      <c r="U34" s="8">
        <v>1010</v>
      </c>
      <c r="V34" s="8">
        <v>1092</v>
      </c>
      <c r="W34" s="8"/>
      <c r="X34" s="8"/>
      <c r="Y34" s="11"/>
      <c r="Z34" s="1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11"/>
      <c r="AL34" s="1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11"/>
      <c r="AX34" s="1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11"/>
      <c r="BJ34" s="1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11"/>
      <c r="BV34" s="1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11"/>
      <c r="CH34" s="1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11"/>
      <c r="CT34" s="1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11"/>
    </row>
    <row r="35" spans="1:109" x14ac:dyDescent="0.25">
      <c r="A35" s="79" t="s">
        <v>26</v>
      </c>
      <c r="B35" s="24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1">
        <v>2559</v>
      </c>
      <c r="N35" s="24">
        <v>2475</v>
      </c>
      <c r="O35" s="16">
        <v>2416</v>
      </c>
      <c r="P35" s="16">
        <v>2202</v>
      </c>
      <c r="Q35" s="16">
        <v>1448</v>
      </c>
      <c r="R35" s="8">
        <v>1035</v>
      </c>
      <c r="S35" s="8">
        <v>1082</v>
      </c>
      <c r="T35" s="8">
        <v>1140</v>
      </c>
      <c r="U35" s="8"/>
      <c r="V35" s="8"/>
      <c r="W35" s="8"/>
      <c r="X35" s="8"/>
      <c r="Y35" s="11"/>
      <c r="Z35" s="1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1"/>
      <c r="AL35" s="1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11"/>
      <c r="AX35" s="1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11"/>
      <c r="BJ35" s="1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11"/>
      <c r="BV35" s="1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11"/>
      <c r="CH35" s="1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11"/>
      <c r="CT35" s="1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11"/>
    </row>
    <row r="36" spans="1:109" x14ac:dyDescent="0.25">
      <c r="A36" s="79" t="s">
        <v>27</v>
      </c>
      <c r="B36" s="18"/>
      <c r="C36" s="8"/>
      <c r="D36" s="8"/>
      <c r="E36" s="8"/>
      <c r="F36" s="8"/>
      <c r="G36" s="8"/>
      <c r="H36" s="8"/>
      <c r="I36" s="8"/>
      <c r="J36" s="8"/>
      <c r="K36" s="8"/>
      <c r="L36" s="8"/>
      <c r="M36" s="11"/>
      <c r="N36" s="18">
        <v>1314</v>
      </c>
      <c r="O36" s="8">
        <v>1204</v>
      </c>
      <c r="P36" s="8">
        <v>1104</v>
      </c>
      <c r="Q36" s="8">
        <v>745</v>
      </c>
      <c r="R36" s="8">
        <v>475</v>
      </c>
      <c r="S36" s="8">
        <v>574</v>
      </c>
      <c r="T36" s="8">
        <v>533</v>
      </c>
      <c r="U36" s="8">
        <v>845</v>
      </c>
      <c r="V36" s="8">
        <v>980</v>
      </c>
      <c r="W36" s="8"/>
      <c r="X36" s="8"/>
      <c r="Y36" s="11"/>
      <c r="Z36" s="1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1"/>
      <c r="AL36" s="1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11"/>
      <c r="AX36" s="1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11"/>
      <c r="BJ36" s="1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11"/>
      <c r="BV36" s="1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11"/>
      <c r="CH36" s="1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11"/>
      <c r="CT36" s="1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11"/>
    </row>
    <row r="37" spans="1:109" x14ac:dyDescent="0.25">
      <c r="A37" s="79" t="s">
        <v>28</v>
      </c>
      <c r="B37" s="18"/>
      <c r="C37" s="8"/>
      <c r="D37" s="8"/>
      <c r="E37" s="8"/>
      <c r="F37" s="8"/>
      <c r="G37" s="8"/>
      <c r="H37" s="8"/>
      <c r="I37" s="8"/>
      <c r="J37" s="8"/>
      <c r="K37" s="8"/>
      <c r="L37" s="8"/>
      <c r="M37" s="11">
        <v>971</v>
      </c>
      <c r="N37" s="18">
        <v>863</v>
      </c>
      <c r="O37" s="8">
        <v>804</v>
      </c>
      <c r="P37" s="8">
        <v>796</v>
      </c>
      <c r="Q37" s="8">
        <v>645</v>
      </c>
      <c r="R37" s="8">
        <v>431</v>
      </c>
      <c r="S37" s="8">
        <v>587</v>
      </c>
      <c r="T37" s="8">
        <v>475</v>
      </c>
      <c r="U37" s="8">
        <v>774</v>
      </c>
      <c r="V37" s="8">
        <v>750</v>
      </c>
      <c r="W37" s="8"/>
      <c r="X37" s="8"/>
      <c r="Y37" s="11"/>
      <c r="Z37" s="1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11"/>
      <c r="AL37" s="1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1"/>
      <c r="AX37" s="1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11"/>
      <c r="BJ37" s="1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11"/>
      <c r="BV37" s="1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11"/>
      <c r="CH37" s="1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11"/>
      <c r="CT37" s="1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11"/>
    </row>
    <row r="38" spans="1:109" x14ac:dyDescent="0.25">
      <c r="A38" s="79" t="s">
        <v>29</v>
      </c>
      <c r="B38" s="18"/>
      <c r="C38" s="8"/>
      <c r="D38" s="8"/>
      <c r="E38" s="8"/>
      <c r="F38" s="8"/>
      <c r="G38" s="8"/>
      <c r="H38" s="8"/>
      <c r="I38" s="8"/>
      <c r="J38" s="8"/>
      <c r="K38" s="8"/>
      <c r="L38" s="8"/>
      <c r="M38" s="11">
        <v>4502</v>
      </c>
      <c r="N38" s="18">
        <v>3960</v>
      </c>
      <c r="O38" s="8">
        <v>3538</v>
      </c>
      <c r="P38" s="8">
        <v>3338</v>
      </c>
      <c r="Q38" s="8">
        <v>2360</v>
      </c>
      <c r="R38" s="8">
        <v>1531</v>
      </c>
      <c r="S38" s="8">
        <v>1844</v>
      </c>
      <c r="T38" s="8">
        <v>1774</v>
      </c>
      <c r="U38" s="8">
        <v>2520</v>
      </c>
      <c r="V38" s="8">
        <v>2759</v>
      </c>
      <c r="W38" s="8"/>
      <c r="X38" s="8"/>
      <c r="Y38" s="11"/>
      <c r="Z38" s="1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11"/>
      <c r="AL38" s="1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11"/>
      <c r="AX38" s="1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11"/>
      <c r="BJ38" s="1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11"/>
      <c r="BV38" s="1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11"/>
      <c r="CH38" s="1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11"/>
      <c r="CT38" s="1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11"/>
    </row>
    <row r="39" spans="1:109" x14ac:dyDescent="0.25">
      <c r="A39" s="79" t="s">
        <v>30</v>
      </c>
      <c r="B39" s="18"/>
      <c r="C39" s="8"/>
      <c r="D39" s="8"/>
      <c r="E39" s="8"/>
      <c r="F39" s="8"/>
      <c r="G39" s="8"/>
      <c r="H39" s="8"/>
      <c r="I39" s="8"/>
      <c r="J39" s="8"/>
      <c r="K39" s="8"/>
      <c r="L39" s="8"/>
      <c r="M39" s="11"/>
      <c r="N39" s="18">
        <v>2903</v>
      </c>
      <c r="O39" s="8">
        <v>2693</v>
      </c>
      <c r="P39" s="8">
        <v>2592</v>
      </c>
      <c r="Q39" s="8">
        <v>1895</v>
      </c>
      <c r="R39" s="8">
        <v>1254</v>
      </c>
      <c r="S39" s="8">
        <v>1600</v>
      </c>
      <c r="T39" s="8">
        <v>1553</v>
      </c>
      <c r="U39" s="8">
        <v>2183</v>
      </c>
      <c r="V39" s="8">
        <v>2289</v>
      </c>
      <c r="W39" s="8"/>
      <c r="X39" s="8"/>
      <c r="Y39" s="11"/>
      <c r="Z39" s="1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11"/>
      <c r="AL39" s="1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11"/>
      <c r="AX39" s="1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11"/>
      <c r="BJ39" s="1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11"/>
      <c r="BV39" s="1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11"/>
      <c r="CH39" s="1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11"/>
      <c r="CT39" s="1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11"/>
    </row>
    <row r="40" spans="1:109" x14ac:dyDescent="0.25">
      <c r="A40" s="79" t="s">
        <v>31</v>
      </c>
      <c r="B40" s="18"/>
      <c r="C40" s="8"/>
      <c r="D40" s="8"/>
      <c r="E40" s="8"/>
      <c r="F40" s="8"/>
      <c r="G40" s="8"/>
      <c r="H40" s="8"/>
      <c r="I40" s="8"/>
      <c r="J40" s="8"/>
      <c r="K40" s="8"/>
      <c r="L40" s="8"/>
      <c r="M40" s="11"/>
      <c r="N40" s="18"/>
      <c r="O40" s="8"/>
      <c r="P40" s="8"/>
      <c r="Q40" s="8">
        <v>6405</v>
      </c>
      <c r="R40" s="8">
        <v>4321</v>
      </c>
      <c r="S40" s="8">
        <v>6004</v>
      </c>
      <c r="T40" s="8">
        <v>5767</v>
      </c>
      <c r="U40" s="8"/>
      <c r="V40" s="8"/>
      <c r="W40" s="8"/>
      <c r="X40" s="8"/>
      <c r="Y40" s="11"/>
      <c r="Z40" s="1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11"/>
      <c r="AL40" s="1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11"/>
      <c r="AX40" s="1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11"/>
      <c r="BJ40" s="1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11"/>
      <c r="BV40" s="1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11"/>
      <c r="CH40" s="1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11"/>
      <c r="CT40" s="1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11"/>
    </row>
    <row r="41" spans="1:109" x14ac:dyDescent="0.25">
      <c r="A41" s="79" t="s">
        <v>32</v>
      </c>
      <c r="B41" s="18"/>
      <c r="C41" s="8"/>
      <c r="D41" s="8"/>
      <c r="E41" s="8"/>
      <c r="F41" s="8"/>
      <c r="G41" s="8"/>
      <c r="H41" s="8"/>
      <c r="I41" s="8"/>
      <c r="J41" s="8"/>
      <c r="K41" s="8"/>
      <c r="L41" s="8"/>
      <c r="M41" s="11"/>
      <c r="N41" s="18"/>
      <c r="O41" s="8"/>
      <c r="P41" s="8">
        <v>6401</v>
      </c>
      <c r="Q41" s="8">
        <v>4548</v>
      </c>
      <c r="R41" s="8">
        <v>2930</v>
      </c>
      <c r="S41" s="8">
        <v>3545</v>
      </c>
      <c r="T41" s="8">
        <v>3472</v>
      </c>
      <c r="U41" s="8">
        <v>4981</v>
      </c>
      <c r="V41" s="8">
        <v>5407</v>
      </c>
      <c r="W41" s="8"/>
      <c r="X41" s="8"/>
      <c r="Y41" s="11"/>
      <c r="Z41" s="1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11"/>
      <c r="AL41" s="1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11"/>
      <c r="AX41" s="1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11"/>
      <c r="BJ41" s="1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11"/>
      <c r="BV41" s="1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11"/>
      <c r="CH41" s="1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11"/>
      <c r="CT41" s="1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11"/>
    </row>
    <row r="42" spans="1:109" x14ac:dyDescent="0.25">
      <c r="A42" s="79" t="s">
        <v>33</v>
      </c>
      <c r="B42" s="18"/>
      <c r="C42" s="8"/>
      <c r="D42" s="8"/>
      <c r="E42" s="8"/>
      <c r="F42" s="8"/>
      <c r="G42" s="8"/>
      <c r="H42" s="8"/>
      <c r="I42" s="8"/>
      <c r="J42" s="8"/>
      <c r="K42" s="8"/>
      <c r="L42" s="8"/>
      <c r="M42" s="11"/>
      <c r="N42" s="18"/>
      <c r="O42" s="8">
        <v>1197</v>
      </c>
      <c r="P42" s="8">
        <v>1063</v>
      </c>
      <c r="Q42" s="8">
        <v>785</v>
      </c>
      <c r="R42" s="8">
        <v>552</v>
      </c>
      <c r="S42" s="8">
        <v>656</v>
      </c>
      <c r="T42" s="8">
        <v>623</v>
      </c>
      <c r="U42" s="8">
        <v>931</v>
      </c>
      <c r="V42" s="8">
        <v>1008</v>
      </c>
      <c r="W42" s="8"/>
      <c r="X42" s="8"/>
      <c r="Y42" s="11"/>
      <c r="Z42" s="1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11"/>
      <c r="AL42" s="1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1"/>
      <c r="AX42" s="1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11"/>
      <c r="BJ42" s="1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11"/>
      <c r="BV42" s="1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11"/>
      <c r="CH42" s="1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11"/>
      <c r="CT42" s="1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11"/>
    </row>
    <row r="43" spans="1:109" x14ac:dyDescent="0.25">
      <c r="A43" s="79" t="s">
        <v>34</v>
      </c>
      <c r="B43" s="18"/>
      <c r="C43" s="8"/>
      <c r="D43" s="8"/>
      <c r="E43" s="8"/>
      <c r="F43" s="8"/>
      <c r="G43" s="8"/>
      <c r="H43" s="8"/>
      <c r="I43" s="8"/>
      <c r="J43" s="8"/>
      <c r="K43" s="8"/>
      <c r="L43" s="8"/>
      <c r="M43" s="11"/>
      <c r="N43" s="18"/>
      <c r="O43" s="8"/>
      <c r="P43" s="8"/>
      <c r="Q43" s="8"/>
      <c r="R43" s="8">
        <v>286</v>
      </c>
      <c r="S43" s="8">
        <v>438</v>
      </c>
      <c r="T43" s="8">
        <v>384</v>
      </c>
      <c r="U43" s="8">
        <v>536</v>
      </c>
      <c r="V43" s="8">
        <v>576</v>
      </c>
      <c r="W43" s="8"/>
      <c r="X43" s="8"/>
      <c r="Y43" s="11"/>
      <c r="Z43" s="1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11"/>
      <c r="AL43" s="1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11"/>
      <c r="AX43" s="1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11"/>
      <c r="BJ43" s="1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11"/>
      <c r="BV43" s="1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11"/>
      <c r="CH43" s="1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11"/>
      <c r="CT43" s="1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11"/>
    </row>
    <row r="44" spans="1:109" x14ac:dyDescent="0.25">
      <c r="A44" s="79" t="s">
        <v>35</v>
      </c>
      <c r="B44" s="18"/>
      <c r="C44" s="8"/>
      <c r="D44" s="8"/>
      <c r="E44" s="8"/>
      <c r="F44" s="8"/>
      <c r="G44" s="8"/>
      <c r="H44" s="8"/>
      <c r="I44" s="8"/>
      <c r="J44" s="8"/>
      <c r="K44" s="8"/>
      <c r="L44" s="8"/>
      <c r="M44" s="11"/>
      <c r="N44" s="18"/>
      <c r="O44" s="8"/>
      <c r="P44" s="8">
        <v>951</v>
      </c>
      <c r="Q44" s="8">
        <v>1089</v>
      </c>
      <c r="R44" s="8">
        <v>710</v>
      </c>
      <c r="S44" s="8">
        <v>900</v>
      </c>
      <c r="T44" s="8">
        <v>852</v>
      </c>
      <c r="U44" s="8">
        <v>1256</v>
      </c>
      <c r="V44" s="14">
        <v>1024</v>
      </c>
      <c r="W44" s="8"/>
      <c r="X44" s="8"/>
      <c r="Y44" s="11"/>
      <c r="Z44" s="1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1"/>
      <c r="AL44" s="1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11"/>
      <c r="AX44" s="1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11"/>
      <c r="BJ44" s="1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11"/>
      <c r="BV44" s="1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11"/>
      <c r="CH44" s="1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11"/>
      <c r="CT44" s="1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11"/>
    </row>
    <row r="45" spans="1:109" x14ac:dyDescent="0.25">
      <c r="A45" s="79" t="s">
        <v>36</v>
      </c>
      <c r="B45" s="18"/>
      <c r="C45" s="8"/>
      <c r="D45" s="8"/>
      <c r="E45" s="8"/>
      <c r="F45" s="8"/>
      <c r="G45" s="8"/>
      <c r="H45" s="8"/>
      <c r="I45" s="8"/>
      <c r="J45" s="8"/>
      <c r="K45" s="8"/>
      <c r="L45" s="8"/>
      <c r="M45" s="11"/>
      <c r="N45" s="18"/>
      <c r="O45" s="8"/>
      <c r="P45" s="8">
        <v>857</v>
      </c>
      <c r="Q45" s="8">
        <v>600</v>
      </c>
      <c r="R45" s="8">
        <v>392</v>
      </c>
      <c r="S45" s="8">
        <v>500</v>
      </c>
      <c r="T45" s="8">
        <v>465</v>
      </c>
      <c r="U45" s="8">
        <v>705</v>
      </c>
      <c r="V45" s="10">
        <v>783</v>
      </c>
      <c r="W45" s="8"/>
      <c r="X45" s="8"/>
      <c r="Y45" s="11"/>
      <c r="Z45" s="1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11"/>
      <c r="AL45" s="1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11"/>
      <c r="AX45" s="1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11"/>
      <c r="BJ45" s="1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11"/>
      <c r="BV45" s="1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11"/>
      <c r="CH45" s="1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11"/>
      <c r="CT45" s="1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11"/>
    </row>
    <row r="46" spans="1:109" x14ac:dyDescent="0.25">
      <c r="A46" s="79" t="s">
        <v>37</v>
      </c>
      <c r="B46" s="18"/>
      <c r="C46" s="8"/>
      <c r="D46" s="8"/>
      <c r="E46" s="8"/>
      <c r="F46" s="8"/>
      <c r="G46" s="8"/>
      <c r="H46" s="8"/>
      <c r="I46" s="8"/>
      <c r="J46" s="8"/>
      <c r="K46" s="8"/>
      <c r="L46" s="8"/>
      <c r="M46" s="11"/>
      <c r="N46" s="18"/>
      <c r="O46" s="8"/>
      <c r="P46" s="8">
        <v>486</v>
      </c>
      <c r="Q46" s="8">
        <v>341</v>
      </c>
      <c r="R46" s="8">
        <v>215</v>
      </c>
      <c r="S46" s="8">
        <v>259</v>
      </c>
      <c r="T46" s="8">
        <v>253</v>
      </c>
      <c r="U46" s="8">
        <v>483</v>
      </c>
      <c r="V46" s="8">
        <v>553</v>
      </c>
      <c r="W46" s="8"/>
      <c r="X46" s="8"/>
      <c r="Y46" s="11"/>
      <c r="Z46" s="1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11"/>
      <c r="AL46" s="1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11"/>
      <c r="AX46" s="1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11"/>
      <c r="BJ46" s="1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11"/>
      <c r="BV46" s="1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11"/>
      <c r="CH46" s="1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11"/>
      <c r="CT46" s="1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11"/>
    </row>
    <row r="47" spans="1:109" x14ac:dyDescent="0.25">
      <c r="A47" s="79" t="s">
        <v>38</v>
      </c>
      <c r="B47" s="18"/>
      <c r="C47" s="8"/>
      <c r="D47" s="8"/>
      <c r="E47" s="8"/>
      <c r="F47" s="8"/>
      <c r="G47" s="8"/>
      <c r="H47" s="8"/>
      <c r="I47" s="8"/>
      <c r="J47" s="8"/>
      <c r="K47" s="8"/>
      <c r="L47" s="8"/>
      <c r="M47" s="11"/>
      <c r="N47" s="18"/>
      <c r="O47" s="8"/>
      <c r="P47" s="8">
        <v>1371</v>
      </c>
      <c r="Q47" s="8">
        <v>1006</v>
      </c>
      <c r="R47" s="8">
        <v>638</v>
      </c>
      <c r="S47" s="8">
        <v>776</v>
      </c>
      <c r="T47" s="8">
        <v>720</v>
      </c>
      <c r="U47" s="8">
        <v>1070</v>
      </c>
      <c r="V47" s="8">
        <v>1146</v>
      </c>
      <c r="W47" s="8"/>
      <c r="X47" s="8"/>
      <c r="Y47" s="11"/>
      <c r="Z47" s="1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11"/>
      <c r="AL47" s="1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11"/>
      <c r="AX47" s="1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11"/>
      <c r="BJ47" s="1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11"/>
      <c r="BV47" s="1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11"/>
      <c r="CH47" s="1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11"/>
      <c r="CT47" s="1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11"/>
    </row>
    <row r="48" spans="1:109" x14ac:dyDescent="0.25">
      <c r="A48" s="79" t="s">
        <v>39</v>
      </c>
      <c r="B48" s="18"/>
      <c r="C48" s="8"/>
      <c r="D48" s="8"/>
      <c r="E48" s="8"/>
      <c r="F48" s="8"/>
      <c r="G48" s="8"/>
      <c r="H48" s="8"/>
      <c r="I48" s="8"/>
      <c r="J48" s="8"/>
      <c r="K48" s="8"/>
      <c r="L48" s="8"/>
      <c r="M48" s="11"/>
      <c r="N48" s="18"/>
      <c r="O48" s="8"/>
      <c r="P48" s="8">
        <v>362</v>
      </c>
      <c r="Q48" s="8">
        <v>362</v>
      </c>
      <c r="R48" s="8">
        <v>233</v>
      </c>
      <c r="S48" s="8">
        <v>303</v>
      </c>
      <c r="T48" s="8">
        <v>289</v>
      </c>
      <c r="U48" s="8">
        <v>422</v>
      </c>
      <c r="V48" s="8">
        <v>433</v>
      </c>
      <c r="W48" s="8"/>
      <c r="X48" s="8"/>
      <c r="Y48" s="11"/>
      <c r="Z48" s="1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11"/>
      <c r="AL48" s="1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11"/>
      <c r="AX48" s="1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11"/>
      <c r="BJ48" s="1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11"/>
      <c r="BV48" s="1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11"/>
      <c r="CH48" s="1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11"/>
      <c r="CT48" s="1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11"/>
    </row>
    <row r="49" spans="1:109" x14ac:dyDescent="0.25">
      <c r="A49" s="79" t="s">
        <v>40</v>
      </c>
      <c r="B49" s="18"/>
      <c r="C49" s="8"/>
      <c r="D49" s="8"/>
      <c r="E49" s="8"/>
      <c r="F49" s="8"/>
      <c r="G49" s="8"/>
      <c r="H49" s="8"/>
      <c r="I49" s="8"/>
      <c r="J49" s="8"/>
      <c r="K49" s="8"/>
      <c r="L49" s="8"/>
      <c r="M49" s="11"/>
      <c r="N49" s="18"/>
      <c r="O49" s="8"/>
      <c r="P49" s="8">
        <v>370</v>
      </c>
      <c r="Q49" s="8">
        <v>288</v>
      </c>
      <c r="R49" s="8">
        <v>275</v>
      </c>
      <c r="S49" s="8">
        <v>388</v>
      </c>
      <c r="T49" s="8">
        <v>351</v>
      </c>
      <c r="U49" s="8">
        <v>519</v>
      </c>
      <c r="V49" s="8">
        <v>517</v>
      </c>
      <c r="W49" s="8"/>
      <c r="X49" s="8"/>
      <c r="Y49" s="11"/>
      <c r="Z49" s="1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11"/>
      <c r="AL49" s="1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11"/>
      <c r="AX49" s="1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11"/>
      <c r="BJ49" s="1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11"/>
      <c r="BV49" s="1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11"/>
      <c r="CH49" s="1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11"/>
      <c r="CT49" s="1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11"/>
    </row>
    <row r="50" spans="1:109" x14ac:dyDescent="0.25">
      <c r="A50" s="79" t="s">
        <v>75</v>
      </c>
      <c r="B50" s="18"/>
      <c r="C50" s="8"/>
      <c r="D50" s="8"/>
      <c r="E50" s="8"/>
      <c r="F50" s="8"/>
      <c r="G50" s="8"/>
      <c r="H50" s="8"/>
      <c r="I50" s="8"/>
      <c r="J50" s="8"/>
      <c r="K50" s="8"/>
      <c r="L50" s="8"/>
      <c r="M50" s="11"/>
      <c r="N50" s="18"/>
      <c r="O50" s="8"/>
      <c r="P50" s="8"/>
      <c r="Q50" s="8"/>
      <c r="R50" s="8">
        <v>275</v>
      </c>
      <c r="S50" s="8">
        <v>388</v>
      </c>
      <c r="T50" s="8">
        <v>351</v>
      </c>
      <c r="U50" s="8">
        <v>519</v>
      </c>
      <c r="V50" s="8">
        <v>517</v>
      </c>
      <c r="W50" s="8"/>
      <c r="X50" s="8"/>
      <c r="Y50" s="11"/>
      <c r="Z50" s="1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11"/>
      <c r="AL50" s="1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11"/>
      <c r="AX50" s="1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11"/>
      <c r="BJ50" s="1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11"/>
      <c r="BV50" s="1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11"/>
      <c r="CH50" s="1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11"/>
      <c r="CT50" s="1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11"/>
    </row>
    <row r="51" spans="1:109" x14ac:dyDescent="0.25">
      <c r="A51" s="79" t="s">
        <v>41</v>
      </c>
      <c r="B51" s="18"/>
      <c r="C51" s="8"/>
      <c r="D51" s="8"/>
      <c r="E51" s="8"/>
      <c r="F51" s="8"/>
      <c r="G51" s="8"/>
      <c r="H51" s="8"/>
      <c r="I51" s="8"/>
      <c r="J51" s="8"/>
      <c r="K51" s="8"/>
      <c r="L51" s="8"/>
      <c r="M51" s="11"/>
      <c r="N51" s="18"/>
      <c r="O51" s="8"/>
      <c r="P51" s="8"/>
      <c r="Q51" s="8"/>
      <c r="R51" s="8"/>
      <c r="S51" s="8"/>
      <c r="T51" s="8"/>
      <c r="U51" s="8">
        <v>544</v>
      </c>
      <c r="V51" s="8"/>
      <c r="W51" s="8"/>
      <c r="X51" s="8"/>
      <c r="Y51" s="11"/>
      <c r="Z51" s="1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11"/>
      <c r="AL51" s="1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11"/>
      <c r="AX51" s="1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11"/>
      <c r="BJ51" s="1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11"/>
      <c r="BV51" s="1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11"/>
      <c r="CH51" s="1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11"/>
      <c r="CT51" s="1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11"/>
    </row>
    <row r="52" spans="1:109" x14ac:dyDescent="0.25">
      <c r="A52" s="79" t="s">
        <v>42</v>
      </c>
      <c r="B52" s="18"/>
      <c r="C52" s="8"/>
      <c r="D52" s="8"/>
      <c r="E52" s="8"/>
      <c r="F52" s="8"/>
      <c r="G52" s="8"/>
      <c r="H52" s="8"/>
      <c r="I52" s="8"/>
      <c r="J52" s="8"/>
      <c r="K52" s="8"/>
      <c r="L52" s="8"/>
      <c r="M52" s="11"/>
      <c r="N52" s="18"/>
      <c r="O52" s="8"/>
      <c r="P52" s="8"/>
      <c r="Q52" s="8"/>
      <c r="R52" s="8">
        <v>385</v>
      </c>
      <c r="S52" s="8">
        <v>498</v>
      </c>
      <c r="T52" s="8">
        <v>448</v>
      </c>
      <c r="U52" s="8">
        <v>571</v>
      </c>
      <c r="V52" s="8">
        <v>755</v>
      </c>
      <c r="W52" s="8"/>
      <c r="X52" s="8"/>
      <c r="Y52" s="11"/>
      <c r="Z52" s="1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11"/>
      <c r="AL52" s="1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11"/>
      <c r="AX52" s="1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11"/>
      <c r="BJ52" s="1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11"/>
      <c r="BV52" s="1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11"/>
      <c r="CH52" s="1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11"/>
      <c r="CT52" s="1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11"/>
    </row>
    <row r="53" spans="1:109" x14ac:dyDescent="0.25">
      <c r="A53" s="79" t="s">
        <v>43</v>
      </c>
      <c r="B53" s="18"/>
      <c r="C53" s="8"/>
      <c r="D53" s="8"/>
      <c r="E53" s="8"/>
      <c r="F53" s="8"/>
      <c r="G53" s="8"/>
      <c r="H53" s="8"/>
      <c r="I53" s="8"/>
      <c r="J53" s="8"/>
      <c r="K53" s="8"/>
      <c r="L53" s="8"/>
      <c r="M53" s="11"/>
      <c r="N53" s="18"/>
      <c r="O53" s="8"/>
      <c r="P53" s="8"/>
      <c r="Q53" s="8"/>
      <c r="R53" s="8"/>
      <c r="S53" s="8">
        <v>596</v>
      </c>
      <c r="T53" s="8">
        <v>560</v>
      </c>
      <c r="U53" s="8">
        <v>809</v>
      </c>
      <c r="V53" s="8">
        <v>899</v>
      </c>
      <c r="W53" s="8"/>
      <c r="X53" s="8"/>
      <c r="Y53" s="11"/>
      <c r="Z53" s="1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11"/>
      <c r="AL53" s="1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11"/>
      <c r="AX53" s="1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11"/>
      <c r="BJ53" s="1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11"/>
      <c r="BV53" s="1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11"/>
      <c r="CH53" s="1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11"/>
      <c r="CT53" s="1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11"/>
    </row>
    <row r="54" spans="1:109" x14ac:dyDescent="0.25">
      <c r="A54" s="79" t="s">
        <v>44</v>
      </c>
      <c r="B54" s="18"/>
      <c r="C54" s="8"/>
      <c r="D54" s="8"/>
      <c r="E54" s="8"/>
      <c r="F54" s="8"/>
      <c r="G54" s="8"/>
      <c r="H54" s="8"/>
      <c r="I54" s="8"/>
      <c r="J54" s="8"/>
      <c r="K54" s="8"/>
      <c r="L54" s="8"/>
      <c r="M54" s="11"/>
      <c r="N54" s="18"/>
      <c r="O54" s="8"/>
      <c r="P54" s="8"/>
      <c r="Q54" s="8"/>
      <c r="R54" s="8"/>
      <c r="S54" s="8">
        <v>448</v>
      </c>
      <c r="T54" s="8">
        <v>433</v>
      </c>
      <c r="U54" s="8">
        <v>656</v>
      </c>
      <c r="V54" s="8">
        <v>710</v>
      </c>
      <c r="W54" s="8"/>
      <c r="X54" s="8"/>
      <c r="Y54" s="11"/>
      <c r="Z54" s="1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11"/>
      <c r="AL54" s="1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11"/>
      <c r="AX54" s="1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11"/>
      <c r="BJ54" s="1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11"/>
      <c r="BV54" s="1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11"/>
      <c r="CH54" s="1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11"/>
      <c r="CT54" s="1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11"/>
    </row>
    <row r="55" spans="1:109" x14ac:dyDescent="0.25">
      <c r="A55" s="79" t="s">
        <v>45</v>
      </c>
      <c r="B55" s="18"/>
      <c r="C55" s="8"/>
      <c r="D55" s="8"/>
      <c r="E55" s="8"/>
      <c r="F55" s="8"/>
      <c r="G55" s="8"/>
      <c r="H55" s="8"/>
      <c r="I55" s="8"/>
      <c r="J55" s="8"/>
      <c r="K55" s="8"/>
      <c r="L55" s="8"/>
      <c r="M55" s="11"/>
      <c r="N55" s="18"/>
      <c r="O55" s="8"/>
      <c r="P55" s="8"/>
      <c r="Q55" s="8"/>
      <c r="R55" s="8">
        <v>3023</v>
      </c>
      <c r="S55" s="8">
        <v>3674</v>
      </c>
      <c r="T55" s="8">
        <v>3601</v>
      </c>
      <c r="U55" s="8">
        <v>5116</v>
      </c>
      <c r="V55" s="8">
        <v>5614</v>
      </c>
      <c r="W55" s="8"/>
      <c r="X55" s="8"/>
      <c r="Y55" s="11"/>
      <c r="Z55" s="1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11"/>
      <c r="AL55" s="1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11"/>
      <c r="AX55" s="1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11"/>
      <c r="BJ55" s="1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11"/>
      <c r="BV55" s="1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11"/>
      <c r="CH55" s="1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11"/>
      <c r="CT55" s="1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11"/>
    </row>
    <row r="56" spans="1:109" x14ac:dyDescent="0.25">
      <c r="A56" s="79" t="s">
        <v>46</v>
      </c>
      <c r="B56" s="18"/>
      <c r="C56" s="8"/>
      <c r="D56" s="8"/>
      <c r="E56" s="8"/>
      <c r="F56" s="8"/>
      <c r="G56" s="8"/>
      <c r="H56" s="8"/>
      <c r="I56" s="8"/>
      <c r="J56" s="8"/>
      <c r="K56" s="8"/>
      <c r="L56" s="8"/>
      <c r="M56" s="11"/>
      <c r="N56" s="18"/>
      <c r="O56" s="8"/>
      <c r="P56" s="8"/>
      <c r="Q56" s="8"/>
      <c r="R56" s="8"/>
      <c r="S56" s="8">
        <v>533</v>
      </c>
      <c r="T56" s="8">
        <v>521</v>
      </c>
      <c r="U56" s="8">
        <v>762</v>
      </c>
      <c r="V56" s="8">
        <v>795</v>
      </c>
      <c r="W56" s="8"/>
      <c r="X56" s="8"/>
      <c r="Y56" s="11"/>
      <c r="Z56" s="1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11"/>
      <c r="AL56" s="1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11"/>
      <c r="AX56" s="1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11"/>
      <c r="BJ56" s="1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11"/>
      <c r="BV56" s="1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11"/>
      <c r="CH56" s="1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11"/>
      <c r="CT56" s="1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11"/>
    </row>
    <row r="57" spans="1:109" x14ac:dyDescent="0.25">
      <c r="A57" s="79" t="s">
        <v>47</v>
      </c>
      <c r="B57" s="18"/>
      <c r="C57" s="8"/>
      <c r="D57" s="8"/>
      <c r="E57" s="8"/>
      <c r="F57" s="8"/>
      <c r="G57" s="8"/>
      <c r="H57" s="8"/>
      <c r="I57" s="8"/>
      <c r="J57" s="8"/>
      <c r="K57" s="8"/>
      <c r="L57" s="8"/>
      <c r="M57" s="11"/>
      <c r="N57" s="18"/>
      <c r="O57" s="8"/>
      <c r="P57" s="8"/>
      <c r="Q57" s="8"/>
      <c r="R57" s="8"/>
      <c r="S57" s="8"/>
      <c r="T57" s="8">
        <v>3316</v>
      </c>
      <c r="U57" s="8">
        <v>4767</v>
      </c>
      <c r="V57" s="8">
        <v>5158</v>
      </c>
      <c r="W57" s="8"/>
      <c r="X57" s="8"/>
      <c r="Y57" s="11"/>
      <c r="Z57" s="1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11"/>
      <c r="AL57" s="1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11"/>
      <c r="AX57" s="1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11"/>
      <c r="BJ57" s="1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11"/>
      <c r="BV57" s="1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11"/>
      <c r="CH57" s="1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11"/>
      <c r="CT57" s="1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11"/>
    </row>
    <row r="58" spans="1:109" x14ac:dyDescent="0.25">
      <c r="A58" s="79" t="s">
        <v>48</v>
      </c>
      <c r="B58" s="18"/>
      <c r="C58" s="8"/>
      <c r="D58" s="8"/>
      <c r="E58" s="8"/>
      <c r="F58" s="8"/>
      <c r="G58" s="8"/>
      <c r="H58" s="8"/>
      <c r="I58" s="8"/>
      <c r="J58" s="8"/>
      <c r="K58" s="8"/>
      <c r="L58" s="8"/>
      <c r="M58" s="11"/>
      <c r="N58" s="18"/>
      <c r="O58" s="8"/>
      <c r="P58" s="8"/>
      <c r="Q58" s="8"/>
      <c r="R58" s="8"/>
      <c r="S58" s="8"/>
      <c r="T58" s="8"/>
      <c r="U58" s="8"/>
      <c r="V58" s="8"/>
      <c r="W58" s="8"/>
      <c r="X58" s="8"/>
      <c r="Y58" s="11"/>
      <c r="Z58" s="1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11"/>
      <c r="AL58" s="1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11"/>
      <c r="AX58" s="1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11"/>
      <c r="BJ58" s="1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11"/>
      <c r="BV58" s="1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11"/>
      <c r="CH58" s="1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11"/>
      <c r="CT58" s="1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11"/>
    </row>
    <row r="59" spans="1:109" x14ac:dyDescent="0.25">
      <c r="A59" s="79" t="s">
        <v>49</v>
      </c>
      <c r="B59" s="18"/>
      <c r="C59" s="8"/>
      <c r="D59" s="8"/>
      <c r="E59" s="8"/>
      <c r="F59" s="8"/>
      <c r="G59" s="8"/>
      <c r="H59" s="8"/>
      <c r="I59" s="8"/>
      <c r="J59" s="8"/>
      <c r="K59" s="8"/>
      <c r="L59" s="8"/>
      <c r="M59" s="11"/>
      <c r="N59" s="18"/>
      <c r="O59" s="8"/>
      <c r="P59" s="8"/>
      <c r="Q59" s="8"/>
      <c r="R59" s="8"/>
      <c r="S59" s="8"/>
      <c r="T59" s="8">
        <v>2000</v>
      </c>
      <c r="U59" s="8">
        <v>2852</v>
      </c>
      <c r="V59" s="8">
        <v>3071</v>
      </c>
      <c r="W59" s="8"/>
      <c r="X59" s="8"/>
      <c r="Y59" s="11"/>
      <c r="Z59" s="1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11"/>
      <c r="AL59" s="1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11"/>
      <c r="AX59" s="1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11"/>
      <c r="BJ59" s="1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11"/>
      <c r="BV59" s="1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11"/>
      <c r="CH59" s="1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11"/>
      <c r="CT59" s="1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11"/>
    </row>
    <row r="60" spans="1:109" x14ac:dyDescent="0.25">
      <c r="A60" s="79" t="s">
        <v>261</v>
      </c>
      <c r="B60" s="18"/>
      <c r="C60" s="8"/>
      <c r="D60" s="8"/>
      <c r="E60" s="8"/>
      <c r="F60" s="8"/>
      <c r="G60" s="8"/>
      <c r="H60" s="8"/>
      <c r="I60" s="8"/>
      <c r="J60" s="8"/>
      <c r="K60" s="8"/>
      <c r="L60" s="8"/>
      <c r="M60" s="11"/>
      <c r="N60" s="18"/>
      <c r="O60" s="8"/>
      <c r="P60" s="8"/>
      <c r="Q60" s="8"/>
      <c r="R60" s="8"/>
      <c r="S60" s="8"/>
      <c r="T60" s="8">
        <v>890</v>
      </c>
      <c r="U60" s="8">
        <v>1292</v>
      </c>
      <c r="V60" s="8">
        <v>1401</v>
      </c>
      <c r="W60" s="8"/>
      <c r="X60" s="8"/>
      <c r="Y60" s="11"/>
      <c r="Z60" s="1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11"/>
      <c r="AL60" s="1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11"/>
      <c r="AX60" s="1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11"/>
      <c r="BJ60" s="1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11"/>
      <c r="BV60" s="1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11"/>
      <c r="CH60" s="1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11"/>
      <c r="CT60" s="1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11"/>
    </row>
    <row r="61" spans="1:109" x14ac:dyDescent="0.25">
      <c r="A61" s="79" t="s">
        <v>262</v>
      </c>
      <c r="B61" s="18"/>
      <c r="C61" s="8"/>
      <c r="D61" s="8"/>
      <c r="E61" s="8"/>
      <c r="F61" s="8"/>
      <c r="G61" s="8"/>
      <c r="H61" s="8"/>
      <c r="I61" s="8"/>
      <c r="J61" s="8"/>
      <c r="K61" s="8"/>
      <c r="L61" s="8"/>
      <c r="M61" s="11"/>
      <c r="N61" s="18"/>
      <c r="O61" s="8"/>
      <c r="P61" s="8"/>
      <c r="Q61" s="8"/>
      <c r="R61" s="8"/>
      <c r="S61" s="8"/>
      <c r="T61" s="8">
        <v>316</v>
      </c>
      <c r="U61" s="8">
        <v>456</v>
      </c>
      <c r="V61" s="8">
        <v>505</v>
      </c>
      <c r="W61" s="8"/>
      <c r="X61" s="8"/>
      <c r="Y61" s="11"/>
      <c r="Z61" s="1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11"/>
      <c r="AL61" s="1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11"/>
      <c r="AX61" s="1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11"/>
      <c r="BJ61" s="1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11"/>
      <c r="BV61" s="1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11"/>
      <c r="CH61" s="1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11"/>
      <c r="CT61" s="1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11"/>
    </row>
    <row r="62" spans="1:109" x14ac:dyDescent="0.25">
      <c r="A62" s="79" t="s">
        <v>263</v>
      </c>
      <c r="B62" s="18"/>
      <c r="C62" s="8"/>
      <c r="D62" s="8"/>
      <c r="E62" s="8"/>
      <c r="F62" s="8"/>
      <c r="G62" s="8"/>
      <c r="H62" s="8"/>
      <c r="I62" s="8"/>
      <c r="J62" s="8"/>
      <c r="K62" s="8"/>
      <c r="L62" s="8"/>
      <c r="M62" s="11"/>
      <c r="N62" s="18"/>
      <c r="O62" s="8"/>
      <c r="P62" s="8"/>
      <c r="Q62" s="8"/>
      <c r="R62" s="8"/>
      <c r="S62" s="8"/>
      <c r="T62" s="8"/>
      <c r="U62" s="8">
        <v>633</v>
      </c>
      <c r="V62" s="8">
        <v>650</v>
      </c>
      <c r="W62" s="8"/>
      <c r="X62" s="8"/>
      <c r="Y62" s="11"/>
      <c r="Z62" s="1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11"/>
      <c r="AL62" s="1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11"/>
      <c r="AX62" s="1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11"/>
      <c r="BJ62" s="1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11"/>
      <c r="BV62" s="1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11"/>
      <c r="CH62" s="1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11"/>
      <c r="CT62" s="1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11"/>
    </row>
    <row r="63" spans="1:109" x14ac:dyDescent="0.25">
      <c r="A63" s="79" t="s">
        <v>264</v>
      </c>
      <c r="B63" s="18"/>
      <c r="C63" s="8"/>
      <c r="D63" s="8"/>
      <c r="E63" s="8"/>
      <c r="F63" s="8"/>
      <c r="G63" s="8"/>
      <c r="H63" s="8"/>
      <c r="I63" s="8"/>
      <c r="J63" s="8"/>
      <c r="K63" s="8"/>
      <c r="L63" s="8"/>
      <c r="M63" s="11"/>
      <c r="N63" s="18"/>
      <c r="O63" s="8"/>
      <c r="P63" s="8"/>
      <c r="Q63" s="8"/>
      <c r="R63" s="8"/>
      <c r="S63" s="8"/>
      <c r="T63" s="8"/>
      <c r="U63" s="8"/>
      <c r="V63" s="8">
        <v>6160</v>
      </c>
      <c r="W63" s="8"/>
      <c r="X63" s="8"/>
      <c r="Y63" s="11"/>
      <c r="Z63" s="1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11"/>
      <c r="AL63" s="1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11"/>
      <c r="AX63" s="1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11"/>
      <c r="BJ63" s="1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11"/>
      <c r="BV63" s="1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11"/>
      <c r="CH63" s="1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11"/>
      <c r="CT63" s="1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11"/>
    </row>
    <row r="64" spans="1:109" x14ac:dyDescent="0.25">
      <c r="A64" s="111" t="s">
        <v>279</v>
      </c>
      <c r="B64" s="18"/>
      <c r="C64" s="8"/>
      <c r="D64" s="8"/>
      <c r="E64" s="8"/>
      <c r="F64" s="8"/>
      <c r="G64" s="8"/>
      <c r="H64" s="8"/>
      <c r="I64" s="8"/>
      <c r="J64" s="8"/>
      <c r="K64" s="8"/>
      <c r="L64" s="8"/>
      <c r="M64" s="11"/>
      <c r="N64" s="18"/>
      <c r="O64" s="8"/>
      <c r="P64" s="8"/>
      <c r="Q64" s="8"/>
      <c r="R64" s="8"/>
      <c r="S64" s="8"/>
      <c r="T64" s="8"/>
      <c r="U64" s="8"/>
      <c r="V64" s="8"/>
      <c r="W64" s="8"/>
      <c r="X64" s="8"/>
      <c r="Y64" s="11"/>
      <c r="Z64" s="1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11"/>
      <c r="AL64" s="1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11"/>
      <c r="AX64" s="1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11"/>
      <c r="BJ64" s="1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11"/>
      <c r="BV64" s="1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11"/>
      <c r="CH64" s="1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11"/>
      <c r="CT64" s="1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11"/>
    </row>
    <row r="65" spans="1:109" x14ac:dyDescent="0.25">
      <c r="A65" s="112" t="s">
        <v>280</v>
      </c>
      <c r="B65" s="18"/>
      <c r="C65" s="8"/>
      <c r="D65" s="8"/>
      <c r="E65" s="8"/>
      <c r="F65" s="8"/>
      <c r="G65" s="8"/>
      <c r="H65" s="8"/>
      <c r="I65" s="8"/>
      <c r="J65" s="8"/>
      <c r="K65" s="8"/>
      <c r="L65" s="8"/>
      <c r="M65" s="11"/>
      <c r="N65" s="18"/>
      <c r="O65" s="8"/>
      <c r="P65" s="8"/>
      <c r="Q65" s="8"/>
      <c r="R65" s="8"/>
      <c r="S65" s="8"/>
      <c r="T65" s="8"/>
      <c r="U65" s="8"/>
      <c r="V65" s="8"/>
      <c r="W65" s="8"/>
      <c r="X65" s="8"/>
      <c r="Y65" s="11"/>
      <c r="Z65" s="1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11"/>
      <c r="AL65" s="1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11"/>
      <c r="AX65" s="1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11"/>
      <c r="BJ65" s="1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11"/>
      <c r="BV65" s="1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11"/>
      <c r="CH65" s="1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11"/>
      <c r="CT65" s="1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11"/>
    </row>
    <row r="66" spans="1:109" x14ac:dyDescent="0.25">
      <c r="A66" s="111" t="s">
        <v>281</v>
      </c>
      <c r="B66" s="18"/>
      <c r="C66" s="8"/>
      <c r="D66" s="8"/>
      <c r="E66" s="8"/>
      <c r="F66" s="8"/>
      <c r="G66" s="8"/>
      <c r="H66" s="8"/>
      <c r="I66" s="8"/>
      <c r="J66" s="8"/>
      <c r="K66" s="8"/>
      <c r="L66" s="8"/>
      <c r="M66" s="11"/>
      <c r="N66" s="18"/>
      <c r="O66" s="8"/>
      <c r="P66" s="8"/>
      <c r="Q66" s="8"/>
      <c r="R66" s="8"/>
      <c r="S66" s="8"/>
      <c r="T66" s="8"/>
      <c r="U66" s="8"/>
      <c r="V66" s="8">
        <v>579</v>
      </c>
      <c r="W66" s="8"/>
      <c r="X66" s="8"/>
      <c r="Y66" s="11"/>
      <c r="Z66" s="1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11"/>
      <c r="AL66" s="1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11"/>
      <c r="AX66" s="1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11"/>
      <c r="BJ66" s="1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11"/>
      <c r="BV66" s="1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11"/>
      <c r="CH66" s="1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11"/>
      <c r="CT66" s="1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11"/>
    </row>
    <row r="67" spans="1:109" x14ac:dyDescent="0.25">
      <c r="A67" s="124" t="s">
        <v>295</v>
      </c>
      <c r="B67" s="125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6"/>
      <c r="N67" s="18"/>
      <c r="O67" s="8"/>
      <c r="P67" s="8"/>
      <c r="Q67" s="8"/>
      <c r="R67" s="8"/>
      <c r="S67" s="8"/>
      <c r="T67" s="8"/>
      <c r="U67" s="8"/>
      <c r="V67" s="8"/>
      <c r="W67" s="8"/>
      <c r="X67" s="8"/>
      <c r="Y67" s="11"/>
      <c r="Z67" s="1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11"/>
      <c r="AL67" s="1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11"/>
      <c r="AX67" s="1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11"/>
      <c r="BJ67" s="1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11"/>
      <c r="BV67" s="1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11"/>
      <c r="CH67" s="1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11"/>
      <c r="CT67" s="1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11"/>
    </row>
    <row r="68" spans="1:109" x14ac:dyDescent="0.25">
      <c r="A68" s="124" t="s">
        <v>296</v>
      </c>
      <c r="B68" s="125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6"/>
      <c r="N68" s="18"/>
      <c r="O68" s="8"/>
      <c r="P68" s="8"/>
      <c r="Q68" s="8"/>
      <c r="R68" s="8"/>
      <c r="S68" s="8"/>
      <c r="T68" s="8"/>
      <c r="U68" s="8"/>
      <c r="V68" s="8"/>
      <c r="W68" s="8"/>
      <c r="X68" s="8"/>
      <c r="Y68" s="11"/>
      <c r="Z68" s="1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11"/>
      <c r="AL68" s="1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11"/>
      <c r="AX68" s="1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11"/>
      <c r="BJ68" s="1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11"/>
      <c r="BV68" s="1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11"/>
      <c r="CH68" s="1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11"/>
      <c r="CT68" s="1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11"/>
    </row>
    <row r="69" spans="1:109" x14ac:dyDescent="0.25">
      <c r="A69" s="124" t="s">
        <v>308</v>
      </c>
      <c r="B69" s="125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6"/>
      <c r="N69" s="18"/>
      <c r="O69" s="8"/>
      <c r="P69" s="8"/>
      <c r="Q69" s="8"/>
      <c r="R69" s="8"/>
      <c r="S69" s="8"/>
      <c r="T69" s="8"/>
      <c r="U69" s="8"/>
      <c r="V69" s="8"/>
      <c r="W69" s="8"/>
      <c r="X69" s="8"/>
      <c r="Y69" s="11"/>
      <c r="Z69" s="1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11"/>
      <c r="AL69" s="1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11"/>
      <c r="AX69" s="1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11"/>
      <c r="BJ69" s="1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11"/>
      <c r="BV69" s="1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11"/>
      <c r="CH69" s="1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11"/>
      <c r="CT69" s="1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11"/>
    </row>
    <row r="70" spans="1:109" x14ac:dyDescent="0.25">
      <c r="A70" s="109" t="s">
        <v>316</v>
      </c>
      <c r="B70" s="125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6"/>
      <c r="N70" s="18"/>
      <c r="O70" s="8"/>
      <c r="P70" s="8"/>
      <c r="Q70" s="8"/>
      <c r="R70" s="8"/>
      <c r="S70" s="8"/>
      <c r="T70" s="8"/>
      <c r="U70" s="8"/>
      <c r="V70" s="8"/>
      <c r="W70" s="8"/>
      <c r="X70" s="8"/>
      <c r="Y70" s="11"/>
      <c r="Z70" s="1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11"/>
      <c r="AL70" s="1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11"/>
      <c r="AX70" s="1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11"/>
      <c r="BJ70" s="1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11"/>
      <c r="BV70" s="1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11"/>
      <c r="CH70" s="1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11"/>
      <c r="CT70" s="1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11"/>
    </row>
    <row r="71" spans="1:109" x14ac:dyDescent="0.25">
      <c r="A71" s="123" t="s">
        <v>317</v>
      </c>
    </row>
    <row r="72" spans="1:109" x14ac:dyDescent="0.25">
      <c r="A72" s="123" t="s">
        <v>318</v>
      </c>
    </row>
    <row r="73" spans="1:109" x14ac:dyDescent="0.25">
      <c r="A73" s="123" t="s">
        <v>319</v>
      </c>
    </row>
    <row r="74" spans="1:109" x14ac:dyDescent="0.25">
      <c r="A74" s="123" t="s">
        <v>320</v>
      </c>
    </row>
  </sheetData>
  <mergeCells count="18">
    <mergeCell ref="BV1:CG1"/>
    <mergeCell ref="BJ2:BU2"/>
    <mergeCell ref="BV2:CG2"/>
    <mergeCell ref="CH1:CS1"/>
    <mergeCell ref="CT1:DE1"/>
    <mergeCell ref="CH2:CS2"/>
    <mergeCell ref="CT2:DE2"/>
    <mergeCell ref="AL1:AW1"/>
    <mergeCell ref="AL2:AW2"/>
    <mergeCell ref="AX1:BI1"/>
    <mergeCell ref="AX2:BI2"/>
    <mergeCell ref="BJ1:BU1"/>
    <mergeCell ref="B1:M1"/>
    <mergeCell ref="N1:Y1"/>
    <mergeCell ref="Z1:AK1"/>
    <mergeCell ref="B2:M2"/>
    <mergeCell ref="N2:Y2"/>
    <mergeCell ref="Z2:AK2"/>
  </mergeCell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73A7-8F6D-4FFF-833E-C6E9F2FBF4A0}">
  <sheetPr codeName="Planilha7">
    <tabColor theme="5" tint="0.39997558519241921"/>
  </sheetPr>
  <dimension ref="A1:E73"/>
  <sheetViews>
    <sheetView topLeftCell="A58" workbookViewId="0">
      <selection activeCell="B69" sqref="B69"/>
    </sheetView>
  </sheetViews>
  <sheetFormatPr defaultRowHeight="15" x14ac:dyDescent="0.25"/>
  <cols>
    <col min="1" max="1" width="3" style="132" bestFit="1" customWidth="1"/>
    <col min="2" max="2" width="36.140625" style="132" bestFit="1" customWidth="1"/>
    <col min="3" max="3" width="10" style="129" bestFit="1" customWidth="1"/>
    <col min="4" max="4" width="32.7109375" style="129" bestFit="1" customWidth="1"/>
    <col min="5" max="5" width="13.7109375" style="129" bestFit="1" customWidth="1"/>
    <col min="6" max="16384" width="9.140625" style="129"/>
  </cols>
  <sheetData>
    <row r="1" spans="1:5" x14ac:dyDescent="0.25">
      <c r="A1" s="134"/>
      <c r="B1" s="133" t="s">
        <v>0</v>
      </c>
      <c r="C1" s="133" t="s">
        <v>85</v>
      </c>
      <c r="D1" s="133" t="s">
        <v>86</v>
      </c>
      <c r="E1" s="133" t="s">
        <v>87</v>
      </c>
    </row>
    <row r="2" spans="1:5" x14ac:dyDescent="0.25">
      <c r="A2" s="128">
        <v>1</v>
      </c>
      <c r="B2" s="128" t="s">
        <v>68</v>
      </c>
      <c r="C2" s="12" t="s">
        <v>88</v>
      </c>
      <c r="D2" s="130" t="s">
        <v>89</v>
      </c>
      <c r="E2" s="12" t="s">
        <v>90</v>
      </c>
    </row>
    <row r="3" spans="1:5" x14ac:dyDescent="0.25">
      <c r="A3" s="128">
        <v>2</v>
      </c>
      <c r="B3" s="128" t="s">
        <v>3</v>
      </c>
      <c r="C3" s="12" t="s">
        <v>88</v>
      </c>
      <c r="D3" s="130" t="s">
        <v>91</v>
      </c>
      <c r="E3" s="12" t="s">
        <v>92</v>
      </c>
    </row>
    <row r="4" spans="1:5" x14ac:dyDescent="0.25">
      <c r="A4" s="128">
        <v>3</v>
      </c>
      <c r="B4" s="128" t="s">
        <v>69</v>
      </c>
      <c r="C4" s="12" t="s">
        <v>88</v>
      </c>
      <c r="D4" s="130" t="s">
        <v>91</v>
      </c>
      <c r="E4" s="12" t="s">
        <v>92</v>
      </c>
    </row>
    <row r="5" spans="1:5" x14ac:dyDescent="0.25">
      <c r="A5" s="128">
        <v>4</v>
      </c>
      <c r="B5" s="128" t="s">
        <v>4</v>
      </c>
      <c r="C5" s="12" t="s">
        <v>88</v>
      </c>
      <c r="D5" s="130" t="s">
        <v>93</v>
      </c>
      <c r="E5" s="12" t="s">
        <v>90</v>
      </c>
    </row>
    <row r="6" spans="1:5" x14ac:dyDescent="0.25">
      <c r="A6" s="128">
        <v>5</v>
      </c>
      <c r="B6" s="128" t="s">
        <v>70</v>
      </c>
      <c r="C6" s="12" t="s">
        <v>88</v>
      </c>
      <c r="D6" s="130" t="s">
        <v>93</v>
      </c>
      <c r="E6" s="12" t="s">
        <v>90</v>
      </c>
    </row>
    <row r="7" spans="1:5" x14ac:dyDescent="0.25">
      <c r="A7" s="128">
        <v>6</v>
      </c>
      <c r="B7" s="128" t="s">
        <v>5</v>
      </c>
      <c r="C7" s="12" t="s">
        <v>88</v>
      </c>
      <c r="D7" s="130" t="s">
        <v>94</v>
      </c>
      <c r="E7" s="12" t="s">
        <v>90</v>
      </c>
    </row>
    <row r="8" spans="1:5" x14ac:dyDescent="0.25">
      <c r="A8" s="128">
        <v>7</v>
      </c>
      <c r="B8" s="128" t="s">
        <v>6</v>
      </c>
      <c r="C8" s="12" t="s">
        <v>88</v>
      </c>
      <c r="D8" s="130" t="s">
        <v>95</v>
      </c>
      <c r="E8" s="12" t="s">
        <v>90</v>
      </c>
    </row>
    <row r="9" spans="1:5" x14ac:dyDescent="0.25">
      <c r="A9" s="128">
        <v>8</v>
      </c>
      <c r="B9" s="128" t="s">
        <v>7</v>
      </c>
      <c r="C9" s="12" t="s">
        <v>88</v>
      </c>
      <c r="D9" s="130" t="s">
        <v>96</v>
      </c>
      <c r="E9" s="12" t="s">
        <v>90</v>
      </c>
    </row>
    <row r="10" spans="1:5" x14ac:dyDescent="0.25">
      <c r="A10" s="128">
        <v>9</v>
      </c>
      <c r="B10" s="128" t="s">
        <v>8</v>
      </c>
      <c r="C10" s="12" t="s">
        <v>88</v>
      </c>
      <c r="D10" s="130" t="s">
        <v>97</v>
      </c>
      <c r="E10" s="12" t="s">
        <v>90</v>
      </c>
    </row>
    <row r="11" spans="1:5" x14ac:dyDescent="0.25">
      <c r="A11" s="128">
        <v>10</v>
      </c>
      <c r="B11" s="128" t="s">
        <v>161</v>
      </c>
      <c r="C11" s="12" t="s">
        <v>88</v>
      </c>
      <c r="D11" s="130" t="s">
        <v>97</v>
      </c>
      <c r="E11" s="12" t="s">
        <v>90</v>
      </c>
    </row>
    <row r="12" spans="1:5" x14ac:dyDescent="0.25">
      <c r="A12" s="128">
        <v>11</v>
      </c>
      <c r="B12" s="128" t="s">
        <v>9</v>
      </c>
      <c r="C12" s="12" t="s">
        <v>88</v>
      </c>
      <c r="D12" s="130" t="s">
        <v>98</v>
      </c>
      <c r="E12" s="12" t="s">
        <v>90</v>
      </c>
    </row>
    <row r="13" spans="1:5" x14ac:dyDescent="0.25">
      <c r="A13" s="128">
        <v>12</v>
      </c>
      <c r="B13" s="128" t="s">
        <v>71</v>
      </c>
      <c r="C13" s="12" t="s">
        <v>110</v>
      </c>
      <c r="D13" s="130" t="s">
        <v>159</v>
      </c>
      <c r="E13" s="12" t="s">
        <v>160</v>
      </c>
    </row>
    <row r="14" spans="1:5" x14ac:dyDescent="0.25">
      <c r="A14" s="128">
        <v>13</v>
      </c>
      <c r="B14" s="128" t="s">
        <v>10</v>
      </c>
      <c r="C14" s="12" t="s">
        <v>88</v>
      </c>
      <c r="D14" s="130" t="s">
        <v>99</v>
      </c>
      <c r="E14" s="12" t="s">
        <v>90</v>
      </c>
    </row>
    <row r="15" spans="1:5" x14ac:dyDescent="0.25">
      <c r="A15" s="128">
        <v>14</v>
      </c>
      <c r="B15" s="128" t="s">
        <v>11</v>
      </c>
      <c r="C15" s="12" t="s">
        <v>88</v>
      </c>
      <c r="D15" s="130" t="s">
        <v>100</v>
      </c>
      <c r="E15" s="12" t="s">
        <v>90</v>
      </c>
    </row>
    <row r="16" spans="1:5" x14ac:dyDescent="0.25">
      <c r="A16" s="128">
        <v>15</v>
      </c>
      <c r="B16" s="128" t="s">
        <v>12</v>
      </c>
      <c r="C16" s="12" t="s">
        <v>101</v>
      </c>
      <c r="D16" s="130" t="s">
        <v>102</v>
      </c>
      <c r="E16" s="12" t="s">
        <v>103</v>
      </c>
    </row>
    <row r="17" spans="1:5" x14ac:dyDescent="0.25">
      <c r="A17" s="128">
        <v>16</v>
      </c>
      <c r="B17" s="128" t="s">
        <v>72</v>
      </c>
      <c r="C17" s="12" t="s">
        <v>101</v>
      </c>
      <c r="D17" s="130" t="s">
        <v>102</v>
      </c>
      <c r="E17" s="12" t="s">
        <v>103</v>
      </c>
    </row>
    <row r="18" spans="1:5" x14ac:dyDescent="0.25">
      <c r="A18" s="128">
        <v>17</v>
      </c>
      <c r="B18" s="128" t="s">
        <v>13</v>
      </c>
      <c r="C18" s="12" t="s">
        <v>88</v>
      </c>
      <c r="D18" s="130" t="s">
        <v>104</v>
      </c>
      <c r="E18" s="12" t="s">
        <v>90</v>
      </c>
    </row>
    <row r="19" spans="1:5" x14ac:dyDescent="0.25">
      <c r="A19" s="128">
        <v>18</v>
      </c>
      <c r="B19" s="128" t="s">
        <v>73</v>
      </c>
      <c r="C19" s="12" t="s">
        <v>88</v>
      </c>
      <c r="D19" s="130" t="s">
        <v>104</v>
      </c>
      <c r="E19" s="12" t="s">
        <v>90</v>
      </c>
    </row>
    <row r="20" spans="1:5" x14ac:dyDescent="0.25">
      <c r="A20" s="128">
        <v>19</v>
      </c>
      <c r="B20" s="128" t="s">
        <v>14</v>
      </c>
      <c r="C20" s="12" t="s">
        <v>88</v>
      </c>
      <c r="D20" s="130" t="s">
        <v>105</v>
      </c>
      <c r="E20" s="12" t="s">
        <v>90</v>
      </c>
    </row>
    <row r="21" spans="1:5" x14ac:dyDescent="0.25">
      <c r="A21" s="128">
        <v>20</v>
      </c>
      <c r="B21" s="128" t="s">
        <v>15</v>
      </c>
      <c r="C21" s="12" t="s">
        <v>88</v>
      </c>
      <c r="D21" s="130" t="s">
        <v>106</v>
      </c>
      <c r="E21" s="12" t="s">
        <v>107</v>
      </c>
    </row>
    <row r="22" spans="1:5" x14ac:dyDescent="0.25">
      <c r="A22" s="128">
        <v>21</v>
      </c>
      <c r="B22" s="128" t="s">
        <v>16</v>
      </c>
      <c r="C22" s="12" t="s">
        <v>88</v>
      </c>
      <c r="D22" s="130" t="s">
        <v>108</v>
      </c>
      <c r="E22" s="12" t="s">
        <v>90</v>
      </c>
    </row>
    <row r="23" spans="1:5" x14ac:dyDescent="0.25">
      <c r="A23" s="128">
        <v>22</v>
      </c>
      <c r="B23" s="128" t="s">
        <v>17</v>
      </c>
      <c r="C23" s="12" t="s">
        <v>101</v>
      </c>
      <c r="D23" s="130" t="s">
        <v>109</v>
      </c>
      <c r="E23" s="12" t="s">
        <v>103</v>
      </c>
    </row>
    <row r="24" spans="1:5" x14ac:dyDescent="0.25">
      <c r="A24" s="128">
        <v>23</v>
      </c>
      <c r="B24" s="128" t="s">
        <v>18</v>
      </c>
      <c r="C24" s="12" t="s">
        <v>110</v>
      </c>
      <c r="D24" s="130" t="s">
        <v>111</v>
      </c>
      <c r="E24" s="12" t="s">
        <v>112</v>
      </c>
    </row>
    <row r="25" spans="1:5" x14ac:dyDescent="0.25">
      <c r="A25" s="128">
        <v>24</v>
      </c>
      <c r="B25" s="128" t="s">
        <v>74</v>
      </c>
      <c r="C25" s="12" t="s">
        <v>110</v>
      </c>
      <c r="D25" s="130" t="s">
        <v>111</v>
      </c>
      <c r="E25" s="12" t="s">
        <v>112</v>
      </c>
    </row>
    <row r="26" spans="1:5" x14ac:dyDescent="0.25">
      <c r="A26" s="128">
        <v>25</v>
      </c>
      <c r="B26" s="128" t="s">
        <v>19</v>
      </c>
      <c r="C26" s="12" t="s">
        <v>113</v>
      </c>
      <c r="D26" s="130" t="s">
        <v>114</v>
      </c>
      <c r="E26" s="12" t="s">
        <v>90</v>
      </c>
    </row>
    <row r="27" spans="1:5" x14ac:dyDescent="0.25">
      <c r="A27" s="128">
        <v>26</v>
      </c>
      <c r="B27" s="128" t="s">
        <v>20</v>
      </c>
      <c r="C27" s="12" t="s">
        <v>115</v>
      </c>
      <c r="D27" s="130" t="s">
        <v>116</v>
      </c>
      <c r="E27" s="12" t="s">
        <v>90</v>
      </c>
    </row>
    <row r="28" spans="1:5" x14ac:dyDescent="0.25">
      <c r="A28" s="128">
        <v>27</v>
      </c>
      <c r="B28" s="128" t="s">
        <v>21</v>
      </c>
      <c r="C28" s="12" t="s">
        <v>101</v>
      </c>
      <c r="D28" s="130" t="s">
        <v>117</v>
      </c>
      <c r="E28" s="12" t="s">
        <v>118</v>
      </c>
    </row>
    <row r="29" spans="1:5" x14ac:dyDescent="0.25">
      <c r="A29" s="128">
        <v>28</v>
      </c>
      <c r="B29" s="128" t="s">
        <v>22</v>
      </c>
      <c r="C29" s="12" t="s">
        <v>110</v>
      </c>
      <c r="D29" s="130" t="s">
        <v>119</v>
      </c>
      <c r="E29" s="12" t="s">
        <v>118</v>
      </c>
    </row>
    <row r="30" spans="1:5" x14ac:dyDescent="0.25">
      <c r="A30" s="128">
        <v>29</v>
      </c>
      <c r="B30" s="128" t="s">
        <v>23</v>
      </c>
      <c r="C30" s="12" t="s">
        <v>110</v>
      </c>
      <c r="D30" s="130" t="s">
        <v>120</v>
      </c>
      <c r="E30" s="12" t="s">
        <v>118</v>
      </c>
    </row>
    <row r="31" spans="1:5" x14ac:dyDescent="0.25">
      <c r="A31" s="128">
        <v>30</v>
      </c>
      <c r="B31" s="128" t="s">
        <v>24</v>
      </c>
      <c r="C31" s="12" t="s">
        <v>110</v>
      </c>
      <c r="D31" s="130" t="s">
        <v>121</v>
      </c>
      <c r="E31" s="12" t="s">
        <v>118</v>
      </c>
    </row>
    <row r="32" spans="1:5" x14ac:dyDescent="0.25">
      <c r="A32" s="128">
        <v>31</v>
      </c>
      <c r="B32" s="128" t="s">
        <v>25</v>
      </c>
      <c r="C32" s="12" t="s">
        <v>110</v>
      </c>
      <c r="D32" s="130" t="s">
        <v>122</v>
      </c>
      <c r="E32" s="12" t="s">
        <v>123</v>
      </c>
    </row>
    <row r="33" spans="1:5" x14ac:dyDescent="0.25">
      <c r="A33" s="128">
        <v>32</v>
      </c>
      <c r="B33" s="128" t="s">
        <v>26</v>
      </c>
      <c r="C33" s="12"/>
      <c r="D33" s="131" t="s">
        <v>124</v>
      </c>
      <c r="E33" s="12"/>
    </row>
    <row r="34" spans="1:5" x14ac:dyDescent="0.25">
      <c r="A34" s="128">
        <v>33</v>
      </c>
      <c r="B34" s="128" t="s">
        <v>27</v>
      </c>
      <c r="C34" s="12" t="s">
        <v>110</v>
      </c>
      <c r="D34" s="130" t="s">
        <v>125</v>
      </c>
      <c r="E34" s="12" t="s">
        <v>126</v>
      </c>
    </row>
    <row r="35" spans="1:5" x14ac:dyDescent="0.25">
      <c r="A35" s="128">
        <v>34</v>
      </c>
      <c r="B35" s="128" t="s">
        <v>28</v>
      </c>
      <c r="C35" s="12" t="s">
        <v>110</v>
      </c>
      <c r="D35" s="130" t="s">
        <v>127</v>
      </c>
      <c r="E35" s="12" t="s">
        <v>128</v>
      </c>
    </row>
    <row r="36" spans="1:5" x14ac:dyDescent="0.25">
      <c r="A36" s="128">
        <v>35</v>
      </c>
      <c r="B36" s="128" t="s">
        <v>29</v>
      </c>
      <c r="C36" s="12" t="s">
        <v>101</v>
      </c>
      <c r="D36" s="130" t="s">
        <v>116</v>
      </c>
      <c r="E36" s="12" t="s">
        <v>118</v>
      </c>
    </row>
    <row r="37" spans="1:5" x14ac:dyDescent="0.25">
      <c r="A37" s="128">
        <v>36</v>
      </c>
      <c r="B37" s="128" t="s">
        <v>30</v>
      </c>
      <c r="C37" s="12" t="s">
        <v>101</v>
      </c>
      <c r="D37" s="130" t="s">
        <v>129</v>
      </c>
      <c r="E37" s="12" t="s">
        <v>118</v>
      </c>
    </row>
    <row r="38" spans="1:5" x14ac:dyDescent="0.25">
      <c r="A38" s="128">
        <v>37</v>
      </c>
      <c r="B38" s="128" t="s">
        <v>31</v>
      </c>
      <c r="C38" s="12" t="s">
        <v>101</v>
      </c>
      <c r="D38" s="130" t="s">
        <v>130</v>
      </c>
      <c r="E38" s="12" t="s">
        <v>118</v>
      </c>
    </row>
    <row r="39" spans="1:5" x14ac:dyDescent="0.25">
      <c r="A39" s="128">
        <v>38</v>
      </c>
      <c r="B39" s="128" t="s">
        <v>32</v>
      </c>
      <c r="C39" s="12" t="s">
        <v>101</v>
      </c>
      <c r="D39" s="130" t="s">
        <v>131</v>
      </c>
      <c r="E39" s="12" t="s">
        <v>118</v>
      </c>
    </row>
    <row r="40" spans="1:5" x14ac:dyDescent="0.25">
      <c r="A40" s="128">
        <v>39</v>
      </c>
      <c r="B40" s="128" t="s">
        <v>33</v>
      </c>
      <c r="C40" s="12" t="s">
        <v>110</v>
      </c>
      <c r="D40" s="130" t="s">
        <v>132</v>
      </c>
      <c r="E40" s="12" t="s">
        <v>133</v>
      </c>
    </row>
    <row r="41" spans="1:5" x14ac:dyDescent="0.25">
      <c r="A41" s="128">
        <v>40</v>
      </c>
      <c r="B41" s="128" t="s">
        <v>34</v>
      </c>
      <c r="C41" s="12" t="s">
        <v>110</v>
      </c>
      <c r="D41" s="130" t="s">
        <v>134</v>
      </c>
      <c r="E41" s="12" t="s">
        <v>135</v>
      </c>
    </row>
    <row r="42" spans="1:5" x14ac:dyDescent="0.25">
      <c r="A42" s="128">
        <v>41</v>
      </c>
      <c r="B42" s="128" t="s">
        <v>35</v>
      </c>
      <c r="C42" s="12" t="s">
        <v>110</v>
      </c>
      <c r="D42" s="130" t="s">
        <v>136</v>
      </c>
      <c r="E42" s="12" t="s">
        <v>137</v>
      </c>
    </row>
    <row r="43" spans="1:5" x14ac:dyDescent="0.25">
      <c r="A43" s="128">
        <v>42</v>
      </c>
      <c r="B43" s="128" t="s">
        <v>36</v>
      </c>
      <c r="C43" s="12" t="s">
        <v>110</v>
      </c>
      <c r="D43" s="130" t="s">
        <v>138</v>
      </c>
      <c r="E43" s="12" t="s">
        <v>139</v>
      </c>
    </row>
    <row r="44" spans="1:5" x14ac:dyDescent="0.25">
      <c r="A44" s="128">
        <v>43</v>
      </c>
      <c r="B44" s="128" t="s">
        <v>37</v>
      </c>
      <c r="C44" s="12" t="s">
        <v>110</v>
      </c>
      <c r="D44" s="130" t="s">
        <v>140</v>
      </c>
      <c r="E44" s="12" t="s">
        <v>141</v>
      </c>
    </row>
    <row r="45" spans="1:5" x14ac:dyDescent="0.25">
      <c r="A45" s="128">
        <v>44</v>
      </c>
      <c r="B45" s="128" t="s">
        <v>38</v>
      </c>
      <c r="C45" s="12" t="s">
        <v>110</v>
      </c>
      <c r="D45" s="130" t="s">
        <v>142</v>
      </c>
      <c r="E45" s="12" t="s">
        <v>143</v>
      </c>
    </row>
    <row r="46" spans="1:5" x14ac:dyDescent="0.25">
      <c r="A46" s="128">
        <v>45</v>
      </c>
      <c r="B46" s="128" t="s">
        <v>39</v>
      </c>
      <c r="C46" s="12" t="s">
        <v>110</v>
      </c>
      <c r="D46" s="130" t="s">
        <v>144</v>
      </c>
      <c r="E46" s="12" t="s">
        <v>145</v>
      </c>
    </row>
    <row r="47" spans="1:5" x14ac:dyDescent="0.25">
      <c r="A47" s="128">
        <v>46</v>
      </c>
      <c r="B47" s="128" t="s">
        <v>40</v>
      </c>
      <c r="C47" s="12" t="s">
        <v>110</v>
      </c>
      <c r="D47" s="130" t="s">
        <v>146</v>
      </c>
      <c r="E47" s="12" t="s">
        <v>147</v>
      </c>
    </row>
    <row r="48" spans="1:5" x14ac:dyDescent="0.25">
      <c r="A48" s="128">
        <v>47</v>
      </c>
      <c r="B48" s="128" t="s">
        <v>75</v>
      </c>
      <c r="C48" s="12" t="s">
        <v>110</v>
      </c>
      <c r="D48" s="130" t="s">
        <v>146</v>
      </c>
      <c r="E48" s="12" t="s">
        <v>147</v>
      </c>
    </row>
    <row r="49" spans="1:5" x14ac:dyDescent="0.25">
      <c r="A49" s="128">
        <v>48</v>
      </c>
      <c r="B49" s="128" t="s">
        <v>41</v>
      </c>
      <c r="C49" s="12" t="s">
        <v>110</v>
      </c>
      <c r="D49" s="130" t="s">
        <v>313</v>
      </c>
      <c r="E49" s="12" t="s">
        <v>314</v>
      </c>
    </row>
    <row r="50" spans="1:5" x14ac:dyDescent="0.25">
      <c r="A50" s="128">
        <v>49</v>
      </c>
      <c r="B50" s="128" t="s">
        <v>42</v>
      </c>
      <c r="C50" s="12" t="s">
        <v>110</v>
      </c>
      <c r="D50" s="130" t="s">
        <v>148</v>
      </c>
      <c r="E50" s="12" t="s">
        <v>149</v>
      </c>
    </row>
    <row r="51" spans="1:5" x14ac:dyDescent="0.25">
      <c r="A51" s="128">
        <v>50</v>
      </c>
      <c r="B51" s="128" t="s">
        <v>43</v>
      </c>
      <c r="C51" s="12" t="s">
        <v>110</v>
      </c>
      <c r="D51" s="130" t="s">
        <v>150</v>
      </c>
      <c r="E51" s="12" t="s">
        <v>151</v>
      </c>
    </row>
    <row r="52" spans="1:5" x14ac:dyDescent="0.25">
      <c r="A52" s="128">
        <v>51</v>
      </c>
      <c r="B52" s="128" t="s">
        <v>44</v>
      </c>
      <c r="C52" s="12" t="s">
        <v>110</v>
      </c>
      <c r="D52" s="130" t="s">
        <v>152</v>
      </c>
      <c r="E52" s="12" t="s">
        <v>153</v>
      </c>
    </row>
    <row r="53" spans="1:5" x14ac:dyDescent="0.25">
      <c r="A53" s="128">
        <v>52</v>
      </c>
      <c r="B53" s="128" t="s">
        <v>45</v>
      </c>
      <c r="C53" s="12" t="s">
        <v>101</v>
      </c>
      <c r="D53" s="130" t="s">
        <v>154</v>
      </c>
      <c r="E53" s="12" t="s">
        <v>118</v>
      </c>
    </row>
    <row r="54" spans="1:5" x14ac:dyDescent="0.25">
      <c r="A54" s="128">
        <v>53</v>
      </c>
      <c r="B54" s="128" t="s">
        <v>46</v>
      </c>
      <c r="C54" s="12" t="s">
        <v>110</v>
      </c>
      <c r="D54" s="130" t="s">
        <v>155</v>
      </c>
      <c r="E54" s="12" t="s">
        <v>156</v>
      </c>
    </row>
    <row r="55" spans="1:5" x14ac:dyDescent="0.25">
      <c r="A55" s="128">
        <v>54</v>
      </c>
      <c r="B55" s="128" t="s">
        <v>47</v>
      </c>
      <c r="C55" s="12" t="s">
        <v>101</v>
      </c>
      <c r="D55" s="130"/>
      <c r="E55" s="12" t="s">
        <v>118</v>
      </c>
    </row>
    <row r="56" spans="1:5" x14ac:dyDescent="0.25">
      <c r="A56" s="128">
        <v>55</v>
      </c>
      <c r="B56" s="128" t="s">
        <v>48</v>
      </c>
      <c r="C56" s="12"/>
      <c r="D56" s="130"/>
      <c r="E56" s="12"/>
    </row>
    <row r="57" spans="1:5" x14ac:dyDescent="0.25">
      <c r="A57" s="128">
        <v>56</v>
      </c>
      <c r="B57" s="128" t="s">
        <v>49</v>
      </c>
      <c r="C57" s="12" t="s">
        <v>101</v>
      </c>
      <c r="D57" s="130"/>
      <c r="E57" s="12" t="s">
        <v>118</v>
      </c>
    </row>
    <row r="58" spans="1:5" x14ac:dyDescent="0.25">
      <c r="A58" s="128">
        <v>57</v>
      </c>
      <c r="B58" s="128" t="s">
        <v>261</v>
      </c>
      <c r="C58" s="12" t="s">
        <v>110</v>
      </c>
      <c r="D58" s="12" t="s">
        <v>292</v>
      </c>
      <c r="E58" s="12" t="s">
        <v>287</v>
      </c>
    </row>
    <row r="59" spans="1:5" x14ac:dyDescent="0.25">
      <c r="A59" s="128">
        <v>58</v>
      </c>
      <c r="B59" s="128" t="s">
        <v>262</v>
      </c>
      <c r="C59" s="12" t="s">
        <v>110</v>
      </c>
      <c r="D59" s="12" t="s">
        <v>291</v>
      </c>
      <c r="E59" s="12" t="s">
        <v>288</v>
      </c>
    </row>
    <row r="60" spans="1:5" x14ac:dyDescent="0.25">
      <c r="A60" s="128">
        <v>59</v>
      </c>
      <c r="B60" s="128" t="s">
        <v>263</v>
      </c>
      <c r="C60" s="12" t="s">
        <v>110</v>
      </c>
      <c r="D60" s="12" t="s">
        <v>289</v>
      </c>
      <c r="E60" s="12" t="s">
        <v>290</v>
      </c>
    </row>
    <row r="61" spans="1:5" x14ac:dyDescent="0.25">
      <c r="A61" s="128">
        <v>60</v>
      </c>
      <c r="B61" s="128" t="s">
        <v>264</v>
      </c>
      <c r="C61" s="12" t="s">
        <v>101</v>
      </c>
      <c r="D61" s="12"/>
      <c r="E61" s="12" t="s">
        <v>118</v>
      </c>
    </row>
    <row r="62" spans="1:5" x14ac:dyDescent="0.25">
      <c r="A62" s="128">
        <v>61</v>
      </c>
      <c r="B62" s="127" t="s">
        <v>279</v>
      </c>
      <c r="C62" s="12" t="s">
        <v>110</v>
      </c>
      <c r="D62" s="12" t="s">
        <v>311</v>
      </c>
      <c r="E62" s="12" t="s">
        <v>312</v>
      </c>
    </row>
    <row r="63" spans="1:5" x14ac:dyDescent="0.25">
      <c r="A63" s="128">
        <v>62</v>
      </c>
      <c r="B63" s="128" t="s">
        <v>280</v>
      </c>
      <c r="C63" s="12"/>
      <c r="D63" s="12"/>
      <c r="E63" s="12"/>
    </row>
    <row r="64" spans="1:5" x14ac:dyDescent="0.25">
      <c r="A64" s="128">
        <v>63</v>
      </c>
      <c r="B64" s="128" t="s">
        <v>281</v>
      </c>
      <c r="C64" s="12" t="s">
        <v>110</v>
      </c>
      <c r="D64" s="12" t="s">
        <v>309</v>
      </c>
      <c r="E64" s="12" t="s">
        <v>310</v>
      </c>
    </row>
    <row r="65" spans="1:5" x14ac:dyDescent="0.25">
      <c r="A65" s="128">
        <v>64</v>
      </c>
      <c r="B65" s="128" t="s">
        <v>295</v>
      </c>
      <c r="C65" s="128"/>
      <c r="D65" s="12"/>
      <c r="E65" s="12"/>
    </row>
    <row r="66" spans="1:5" x14ac:dyDescent="0.25">
      <c r="A66" s="128">
        <v>65</v>
      </c>
      <c r="B66" s="128" t="s">
        <v>296</v>
      </c>
      <c r="C66" s="128"/>
      <c r="D66" s="12"/>
      <c r="E66" s="12"/>
    </row>
    <row r="67" spans="1:5" x14ac:dyDescent="0.25">
      <c r="A67" s="128">
        <v>66</v>
      </c>
      <c r="B67" s="128" t="s">
        <v>308</v>
      </c>
      <c r="C67" s="128"/>
      <c r="D67" s="12"/>
      <c r="E67" s="12"/>
    </row>
    <row r="68" spans="1:5" x14ac:dyDescent="0.25">
      <c r="A68" s="128">
        <v>67</v>
      </c>
      <c r="B68" s="128" t="s">
        <v>315</v>
      </c>
      <c r="C68" s="12" t="s">
        <v>110</v>
      </c>
      <c r="D68" s="12"/>
      <c r="E68" s="12"/>
    </row>
    <row r="69" spans="1:5" x14ac:dyDescent="0.25">
      <c r="A69" s="128">
        <v>68</v>
      </c>
      <c r="B69" s="123" t="s">
        <v>316</v>
      </c>
      <c r="C69" s="12"/>
      <c r="D69" s="12"/>
      <c r="E69" s="12"/>
    </row>
    <row r="70" spans="1:5" x14ac:dyDescent="0.25">
      <c r="A70" s="128">
        <v>69</v>
      </c>
      <c r="B70" s="123" t="s">
        <v>317</v>
      </c>
      <c r="C70" s="12"/>
      <c r="D70" s="12"/>
      <c r="E70" s="12"/>
    </row>
    <row r="71" spans="1:5" x14ac:dyDescent="0.25">
      <c r="A71" s="128">
        <v>70</v>
      </c>
      <c r="B71" s="123" t="s">
        <v>318</v>
      </c>
      <c r="C71" s="12"/>
      <c r="D71" s="12"/>
      <c r="E71" s="12"/>
    </row>
    <row r="72" spans="1:5" x14ac:dyDescent="0.25">
      <c r="A72" s="128">
        <v>71</v>
      </c>
      <c r="B72" s="123" t="s">
        <v>319</v>
      </c>
      <c r="C72" s="12"/>
      <c r="D72" s="12"/>
      <c r="E72" s="12"/>
    </row>
    <row r="73" spans="1:5" x14ac:dyDescent="0.25">
      <c r="A73" s="128">
        <v>72</v>
      </c>
      <c r="B73" s="123" t="s">
        <v>320</v>
      </c>
      <c r="C73" s="12" t="s">
        <v>101</v>
      </c>
      <c r="D73" s="12"/>
      <c r="E73" s="12"/>
    </row>
  </sheetData>
  <hyperlinks>
    <hyperlink ref="D2" r:id="rId1" xr:uid="{FEF93428-7778-42D6-9747-B0CC3AE5484A}"/>
    <hyperlink ref="D3" r:id="rId2" xr:uid="{14A024E5-6726-4414-8EC3-3CEE332ED019}"/>
    <hyperlink ref="D5" r:id="rId3" xr:uid="{D593448D-D11E-4CA4-94C3-F7A192F1C6C4}"/>
    <hyperlink ref="D7" r:id="rId4" xr:uid="{CBF07E7C-95E4-4889-9233-32F85FC1B2D1}"/>
    <hyperlink ref="D8" r:id="rId5" xr:uid="{7FBA3A43-1608-4CD8-8AAD-65F510EC08B0}"/>
    <hyperlink ref="D9" r:id="rId6" xr:uid="{5C289BD0-CF03-4EEC-ACA9-3EF2CD7B54C6}"/>
    <hyperlink ref="D11" r:id="rId7" xr:uid="{F9690DDC-F41F-48FB-85AF-D6C7355DBBFD}"/>
    <hyperlink ref="D12" r:id="rId8" xr:uid="{C46A12FD-2667-4FAA-A445-0BF07FC55840}"/>
    <hyperlink ref="D14" r:id="rId9" xr:uid="{2C0629B3-E4E7-4F0D-964C-748E67D0E2A2}"/>
    <hyperlink ref="D15" r:id="rId10" xr:uid="{5A49FF2F-5A1B-4E68-874B-86CB9FFD6DBC}"/>
    <hyperlink ref="D17" r:id="rId11" xr:uid="{9A385134-1B29-4E98-9F7F-8E475C3C1B4F}"/>
    <hyperlink ref="D18" r:id="rId12" xr:uid="{4F7C771F-1303-4B12-9211-95FF98630A02}"/>
    <hyperlink ref="D20" r:id="rId13" xr:uid="{1CCADDE5-7B62-4F17-A045-2B5BFAE38E03}"/>
    <hyperlink ref="D21" r:id="rId14" xr:uid="{A575C192-8CB5-4BAD-9B3F-013D06E02D6F}"/>
    <hyperlink ref="D22" r:id="rId15" xr:uid="{02DEEF6B-278A-4323-B7D7-20E37AD44ECD}"/>
    <hyperlink ref="D25" r:id="rId16" xr:uid="{1A70588C-347A-4542-A603-621B76EF77A5}"/>
    <hyperlink ref="D23" r:id="rId17" xr:uid="{B3B2F631-6D3A-49CB-A837-613C9495A594}"/>
    <hyperlink ref="D26" r:id="rId18" xr:uid="{CCF2752E-DC8A-469C-8369-07DE93AEDE40}"/>
    <hyperlink ref="D27" r:id="rId19" xr:uid="{26E87A28-5CA7-4CF3-A0BD-6B1B5350B8C8}"/>
    <hyperlink ref="D28" r:id="rId20" xr:uid="{CC59941A-05D4-4585-8ADE-534D05724444}"/>
    <hyperlink ref="D29" r:id="rId21" xr:uid="{BE08132A-2F58-4266-8966-15D4ADE58015}"/>
    <hyperlink ref="D30" r:id="rId22" xr:uid="{F98BF21C-C59F-432C-8904-DEF779FE9140}"/>
    <hyperlink ref="D31" r:id="rId23" xr:uid="{46DFF17F-D8BE-4B46-9B99-4B1ACF1869F8}"/>
    <hyperlink ref="D37" r:id="rId24" xr:uid="{26D5E179-2574-48FB-B3A7-7733BDE32D93}"/>
    <hyperlink ref="D38" r:id="rId25" xr:uid="{817CFD12-1EAF-4AE7-AC91-EB491836FE34}"/>
    <hyperlink ref="D53" r:id="rId26" xr:uid="{7AE87233-EB38-4212-8D38-83DC7062F453}"/>
    <hyperlink ref="D10" r:id="rId27" xr:uid="{1B677800-8C4A-40D1-894D-6A4B604074F2}"/>
    <hyperlink ref="D6" r:id="rId28" xr:uid="{FA7173B5-BC43-4DA2-9626-F8AAFF1F366E}"/>
    <hyperlink ref="D4" r:id="rId29" xr:uid="{C01A6A0B-EB2C-4676-9729-DB055D9EFD8D}"/>
    <hyperlink ref="D13" r:id="rId30" display="cassioaburin@hotmail.com" xr:uid="{306F77E4-9776-40AA-980E-4E6C396B61C9}"/>
    <hyperlink ref="D16" r:id="rId31" xr:uid="{9153E03D-4700-4A63-8931-C0FD6BD84F7D}"/>
    <hyperlink ref="D19" r:id="rId32" xr:uid="{E21A91AC-AF88-4C4D-AF2B-182222778FBA}"/>
    <hyperlink ref="D24" r:id="rId33" xr:uid="{DF1367C0-9A63-4A38-AD7D-28E685FAAFF4}"/>
  </hyperlinks>
  <pageMargins left="0.511811024" right="0.511811024" top="0.78740157499999996" bottom="0.78740157499999996" header="0.31496062000000002" footer="0.31496062000000002"/>
  <legacyDrawing r:id="rId3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F5FB-D811-4F9A-83C6-0C34B0295947}">
  <sheetPr codeName="Planilha10">
    <tabColor theme="4" tint="-0.249977111117893"/>
  </sheetPr>
  <dimension ref="A1:E72"/>
  <sheetViews>
    <sheetView workbookViewId="0">
      <selection activeCell="C72" sqref="C72"/>
    </sheetView>
  </sheetViews>
  <sheetFormatPr defaultRowHeight="15" x14ac:dyDescent="0.25"/>
  <cols>
    <col min="1" max="1" width="5.28515625" style="89" customWidth="1"/>
    <col min="2" max="2" width="36.140625" style="89" customWidth="1"/>
    <col min="3" max="3" width="18" style="95" bestFit="1" customWidth="1"/>
    <col min="4" max="4" width="19" style="95" bestFit="1" customWidth="1"/>
    <col min="5" max="5" width="19.85546875" style="89" bestFit="1" customWidth="1"/>
    <col min="6" max="16384" width="9.140625" style="89"/>
  </cols>
  <sheetData>
    <row r="1" spans="1:5" x14ac:dyDescent="0.25">
      <c r="A1" s="137" t="s">
        <v>282</v>
      </c>
      <c r="B1" s="57" t="s">
        <v>0</v>
      </c>
      <c r="C1" s="96" t="s">
        <v>274</v>
      </c>
      <c r="D1" s="96" t="s">
        <v>273</v>
      </c>
      <c r="E1" s="97" t="s">
        <v>275</v>
      </c>
    </row>
    <row r="2" spans="1:5" x14ac:dyDescent="0.25">
      <c r="A2" s="138">
        <v>1</v>
      </c>
      <c r="B2" s="90" t="s">
        <v>68</v>
      </c>
      <c r="C2" s="91">
        <v>43632</v>
      </c>
      <c r="D2" s="91">
        <f>IF(Tabela3[[#This Row],[TEMPO (MESES)]]="","",IF(Tabela3[[#This Row],[DATA ULTIMA]] ="", "",Tabela3[[#This Row],[DATA ULTIMA]]+(Tabela3[[#This Row],[TEMPO (MESES)]]*30.45)))</f>
        <v>43997.4</v>
      </c>
      <c r="E2" s="92">
        <v>12</v>
      </c>
    </row>
    <row r="3" spans="1:5" x14ac:dyDescent="0.25">
      <c r="A3" s="139">
        <v>2</v>
      </c>
      <c r="B3" s="90" t="s">
        <v>3</v>
      </c>
      <c r="C3" s="91">
        <v>43724</v>
      </c>
      <c r="D3" s="91">
        <f>IF(Tabela3[[#This Row],[TEMPO (MESES)]]="","",IF(Tabela3[[#This Row],[DATA ULTIMA]] ="", "",Tabela3[[#This Row],[DATA ULTIMA]]+(Tabela3[[#This Row],[TEMPO (MESES)]]*30.45)))</f>
        <v>44089.4</v>
      </c>
      <c r="E3" s="92">
        <v>12</v>
      </c>
    </row>
    <row r="4" spans="1:5" x14ac:dyDescent="0.25">
      <c r="A4" s="138">
        <v>3</v>
      </c>
      <c r="B4" s="90" t="s">
        <v>69</v>
      </c>
      <c r="C4" s="91">
        <v>43724</v>
      </c>
      <c r="D4" s="91">
        <f>IF(Tabela3[[#This Row],[TEMPO (MESES)]]="","",IF(Tabela3[[#This Row],[DATA ULTIMA]] ="", "",Tabela3[[#This Row],[DATA ULTIMA]]+(Tabela3[[#This Row],[TEMPO (MESES)]]*30.45)))</f>
        <v>44089.4</v>
      </c>
      <c r="E4" s="92">
        <v>12</v>
      </c>
    </row>
    <row r="5" spans="1:5" x14ac:dyDescent="0.25">
      <c r="A5" s="138">
        <v>4</v>
      </c>
      <c r="B5" s="90" t="s">
        <v>4</v>
      </c>
      <c r="C5" s="91">
        <v>43724</v>
      </c>
      <c r="D5" s="91">
        <f>IF(Tabela3[[#This Row],[TEMPO (MESES)]]="","",IF(Tabela3[[#This Row],[DATA ULTIMA]] ="", "",Tabela3[[#This Row],[DATA ULTIMA]]+(Tabela3[[#This Row],[TEMPO (MESES)]]*30.45)))</f>
        <v>44089.4</v>
      </c>
      <c r="E5" s="92">
        <v>12</v>
      </c>
    </row>
    <row r="6" spans="1:5" x14ac:dyDescent="0.25">
      <c r="A6" s="139">
        <v>5</v>
      </c>
      <c r="B6" s="90" t="s">
        <v>70</v>
      </c>
      <c r="C6" s="91">
        <v>43724</v>
      </c>
      <c r="D6" s="91">
        <f>IF(Tabela3[[#This Row],[TEMPO (MESES)]]="","",IF(Tabela3[[#This Row],[DATA ULTIMA]] ="", "",Tabela3[[#This Row],[DATA ULTIMA]]+(Tabela3[[#This Row],[TEMPO (MESES)]]*30.45)))</f>
        <v>44089.4</v>
      </c>
      <c r="E6" s="92">
        <v>12</v>
      </c>
    </row>
    <row r="7" spans="1:5" x14ac:dyDescent="0.25">
      <c r="A7" s="138">
        <v>6</v>
      </c>
      <c r="B7" s="90" t="s">
        <v>5</v>
      </c>
      <c r="C7" s="91">
        <v>43120</v>
      </c>
      <c r="D7" s="91">
        <f>IF(Tabela3[[#This Row],[TEMPO (MESES)]]="","",IF(Tabela3[[#This Row],[DATA ULTIMA]] ="", "",Tabela3[[#This Row],[DATA ULTIMA]]+(Tabela3[[#This Row],[TEMPO (MESES)]]*30.45)))</f>
        <v>43485.4</v>
      </c>
      <c r="E7" s="92">
        <v>12</v>
      </c>
    </row>
    <row r="8" spans="1:5" x14ac:dyDescent="0.25">
      <c r="A8" s="139">
        <v>7</v>
      </c>
      <c r="B8" s="90" t="s">
        <v>6</v>
      </c>
      <c r="C8" s="91">
        <v>43551</v>
      </c>
      <c r="D8" s="91">
        <f>IF(Tabela3[[#This Row],[TEMPO (MESES)]]="","",IF(Tabela3[[#This Row],[DATA ULTIMA]] ="", "",Tabela3[[#This Row],[DATA ULTIMA]]+(Tabela3[[#This Row],[TEMPO (MESES)]]*30.45)))</f>
        <v>43733.7</v>
      </c>
      <c r="E8" s="92">
        <v>6</v>
      </c>
    </row>
    <row r="9" spans="1:5" x14ac:dyDescent="0.25">
      <c r="A9" s="138">
        <v>8</v>
      </c>
      <c r="B9" s="90" t="s">
        <v>7</v>
      </c>
      <c r="C9" s="91">
        <v>43611</v>
      </c>
      <c r="D9" s="91">
        <f>IF(Tabela3[[#This Row],[TEMPO (MESES)]]="","",IF(Tabela3[[#This Row],[DATA ULTIMA]] ="", "",Tabela3[[#This Row],[DATA ULTIMA]]+(Tabela3[[#This Row],[TEMPO (MESES)]]*30.45)))</f>
        <v>43976.4</v>
      </c>
      <c r="E9" s="92">
        <v>12</v>
      </c>
    </row>
    <row r="10" spans="1:5" x14ac:dyDescent="0.25">
      <c r="A10" s="139">
        <v>9</v>
      </c>
      <c r="B10" s="90" t="s">
        <v>8</v>
      </c>
      <c r="C10" s="91"/>
      <c r="D10" s="91" t="str">
        <f>IF(Tabela3[[#This Row],[TEMPO (MESES)]]="","",IF(Tabela3[[#This Row],[DATA ULTIMA]] ="", "",Tabela3[[#This Row],[DATA ULTIMA]]+(Tabela3[[#This Row],[TEMPO (MESES)]]*30.45)))</f>
        <v/>
      </c>
      <c r="E10" s="92">
        <v>12</v>
      </c>
    </row>
    <row r="11" spans="1:5" x14ac:dyDescent="0.25">
      <c r="A11" s="138">
        <v>10</v>
      </c>
      <c r="B11" s="90" t="s">
        <v>161</v>
      </c>
      <c r="C11" s="91"/>
      <c r="D11" s="91" t="str">
        <f>IF(Tabela3[[#This Row],[TEMPO (MESES)]]="","",IF(Tabela3[[#This Row],[DATA ULTIMA]] ="", "",Tabela3[[#This Row],[DATA ULTIMA]]+(Tabela3[[#This Row],[TEMPO (MESES)]]*30.45)))</f>
        <v/>
      </c>
      <c r="E11" s="92">
        <v>12</v>
      </c>
    </row>
    <row r="12" spans="1:5" x14ac:dyDescent="0.25">
      <c r="A12" s="139">
        <v>11</v>
      </c>
      <c r="B12" s="90" t="s">
        <v>9</v>
      </c>
      <c r="C12" s="91">
        <v>43429</v>
      </c>
      <c r="D12" s="91">
        <f>IF(Tabela3[[#This Row],[TEMPO (MESES)]]="","",IF(Tabela3[[#This Row],[DATA ULTIMA]] ="", "",Tabela3[[#This Row],[DATA ULTIMA]]+(Tabela3[[#This Row],[TEMPO (MESES)]]*30.45)))</f>
        <v>43794.400000000001</v>
      </c>
      <c r="E12" s="92">
        <v>12</v>
      </c>
    </row>
    <row r="13" spans="1:5" x14ac:dyDescent="0.25">
      <c r="A13" s="138">
        <v>12</v>
      </c>
      <c r="B13" s="90" t="s">
        <v>71</v>
      </c>
      <c r="C13" s="91">
        <v>43429</v>
      </c>
      <c r="D13" s="91">
        <f>IF(Tabela3[[#This Row],[TEMPO (MESES)]]="","",IF(Tabela3[[#This Row],[DATA ULTIMA]] ="", "",Tabela3[[#This Row],[DATA ULTIMA]]+(Tabela3[[#This Row],[TEMPO (MESES)]]*30.45)))</f>
        <v>43794.400000000001</v>
      </c>
      <c r="E13" s="92">
        <v>12</v>
      </c>
    </row>
    <row r="14" spans="1:5" x14ac:dyDescent="0.25">
      <c r="A14" s="138">
        <v>13</v>
      </c>
      <c r="B14" s="90" t="s">
        <v>10</v>
      </c>
      <c r="C14" s="91">
        <v>43216</v>
      </c>
      <c r="D14" s="91">
        <f>IF(Tabela3[[#This Row],[TEMPO (MESES)]]="","",IF(Tabela3[[#This Row],[DATA ULTIMA]] ="", "",Tabela3[[#This Row],[DATA ULTIMA]]+(Tabela3[[#This Row],[TEMPO (MESES)]]*30.45)))</f>
        <v>43581.4</v>
      </c>
      <c r="E14" s="92">
        <v>12</v>
      </c>
    </row>
    <row r="15" spans="1:5" x14ac:dyDescent="0.25">
      <c r="A15" s="138">
        <v>14</v>
      </c>
      <c r="B15" s="90" t="s">
        <v>11</v>
      </c>
      <c r="C15" s="91">
        <v>43216</v>
      </c>
      <c r="D15" s="91">
        <f>IF(Tabela3[[#This Row],[TEMPO (MESES)]]="","",IF(Tabela3[[#This Row],[DATA ULTIMA]] ="", "",Tabela3[[#This Row],[DATA ULTIMA]]+(Tabela3[[#This Row],[TEMPO (MESES)]]*30.45)))</f>
        <v>43581.4</v>
      </c>
      <c r="E15" s="92">
        <v>12</v>
      </c>
    </row>
    <row r="16" spans="1:5" x14ac:dyDescent="0.25">
      <c r="A16" s="139">
        <v>15</v>
      </c>
      <c r="B16" s="90" t="s">
        <v>12</v>
      </c>
      <c r="C16" s="91">
        <v>43533</v>
      </c>
      <c r="D16" s="91">
        <f>IF(Tabela3[[#This Row],[TEMPO (MESES)]]="","",IF(Tabela3[[#This Row],[DATA ULTIMA]] ="", "",Tabela3[[#This Row],[DATA ULTIMA]]+(Tabela3[[#This Row],[TEMPO (MESES)]]*30.45)))</f>
        <v>43898.400000000001</v>
      </c>
      <c r="E16" s="92">
        <v>12</v>
      </c>
    </row>
    <row r="17" spans="1:5" x14ac:dyDescent="0.25">
      <c r="A17" s="138">
        <v>16</v>
      </c>
      <c r="B17" s="90" t="s">
        <v>72</v>
      </c>
      <c r="C17" s="91">
        <v>43533</v>
      </c>
      <c r="D17" s="91">
        <f>IF(Tabela3[[#This Row],[TEMPO (MESES)]]="","",IF(Tabela3[[#This Row],[DATA ULTIMA]] ="", "",Tabela3[[#This Row],[DATA ULTIMA]]+(Tabela3[[#This Row],[TEMPO (MESES)]]*30.45)))</f>
        <v>43898.400000000001</v>
      </c>
      <c r="E17" s="92">
        <v>12</v>
      </c>
    </row>
    <row r="18" spans="1:5" x14ac:dyDescent="0.25">
      <c r="A18" s="139">
        <v>17</v>
      </c>
      <c r="B18" s="90" t="s">
        <v>13</v>
      </c>
      <c r="C18" s="91">
        <v>43549</v>
      </c>
      <c r="D18" s="91">
        <f>IF(Tabela3[[#This Row],[TEMPO (MESES)]]="","",IF(Tabela3[[#This Row],[DATA ULTIMA]] ="", "",Tabela3[[#This Row],[DATA ULTIMA]]+(Tabela3[[#This Row],[TEMPO (MESES)]]*30.45)))</f>
        <v>43914.400000000001</v>
      </c>
      <c r="E18" s="92">
        <v>12</v>
      </c>
    </row>
    <row r="19" spans="1:5" x14ac:dyDescent="0.25">
      <c r="A19" s="138">
        <v>18</v>
      </c>
      <c r="B19" s="90" t="s">
        <v>73</v>
      </c>
      <c r="C19" s="91">
        <v>43549</v>
      </c>
      <c r="D19" s="91">
        <f>IF(Tabela3[[#This Row],[TEMPO (MESES)]]="","",IF(Tabela3[[#This Row],[DATA ULTIMA]] ="", "",Tabela3[[#This Row],[DATA ULTIMA]]+(Tabela3[[#This Row],[TEMPO (MESES)]]*30.45)))</f>
        <v>43914.400000000001</v>
      </c>
      <c r="E19" s="92">
        <v>12</v>
      </c>
    </row>
    <row r="20" spans="1:5" x14ac:dyDescent="0.25">
      <c r="A20" s="138">
        <v>19</v>
      </c>
      <c r="B20" s="90" t="s">
        <v>14</v>
      </c>
      <c r="C20" s="91">
        <v>43264</v>
      </c>
      <c r="D20" s="91">
        <f>IF(Tabela3[[#This Row],[TEMPO (MESES)]]="","",IF(Tabela3[[#This Row],[DATA ULTIMA]] ="", "",Tabela3[[#This Row],[DATA ULTIMA]]+(Tabela3[[#This Row],[TEMPO (MESES)]]*30.45)))</f>
        <v>43629.4</v>
      </c>
      <c r="E20" s="92">
        <v>12</v>
      </c>
    </row>
    <row r="21" spans="1:5" x14ac:dyDescent="0.25">
      <c r="A21" s="139">
        <v>20</v>
      </c>
      <c r="B21" s="90" t="s">
        <v>15</v>
      </c>
      <c r="C21" s="91">
        <v>43271</v>
      </c>
      <c r="D21" s="91">
        <f>IF(Tabela3[[#This Row],[TEMPO (MESES)]]="","",IF(Tabela3[[#This Row],[DATA ULTIMA]] ="", "",Tabela3[[#This Row],[DATA ULTIMA]]+(Tabela3[[#This Row],[TEMPO (MESES)]]*30.45)))</f>
        <v>43636.4</v>
      </c>
      <c r="E21" s="92">
        <v>12</v>
      </c>
    </row>
    <row r="22" spans="1:5" x14ac:dyDescent="0.25">
      <c r="A22" s="139">
        <v>21</v>
      </c>
      <c r="B22" s="90" t="s">
        <v>16</v>
      </c>
      <c r="C22" s="91">
        <v>43632</v>
      </c>
      <c r="D22" s="91">
        <f>IF(Tabela3[[#This Row],[TEMPO (MESES)]]="","",IF(Tabela3[[#This Row],[DATA ULTIMA]] ="", "",Tabela3[[#This Row],[DATA ULTIMA]]+(Tabela3[[#This Row],[TEMPO (MESES)]]*30.45)))</f>
        <v>43997.4</v>
      </c>
      <c r="E22" s="92">
        <v>12</v>
      </c>
    </row>
    <row r="23" spans="1:5" x14ac:dyDescent="0.25">
      <c r="A23" s="139">
        <v>22</v>
      </c>
      <c r="B23" s="90" t="s">
        <v>17</v>
      </c>
      <c r="C23" s="91">
        <v>43320</v>
      </c>
      <c r="D23" s="91">
        <f>IF(Tabela3[[#This Row],[TEMPO (MESES)]]="","",IF(Tabela3[[#This Row],[DATA ULTIMA]] ="", "",Tabela3[[#This Row],[DATA ULTIMA]]+(Tabela3[[#This Row],[TEMPO (MESES)]]*30.45)))</f>
        <v>43685.4</v>
      </c>
      <c r="E23" s="92">
        <v>12</v>
      </c>
    </row>
    <row r="24" spans="1:5" x14ac:dyDescent="0.25">
      <c r="A24" s="138">
        <v>23</v>
      </c>
      <c r="B24" s="90" t="s">
        <v>18</v>
      </c>
      <c r="C24" s="91">
        <v>43509</v>
      </c>
      <c r="D24" s="91">
        <f>IF(Tabela3[[#This Row],[TEMPO (MESES)]]="","",IF(Tabela3[[#This Row],[DATA ULTIMA]] ="", "",Tabela3[[#This Row],[DATA ULTIMA]]+(Tabela3[[#This Row],[TEMPO (MESES)]]*30.45)))</f>
        <v>43874.400000000001</v>
      </c>
      <c r="E24" s="92">
        <v>12</v>
      </c>
    </row>
    <row r="25" spans="1:5" x14ac:dyDescent="0.25">
      <c r="A25" s="139">
        <v>24</v>
      </c>
      <c r="B25" s="90" t="s">
        <v>74</v>
      </c>
      <c r="C25" s="91">
        <v>43509</v>
      </c>
      <c r="D25" s="91">
        <f>IF(Tabela3[[#This Row],[TEMPO (MESES)]]="","",IF(Tabela3[[#This Row],[DATA ULTIMA]] ="", "",Tabela3[[#This Row],[DATA ULTIMA]]+(Tabela3[[#This Row],[TEMPO (MESES)]]*30.45)))</f>
        <v>43874.400000000001</v>
      </c>
      <c r="E25" s="92">
        <v>12</v>
      </c>
    </row>
    <row r="26" spans="1:5" x14ac:dyDescent="0.25">
      <c r="A26" s="139">
        <v>25</v>
      </c>
      <c r="B26" s="90" t="s">
        <v>19</v>
      </c>
      <c r="C26" s="91">
        <v>43731</v>
      </c>
      <c r="D26" s="91">
        <f>IF(Tabela3[[#This Row],[TEMPO (MESES)]]="","",IF(Tabela3[[#This Row],[DATA ULTIMA]] ="", "",Tabela3[[#This Row],[DATA ULTIMA]]+(Tabela3[[#This Row],[TEMPO (MESES)]]*30.45)))</f>
        <v>44096.4</v>
      </c>
      <c r="E26" s="92">
        <v>12</v>
      </c>
    </row>
    <row r="27" spans="1:5" x14ac:dyDescent="0.25">
      <c r="A27" s="139">
        <v>26</v>
      </c>
      <c r="B27" s="90" t="s">
        <v>20</v>
      </c>
      <c r="C27" s="91">
        <v>43630</v>
      </c>
      <c r="D27" s="91">
        <f>IF(Tabela3[[#This Row],[TEMPO (MESES)]]="","",IF(Tabela3[[#This Row],[DATA ULTIMA]] ="", "",Tabela3[[#This Row],[DATA ULTIMA]]+(Tabela3[[#This Row],[TEMPO (MESES)]]*30.45)))</f>
        <v>43995.4</v>
      </c>
      <c r="E27" s="92">
        <v>12</v>
      </c>
    </row>
    <row r="28" spans="1:5" x14ac:dyDescent="0.25">
      <c r="A28" s="138">
        <v>27</v>
      </c>
      <c r="B28" s="90" t="s">
        <v>21</v>
      </c>
      <c r="C28" s="91">
        <v>43391</v>
      </c>
      <c r="D28" s="91">
        <f>IF(Tabela3[[#This Row],[TEMPO (MESES)]]="","",IF(Tabela3[[#This Row],[DATA ULTIMA]] ="", "",Tabela3[[#This Row],[DATA ULTIMA]]+(Tabela3[[#This Row],[TEMPO (MESES)]]*30.45)))</f>
        <v>43756.4</v>
      </c>
      <c r="E28" s="92">
        <v>12</v>
      </c>
    </row>
    <row r="29" spans="1:5" x14ac:dyDescent="0.25">
      <c r="A29" s="139">
        <v>28</v>
      </c>
      <c r="B29" s="90" t="s">
        <v>22</v>
      </c>
      <c r="C29" s="91">
        <v>43399</v>
      </c>
      <c r="D29" s="91">
        <f>IF(Tabela3[[#This Row],[TEMPO (MESES)]]="","",IF(Tabela3[[#This Row],[DATA ULTIMA]] ="", "",Tabela3[[#This Row],[DATA ULTIMA]]+(Tabela3[[#This Row],[TEMPO (MESES)]]*30.45)))</f>
        <v>43764.4</v>
      </c>
      <c r="E29" s="92">
        <v>12</v>
      </c>
    </row>
    <row r="30" spans="1:5" x14ac:dyDescent="0.25">
      <c r="A30" s="139">
        <v>29</v>
      </c>
      <c r="B30" s="90" t="s">
        <v>23</v>
      </c>
      <c r="C30" s="91">
        <v>43391</v>
      </c>
      <c r="D30" s="91">
        <f>IF(Tabela3[[#This Row],[TEMPO (MESES)]]="","",IF(Tabela3[[#This Row],[DATA ULTIMA]] ="", "",Tabela3[[#This Row],[DATA ULTIMA]]+(Tabela3[[#This Row],[TEMPO (MESES)]]*30.45)))</f>
        <v>43756.4</v>
      </c>
      <c r="E30" s="92">
        <v>12</v>
      </c>
    </row>
    <row r="31" spans="1:5" x14ac:dyDescent="0.25">
      <c r="A31" s="139">
        <v>30</v>
      </c>
      <c r="B31" s="90" t="s">
        <v>24</v>
      </c>
      <c r="C31" s="91">
        <v>43403</v>
      </c>
      <c r="D31" s="91">
        <f>IF(Tabela3[[#This Row],[TEMPO (MESES)]]="","",IF(Tabela3[[#This Row],[DATA ULTIMA]] ="", "",Tabela3[[#This Row],[DATA ULTIMA]]+(Tabela3[[#This Row],[TEMPO (MESES)]]*30.45)))</f>
        <v>43768.4</v>
      </c>
      <c r="E31" s="92">
        <v>12</v>
      </c>
    </row>
    <row r="32" spans="1:5" x14ac:dyDescent="0.25">
      <c r="A32" s="138">
        <v>31</v>
      </c>
      <c r="B32" s="90" t="s">
        <v>25</v>
      </c>
      <c r="C32" s="91">
        <v>43402</v>
      </c>
      <c r="D32" s="91">
        <f>IF(Tabela3[[#This Row],[TEMPO (MESES)]]="","",IF(Tabela3[[#This Row],[DATA ULTIMA]] ="", "",Tabela3[[#This Row],[DATA ULTIMA]]+(Tabela3[[#This Row],[TEMPO (MESES)]]*30.45)))</f>
        <v>43767.4</v>
      </c>
      <c r="E32" s="92">
        <v>12</v>
      </c>
    </row>
    <row r="33" spans="1:5" x14ac:dyDescent="0.25">
      <c r="A33" s="138">
        <v>32</v>
      </c>
      <c r="B33" s="90" t="s">
        <v>26</v>
      </c>
      <c r="C33" s="91"/>
      <c r="D33" s="91" t="str">
        <f>IF(Tabela3[[#This Row],[TEMPO (MESES)]]="","",IF(Tabela3[[#This Row],[DATA ULTIMA]] ="", "",Tabela3[[#This Row],[DATA ULTIMA]]+(Tabela3[[#This Row],[TEMPO (MESES)]]*30.45)))</f>
        <v/>
      </c>
      <c r="E33" s="92">
        <v>12</v>
      </c>
    </row>
    <row r="34" spans="1:5" x14ac:dyDescent="0.25">
      <c r="A34" s="139">
        <v>33</v>
      </c>
      <c r="B34" s="90" t="s">
        <v>27</v>
      </c>
      <c r="C34" s="91">
        <v>43446</v>
      </c>
      <c r="D34" s="91">
        <f>IF(Tabela3[[#This Row],[TEMPO (MESES)]]="","",IF(Tabela3[[#This Row],[DATA ULTIMA]] ="", "",Tabela3[[#This Row],[DATA ULTIMA]]+(Tabela3[[#This Row],[TEMPO (MESES)]]*30.45)))</f>
        <v>43811.4</v>
      </c>
      <c r="E34" s="92">
        <v>12</v>
      </c>
    </row>
    <row r="35" spans="1:5" x14ac:dyDescent="0.25">
      <c r="A35" s="138">
        <v>34</v>
      </c>
      <c r="B35" s="90" t="s">
        <v>28</v>
      </c>
      <c r="C35" s="91">
        <v>43340</v>
      </c>
      <c r="D35" s="91">
        <f>IF(Tabela3[[#This Row],[TEMPO (MESES)]]="","",IF(Tabela3[[#This Row],[DATA ULTIMA]] ="", "",Tabela3[[#This Row],[DATA ULTIMA]]+(Tabela3[[#This Row],[TEMPO (MESES)]]*30.45)))</f>
        <v>43705.4</v>
      </c>
      <c r="E35" s="92">
        <v>12</v>
      </c>
    </row>
    <row r="36" spans="1:5" x14ac:dyDescent="0.25">
      <c r="A36" s="139">
        <v>35</v>
      </c>
      <c r="B36" s="90" t="s">
        <v>29</v>
      </c>
      <c r="C36" s="91">
        <v>43432</v>
      </c>
      <c r="D36" s="91">
        <f>IF(Tabela3[[#This Row],[TEMPO (MESES)]]="","",IF(Tabela3[[#This Row],[DATA ULTIMA]] ="", "",Tabela3[[#This Row],[DATA ULTIMA]]+(Tabela3[[#This Row],[TEMPO (MESES)]]*30.45)))</f>
        <v>43797.4</v>
      </c>
      <c r="E36" s="92">
        <v>12</v>
      </c>
    </row>
    <row r="37" spans="1:5" x14ac:dyDescent="0.25">
      <c r="A37" s="138">
        <v>36</v>
      </c>
      <c r="B37" s="90" t="s">
        <v>30</v>
      </c>
      <c r="C37" s="91">
        <v>43455</v>
      </c>
      <c r="D37" s="91">
        <f>IF(Tabela3[[#This Row],[TEMPO (MESES)]]="","",IF(Tabela3[[#This Row],[DATA ULTIMA]] ="", "",Tabela3[[#This Row],[DATA ULTIMA]]+(Tabela3[[#This Row],[TEMPO (MESES)]]*30.45)))</f>
        <v>43820.4</v>
      </c>
      <c r="E37" s="92">
        <v>12</v>
      </c>
    </row>
    <row r="38" spans="1:5" x14ac:dyDescent="0.25">
      <c r="A38" s="138">
        <v>37</v>
      </c>
      <c r="B38" s="90" t="s">
        <v>31</v>
      </c>
      <c r="C38" s="91">
        <v>43551</v>
      </c>
      <c r="D38" s="91">
        <f>IF(Tabela3[[#This Row],[TEMPO (MESES)]]="","",IF(Tabela3[[#This Row],[DATA ULTIMA]] ="", "",Tabela3[[#This Row],[DATA ULTIMA]]+(Tabela3[[#This Row],[TEMPO (MESES)]]*30.45)))</f>
        <v>43733.7</v>
      </c>
      <c r="E38" s="92">
        <v>6</v>
      </c>
    </row>
    <row r="39" spans="1:5" x14ac:dyDescent="0.25">
      <c r="A39" s="138">
        <v>38</v>
      </c>
      <c r="B39" s="90" t="s">
        <v>32</v>
      </c>
      <c r="C39" s="91">
        <v>43495</v>
      </c>
      <c r="D39" s="91">
        <f>IF(Tabela3[[#This Row],[TEMPO (MESES)]]="","",IF(Tabela3[[#This Row],[DATA ULTIMA]] ="", "",Tabela3[[#This Row],[DATA ULTIMA]]+(Tabela3[[#This Row],[TEMPO (MESES)]]*30.45)))</f>
        <v>43860.4</v>
      </c>
      <c r="E39" s="92">
        <v>12</v>
      </c>
    </row>
    <row r="40" spans="1:5" x14ac:dyDescent="0.25">
      <c r="A40" s="138">
        <v>39</v>
      </c>
      <c r="B40" s="90" t="s">
        <v>33</v>
      </c>
      <c r="C40" s="91">
        <v>43482</v>
      </c>
      <c r="D40" s="91">
        <f>IF(Tabela3[[#This Row],[TEMPO (MESES)]]="","",IF(Tabela3[[#This Row],[DATA ULTIMA]] ="", "",Tabela3[[#This Row],[DATA ULTIMA]]+(Tabela3[[#This Row],[TEMPO (MESES)]]*30.45)))</f>
        <v>43847.4</v>
      </c>
      <c r="E40" s="92">
        <v>12</v>
      </c>
    </row>
    <row r="41" spans="1:5" x14ac:dyDescent="0.25">
      <c r="A41" s="139">
        <v>40</v>
      </c>
      <c r="B41" s="90" t="s">
        <v>34</v>
      </c>
      <c r="C41" s="91">
        <v>43571</v>
      </c>
      <c r="D41" s="91">
        <f>IF(Tabela3[[#This Row],[TEMPO (MESES)]]="","",IF(Tabela3[[#This Row],[DATA ULTIMA]] ="", "",Tabela3[[#This Row],[DATA ULTIMA]]+(Tabela3[[#This Row],[TEMPO (MESES)]]*30.45)))</f>
        <v>43936.4</v>
      </c>
      <c r="E41" s="92">
        <v>12</v>
      </c>
    </row>
    <row r="42" spans="1:5" x14ac:dyDescent="0.25">
      <c r="A42" s="138">
        <v>41</v>
      </c>
      <c r="B42" s="90" t="s">
        <v>35</v>
      </c>
      <c r="C42" s="91">
        <v>43537</v>
      </c>
      <c r="D42" s="91">
        <f>IF(Tabela3[[#This Row],[TEMPO (MESES)]]="","",IF(Tabela3[[#This Row],[DATA ULTIMA]] ="", "",Tabela3[[#This Row],[DATA ULTIMA]]+(Tabela3[[#This Row],[TEMPO (MESES)]]*30.45)))</f>
        <v>43902.400000000001</v>
      </c>
      <c r="E42" s="92">
        <v>12</v>
      </c>
    </row>
    <row r="43" spans="1:5" x14ac:dyDescent="0.25">
      <c r="A43" s="139">
        <v>42</v>
      </c>
      <c r="B43" s="90" t="s">
        <v>36</v>
      </c>
      <c r="C43" s="91">
        <v>43502</v>
      </c>
      <c r="D43" s="91">
        <f>IF(Tabela3[[#This Row],[TEMPO (MESES)]]="","",IF(Tabela3[[#This Row],[DATA ULTIMA]] ="", "",Tabela3[[#This Row],[DATA ULTIMA]]+(Tabela3[[#This Row],[TEMPO (MESES)]]*30.45)))</f>
        <v>43867.4</v>
      </c>
      <c r="E43" s="92">
        <v>12</v>
      </c>
    </row>
    <row r="44" spans="1:5" x14ac:dyDescent="0.25">
      <c r="A44" s="138">
        <v>43</v>
      </c>
      <c r="B44" s="90" t="s">
        <v>37</v>
      </c>
      <c r="C44" s="91">
        <v>43518</v>
      </c>
      <c r="D44" s="91">
        <f>IF(Tabela3[[#This Row],[TEMPO (MESES)]]="","",IF(Tabela3[[#This Row],[DATA ULTIMA]] ="", "",Tabela3[[#This Row],[DATA ULTIMA]]+(Tabela3[[#This Row],[TEMPO (MESES)]]*30.45)))</f>
        <v>43883.4</v>
      </c>
      <c r="E44" s="92">
        <v>12</v>
      </c>
    </row>
    <row r="45" spans="1:5" x14ac:dyDescent="0.25">
      <c r="A45" s="139">
        <v>44</v>
      </c>
      <c r="B45" s="90" t="s">
        <v>38</v>
      </c>
      <c r="C45" s="91">
        <v>43504</v>
      </c>
      <c r="D45" s="91">
        <f>IF(Tabela3[[#This Row],[TEMPO (MESES)]]="","",IF(Tabela3[[#This Row],[DATA ULTIMA]] ="", "",Tabela3[[#This Row],[DATA ULTIMA]]+(Tabela3[[#This Row],[TEMPO (MESES)]]*30.45)))</f>
        <v>43869.4</v>
      </c>
      <c r="E45" s="92">
        <v>12</v>
      </c>
    </row>
    <row r="46" spans="1:5" x14ac:dyDescent="0.25">
      <c r="A46" s="139">
        <v>45</v>
      </c>
      <c r="B46" s="90" t="s">
        <v>39</v>
      </c>
      <c r="C46" s="91">
        <v>43531</v>
      </c>
      <c r="D46" s="91">
        <f>IF(Tabela3[[#This Row],[TEMPO (MESES)]]="","",IF(Tabela3[[#This Row],[DATA ULTIMA]] ="", "",Tabela3[[#This Row],[DATA ULTIMA]]+(Tabela3[[#This Row],[TEMPO (MESES)]]*30.45)))</f>
        <v>43896.4</v>
      </c>
      <c r="E46" s="92">
        <v>12</v>
      </c>
    </row>
    <row r="47" spans="1:5" x14ac:dyDescent="0.25">
      <c r="A47" s="138">
        <v>46</v>
      </c>
      <c r="B47" s="90" t="s">
        <v>40</v>
      </c>
      <c r="C47" s="91">
        <v>43504</v>
      </c>
      <c r="D47" s="91">
        <f>IF(Tabela3[[#This Row],[TEMPO (MESES)]]="","",IF(Tabela3[[#This Row],[DATA ULTIMA]] ="", "",Tabela3[[#This Row],[DATA ULTIMA]]+(Tabela3[[#This Row],[TEMPO (MESES)]]*30.45)))</f>
        <v>43869.4</v>
      </c>
      <c r="E47" s="92">
        <v>12</v>
      </c>
    </row>
    <row r="48" spans="1:5" x14ac:dyDescent="0.25">
      <c r="A48" s="139">
        <v>47</v>
      </c>
      <c r="B48" s="90" t="s">
        <v>75</v>
      </c>
      <c r="C48" s="91">
        <v>43504</v>
      </c>
      <c r="D48" s="91">
        <f>IF(Tabela3[[#This Row],[TEMPO (MESES)]]="","",IF(Tabela3[[#This Row],[DATA ULTIMA]] ="", "",Tabela3[[#This Row],[DATA ULTIMA]]+(Tabela3[[#This Row],[TEMPO (MESES)]]*30.45)))</f>
        <v>43869.4</v>
      </c>
      <c r="E48" s="92">
        <v>12</v>
      </c>
    </row>
    <row r="49" spans="1:5" x14ac:dyDescent="0.25">
      <c r="A49" s="139">
        <v>48</v>
      </c>
      <c r="B49" s="90" t="s">
        <v>41</v>
      </c>
      <c r="C49" s="91"/>
      <c r="D49" s="91" t="str">
        <f>IF(Tabela3[[#This Row],[TEMPO (MESES)]]="","",IF(Tabela3[[#This Row],[DATA ULTIMA]] ="", "",Tabela3[[#This Row],[DATA ULTIMA]]+(Tabela3[[#This Row],[TEMPO (MESES)]]*30.45)))</f>
        <v/>
      </c>
      <c r="E49" s="92">
        <v>12</v>
      </c>
    </row>
    <row r="50" spans="1:5" x14ac:dyDescent="0.25">
      <c r="A50" s="138">
        <v>49</v>
      </c>
      <c r="B50" s="90" t="s">
        <v>42</v>
      </c>
      <c r="C50" s="91">
        <v>43577</v>
      </c>
      <c r="D50" s="91">
        <f>IF(Tabela3[[#This Row],[TEMPO (MESES)]]="","",IF(Tabela3[[#This Row],[DATA ULTIMA]] ="", "",Tabela3[[#This Row],[DATA ULTIMA]]+(Tabela3[[#This Row],[TEMPO (MESES)]]*30.45)))</f>
        <v>43942.400000000001</v>
      </c>
      <c r="E50" s="92">
        <v>12</v>
      </c>
    </row>
    <row r="51" spans="1:5" x14ac:dyDescent="0.25">
      <c r="A51" s="139">
        <v>50</v>
      </c>
      <c r="B51" s="90" t="s">
        <v>43</v>
      </c>
      <c r="C51" s="91">
        <v>43591</v>
      </c>
      <c r="D51" s="91">
        <f>IF(Tabela3[[#This Row],[TEMPO (MESES)]]="","",IF(Tabela3[[#This Row],[DATA ULTIMA]] ="", "",Tabela3[[#This Row],[DATA ULTIMA]]+(Tabela3[[#This Row],[TEMPO (MESES)]]*30.45)))</f>
        <v>43956.4</v>
      </c>
      <c r="E51" s="92">
        <v>12</v>
      </c>
    </row>
    <row r="52" spans="1:5" x14ac:dyDescent="0.25">
      <c r="A52" s="139">
        <v>51</v>
      </c>
      <c r="B52" s="90" t="s">
        <v>44</v>
      </c>
      <c r="C52" s="91">
        <v>43587</v>
      </c>
      <c r="D52" s="91">
        <f>IF(Tabela3[[#This Row],[TEMPO (MESES)]]="","",IF(Tabela3[[#This Row],[DATA ULTIMA]] ="", "",Tabela3[[#This Row],[DATA ULTIMA]]+(Tabela3[[#This Row],[TEMPO (MESES)]]*30.45)))</f>
        <v>43952.4</v>
      </c>
      <c r="E52" s="92">
        <v>12</v>
      </c>
    </row>
    <row r="53" spans="1:5" x14ac:dyDescent="0.25">
      <c r="A53" s="138">
        <v>52</v>
      </c>
      <c r="B53" s="90" t="s">
        <v>45</v>
      </c>
      <c r="C53" s="91">
        <v>43567</v>
      </c>
      <c r="D53" s="91">
        <f>IF(Tabela3[[#This Row],[TEMPO (MESES)]]="","",IF(Tabela3[[#This Row],[DATA ULTIMA]] ="", "",Tabela3[[#This Row],[DATA ULTIMA]]+(Tabela3[[#This Row],[TEMPO (MESES)]]*30.45)))</f>
        <v>43932.4</v>
      </c>
      <c r="E53" s="92">
        <v>12</v>
      </c>
    </row>
    <row r="54" spans="1:5" x14ac:dyDescent="0.25">
      <c r="A54" s="138">
        <v>53</v>
      </c>
      <c r="B54" s="90" t="s">
        <v>46</v>
      </c>
      <c r="C54" s="91">
        <v>43601</v>
      </c>
      <c r="D54" s="91">
        <f>IF(Tabela3[[#This Row],[TEMPO (MESES)]]="","",IF(Tabela3[[#This Row],[DATA ULTIMA]] ="", "",Tabela3[[#This Row],[DATA ULTIMA]]+(Tabela3[[#This Row],[TEMPO (MESES)]]*30.45)))</f>
        <v>43966.400000000001</v>
      </c>
      <c r="E54" s="92">
        <v>12</v>
      </c>
    </row>
    <row r="55" spans="1:5" x14ac:dyDescent="0.25">
      <c r="A55" s="138">
        <v>54</v>
      </c>
      <c r="B55" s="90" t="s">
        <v>47</v>
      </c>
      <c r="C55" s="91">
        <v>43595</v>
      </c>
      <c r="D55" s="91">
        <f>IF(Tabela3[[#This Row],[TEMPO (MESES)]]="","",IF(Tabela3[[#This Row],[DATA ULTIMA]] ="", "",Tabela3[[#This Row],[DATA ULTIMA]]+(Tabela3[[#This Row],[TEMPO (MESES)]]*30.45)))</f>
        <v>43960.4</v>
      </c>
      <c r="E55" s="92">
        <v>12</v>
      </c>
    </row>
    <row r="56" spans="1:5" x14ac:dyDescent="0.25">
      <c r="A56" s="138">
        <v>55</v>
      </c>
      <c r="B56" s="90" t="s">
        <v>48</v>
      </c>
      <c r="C56" s="91"/>
      <c r="D56" s="91" t="str">
        <f>IF(Tabela3[[#This Row],[TEMPO (MESES)]]="","",IF(Tabela3[[#This Row],[DATA ULTIMA]] ="", "",Tabela3[[#This Row],[DATA ULTIMA]]+(Tabela3[[#This Row],[TEMPO (MESES)]]*30.45)))</f>
        <v/>
      </c>
      <c r="E56" s="92">
        <v>12</v>
      </c>
    </row>
    <row r="57" spans="1:5" x14ac:dyDescent="0.25">
      <c r="A57" s="140">
        <v>56</v>
      </c>
      <c r="B57" s="90" t="s">
        <v>49</v>
      </c>
      <c r="C57" s="91"/>
      <c r="D57" s="91" t="str">
        <f>IF(Tabela3[[#This Row],[TEMPO (MESES)]]="","",IF(Tabela3[[#This Row],[DATA ULTIMA]] ="", "",Tabela3[[#This Row],[DATA ULTIMA]]+(Tabela3[[#This Row],[TEMPO (MESES)]]*30.45)))</f>
        <v/>
      </c>
      <c r="E57" s="92">
        <v>12</v>
      </c>
    </row>
    <row r="58" spans="1:5" x14ac:dyDescent="0.25">
      <c r="A58" s="140">
        <v>57</v>
      </c>
      <c r="B58" s="90" t="s">
        <v>261</v>
      </c>
      <c r="C58" s="91">
        <v>43599</v>
      </c>
      <c r="D58" s="91">
        <f>IF(Tabela3[[#This Row],[TEMPO (MESES)]]="","",IF(Tabela3[[#This Row],[DATA ULTIMA]] ="", "",Tabela3[[#This Row],[DATA ULTIMA]]+(Tabela3[[#This Row],[TEMPO (MESES)]]*30.45)))</f>
        <v>43964.4</v>
      </c>
      <c r="E58" s="92">
        <v>12</v>
      </c>
    </row>
    <row r="59" spans="1:5" x14ac:dyDescent="0.25">
      <c r="A59" s="140">
        <v>58</v>
      </c>
      <c r="B59" s="90" t="s">
        <v>262</v>
      </c>
      <c r="C59" s="91">
        <v>43597</v>
      </c>
      <c r="D59" s="91">
        <f>IF(Tabela3[[#This Row],[TEMPO (MESES)]]="","",IF(Tabela3[[#This Row],[DATA ULTIMA]] ="", "",Tabela3[[#This Row],[DATA ULTIMA]]+(Tabela3[[#This Row],[TEMPO (MESES)]]*30.45)))</f>
        <v>43962.400000000001</v>
      </c>
      <c r="E59" s="92">
        <v>12</v>
      </c>
    </row>
    <row r="60" spans="1:5" x14ac:dyDescent="0.25">
      <c r="A60" s="141">
        <v>59</v>
      </c>
      <c r="B60" s="90" t="s">
        <v>263</v>
      </c>
      <c r="C60" s="91"/>
      <c r="D60" s="91" t="str">
        <f>IF(Tabela3[[#This Row],[TEMPO (MESES)]]="","",IF(Tabela3[[#This Row],[DATA ULTIMA]] ="", "",Tabela3[[#This Row],[DATA ULTIMA]]+(Tabela3[[#This Row],[TEMPO (MESES)]]*30.45)))</f>
        <v/>
      </c>
      <c r="E60" s="92">
        <v>12</v>
      </c>
    </row>
    <row r="61" spans="1:5" x14ac:dyDescent="0.25">
      <c r="A61" s="139">
        <v>60</v>
      </c>
      <c r="B61" s="93" t="s">
        <v>264</v>
      </c>
      <c r="C61" s="94"/>
      <c r="D61" s="91" t="str">
        <f>IF(Tabela3[[#This Row],[TEMPO (MESES)]]="","",IF(Tabela3[[#This Row],[DATA ULTIMA]] ="", "",Tabela3[[#This Row],[DATA ULTIMA]]+(Tabela3[[#This Row],[TEMPO (MESES)]]*30.45)))</f>
        <v/>
      </c>
      <c r="E61" s="92">
        <v>12</v>
      </c>
    </row>
    <row r="62" spans="1:5" x14ac:dyDescent="0.25">
      <c r="A62" s="142">
        <v>61</v>
      </c>
      <c r="B62" s="90" t="s">
        <v>279</v>
      </c>
      <c r="C62" s="91"/>
      <c r="D62" s="91" t="str">
        <f>IF(Tabela3[[#This Row],[TEMPO (MESES)]]="","",IF(Tabela3[[#This Row],[DATA ULTIMA]] ="", "",Tabela3[[#This Row],[DATA ULTIMA]]+(Tabela3[[#This Row],[TEMPO (MESES)]]*30.45)))</f>
        <v/>
      </c>
      <c r="E62" s="92"/>
    </row>
    <row r="63" spans="1:5" x14ac:dyDescent="0.25">
      <c r="A63" s="142">
        <v>62</v>
      </c>
      <c r="B63" s="90" t="s">
        <v>280</v>
      </c>
      <c r="C63" s="91"/>
      <c r="D63" s="91" t="str">
        <f>IF(Tabela3[[#This Row],[TEMPO (MESES)]]="","",IF(Tabela3[[#This Row],[DATA ULTIMA]] ="", "",Tabela3[[#This Row],[DATA ULTIMA]]+(Tabela3[[#This Row],[TEMPO (MESES)]]*30.45)))</f>
        <v/>
      </c>
      <c r="E63" s="92"/>
    </row>
    <row r="64" spans="1:5" x14ac:dyDescent="0.25">
      <c r="A64" s="142">
        <v>63</v>
      </c>
      <c r="B64" s="93" t="s">
        <v>281</v>
      </c>
      <c r="C64" s="94"/>
      <c r="D64" s="94" t="str">
        <f>IF(Tabela3[[#This Row],[TEMPO (MESES)]]="","",IF(Tabela3[[#This Row],[DATA ULTIMA]] ="", "",Tabela3[[#This Row],[DATA ULTIMA]]+(Tabela3[[#This Row],[TEMPO (MESES)]]*30.45)))</f>
        <v/>
      </c>
      <c r="E64" s="108"/>
    </row>
    <row r="65" spans="1:5" x14ac:dyDescent="0.25">
      <c r="A65" s="60">
        <v>64</v>
      </c>
      <c r="B65" s="61" t="s">
        <v>295</v>
      </c>
      <c r="C65" s="94"/>
      <c r="D65" s="94" t="str">
        <f>IF(Tabela3[[#This Row],[TEMPO (MESES)]]="","",IF(Tabela3[[#This Row],[DATA ULTIMA]] ="", "",Tabela3[[#This Row],[DATA ULTIMA]]+(Tabela3[[#This Row],[TEMPO (MESES)]]*30.45)))</f>
        <v/>
      </c>
      <c r="E65" s="108"/>
    </row>
    <row r="66" spans="1:5" x14ac:dyDescent="0.25">
      <c r="A66" s="60">
        <v>65</v>
      </c>
      <c r="B66" s="61" t="s">
        <v>296</v>
      </c>
      <c r="C66" s="94"/>
      <c r="D66" s="94" t="str">
        <f>IF(Tabela3[[#This Row],[TEMPO (MESES)]]="","",IF(Tabela3[[#This Row],[DATA ULTIMA]] ="", "",Tabela3[[#This Row],[DATA ULTIMA]]+(Tabela3[[#This Row],[TEMPO (MESES)]]*30.45)))</f>
        <v/>
      </c>
      <c r="E66" s="108"/>
    </row>
    <row r="67" spans="1:5" x14ac:dyDescent="0.25">
      <c r="A67" s="60">
        <v>66</v>
      </c>
      <c r="B67" s="61" t="s">
        <v>308</v>
      </c>
      <c r="C67" s="91"/>
      <c r="D67" s="91" t="str">
        <f>IF(Tabela3[[#This Row],[TEMPO (MESES)]]="","",IF(Tabela3[[#This Row],[DATA ULTIMA]] ="", "",Tabela3[[#This Row],[DATA ULTIMA]]+(Tabela3[[#This Row],[TEMPO (MESES)]]*30.45)))</f>
        <v/>
      </c>
      <c r="E67" s="92"/>
    </row>
    <row r="68" spans="1:5" x14ac:dyDescent="0.25">
      <c r="A68" s="142">
        <v>67</v>
      </c>
      <c r="B68" s="90" t="s">
        <v>315</v>
      </c>
      <c r="C68" s="91"/>
      <c r="D68" s="91" t="str">
        <f>IF(Tabela3[[#This Row],[TEMPO (MESES)]]="","",IF(Tabela3[[#This Row],[DATA ULTIMA]] ="", "",Tabela3[[#This Row],[DATA ULTIMA]]+(Tabela3[[#This Row],[TEMPO (MESES)]]*30.45)))</f>
        <v/>
      </c>
      <c r="E68" s="92"/>
    </row>
    <row r="69" spans="1:5" x14ac:dyDescent="0.25">
      <c r="A69" s="142">
        <v>68</v>
      </c>
      <c r="B69" s="93" t="s">
        <v>316</v>
      </c>
      <c r="C69" s="94"/>
      <c r="D69" s="94" t="str">
        <f>IF(Tabela3[[#This Row],[TEMPO (MESES)]]="","",IF(Tabela3[[#This Row],[DATA ULTIMA]] ="", "",Tabela3[[#This Row],[DATA ULTIMA]]+(Tabela3[[#This Row],[TEMPO (MESES)]]*30.45)))</f>
        <v/>
      </c>
      <c r="E69" s="108"/>
    </row>
    <row r="70" spans="1:5" x14ac:dyDescent="0.25">
      <c r="A70" s="60">
        <v>69</v>
      </c>
      <c r="B70" s="90" t="s">
        <v>317</v>
      </c>
      <c r="C70" s="91"/>
      <c r="D70" s="91" t="str">
        <f>IF(Tabela3[[#This Row],[TEMPO (MESES)]]="","",IF(Tabela3[[#This Row],[DATA ULTIMA]] ="", "",Tabela3[[#This Row],[DATA ULTIMA]]+(Tabela3[[#This Row],[TEMPO (MESES)]]*30.45)))</f>
        <v/>
      </c>
      <c r="E70" s="92"/>
    </row>
    <row r="71" spans="1:5" x14ac:dyDescent="0.25">
      <c r="A71" s="60">
        <v>70</v>
      </c>
      <c r="B71" s="90" t="s">
        <v>318</v>
      </c>
      <c r="C71" s="91"/>
      <c r="D71" s="91" t="str">
        <f>IF(Tabela3[[#This Row],[TEMPO (MESES)]]="","",IF(Tabela3[[#This Row],[DATA ULTIMA]] ="", "",Tabela3[[#This Row],[DATA ULTIMA]]+(Tabela3[[#This Row],[TEMPO (MESES)]]*30.45)))</f>
        <v/>
      </c>
      <c r="E71" s="92"/>
    </row>
    <row r="72" spans="1:5" x14ac:dyDescent="0.25">
      <c r="A72" s="142">
        <v>71</v>
      </c>
      <c r="B72" s="93" t="s">
        <v>319</v>
      </c>
      <c r="C72" s="94"/>
      <c r="D72" s="94" t="str">
        <f>IF(Tabela3[[#This Row],[TEMPO (MESES)]]="","",IF(Tabela3[[#This Row],[DATA ULTIMA]] ="", "",Tabela3[[#This Row],[DATA ULTIMA]]+(Tabela3[[#This Row],[TEMPO (MESES)]]*30.45)))</f>
        <v/>
      </c>
      <c r="E72" s="108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3 u w T i g B w 2 a n A A A A + A A A A B I A H A B D b 2 5 m a W c v U G F j a 2 F n Z S 5 4 b W w g o h g A K K A U A A A A A A A A A A A A A A A A A A A A A A A A A A A A h Y / B C o I w H I d f R X Z 3 0 2 k h 8 n d C X R O i I L q O t X S k U 9 x s v l u H H q l X S C i r W 8 f f x 3 f 4 f o / b H f K x q b 2 r 7 I 1 q d Y Z C H C B P a t G e l C 4 z N N i z n 6 C c w Z a L C y + l N 8 n a p K M 5 Z a i y t k s J c c 5 h F + G 2 L w k N g p A c i 8 1 e V L L h 6 C O r / 7 K v t L F c C 4 k Y H F 4 x j O J l g h d x R D G N Q y A z h k L p r 0 K n Y h w A + Y G w H m o 7 9 J J 1 1 l / t g M w T y P s F e w J Q S w M E F A A C A A g A d 3 u w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7 s E 4 o i k e 4 D g A A A B E A A A A T A B w A R m 9 y b X V s Y X M v U 2 V j d G l v b j E u b S C i G A A o o B Q A A A A A A A A A A A A A A A A A A A A A A A A A A A A r T k 0 u y c z P U w i G 0 I b W A F B L A Q I t A B Q A A g A I A H d 7 s E 4 o A c N m p w A A A P g A A A A S A A A A A A A A A A A A A A A A A A A A A A B D b 2 5 m a W c v U G F j a 2 F n Z S 5 4 b W x Q S w E C L Q A U A A I A C A B 3 e 7 B O D 8 r p q 6 Q A A A D p A A A A E w A A A A A A A A A A A A A A A A D z A A A A W 0 N v b n R l b n R f V H l w Z X N d L n h t b F B L A Q I t A B Q A A g A I A H d 7 s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D n h W c b s b S 4 S l 1 W j R Y m h k A A A A A A I A A A A A A B B m A A A A A Q A A I A A A A L u q G y z x 7 I 8 N Q c T g 2 Y u F + L i e c l m n s c m B K B T h r Y f 0 D S Y W A A A A A A 6 A A A A A A g A A I A A A A E 6 T + e G n t H 7 L g / H a n b w p z P a y r q E 5 T s H e C k 3 5 b 5 R y 0 P 0 / U A A A A D L A 3 u l 9 Q X C 4 f o P E S r z P B b Y i w 6 P q 6 b s S V 8 x L I P + 2 H 5 4 M P 1 9 5 y s p u j I e y M f 7 a Z q 9 J 0 9 C y j v O v s e n 4 r C c U v w j l Q / q 0 T A G w U y i k f S S N t o n z 7 e 7 9 Q A A A A L 7 c H l g / 1 8 x K h Y Z Q N a p 5 F U / m x W o v v 3 H 9 q U P 5 X + R C t Q l X 2 7 Q z 5 l 2 4 O r D h u Y K v 5 t Y / n D h W R / r c n l i Y B g w 5 J R z N e S E = < / D a t a M a s h u p > 
</file>

<file path=customXml/itemProps1.xml><?xml version="1.0" encoding="utf-8"?>
<ds:datastoreItem xmlns:ds="http://schemas.openxmlformats.org/officeDocument/2006/customXml" ds:itemID="{590B4241-CD62-46B7-8AB9-C7089A5721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Relatório</vt:lpstr>
      <vt:lpstr>Geração</vt:lpstr>
      <vt:lpstr>Efetividade</vt:lpstr>
      <vt:lpstr>Registro</vt:lpstr>
      <vt:lpstr>Cliente</vt:lpstr>
      <vt:lpstr>Ger Prev</vt:lpstr>
      <vt:lpstr>Ger Efet</vt:lpstr>
      <vt:lpstr>Acesso</vt:lpstr>
      <vt:lpstr>Limpezas</vt:lpstr>
      <vt:lpstr>Formulas Site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ENERGENS_04</dc:creator>
  <cp:lastModifiedBy>ENERGENS_04</cp:lastModifiedBy>
  <dcterms:created xsi:type="dcterms:W3CDTF">2019-05-16T11:41:06Z</dcterms:created>
  <dcterms:modified xsi:type="dcterms:W3CDTF">2019-10-04T17:11:33Z</dcterms:modified>
</cp:coreProperties>
</file>