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Codes\Organizar\"/>
    </mc:Choice>
  </mc:AlternateContent>
  <xr:revisionPtr revIDLastSave="0" documentId="13_ncr:1_{FFE081F4-4265-44DA-A165-25C25DB6953F}" xr6:coauthVersionLast="45" xr6:coauthVersionMax="45" xr10:uidLastSave="{00000000-0000-0000-0000-000000000000}"/>
  <bookViews>
    <workbookView xWindow="-120" yWindow="-120" windowWidth="20730" windowHeight="11160" tabRatio="744" firstSheet="1" activeTab="1" xr2:uid="{86A221B7-CE72-40EA-8CEA-223EEF95CFAD}"/>
  </bookViews>
  <sheets>
    <sheet name="Valores" sheetId="2" state="hidden" r:id="rId1"/>
    <sheet name="DashBoard" sheetId="14" r:id="rId2"/>
    <sheet name="Gráficos" sheetId="17" r:id="rId3"/>
    <sheet name="Consolidação" sheetId="12" r:id="rId4"/>
    <sheet name="Valor" sheetId="15" r:id="rId5"/>
    <sheet name="GeracaoConta" sheetId="8" r:id="rId6"/>
    <sheet name="GeracaoPortal" sheetId="9" r:id="rId7"/>
    <sheet name="Prev" sheetId="13" r:id="rId8"/>
    <sheet name="Registro" sheetId="11" r:id="rId9"/>
    <sheet name="Site" sheetId="16" r:id="rId10"/>
    <sheet name="Pastas" sheetId="10" r:id="rId11"/>
    <sheet name="Relação" sheetId="6" r:id="rId12"/>
    <sheet name="Valor contas" sheetId="7" state="hidden" r:id="rId13"/>
  </sheets>
  <definedNames>
    <definedName name="_xlchart.v1.0" hidden="1">(DashBoard!$A$7,DashBoard!$A$11,DashBoard!$A$15,DashBoard!$A$19,DashBoard!$A$23,DashBoard!$A$27,DashBoard!$A$31,DashBoard!$A$35,DashBoard!$A$39)</definedName>
    <definedName name="_xlchart.v1.1" hidden="1">DashBoard!$P$4</definedName>
    <definedName name="_xlchart.v1.10" hidden="1">DashBoard!$P$5:$P$42</definedName>
    <definedName name="_xlchart.v1.11" hidden="1">DashBoard!$Q$4</definedName>
    <definedName name="_xlchart.v1.12" hidden="1">DashBoard!$Q$5:$Q$14</definedName>
    <definedName name="_xlchart.v1.13" hidden="1">DashBoard!$Q$5:$Q$42</definedName>
    <definedName name="_xlchart.v1.2" hidden="1">DashBoard!$P$5:$P$14</definedName>
    <definedName name="_xlchart.v1.3" hidden="1">DashBoard!$P$5:$P$42</definedName>
    <definedName name="_xlchart.v1.4" hidden="1">DashBoard!$Q$4</definedName>
    <definedName name="_xlchart.v1.5" hidden="1">DashBoard!$Q$5:$Q$14</definedName>
    <definedName name="_xlchart.v1.6" hidden="1">DashBoard!$Q$5:$Q$42</definedName>
    <definedName name="_xlchart.v1.7" hidden="1">(DashBoard!$A$7,DashBoard!$A$11,DashBoard!$A$15,DashBoard!$A$19,DashBoard!$A$23,DashBoard!$A$27,DashBoard!$A$31,DashBoard!$A$35,DashBoard!$A$39)</definedName>
    <definedName name="_xlchart.v1.8" hidden="1">DashBoard!$P$4</definedName>
    <definedName name="_xlchart.v1.9" hidden="1">DashBoard!$P$5:$P$14</definedName>
    <definedName name="Consolidados">Tabela14[#All]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4" l="1"/>
  <c r="E39" i="14"/>
  <c r="F39" i="14"/>
  <c r="F40" i="14" s="1"/>
  <c r="G39" i="14"/>
  <c r="G40" i="14" s="1"/>
  <c r="H39" i="14"/>
  <c r="H40" i="14" s="1"/>
  <c r="I39" i="14"/>
  <c r="J39" i="14"/>
  <c r="J40" i="14" s="1"/>
  <c r="K39" i="14"/>
  <c r="K40" i="14" s="1"/>
  <c r="L39" i="14"/>
  <c r="M39" i="14"/>
  <c r="M40" i="14" s="1"/>
  <c r="N39" i="14"/>
  <c r="N40" i="14" s="1"/>
  <c r="D40" i="14"/>
  <c r="E40" i="14"/>
  <c r="I40" i="14"/>
  <c r="L40" i="14"/>
  <c r="D41" i="14"/>
  <c r="E41" i="14"/>
  <c r="F41" i="14"/>
  <c r="G41" i="14"/>
  <c r="H41" i="14"/>
  <c r="I41" i="14"/>
  <c r="J41" i="14"/>
  <c r="K41" i="14"/>
  <c r="L41" i="14"/>
  <c r="M41" i="14"/>
  <c r="N41" i="14"/>
  <c r="D42" i="14"/>
  <c r="E42" i="14"/>
  <c r="F42" i="14"/>
  <c r="G42" i="14"/>
  <c r="H42" i="14"/>
  <c r="I42" i="14"/>
  <c r="J42" i="14"/>
  <c r="K42" i="14"/>
  <c r="L42" i="14"/>
  <c r="M42" i="14"/>
  <c r="N42" i="14"/>
  <c r="C42" i="14"/>
  <c r="C41" i="14"/>
  <c r="C39" i="14"/>
  <c r="J13" i="14"/>
  <c r="K13" i="14"/>
  <c r="D35" i="14"/>
  <c r="D36" i="14" s="1"/>
  <c r="E35" i="14"/>
  <c r="E36" i="14" s="1"/>
  <c r="F35" i="14"/>
  <c r="F36" i="14" s="1"/>
  <c r="G35" i="14"/>
  <c r="G36" i="14" s="1"/>
  <c r="H35" i="14"/>
  <c r="H36" i="14" s="1"/>
  <c r="I35" i="14"/>
  <c r="I36" i="14" s="1"/>
  <c r="J35" i="14"/>
  <c r="J36" i="14" s="1"/>
  <c r="K35" i="14"/>
  <c r="K36" i="14" s="1"/>
  <c r="L35" i="14"/>
  <c r="L36" i="14" s="1"/>
  <c r="M35" i="14"/>
  <c r="M36" i="14" s="1"/>
  <c r="N35" i="14"/>
  <c r="N36" i="14" s="1"/>
  <c r="D37" i="14"/>
  <c r="E37" i="14"/>
  <c r="F37" i="14"/>
  <c r="G37" i="14"/>
  <c r="H37" i="14"/>
  <c r="I37" i="14"/>
  <c r="J37" i="14"/>
  <c r="K37" i="14"/>
  <c r="L37" i="14"/>
  <c r="M37" i="14"/>
  <c r="N37" i="14"/>
  <c r="D38" i="14"/>
  <c r="E38" i="14"/>
  <c r="F38" i="14"/>
  <c r="G38" i="14"/>
  <c r="H38" i="14"/>
  <c r="I38" i="14"/>
  <c r="J38" i="14"/>
  <c r="K38" i="14"/>
  <c r="L38" i="14"/>
  <c r="M38" i="14"/>
  <c r="N38" i="14"/>
  <c r="C38" i="14"/>
  <c r="C37" i="14"/>
  <c r="C35" i="14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O42" i="14" l="1"/>
  <c r="O41" i="14"/>
  <c r="O39" i="14"/>
  <c r="O37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N31" i="14"/>
  <c r="N32" i="14" s="1"/>
  <c r="M31" i="14"/>
  <c r="M32" i="14" s="1"/>
  <c r="L31" i="14"/>
  <c r="L32" i="14" s="1"/>
  <c r="K31" i="14"/>
  <c r="K32" i="14" s="1"/>
  <c r="J31" i="14"/>
  <c r="J32" i="14" s="1"/>
  <c r="I31" i="14"/>
  <c r="I32" i="14" s="1"/>
  <c r="H31" i="14"/>
  <c r="H32" i="14" s="1"/>
  <c r="G31" i="14"/>
  <c r="G32" i="14" s="1"/>
  <c r="F31" i="14"/>
  <c r="F32" i="14" s="1"/>
  <c r="E31" i="14"/>
  <c r="E32" i="14" s="1"/>
  <c r="D31" i="14"/>
  <c r="D32" i="14" s="1"/>
  <c r="C31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N27" i="14"/>
  <c r="N28" i="14" s="1"/>
  <c r="M27" i="14"/>
  <c r="M28" i="14" s="1"/>
  <c r="L27" i="14"/>
  <c r="L28" i="14" s="1"/>
  <c r="K27" i="14"/>
  <c r="K28" i="14" s="1"/>
  <c r="J27" i="14"/>
  <c r="J28" i="14" s="1"/>
  <c r="I27" i="14"/>
  <c r="I28" i="14" s="1"/>
  <c r="H27" i="14"/>
  <c r="H28" i="14" s="1"/>
  <c r="G27" i="14"/>
  <c r="G28" i="14" s="1"/>
  <c r="F27" i="14"/>
  <c r="F28" i="14" s="1"/>
  <c r="E27" i="14"/>
  <c r="E28" i="14" s="1"/>
  <c r="D27" i="14"/>
  <c r="D28" i="14" s="1"/>
  <c r="C27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N23" i="14"/>
  <c r="N24" i="14" s="1"/>
  <c r="M23" i="14"/>
  <c r="M24" i="14" s="1"/>
  <c r="L23" i="14"/>
  <c r="L24" i="14" s="1"/>
  <c r="K23" i="14"/>
  <c r="K24" i="14" s="1"/>
  <c r="J23" i="14"/>
  <c r="J24" i="14" s="1"/>
  <c r="I23" i="14"/>
  <c r="I24" i="14" s="1"/>
  <c r="H23" i="14"/>
  <c r="H24" i="14" s="1"/>
  <c r="G23" i="14"/>
  <c r="G24" i="14" s="1"/>
  <c r="F23" i="14"/>
  <c r="F24" i="14" s="1"/>
  <c r="E23" i="14"/>
  <c r="E24" i="14" s="1"/>
  <c r="D23" i="14"/>
  <c r="D24" i="14" s="1"/>
  <c r="C23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N19" i="14"/>
  <c r="N20" i="14" s="1"/>
  <c r="M19" i="14"/>
  <c r="M20" i="14" s="1"/>
  <c r="L19" i="14"/>
  <c r="L20" i="14" s="1"/>
  <c r="K19" i="14"/>
  <c r="K20" i="14" s="1"/>
  <c r="J19" i="14"/>
  <c r="J20" i="14" s="1"/>
  <c r="I19" i="14"/>
  <c r="I20" i="14" s="1"/>
  <c r="H19" i="14"/>
  <c r="H20" i="14" s="1"/>
  <c r="G19" i="14"/>
  <c r="G20" i="14" s="1"/>
  <c r="F19" i="14"/>
  <c r="F20" i="14" s="1"/>
  <c r="E19" i="14"/>
  <c r="E20" i="14" s="1"/>
  <c r="D19" i="14"/>
  <c r="D20" i="14" s="1"/>
  <c r="C19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15" i="14"/>
  <c r="N16" i="14" s="1"/>
  <c r="M15" i="14"/>
  <c r="M16" i="14" s="1"/>
  <c r="L15" i="14"/>
  <c r="L16" i="14" s="1"/>
  <c r="K15" i="14"/>
  <c r="K16" i="14" s="1"/>
  <c r="J15" i="14"/>
  <c r="J16" i="14" s="1"/>
  <c r="I15" i="14"/>
  <c r="I16" i="14" s="1"/>
  <c r="H15" i="14"/>
  <c r="H16" i="14" s="1"/>
  <c r="G15" i="14"/>
  <c r="G16" i="14" s="1"/>
  <c r="F15" i="14"/>
  <c r="F16" i="14" s="1"/>
  <c r="E15" i="14"/>
  <c r="E16" i="14" s="1"/>
  <c r="D15" i="14"/>
  <c r="D16" i="14" s="1"/>
  <c r="C15" i="14"/>
  <c r="N13" i="14"/>
  <c r="M13" i="14"/>
  <c r="L13" i="14"/>
  <c r="I13" i="14"/>
  <c r="H13" i="14"/>
  <c r="G13" i="14"/>
  <c r="F13" i="14"/>
  <c r="E13" i="14"/>
  <c r="D13" i="14"/>
  <c r="C13" i="14"/>
  <c r="N11" i="14"/>
  <c r="N12" i="14" s="1"/>
  <c r="M11" i="14"/>
  <c r="M12" i="14" s="1"/>
  <c r="L11" i="14"/>
  <c r="K11" i="14"/>
  <c r="J11" i="14"/>
  <c r="I11" i="14"/>
  <c r="H11" i="14"/>
  <c r="G11" i="14"/>
  <c r="F11" i="14"/>
  <c r="E11" i="14"/>
  <c r="D11" i="14"/>
  <c r="C11" i="14"/>
  <c r="N9" i="14"/>
  <c r="M9" i="14"/>
  <c r="L9" i="14"/>
  <c r="K9" i="14"/>
  <c r="J9" i="14"/>
  <c r="I9" i="14"/>
  <c r="H9" i="14"/>
  <c r="G9" i="14"/>
  <c r="F9" i="14"/>
  <c r="E9" i="14"/>
  <c r="D9" i="14"/>
  <c r="C9" i="14"/>
  <c r="N7" i="14"/>
  <c r="M7" i="14"/>
  <c r="L7" i="14"/>
  <c r="K7" i="14"/>
  <c r="J7" i="14"/>
  <c r="I7" i="14"/>
  <c r="H7" i="14"/>
  <c r="G7" i="14"/>
  <c r="F7" i="14"/>
  <c r="E7" i="14"/>
  <c r="D7" i="14"/>
  <c r="C7" i="14"/>
  <c r="K2" i="14"/>
  <c r="G2" i="14"/>
  <c r="C2" i="14"/>
  <c r="O21" i="14" l="1"/>
  <c r="O7" i="14"/>
  <c r="G8" i="14"/>
  <c r="K8" i="14"/>
  <c r="D8" i="14"/>
  <c r="H8" i="14"/>
  <c r="L8" i="14"/>
  <c r="D12" i="14"/>
  <c r="H12" i="14"/>
  <c r="L12" i="14"/>
  <c r="E12" i="14"/>
  <c r="I12" i="14"/>
  <c r="F8" i="14"/>
  <c r="J8" i="14"/>
  <c r="N8" i="14"/>
  <c r="F12" i="14"/>
  <c r="J12" i="14"/>
  <c r="O38" i="14"/>
  <c r="O31" i="14"/>
  <c r="O11" i="14"/>
  <c r="O15" i="14"/>
  <c r="K12" i="14"/>
  <c r="O23" i="14"/>
  <c r="O19" i="14"/>
  <c r="C20" i="14"/>
  <c r="O20" i="14" s="1"/>
  <c r="O35" i="14"/>
  <c r="C36" i="14"/>
  <c r="O36" i="14" s="1"/>
  <c r="O27" i="14"/>
  <c r="C28" i="14"/>
  <c r="O28" i="14" s="1"/>
  <c r="O17" i="14"/>
  <c r="O33" i="14"/>
  <c r="O9" i="14"/>
  <c r="O13" i="14"/>
  <c r="O29" i="14"/>
  <c r="O25" i="14"/>
  <c r="C8" i="14"/>
  <c r="C16" i="14"/>
  <c r="O16" i="14" s="1"/>
  <c r="C24" i="14"/>
  <c r="O24" i="14" s="1"/>
  <c r="C32" i="14"/>
  <c r="O32" i="14" s="1"/>
  <c r="C40" i="14"/>
  <c r="O40" i="14" s="1"/>
  <c r="E8" i="14"/>
  <c r="I8" i="14"/>
  <c r="M8" i="14"/>
  <c r="C12" i="14"/>
  <c r="G12" i="14"/>
  <c r="B8" i="16"/>
  <c r="B7" i="16"/>
  <c r="B6" i="16"/>
  <c r="B5" i="16"/>
  <c r="B1" i="16"/>
  <c r="B4" i="16" s="1"/>
  <c r="B2" i="15"/>
  <c r="C10" i="14" s="1"/>
  <c r="B72" i="15"/>
  <c r="M30" i="14" s="1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N30" i="14" s="1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34" i="14" s="1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D34" i="14" s="1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E34" i="14" s="1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F34" i="14" s="1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G34" i="14" s="1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H34" i="14" s="1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I34" i="14" s="1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J34" i="14" s="1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K34" i="14" s="1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L34" i="14" s="1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M34" i="14" s="1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N34" i="14" s="1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D10" i="14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E10" i="14" s="1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F10" i="14" s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G10" i="14" s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H10" i="14" s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I10" i="14" s="1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J10" i="14" s="1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K10" i="14" s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L10" i="14" s="1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M10" i="14" s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N10" i="14" s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4" i="14" s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D14" i="14" s="1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E14" i="14" s="1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F14" i="14" s="1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G14" i="14" s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H14" i="14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I14" i="14" s="1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J14" i="14" s="1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K14" i="14" s="1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L14" i="14" s="1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M14" i="14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N14" i="14" s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18" i="14" s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D18" i="14" s="1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E18" i="14" s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F18" i="14" s="1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G18" i="14" s="1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H18" i="14" s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I18" i="14" s="1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J18" i="14" s="1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K18" i="14" s="1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L18" i="14" s="1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M18" i="14" s="1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N18" i="14" s="1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22" i="14" s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D22" i="14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E22" i="14" s="1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F22" i="14" s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G22" i="14" s="1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H22" i="14" s="1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I22" i="14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J22" i="14" s="1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K22" i="14" s="1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L22" i="14" s="1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M22" i="14" s="1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N22" i="14" s="1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26" i="14" s="1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D26" i="14" s="1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E26" i="14" s="1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F26" i="14" s="1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G26" i="14" s="1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H26" i="14" s="1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I26" i="14" s="1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J26" i="14" s="1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K26" i="14" s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L26" i="14" s="1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M26" i="14" s="1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N26" i="14" s="1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30" i="14" s="1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D30" i="14" s="1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E30" i="14" s="1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F30" i="14" s="1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G30" i="14" s="1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H30" i="14" s="1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I30" i="14" s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J30" i="14" s="1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K30" i="14" s="1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L30" i="14" s="1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M58" i="13"/>
  <c r="E62" i="13"/>
  <c r="M70" i="13"/>
  <c r="J71" i="13"/>
  <c r="L74" i="13"/>
  <c r="H76" i="13"/>
  <c r="AD74" i="13"/>
  <c r="C7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3" i="13"/>
  <c r="A4" i="13" s="1"/>
  <c r="E75" i="12"/>
  <c r="AD76" i="13" s="1"/>
  <c r="F76" i="13" s="1"/>
  <c r="E74" i="12"/>
  <c r="AD75" i="13" s="1"/>
  <c r="C75" i="13" s="1"/>
  <c r="E73" i="12"/>
  <c r="E72" i="12"/>
  <c r="AD73" i="13" s="1"/>
  <c r="E73" i="13" s="1"/>
  <c r="E71" i="12"/>
  <c r="AD72" i="13" s="1"/>
  <c r="F72" i="13" s="1"/>
  <c r="E70" i="12"/>
  <c r="AD71" i="13" s="1"/>
  <c r="C71" i="13" s="1"/>
  <c r="E69" i="12"/>
  <c r="AD70" i="13" s="1"/>
  <c r="F70" i="13" s="1"/>
  <c r="E68" i="12"/>
  <c r="AD69" i="13" s="1"/>
  <c r="E67" i="12"/>
  <c r="AD68" i="13" s="1"/>
  <c r="F68" i="13" s="1"/>
  <c r="E66" i="12"/>
  <c r="AD67" i="13" s="1"/>
  <c r="C67" i="13" s="1"/>
  <c r="E65" i="12"/>
  <c r="AD66" i="13" s="1"/>
  <c r="F66" i="13" s="1"/>
  <c r="E64" i="12"/>
  <c r="AD65" i="13" s="1"/>
  <c r="E63" i="12"/>
  <c r="AD64" i="13" s="1"/>
  <c r="F64" i="13" s="1"/>
  <c r="E62" i="12"/>
  <c r="AD63" i="13" s="1"/>
  <c r="C63" i="13" s="1"/>
  <c r="E61" i="12"/>
  <c r="AD62" i="13" s="1"/>
  <c r="F62" i="13" s="1"/>
  <c r="E60" i="12"/>
  <c r="AD61" i="13" s="1"/>
  <c r="E59" i="12"/>
  <c r="AD60" i="13" s="1"/>
  <c r="F60" i="13" s="1"/>
  <c r="E58" i="12"/>
  <c r="AD59" i="13" s="1"/>
  <c r="C59" i="13" s="1"/>
  <c r="E57" i="12"/>
  <c r="AD58" i="13" s="1"/>
  <c r="E58" i="13" s="1"/>
  <c r="E56" i="12"/>
  <c r="AD57" i="13" s="1"/>
  <c r="E55" i="12"/>
  <c r="AD56" i="13" s="1"/>
  <c r="D56" i="13" s="1"/>
  <c r="E54" i="12"/>
  <c r="AD55" i="13" s="1"/>
  <c r="G55" i="13" s="1"/>
  <c r="E53" i="12"/>
  <c r="AD54" i="13" s="1"/>
  <c r="D54" i="13" s="1"/>
  <c r="E52" i="12"/>
  <c r="AD53" i="13" s="1"/>
  <c r="E51" i="12"/>
  <c r="AD52" i="13" s="1"/>
  <c r="D52" i="13" s="1"/>
  <c r="E50" i="12"/>
  <c r="AD51" i="13" s="1"/>
  <c r="H51" i="13" s="1"/>
  <c r="E49" i="12"/>
  <c r="AD50" i="13" s="1"/>
  <c r="G50" i="13" s="1"/>
  <c r="E48" i="12"/>
  <c r="AD49" i="13" s="1"/>
  <c r="K49" i="13" s="1"/>
  <c r="E47" i="12"/>
  <c r="AD48" i="13" s="1"/>
  <c r="D48" i="13" s="1"/>
  <c r="E46" i="12"/>
  <c r="AD47" i="13" s="1"/>
  <c r="C47" i="13" s="1"/>
  <c r="E45" i="12"/>
  <c r="AD46" i="13" s="1"/>
  <c r="D46" i="13" s="1"/>
  <c r="E44" i="12"/>
  <c r="AD45" i="13" s="1"/>
  <c r="E43" i="12"/>
  <c r="AD44" i="13" s="1"/>
  <c r="D44" i="13" s="1"/>
  <c r="E42" i="12"/>
  <c r="AD43" i="13" s="1"/>
  <c r="D43" i="13" s="1"/>
  <c r="E41" i="12"/>
  <c r="AD42" i="13" s="1"/>
  <c r="F42" i="13" s="1"/>
  <c r="E40" i="12"/>
  <c r="AD41" i="13" s="1"/>
  <c r="E39" i="12"/>
  <c r="AD40" i="13" s="1"/>
  <c r="J40" i="13" s="1"/>
  <c r="E38" i="12"/>
  <c r="AD39" i="13" s="1"/>
  <c r="C39" i="13" s="1"/>
  <c r="E37" i="12"/>
  <c r="AD38" i="13" s="1"/>
  <c r="G38" i="13" s="1"/>
  <c r="E36" i="12"/>
  <c r="AD37" i="13" s="1"/>
  <c r="J37" i="13" s="1"/>
  <c r="E35" i="12"/>
  <c r="AD36" i="13" s="1"/>
  <c r="F36" i="13" s="1"/>
  <c r="E34" i="12"/>
  <c r="AD35" i="13" s="1"/>
  <c r="K35" i="13" s="1"/>
  <c r="E33" i="12"/>
  <c r="AD34" i="13" s="1"/>
  <c r="H34" i="13" s="1"/>
  <c r="E32" i="12"/>
  <c r="AD33" i="13" s="1"/>
  <c r="D33" i="13" s="1"/>
  <c r="E31" i="12"/>
  <c r="AD32" i="13" s="1"/>
  <c r="K32" i="13" s="1"/>
  <c r="E30" i="12"/>
  <c r="AD31" i="13" s="1"/>
  <c r="D31" i="13" s="1"/>
  <c r="E29" i="12"/>
  <c r="AD30" i="13" s="1"/>
  <c r="H30" i="13" s="1"/>
  <c r="E28" i="12"/>
  <c r="AD29" i="13" s="1"/>
  <c r="E27" i="12"/>
  <c r="AD28" i="13" s="1"/>
  <c r="G28" i="13" s="1"/>
  <c r="E26" i="12"/>
  <c r="AD27" i="13" s="1"/>
  <c r="C27" i="13" s="1"/>
  <c r="E25" i="12"/>
  <c r="AD26" i="13" s="1"/>
  <c r="H26" i="13" s="1"/>
  <c r="E24" i="12"/>
  <c r="AD25" i="13" s="1"/>
  <c r="E23" i="12"/>
  <c r="AD24" i="13" s="1"/>
  <c r="K24" i="13" s="1"/>
  <c r="E22" i="12"/>
  <c r="AD23" i="13" s="1"/>
  <c r="G23" i="13" s="1"/>
  <c r="E21" i="12"/>
  <c r="AD22" i="13" s="1"/>
  <c r="H22" i="13" s="1"/>
  <c r="E20" i="12"/>
  <c r="AD21" i="13" s="1"/>
  <c r="E19" i="12"/>
  <c r="AD20" i="13" s="1"/>
  <c r="G20" i="13" s="1"/>
  <c r="E18" i="12"/>
  <c r="AD19" i="13" s="1"/>
  <c r="E17" i="12"/>
  <c r="AD18" i="13" s="1"/>
  <c r="N18" i="13" s="1"/>
  <c r="E16" i="12"/>
  <c r="AD17" i="13" s="1"/>
  <c r="E15" i="12"/>
  <c r="AD16" i="13" s="1"/>
  <c r="D16" i="13" s="1"/>
  <c r="E14" i="12"/>
  <c r="AD15" i="13" s="1"/>
  <c r="D15" i="13" s="1"/>
  <c r="E13" i="12"/>
  <c r="AD14" i="13" s="1"/>
  <c r="G14" i="13" s="1"/>
  <c r="E12" i="12"/>
  <c r="AD13" i="13" s="1"/>
  <c r="E11" i="12"/>
  <c r="AD12" i="13" s="1"/>
  <c r="D12" i="13" s="1"/>
  <c r="E10" i="12"/>
  <c r="AD11" i="13" s="1"/>
  <c r="C11" i="13" s="1"/>
  <c r="E9" i="12"/>
  <c r="AD10" i="13" s="1"/>
  <c r="G10" i="13" s="1"/>
  <c r="E8" i="12"/>
  <c r="AD9" i="13" s="1"/>
  <c r="E9" i="13" s="1"/>
  <c r="E7" i="12"/>
  <c r="AD8" i="13" s="1"/>
  <c r="E6" i="12"/>
  <c r="AD7" i="13" s="1"/>
  <c r="E5" i="12"/>
  <c r="AD6" i="13" s="1"/>
  <c r="K6" i="13" s="1"/>
  <c r="E4" i="12"/>
  <c r="AD5" i="13" s="1"/>
  <c r="E3" i="12"/>
  <c r="AD4" i="13" s="1"/>
  <c r="E2" i="12"/>
  <c r="AD3" i="13" s="1"/>
  <c r="J75" i="13" l="1"/>
  <c r="L72" i="13"/>
  <c r="H67" i="13"/>
  <c r="J63" i="13"/>
  <c r="M59" i="13"/>
  <c r="L55" i="13"/>
  <c r="G51" i="13"/>
  <c r="J46" i="13"/>
  <c r="N39" i="13"/>
  <c r="H28" i="13"/>
  <c r="L76" i="13"/>
  <c r="E75" i="13"/>
  <c r="D72" i="13"/>
  <c r="E70" i="13"/>
  <c r="M66" i="13"/>
  <c r="E63" i="13"/>
  <c r="H59" i="13"/>
  <c r="D55" i="13"/>
  <c r="D50" i="13"/>
  <c r="G44" i="13"/>
  <c r="J36" i="13"/>
  <c r="C26" i="13"/>
  <c r="H68" i="13"/>
  <c r="L64" i="13"/>
  <c r="L52" i="13"/>
  <c r="F48" i="13"/>
  <c r="J43" i="13"/>
  <c r="C35" i="13"/>
  <c r="D23" i="13"/>
  <c r="D76" i="13"/>
  <c r="F74" i="13"/>
  <c r="E71" i="13"/>
  <c r="M67" i="13"/>
  <c r="D64" i="13"/>
  <c r="H60" i="13"/>
  <c r="K56" i="13"/>
  <c r="N51" i="13"/>
  <c r="H47" i="13"/>
  <c r="C43" i="13"/>
  <c r="G31" i="13"/>
  <c r="O22" i="14"/>
  <c r="O14" i="14"/>
  <c r="O30" i="14"/>
  <c r="O26" i="14"/>
  <c r="O18" i="14"/>
  <c r="O34" i="14"/>
  <c r="O10" i="14"/>
  <c r="O12" i="14"/>
  <c r="O8" i="14"/>
  <c r="I76" i="13"/>
  <c r="N75" i="13"/>
  <c r="I75" i="13"/>
  <c r="D75" i="13"/>
  <c r="J74" i="13"/>
  <c r="E74" i="13"/>
  <c r="I72" i="13"/>
  <c r="N71" i="13"/>
  <c r="I71" i="13"/>
  <c r="D71" i="13"/>
  <c r="M68" i="13"/>
  <c r="E68" i="13"/>
  <c r="L67" i="13"/>
  <c r="F67" i="13"/>
  <c r="I66" i="13"/>
  <c r="I64" i="13"/>
  <c r="N63" i="13"/>
  <c r="I63" i="13"/>
  <c r="D63" i="13"/>
  <c r="M60" i="13"/>
  <c r="E60" i="13"/>
  <c r="L59" i="13"/>
  <c r="F59" i="13"/>
  <c r="I58" i="13"/>
  <c r="G56" i="13"/>
  <c r="J55" i="13"/>
  <c r="C55" i="13"/>
  <c r="K52" i="13"/>
  <c r="L51" i="13"/>
  <c r="D51" i="13"/>
  <c r="L48" i="13"/>
  <c r="N47" i="13"/>
  <c r="G47" i="13"/>
  <c r="F44" i="13"/>
  <c r="H43" i="13"/>
  <c r="J42" i="13"/>
  <c r="F39" i="13"/>
  <c r="G36" i="13"/>
  <c r="C34" i="13"/>
  <c r="L27" i="13"/>
  <c r="G24" i="13"/>
  <c r="M75" i="13"/>
  <c r="H75" i="13"/>
  <c r="N74" i="13"/>
  <c r="I74" i="13"/>
  <c r="D74" i="13"/>
  <c r="H72" i="13"/>
  <c r="M71" i="13"/>
  <c r="H71" i="13"/>
  <c r="L68" i="13"/>
  <c r="D68" i="13"/>
  <c r="J67" i="13"/>
  <c r="E67" i="13"/>
  <c r="E66" i="13"/>
  <c r="H64" i="13"/>
  <c r="M63" i="13"/>
  <c r="H63" i="13"/>
  <c r="M62" i="13"/>
  <c r="L60" i="13"/>
  <c r="D60" i="13"/>
  <c r="J59" i="13"/>
  <c r="E59" i="13"/>
  <c r="D58" i="13"/>
  <c r="F56" i="13"/>
  <c r="H55" i="13"/>
  <c r="J54" i="13"/>
  <c r="G52" i="13"/>
  <c r="J51" i="13"/>
  <c r="C51" i="13"/>
  <c r="K48" i="13"/>
  <c r="L47" i="13"/>
  <c r="D47" i="13"/>
  <c r="L44" i="13"/>
  <c r="N43" i="13"/>
  <c r="G43" i="13"/>
  <c r="N40" i="13"/>
  <c r="L35" i="13"/>
  <c r="G32" i="13"/>
  <c r="K27" i="13"/>
  <c r="C24" i="13"/>
  <c r="K20" i="13"/>
  <c r="M76" i="13"/>
  <c r="E76" i="13"/>
  <c r="L75" i="13"/>
  <c r="F75" i="13"/>
  <c r="M74" i="13"/>
  <c r="H74" i="13"/>
  <c r="M72" i="13"/>
  <c r="E72" i="13"/>
  <c r="L71" i="13"/>
  <c r="F71" i="13"/>
  <c r="I70" i="13"/>
  <c r="I68" i="13"/>
  <c r="N67" i="13"/>
  <c r="I67" i="13"/>
  <c r="D67" i="13"/>
  <c r="M64" i="13"/>
  <c r="E64" i="13"/>
  <c r="L63" i="13"/>
  <c r="F63" i="13"/>
  <c r="I62" i="13"/>
  <c r="I60" i="13"/>
  <c r="N59" i="13"/>
  <c r="I59" i="13"/>
  <c r="D59" i="13"/>
  <c r="L56" i="13"/>
  <c r="N55" i="13"/>
  <c r="F52" i="13"/>
  <c r="J50" i="13"/>
  <c r="G48" i="13"/>
  <c r="J47" i="13"/>
  <c r="K44" i="13"/>
  <c r="L43" i="13"/>
  <c r="F40" i="13"/>
  <c r="C32" i="13"/>
  <c r="K28" i="13"/>
  <c r="H20" i="13"/>
  <c r="E29" i="13"/>
  <c r="I29" i="13"/>
  <c r="M29" i="13"/>
  <c r="F29" i="13"/>
  <c r="J29" i="13"/>
  <c r="N29" i="13"/>
  <c r="H29" i="13"/>
  <c r="C29" i="13"/>
  <c r="L29" i="13"/>
  <c r="D29" i="13"/>
  <c r="G29" i="13"/>
  <c r="O29" i="13" s="1"/>
  <c r="K29" i="13"/>
  <c r="D41" i="13"/>
  <c r="H41" i="13"/>
  <c r="L41" i="13"/>
  <c r="E41" i="13"/>
  <c r="I41" i="13"/>
  <c r="M41" i="13"/>
  <c r="G41" i="13"/>
  <c r="F41" i="13"/>
  <c r="J41" i="13"/>
  <c r="K41" i="13"/>
  <c r="E45" i="13"/>
  <c r="I45" i="13"/>
  <c r="M45" i="13"/>
  <c r="G45" i="13"/>
  <c r="L45" i="13"/>
  <c r="C45" i="13"/>
  <c r="H45" i="13"/>
  <c r="N45" i="13"/>
  <c r="D45" i="13"/>
  <c r="J45" i="13"/>
  <c r="E57" i="13"/>
  <c r="I57" i="13"/>
  <c r="M57" i="13"/>
  <c r="G57" i="13"/>
  <c r="L57" i="13"/>
  <c r="D57" i="13"/>
  <c r="C57" i="13"/>
  <c r="H57" i="13"/>
  <c r="N57" i="13"/>
  <c r="J57" i="13"/>
  <c r="F69" i="13"/>
  <c r="J69" i="13"/>
  <c r="N69" i="13"/>
  <c r="H69" i="13"/>
  <c r="C69" i="13"/>
  <c r="G69" i="13"/>
  <c r="K69" i="13"/>
  <c r="D69" i="13"/>
  <c r="L69" i="13"/>
  <c r="M69" i="13"/>
  <c r="E21" i="13"/>
  <c r="I21" i="13"/>
  <c r="M21" i="13"/>
  <c r="F21" i="13"/>
  <c r="J21" i="13"/>
  <c r="N21" i="13"/>
  <c r="H21" i="13"/>
  <c r="C21" i="13"/>
  <c r="L21" i="13"/>
  <c r="D21" i="13"/>
  <c r="G21" i="13"/>
  <c r="K21" i="13"/>
  <c r="E33" i="13"/>
  <c r="I33" i="13"/>
  <c r="M33" i="13"/>
  <c r="F33" i="13"/>
  <c r="J33" i="13"/>
  <c r="N33" i="13"/>
  <c r="H33" i="13"/>
  <c r="G33" i="13"/>
  <c r="K33" i="13"/>
  <c r="C33" i="13"/>
  <c r="L33" i="13"/>
  <c r="E53" i="13"/>
  <c r="I53" i="13"/>
  <c r="M53" i="13"/>
  <c r="G53" i="13"/>
  <c r="L53" i="13"/>
  <c r="J53" i="13"/>
  <c r="C53" i="13"/>
  <c r="H53" i="13"/>
  <c r="N53" i="13"/>
  <c r="D53" i="13"/>
  <c r="F65" i="13"/>
  <c r="J65" i="13"/>
  <c r="N65" i="13"/>
  <c r="D65" i="13"/>
  <c r="L65" i="13"/>
  <c r="C65" i="13"/>
  <c r="G65" i="13"/>
  <c r="K65" i="13"/>
  <c r="H65" i="13"/>
  <c r="I69" i="13"/>
  <c r="M65" i="13"/>
  <c r="F45" i="13"/>
  <c r="I65" i="13"/>
  <c r="N41" i="13"/>
  <c r="E25" i="13"/>
  <c r="E5" i="14" s="1"/>
  <c r="E6" i="14" s="1"/>
  <c r="I25" i="13"/>
  <c r="I5" i="14" s="1"/>
  <c r="I6" i="14" s="1"/>
  <c r="M25" i="13"/>
  <c r="M5" i="14" s="1"/>
  <c r="M6" i="14" s="1"/>
  <c r="F25" i="13"/>
  <c r="F5" i="14" s="1"/>
  <c r="F6" i="14" s="1"/>
  <c r="J25" i="13"/>
  <c r="J5" i="14" s="1"/>
  <c r="J6" i="14" s="1"/>
  <c r="N25" i="13"/>
  <c r="N5" i="14" s="1"/>
  <c r="N6" i="14" s="1"/>
  <c r="H25" i="13"/>
  <c r="H5" i="14" s="1"/>
  <c r="H6" i="14" s="1"/>
  <c r="G25" i="13"/>
  <c r="G5" i="14" s="1"/>
  <c r="G6" i="14" s="1"/>
  <c r="K25" i="13"/>
  <c r="K5" i="14" s="1"/>
  <c r="K6" i="14" s="1"/>
  <c r="C25" i="13"/>
  <c r="C5" i="14" s="1"/>
  <c r="C6" i="14" s="1"/>
  <c r="L25" i="13"/>
  <c r="L5" i="14" s="1"/>
  <c r="L6" i="14" s="1"/>
  <c r="D25" i="13"/>
  <c r="D5" i="14" s="1"/>
  <c r="D6" i="14" s="1"/>
  <c r="D37" i="13"/>
  <c r="H37" i="13"/>
  <c r="L37" i="13"/>
  <c r="E37" i="13"/>
  <c r="I37" i="13"/>
  <c r="M37" i="13"/>
  <c r="G37" i="13"/>
  <c r="K37" i="13"/>
  <c r="C37" i="13"/>
  <c r="N37" i="13"/>
  <c r="F37" i="13"/>
  <c r="E49" i="13"/>
  <c r="I49" i="13"/>
  <c r="M49" i="13"/>
  <c r="G49" i="13"/>
  <c r="L49" i="13"/>
  <c r="J49" i="13"/>
  <c r="C49" i="13"/>
  <c r="H49" i="13"/>
  <c r="N49" i="13"/>
  <c r="D49" i="13"/>
  <c r="F61" i="13"/>
  <c r="J61" i="13"/>
  <c r="N61" i="13"/>
  <c r="D61" i="13"/>
  <c r="L61" i="13"/>
  <c r="C61" i="13"/>
  <c r="G61" i="13"/>
  <c r="K61" i="13"/>
  <c r="H61" i="13"/>
  <c r="F73" i="13"/>
  <c r="J73" i="13"/>
  <c r="N73" i="13"/>
  <c r="H73" i="13"/>
  <c r="C73" i="13"/>
  <c r="G73" i="13"/>
  <c r="K73" i="13"/>
  <c r="D73" i="13"/>
  <c r="L73" i="13"/>
  <c r="I73" i="13"/>
  <c r="E61" i="13"/>
  <c r="F57" i="13"/>
  <c r="K45" i="13"/>
  <c r="E69" i="13"/>
  <c r="M61" i="13"/>
  <c r="K53" i="13"/>
  <c r="F49" i="13"/>
  <c r="M73" i="13"/>
  <c r="E65" i="13"/>
  <c r="I61" i="13"/>
  <c r="K57" i="13"/>
  <c r="F53" i="13"/>
  <c r="C41" i="13"/>
  <c r="E22" i="13"/>
  <c r="I22" i="13"/>
  <c r="M22" i="13"/>
  <c r="F22" i="13"/>
  <c r="J22" i="13"/>
  <c r="N22" i="13"/>
  <c r="D22" i="13"/>
  <c r="L22" i="13"/>
  <c r="E30" i="13"/>
  <c r="I30" i="13"/>
  <c r="M30" i="13"/>
  <c r="F30" i="13"/>
  <c r="J30" i="13"/>
  <c r="N30" i="13"/>
  <c r="D30" i="13"/>
  <c r="L30" i="13"/>
  <c r="D38" i="13"/>
  <c r="H38" i="13"/>
  <c r="L38" i="13"/>
  <c r="E38" i="13"/>
  <c r="I38" i="13"/>
  <c r="M38" i="13"/>
  <c r="C38" i="13"/>
  <c r="K38" i="13"/>
  <c r="E46" i="13"/>
  <c r="I46" i="13"/>
  <c r="M46" i="13"/>
  <c r="E54" i="13"/>
  <c r="I54" i="13"/>
  <c r="M54" i="13"/>
  <c r="H70" i="13"/>
  <c r="H66" i="13"/>
  <c r="L62" i="13"/>
  <c r="D62" i="13"/>
  <c r="H58" i="13"/>
  <c r="N54" i="13"/>
  <c r="C54" i="13"/>
  <c r="H50" i="13"/>
  <c r="C50" i="13"/>
  <c r="N46" i="13"/>
  <c r="H46" i="13"/>
  <c r="C46" i="13"/>
  <c r="N42" i="13"/>
  <c r="G42" i="13"/>
  <c r="F38" i="13"/>
  <c r="K34" i="13"/>
  <c r="G30" i="13"/>
  <c r="K26" i="13"/>
  <c r="G22" i="13"/>
  <c r="N3" i="13"/>
  <c r="C3" i="13"/>
  <c r="E23" i="13"/>
  <c r="I23" i="13"/>
  <c r="M23" i="13"/>
  <c r="F23" i="13"/>
  <c r="J23" i="13"/>
  <c r="N23" i="13"/>
  <c r="H23" i="13"/>
  <c r="E27" i="13"/>
  <c r="I27" i="13"/>
  <c r="M27" i="13"/>
  <c r="F27" i="13"/>
  <c r="J27" i="13"/>
  <c r="N27" i="13"/>
  <c r="H27" i="13"/>
  <c r="E31" i="13"/>
  <c r="I31" i="13"/>
  <c r="M31" i="13"/>
  <c r="F31" i="13"/>
  <c r="J31" i="13"/>
  <c r="N31" i="13"/>
  <c r="H31" i="13"/>
  <c r="E35" i="13"/>
  <c r="I35" i="13"/>
  <c r="M35" i="13"/>
  <c r="F35" i="13"/>
  <c r="J35" i="13"/>
  <c r="N35" i="13"/>
  <c r="H35" i="13"/>
  <c r="D39" i="13"/>
  <c r="H39" i="13"/>
  <c r="L39" i="13"/>
  <c r="E39" i="13"/>
  <c r="I39" i="13"/>
  <c r="M39" i="13"/>
  <c r="G39" i="13"/>
  <c r="E43" i="13"/>
  <c r="I43" i="13"/>
  <c r="M43" i="13"/>
  <c r="E47" i="13"/>
  <c r="I47" i="13"/>
  <c r="M47" i="13"/>
  <c r="E51" i="13"/>
  <c r="I51" i="13"/>
  <c r="M51" i="13"/>
  <c r="E55" i="13"/>
  <c r="I55" i="13"/>
  <c r="M55" i="13"/>
  <c r="K76" i="13"/>
  <c r="G76" i="13"/>
  <c r="C76" i="13"/>
  <c r="K75" i="13"/>
  <c r="G75" i="13"/>
  <c r="K74" i="13"/>
  <c r="G74" i="13"/>
  <c r="K72" i="13"/>
  <c r="G72" i="13"/>
  <c r="C72" i="13"/>
  <c r="K71" i="13"/>
  <c r="G71" i="13"/>
  <c r="K70" i="13"/>
  <c r="G70" i="13"/>
  <c r="C70" i="13"/>
  <c r="K68" i="13"/>
  <c r="G68" i="13"/>
  <c r="C68" i="13"/>
  <c r="K67" i="13"/>
  <c r="G67" i="13"/>
  <c r="K66" i="13"/>
  <c r="G66" i="13"/>
  <c r="C66" i="13"/>
  <c r="K64" i="13"/>
  <c r="G64" i="13"/>
  <c r="C64" i="13"/>
  <c r="K63" i="13"/>
  <c r="G63" i="13"/>
  <c r="K62" i="13"/>
  <c r="G62" i="13"/>
  <c r="C62" i="13"/>
  <c r="K60" i="13"/>
  <c r="G60" i="13"/>
  <c r="C60" i="13"/>
  <c r="K59" i="13"/>
  <c r="G59" i="13"/>
  <c r="K58" i="13"/>
  <c r="G58" i="13"/>
  <c r="J56" i="13"/>
  <c r="K55" i="13"/>
  <c r="F55" i="13"/>
  <c r="L54" i="13"/>
  <c r="G54" i="13"/>
  <c r="J52" i="13"/>
  <c r="K51" i="13"/>
  <c r="F51" i="13"/>
  <c r="L50" i="13"/>
  <c r="J48" i="13"/>
  <c r="K47" i="13"/>
  <c r="F47" i="13"/>
  <c r="L46" i="13"/>
  <c r="G46" i="13"/>
  <c r="J44" i="13"/>
  <c r="K43" i="13"/>
  <c r="F43" i="13"/>
  <c r="L42" i="13"/>
  <c r="K39" i="13"/>
  <c r="N38" i="13"/>
  <c r="G35" i="13"/>
  <c r="L31" i="13"/>
  <c r="C31" i="13"/>
  <c r="C30" i="13"/>
  <c r="G27" i="13"/>
  <c r="L23" i="13"/>
  <c r="C23" i="13"/>
  <c r="C22" i="13"/>
  <c r="E26" i="13"/>
  <c r="I26" i="13"/>
  <c r="M26" i="13"/>
  <c r="F26" i="13"/>
  <c r="J26" i="13"/>
  <c r="N26" i="13"/>
  <c r="D26" i="13"/>
  <c r="L26" i="13"/>
  <c r="E34" i="13"/>
  <c r="I34" i="13"/>
  <c r="M34" i="13"/>
  <c r="F34" i="13"/>
  <c r="J34" i="13"/>
  <c r="N34" i="13"/>
  <c r="D34" i="13"/>
  <c r="L34" i="13"/>
  <c r="E42" i="13"/>
  <c r="I42" i="13"/>
  <c r="C42" i="13"/>
  <c r="H42" i="13"/>
  <c r="M42" i="13"/>
  <c r="E50" i="13"/>
  <c r="I50" i="13"/>
  <c r="M50" i="13"/>
  <c r="L70" i="13"/>
  <c r="D70" i="13"/>
  <c r="L66" i="13"/>
  <c r="D66" i="13"/>
  <c r="H62" i="13"/>
  <c r="L58" i="13"/>
  <c r="C58" i="13"/>
  <c r="H54" i="13"/>
  <c r="N50" i="13"/>
  <c r="K4" i="13"/>
  <c r="N4" i="13"/>
  <c r="E20" i="13"/>
  <c r="I20" i="13"/>
  <c r="M20" i="13"/>
  <c r="F20" i="13"/>
  <c r="J20" i="13"/>
  <c r="N20" i="13"/>
  <c r="D20" i="13"/>
  <c r="L20" i="13"/>
  <c r="E24" i="13"/>
  <c r="I24" i="13"/>
  <c r="M24" i="13"/>
  <c r="F24" i="13"/>
  <c r="J24" i="13"/>
  <c r="N24" i="13"/>
  <c r="D24" i="13"/>
  <c r="L24" i="13"/>
  <c r="E28" i="13"/>
  <c r="I28" i="13"/>
  <c r="M28" i="13"/>
  <c r="F28" i="13"/>
  <c r="J28" i="13"/>
  <c r="N28" i="13"/>
  <c r="D28" i="13"/>
  <c r="L28" i="13"/>
  <c r="E32" i="13"/>
  <c r="I32" i="13"/>
  <c r="M32" i="13"/>
  <c r="F32" i="13"/>
  <c r="J32" i="13"/>
  <c r="N32" i="13"/>
  <c r="D32" i="13"/>
  <c r="L32" i="13"/>
  <c r="D36" i="13"/>
  <c r="H36" i="13"/>
  <c r="L36" i="13"/>
  <c r="E36" i="13"/>
  <c r="I36" i="13"/>
  <c r="M36" i="13"/>
  <c r="C36" i="13"/>
  <c r="K36" i="13"/>
  <c r="D40" i="13"/>
  <c r="H40" i="13"/>
  <c r="L40" i="13"/>
  <c r="E40" i="13"/>
  <c r="I40" i="13"/>
  <c r="M40" i="13"/>
  <c r="C40" i="13"/>
  <c r="K40" i="13"/>
  <c r="E44" i="13"/>
  <c r="I44" i="13"/>
  <c r="M44" i="13"/>
  <c r="E48" i="13"/>
  <c r="I48" i="13"/>
  <c r="M48" i="13"/>
  <c r="E52" i="13"/>
  <c r="I52" i="13"/>
  <c r="M52" i="13"/>
  <c r="E56" i="13"/>
  <c r="I56" i="13"/>
  <c r="M56" i="13"/>
  <c r="N76" i="13"/>
  <c r="J76" i="13"/>
  <c r="N72" i="13"/>
  <c r="J72" i="13"/>
  <c r="N70" i="13"/>
  <c r="J70" i="13"/>
  <c r="N68" i="13"/>
  <c r="J68" i="13"/>
  <c r="N66" i="13"/>
  <c r="J66" i="13"/>
  <c r="N64" i="13"/>
  <c r="J64" i="13"/>
  <c r="N62" i="13"/>
  <c r="J62" i="13"/>
  <c r="N60" i="13"/>
  <c r="J60" i="13"/>
  <c r="N58" i="13"/>
  <c r="J58" i="13"/>
  <c r="F58" i="13"/>
  <c r="N56" i="13"/>
  <c r="H56" i="13"/>
  <c r="C56" i="13"/>
  <c r="K54" i="13"/>
  <c r="F54" i="13"/>
  <c r="O54" i="13" s="1"/>
  <c r="N52" i="13"/>
  <c r="H52" i="13"/>
  <c r="C52" i="13"/>
  <c r="K50" i="13"/>
  <c r="F50" i="13"/>
  <c r="N48" i="13"/>
  <c r="H48" i="13"/>
  <c r="C48" i="13"/>
  <c r="O48" i="13" s="1"/>
  <c r="K46" i="13"/>
  <c r="F46" i="13"/>
  <c r="N44" i="13"/>
  <c r="H44" i="13"/>
  <c r="C44" i="13"/>
  <c r="K42" i="13"/>
  <c r="D42" i="13"/>
  <c r="G40" i="13"/>
  <c r="J39" i="13"/>
  <c r="J38" i="13"/>
  <c r="N36" i="13"/>
  <c r="D35" i="13"/>
  <c r="G34" i="13"/>
  <c r="H32" i="13"/>
  <c r="K31" i="13"/>
  <c r="K30" i="13"/>
  <c r="C28" i="13"/>
  <c r="D27" i="13"/>
  <c r="G26" i="13"/>
  <c r="H24" i="13"/>
  <c r="K23" i="13"/>
  <c r="K22" i="13"/>
  <c r="C20" i="13"/>
  <c r="B3" i="16"/>
  <c r="B2" i="16"/>
  <c r="O70" i="13"/>
  <c r="O24" i="13"/>
  <c r="F18" i="13"/>
  <c r="C6" i="13"/>
  <c r="M13" i="13"/>
  <c r="E13" i="13"/>
  <c r="I13" i="13"/>
  <c r="D17" i="13"/>
  <c r="E17" i="13"/>
  <c r="H17" i="13"/>
  <c r="L17" i="13"/>
  <c r="F5" i="13"/>
  <c r="J5" i="13"/>
  <c r="N5" i="13"/>
  <c r="D10" i="13"/>
  <c r="H10" i="13"/>
  <c r="L10" i="13"/>
  <c r="E10" i="13"/>
  <c r="I10" i="13"/>
  <c r="M10" i="13"/>
  <c r="F10" i="13"/>
  <c r="J10" i="13"/>
  <c r="N10" i="13"/>
  <c r="D14" i="13"/>
  <c r="H14" i="13"/>
  <c r="L14" i="13"/>
  <c r="E14" i="13"/>
  <c r="I14" i="13"/>
  <c r="M14" i="13"/>
  <c r="F14" i="13"/>
  <c r="J14" i="13"/>
  <c r="N14" i="13"/>
  <c r="D19" i="13"/>
  <c r="K19" i="13"/>
  <c r="D6" i="13"/>
  <c r="H6" i="13"/>
  <c r="L6" i="13"/>
  <c r="E6" i="13"/>
  <c r="I6" i="13"/>
  <c r="M6" i="13"/>
  <c r="F6" i="13"/>
  <c r="J6" i="13"/>
  <c r="N6" i="13"/>
  <c r="C18" i="13"/>
  <c r="G18" i="13"/>
  <c r="K18" i="13"/>
  <c r="D18" i="13"/>
  <c r="H18" i="13"/>
  <c r="L18" i="13"/>
  <c r="E18" i="13"/>
  <c r="I18" i="13"/>
  <c r="M18" i="13"/>
  <c r="C14" i="13"/>
  <c r="C10" i="13"/>
  <c r="C5" i="13"/>
  <c r="E12" i="13"/>
  <c r="I12" i="13"/>
  <c r="E16" i="13"/>
  <c r="H16" i="13"/>
  <c r="L16" i="13"/>
  <c r="J18" i="13"/>
  <c r="K14" i="13"/>
  <c r="K10" i="13"/>
  <c r="G6" i="13"/>
  <c r="F13" i="13"/>
  <c r="G8" i="13"/>
  <c r="L8" i="13"/>
  <c r="F8" i="13"/>
  <c r="C8" i="13"/>
  <c r="H8" i="13"/>
  <c r="M8" i="13"/>
  <c r="D8" i="13"/>
  <c r="I8" i="13"/>
  <c r="E8" i="13"/>
  <c r="K8" i="13"/>
  <c r="K16" i="13"/>
  <c r="G16" i="13"/>
  <c r="C16" i="13"/>
  <c r="M12" i="13"/>
  <c r="H12" i="13"/>
  <c r="C12" i="13"/>
  <c r="F12" i="13"/>
  <c r="N16" i="13"/>
  <c r="J16" i="13"/>
  <c r="F16" i="13"/>
  <c r="L12" i="13"/>
  <c r="G12" i="13"/>
  <c r="M16" i="13"/>
  <c r="I16" i="13"/>
  <c r="K12" i="13"/>
  <c r="H7" i="13"/>
  <c r="G7" i="13"/>
  <c r="C19" i="13"/>
  <c r="N15" i="13"/>
  <c r="D11" i="13"/>
  <c r="F15" i="13"/>
  <c r="J11" i="13"/>
  <c r="H19" i="13"/>
  <c r="K15" i="13"/>
  <c r="C15" i="13"/>
  <c r="G11" i="13"/>
  <c r="L7" i="13"/>
  <c r="D7" i="13"/>
  <c r="E7" i="13"/>
  <c r="G19" i="13"/>
  <c r="J15" i="13"/>
  <c r="N11" i="13"/>
  <c r="F11" i="13"/>
  <c r="K7" i="13"/>
  <c r="C7" i="13"/>
  <c r="E19" i="13"/>
  <c r="L19" i="13"/>
  <c r="G15" i="13"/>
  <c r="K11" i="13"/>
  <c r="N19" i="13"/>
  <c r="J19" i="13"/>
  <c r="F19" i="13"/>
  <c r="M15" i="13"/>
  <c r="I15" i="13"/>
  <c r="E15" i="13"/>
  <c r="M11" i="13"/>
  <c r="I11" i="13"/>
  <c r="E11" i="13"/>
  <c r="N7" i="13"/>
  <c r="J7" i="13"/>
  <c r="F7" i="13"/>
  <c r="M19" i="13"/>
  <c r="I19" i="13"/>
  <c r="L15" i="13"/>
  <c r="H15" i="13"/>
  <c r="L11" i="13"/>
  <c r="H11" i="13"/>
  <c r="M7" i="13"/>
  <c r="I7" i="13"/>
  <c r="M9" i="13"/>
  <c r="I9" i="13"/>
  <c r="F9" i="13"/>
  <c r="K17" i="13"/>
  <c r="G17" i="13"/>
  <c r="C17" i="13"/>
  <c r="L13" i="13"/>
  <c r="H13" i="13"/>
  <c r="D13" i="13"/>
  <c r="L9" i="13"/>
  <c r="H9" i="13"/>
  <c r="D9" i="13"/>
  <c r="N17" i="13"/>
  <c r="G13" i="13"/>
  <c r="C9" i="13"/>
  <c r="J17" i="13"/>
  <c r="F17" i="13"/>
  <c r="K13" i="13"/>
  <c r="C13" i="13"/>
  <c r="K9" i="13"/>
  <c r="G9" i="13"/>
  <c r="M17" i="13"/>
  <c r="I17" i="13"/>
  <c r="N13" i="13"/>
  <c r="J13" i="13"/>
  <c r="N12" i="13"/>
  <c r="J12" i="13"/>
  <c r="N9" i="13"/>
  <c r="J9" i="13"/>
  <c r="N8" i="13"/>
  <c r="J8" i="13"/>
  <c r="M5" i="13"/>
  <c r="I5" i="13"/>
  <c r="L5" i="13"/>
  <c r="H5" i="13"/>
  <c r="D5" i="13"/>
  <c r="E5" i="13"/>
  <c r="K5" i="13"/>
  <c r="G5" i="13"/>
  <c r="E4" i="13"/>
  <c r="I4" i="13"/>
  <c r="M4" i="13"/>
  <c r="D4" i="13"/>
  <c r="H4" i="13"/>
  <c r="L4" i="13"/>
  <c r="D3" i="13"/>
  <c r="H3" i="13"/>
  <c r="L3" i="13"/>
  <c r="E3" i="13"/>
  <c r="I3" i="13"/>
  <c r="M3" i="13"/>
  <c r="F4" i="13"/>
  <c r="J4" i="13"/>
  <c r="G3" i="13"/>
  <c r="K3" i="13"/>
  <c r="F3" i="13"/>
  <c r="J3" i="13"/>
  <c r="C4" i="13"/>
  <c r="G4" i="13"/>
  <c r="O6" i="14" l="1"/>
  <c r="O5" i="14"/>
  <c r="O42" i="13"/>
  <c r="O23" i="13"/>
  <c r="O64" i="13"/>
  <c r="O76" i="13"/>
  <c r="O43" i="13"/>
  <c r="O33" i="13"/>
  <c r="O59" i="13"/>
  <c r="O75" i="13"/>
  <c r="O31" i="13"/>
  <c r="O52" i="13"/>
  <c r="O58" i="13"/>
  <c r="O40" i="13"/>
  <c r="O50" i="13"/>
  <c r="O34" i="13"/>
  <c r="O55" i="13"/>
  <c r="O60" i="13"/>
  <c r="O63" i="13"/>
  <c r="O67" i="13"/>
  <c r="O68" i="13"/>
  <c r="O71" i="13"/>
  <c r="O72" i="13"/>
  <c r="O51" i="13"/>
  <c r="O47" i="13"/>
  <c r="O35" i="13"/>
  <c r="O27" i="13"/>
  <c r="O73" i="13"/>
  <c r="O25" i="13"/>
  <c r="O53" i="13"/>
  <c r="O21" i="13"/>
  <c r="O46" i="13"/>
  <c r="O56" i="13"/>
  <c r="O62" i="13"/>
  <c r="O74" i="13"/>
  <c r="O44" i="13"/>
  <c r="O66" i="13"/>
  <c r="O38" i="13"/>
  <c r="O30" i="13"/>
  <c r="O22" i="13"/>
  <c r="O65" i="13"/>
  <c r="O45" i="13"/>
  <c r="O36" i="13"/>
  <c r="O61" i="13"/>
  <c r="O57" i="13"/>
  <c r="O32" i="13"/>
  <c r="O28" i="13"/>
  <c r="O20" i="13"/>
  <c r="O26" i="13"/>
  <c r="O39" i="13"/>
  <c r="O69" i="13"/>
  <c r="O49" i="13"/>
  <c r="O37" i="13"/>
  <c r="O41" i="13"/>
  <c r="O16" i="13"/>
  <c r="O18" i="13"/>
  <c r="O14" i="13"/>
  <c r="O10" i="13"/>
  <c r="O6" i="13"/>
  <c r="O19" i="13"/>
  <c r="O7" i="13"/>
  <c r="O11" i="13"/>
  <c r="O15" i="13"/>
  <c r="O8" i="13"/>
  <c r="O5" i="13"/>
  <c r="O12" i="13"/>
  <c r="O17" i="13"/>
  <c r="O9" i="13"/>
  <c r="O13" i="13"/>
  <c r="O3" i="13"/>
  <c r="O4" i="13"/>
  <c r="Q19" i="14" l="1"/>
  <c r="Q27" i="14"/>
  <c r="P7" i="14"/>
  <c r="Q35" i="14"/>
  <c r="P31" i="14"/>
  <c r="P39" i="14"/>
  <c r="Q39" i="14"/>
  <c r="P23" i="14"/>
  <c r="P27" i="14"/>
  <c r="P11" i="14"/>
  <c r="P19" i="14"/>
  <c r="Q23" i="14"/>
  <c r="Q15" i="14"/>
  <c r="P15" i="14"/>
  <c r="Q31" i="14"/>
  <c r="P35" i="14"/>
  <c r="Q11" i="14"/>
  <c r="Q7" i="14"/>
  <c r="Q5" i="14" s="1"/>
  <c r="P5" i="14" l="1"/>
</calcChain>
</file>

<file path=xl/sharedStrings.xml><?xml version="1.0" encoding="utf-8"?>
<sst xmlns="http://schemas.openxmlformats.org/spreadsheetml/2006/main" count="1272" uniqueCount="461">
  <si>
    <t>MARLON ROGER COLOVINI</t>
  </si>
  <si>
    <t>MARA REGINA BARICHELLO DA SILVA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</si>
  <si>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</si>
  <si>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</si>
  <si>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</si>
  <si>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</si>
  <si>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</si>
  <si>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</si>
  <si>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</si>
  <si>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</si>
  <si>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</si>
  <si>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</si>
  <si>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</si>
  <si>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</si>
  <si>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</si>
  <si>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</si>
  <si>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</si>
  <si>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</si>
  <si>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</si>
  <si>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</si>
  <si>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</si>
  <si>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</si>
  <si>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</si>
  <si>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</si>
  <si>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</si>
  <si>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</si>
  <si>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</si>
  <si>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</si>
  <si>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</si>
  <si>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</si>
  <si>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</si>
  <si>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</si>
  <si>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</si>
  <si>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</si>
  <si>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</si>
  <si>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</si>
  <si>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</si>
  <si>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</si>
  <si>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</si>
  <si>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</si>
  <si>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</si>
  <si>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</si>
  <si>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</si>
  <si>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</si>
  <si>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</si>
  <si>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</si>
  <si>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</si>
  <si>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</si>
  <si>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</si>
  <si>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</si>
  <si>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</si>
  <si>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</si>
  <si>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</si>
  <si>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</si>
  <si>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</si>
  <si>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</si>
  <si>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</si>
  <si>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</si>
  <si>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</si>
  <si>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</si>
  <si>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</si>
  <si>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</si>
  <si>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</si>
  <si>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IVONE KASBURG SERRALHERIA</t>
  </si>
  <si>
    <t>MERCADO CERETTA</t>
  </si>
  <si>
    <t xml:space="preserve"> ANTONIO CARLOS DOS SANTOS PEREIRA</t>
  </si>
  <si>
    <t>Volnei Lemos Avila - ME</t>
  </si>
  <si>
    <t>SILVANA MENEGHINI</t>
  </si>
  <si>
    <t>Eficaz Engenharia LTDA</t>
  </si>
  <si>
    <t>Mês</t>
  </si>
  <si>
    <t>ARINI JOSE GEHLEN9</t>
  </si>
  <si>
    <t>AABB10</t>
  </si>
  <si>
    <t>WANDA FALKOWSKI BURKARD11</t>
  </si>
  <si>
    <t>PAULO OSCAR BOHN 2</t>
  </si>
  <si>
    <t>PAULO OSCAR BOHN 3</t>
  </si>
  <si>
    <t>PAULO OSCAR BOHN 4</t>
  </si>
  <si>
    <t>FABIO DE ANDRADE MILKE 2</t>
  </si>
  <si>
    <t>ROBINSON FETTER 2</t>
  </si>
  <si>
    <t>ROBINSON FETTER 3</t>
  </si>
  <si>
    <t>APAE 2</t>
  </si>
  <si>
    <t>SEGATTO CERETTA LTDA 2</t>
  </si>
  <si>
    <t>Patrick</t>
  </si>
  <si>
    <t xml:space="preserve">MARLON ROGER COLOVINI 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</si>
  <si>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</si>
  <si>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</si>
  <si>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</si>
  <si>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</si>
  <si>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</si>
  <si>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</si>
  <si>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</si>
  <si>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</si>
  <si>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</si>
  <si>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</si>
  <si>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</si>
  <si>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</si>
  <si>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</si>
  <si>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</si>
  <si>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</si>
  <si>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</si>
  <si>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</si>
  <si>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</si>
  <si>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</si>
  <si>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</si>
  <si>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</si>
  <si>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</si>
  <si>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</si>
  <si>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</si>
  <si>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</si>
  <si>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</si>
  <si>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</si>
  <si>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</si>
  <si>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</si>
  <si>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</si>
  <si>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</si>
  <si>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</si>
  <si>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</si>
  <si>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</si>
  <si>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</si>
  <si>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</si>
  <si>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</si>
  <si>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</si>
  <si>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</si>
  <si>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</si>
  <si>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</si>
  <si>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</si>
  <si>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</si>
  <si>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</si>
  <si>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</si>
  <si>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</si>
  <si>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</si>
  <si>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</si>
  <si>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</si>
  <si>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</si>
  <si>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</si>
  <si>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</si>
  <si>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</si>
  <si>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</si>
  <si>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</si>
  <si>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</si>
  <si>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</si>
  <si>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</si>
  <si>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</si>
  <si>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</si>
  <si>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</si>
  <si>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</si>
  <si>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</si>
  <si>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</si>
  <si>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</si>
  <si>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</si>
  <si>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</si>
  <si>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</si>
  <si>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</si>
  <si>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</si>
  <si>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</si>
  <si>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</si>
  <si>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</si>
  <si>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</si>
  <si>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</si>
  <si>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</si>
  <si>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</si>
  <si>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</si>
  <si>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</si>
  <si>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</si>
  <si>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</si>
  <si>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</si>
  <si>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</si>
  <si>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</si>
  <si>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</si>
  <si>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</si>
  <si>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</si>
  <si>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</si>
  <si>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</si>
  <si>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</si>
  <si>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</si>
  <si>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</si>
  <si>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</si>
  <si>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</si>
  <si>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</si>
  <si>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</si>
  <si>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</si>
  <si>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</si>
  <si>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</si>
  <si>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</si>
  <si>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</si>
  <si>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</si>
  <si>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</si>
  <si>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</si>
  <si>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</si>
  <si>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</si>
  <si>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</si>
  <si>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</si>
  <si>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</si>
  <si>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</si>
  <si>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</si>
  <si>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</si>
  <si>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</si>
  <si>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</si>
  <si>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</si>
  <si>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</si>
  <si>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</si>
  <si>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</si>
  <si>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</si>
  <si>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</si>
  <si>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</si>
  <si>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</si>
  <si>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</si>
  <si>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</si>
  <si>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</si>
  <si>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</si>
  <si>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</si>
  <si>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</si>
  <si>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</si>
  <si>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</si>
  <si>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</si>
  <si>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</si>
  <si>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</si>
  <si>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</si>
  <si>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</si>
  <si>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</si>
  <si>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</si>
  <si>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</si>
  <si>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</si>
  <si>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</si>
  <si>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</si>
  <si>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</si>
  <si>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</si>
  <si>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</si>
  <si>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</si>
  <si>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</si>
  <si>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</si>
  <si>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</si>
  <si>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</si>
  <si>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</si>
  <si>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49 - APAE</t>
  </si>
  <si>
    <t>42 - AABB</t>
  </si>
  <si>
    <t>Nome</t>
  </si>
  <si>
    <t>74 - Claudio Alfredo Konrat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</si>
  <si>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</si>
  <si>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</si>
  <si>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</si>
  <si>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</si>
  <si>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</si>
  <si>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</si>
  <si>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</si>
  <si>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</si>
  <si>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</si>
  <si>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</si>
  <si>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</si>
  <si>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</si>
  <si>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</si>
  <si>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</si>
  <si>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</si>
  <si>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</si>
  <si>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</si>
  <si>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</si>
  <si>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</si>
  <si>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</si>
  <si>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</si>
  <si>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</si>
  <si>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</si>
  <si>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</si>
  <si>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</si>
  <si>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</si>
  <si>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</si>
  <si>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</si>
  <si>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</si>
  <si>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</si>
  <si>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</si>
  <si>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</si>
  <si>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</si>
  <si>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</si>
  <si>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</si>
  <si>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</si>
  <si>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</si>
  <si>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</si>
  <si>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</si>
  <si>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</si>
  <si>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</si>
  <si>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</si>
  <si>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</si>
  <si>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</si>
  <si>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</si>
  <si>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</si>
  <si>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</si>
  <si>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</si>
  <si>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</si>
  <si>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</si>
  <si>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</si>
  <si>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</si>
  <si>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</si>
  <si>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</si>
  <si>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</si>
  <si>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</si>
  <si>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</si>
  <si>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</si>
  <si>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</si>
  <si>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</si>
  <si>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</si>
  <si>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</si>
  <si>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</si>
  <si>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</si>
  <si>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</si>
  <si>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</si>
  <si>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</si>
  <si>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</si>
  <si>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Marlon Colovini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</si>
  <si>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Mara Barichello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</si>
  <si>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Jandira Dutra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</si>
  <si>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Luiz Fernando Kruger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</si>
  <si>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Paulo Bohn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</si>
  <si>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Analia (Clodoaldo Entre-Ijuis)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</si>
  <si>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Biroh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</si>
  <si>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Gelson Posser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</si>
  <si>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Supermercado Caryone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</si>
  <si>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Minetto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</si>
  <si>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Jair Moscon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</si>
  <si>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Milke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</si>
  <si>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Piaia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</si>
  <si>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Osmar Veronese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</si>
  <si>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Luiz Moraes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</si>
  <si>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Supermercado Cripy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</si>
  <si>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Gláucio Lipski (Giruá)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</si>
  <si>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Contri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</si>
  <si>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Cleci Rubi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</si>
  <si>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Betine Rost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</si>
  <si>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Robinson Fetter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</si>
  <si>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De Moura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</si>
  <si>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Rochele Santos Moraes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</si>
  <si>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Auto Posto Kairã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</si>
  <si>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Erno Schiefelbain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</si>
  <si>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Paulo Backes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</si>
  <si>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Gelso Tofolo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</si>
  <si>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Diamantino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</si>
  <si>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Bueno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</si>
  <si>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Daniela Donadel Massalai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</si>
  <si>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Comercio De Moto Peças Irmãos Guarani Ltda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</si>
  <si>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Mauricio Luis Lunardi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</si>
  <si>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Rosa Maria Restle Radunz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</si>
  <si>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 Amaral De Oliveira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</si>
  <si>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</si>
  <si>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Eldo Rost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</si>
  <si>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Padaria Avenida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</si>
  <si>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Cristiano Anshau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</si>
  <si>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Luciana Claudete Meirelles Correa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</si>
  <si>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Marcio Jose Siqueira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</si>
  <si>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Marcos Rogerio Kessler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</si>
  <si>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AABB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</si>
  <si>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Wanda Burkard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</si>
  <si>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 Me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</si>
  <si>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Carmelo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</si>
  <si>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Dal Forno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</si>
  <si>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Marisane Paulus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</si>
  <si>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Segatto Ceretta Ltda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</si>
  <si>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APAE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</si>
  <si>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Cássio Burin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</si>
  <si>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Patrick Kristoschek Da Silva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</si>
  <si>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Ávila - (Valmir)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</si>
  <si>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Zederson Jose Della Flora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</si>
  <si>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Carlos Walmir Larsão Rolim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</si>
  <si>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Danieli Missio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</si>
  <si>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Vasconcellos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</si>
  <si>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Linho Lev Alimentos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</si>
  <si>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Czapla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</si>
  <si>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Valesca Da Luz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</si>
  <si>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Olavo Mildner</t>
    </r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</si>
  <si>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Dilnei Rohled</t>
    </r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</si>
  <si>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Shaiana Signorini</t>
    </r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</si>
  <si>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Fonse Atacado</t>
    </r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</si>
  <si>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Comercial de Alimentos</t>
    </r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</si>
  <si>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Ivone Kasburg Serralheria</t>
    </r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</si>
  <si>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Ceretta</t>
    </r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</si>
  <si>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Carlos Dos Santos Pereira</t>
    </r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</si>
  <si>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Volnei Lemos Avila - Me</t>
    </r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</si>
  <si>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Silvana Meneghini</t>
    </r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</si>
  <si>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Eficaz Engenharia Ltda</t>
    </r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</si>
  <si>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Tania Regina Schmaltz</t>
    </r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</si>
  <si>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Camila Ceretta Segatto</t>
    </r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</si>
  <si>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Vagner Ribas Dos Santos</t>
    </r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</si>
  <si>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Claudio Alfredo Konrat</t>
    </r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</si>
  <si>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</si>
  <si>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</si>
  <si>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</si>
  <si>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</si>
  <si>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</si>
  <si>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</si>
  <si>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</si>
  <si>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</si>
  <si>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</si>
  <si>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</si>
  <si>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</si>
  <si>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</si>
  <si>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</si>
  <si>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</si>
  <si>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</si>
  <si>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</si>
  <si>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</si>
  <si>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</si>
  <si>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</si>
  <si>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</si>
  <si>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</si>
  <si>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</si>
  <si>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</si>
  <si>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</si>
  <si>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</si>
  <si>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</si>
  <si>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</si>
  <si>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</si>
  <si>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</si>
  <si>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</si>
  <si>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</si>
  <si>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</si>
  <si>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</si>
  <si>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</si>
  <si>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</si>
  <si>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</si>
  <si>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</si>
  <si>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</si>
  <si>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</si>
  <si>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</si>
  <si>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</si>
  <si>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</si>
  <si>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</si>
  <si>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Geração Medida</t>
  </si>
  <si>
    <t>Valor Conta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</si>
  <si>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</si>
  <si>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</si>
  <si>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</si>
  <si>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</si>
  <si>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</si>
  <si>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</si>
  <si>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</si>
  <si>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</si>
  <si>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</si>
  <si>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</si>
  <si>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</si>
  <si>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</si>
  <si>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</si>
  <si>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</si>
  <si>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</si>
  <si>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</si>
  <si>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</si>
  <si>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</si>
  <si>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</si>
  <si>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</si>
  <si>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</si>
  <si>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</si>
  <si>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</si>
  <si>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</si>
  <si>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</si>
  <si>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</si>
  <si>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</si>
  <si>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</si>
  <si>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</si>
  <si>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</si>
  <si>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</si>
  <si>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Efetividade conta</t>
  </si>
  <si>
    <t>162.878.270-68</t>
  </si>
  <si>
    <t>ID</t>
  </si>
  <si>
    <t>Meses</t>
  </si>
  <si>
    <t>Geração Mód Prevista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</si>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</sst>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/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1" fillId="5" borderId="4" xfId="0" applyNumberFormat="1" applyFont="1" applyFill="1" applyBorder="1" applyAlignment="1" applyProtection="1">
      <alignment horizontal="center" vertical="center"/>
      <protection locked="0"/>
    </xf>
    <xf numFmtId="2" fontId="11" fillId="5" borderId="9" xfId="0" applyNumberFormat="1" applyFont="1" applyFill="1" applyBorder="1" applyAlignment="1" applyProtection="1">
      <alignment horizontal="center" vertical="center"/>
      <protection locked="0"/>
    </xf>
    <xf numFmtId="9" fontId="11" fillId="4" borderId="11" xfId="3" applyFont="1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 applyProtection="1">
      <alignment horizontal="center" vertical="center"/>
      <protection locked="0"/>
    </xf>
    <xf numFmtId="2" fontId="11" fillId="5" borderId="6" xfId="0" applyNumberFormat="1" applyFont="1" applyFill="1" applyBorder="1" applyAlignment="1" applyProtection="1">
      <alignment horizontal="center" vertical="center"/>
      <protection locked="0"/>
    </xf>
    <xf numFmtId="2" fontId="11" fillId="5" borderId="30" xfId="0" applyNumberFormat="1" applyFont="1" applyFill="1" applyBorder="1" applyAlignment="1" applyProtection="1">
      <alignment horizontal="center" vertical="center"/>
      <protection locked="0"/>
    </xf>
    <xf numFmtId="2" fontId="11" fillId="5" borderId="16" xfId="0" applyNumberFormat="1" applyFont="1" applyFill="1" applyBorder="1" applyAlignment="1" applyProtection="1">
      <alignment horizontal="center" vertical="center"/>
      <protection locked="0"/>
    </xf>
    <xf numFmtId="2" fontId="11" fillId="5" borderId="17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7" xfId="0" applyNumberFormat="1" applyFont="1" applyFill="1" applyBorder="1" applyAlignment="1" applyProtection="1">
      <alignment horizontal="center" vertical="center"/>
      <protection locked="0"/>
    </xf>
    <xf numFmtId="9" fontId="11" fillId="4" borderId="29" xfId="3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>
      <alignment horizontal="center" vertical="center"/>
    </xf>
    <xf numFmtId="3" fontId="11" fillId="3" borderId="13" xfId="0" applyNumberFormat="1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9" fontId="11" fillId="4" borderId="28" xfId="3" applyFont="1" applyFill="1" applyBorder="1" applyAlignment="1" applyProtection="1">
      <alignment horizontal="center" vertical="center"/>
      <protection locked="0"/>
    </xf>
    <xf numFmtId="17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2" fontId="0" fillId="7" borderId="36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2" fontId="0" fillId="6" borderId="36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46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7" borderId="4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10" fontId="0" fillId="8" borderId="39" xfId="0" applyNumberFormat="1" applyFill="1" applyBorder="1" applyAlignment="1">
      <alignment horizontal="center" vertical="center"/>
    </xf>
    <xf numFmtId="10" fontId="0" fillId="8" borderId="44" xfId="0" applyNumberForma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10" fontId="0" fillId="7" borderId="10" xfId="3" applyNumberFormat="1" applyFont="1" applyFill="1" applyBorder="1" applyAlignment="1">
      <alignment horizontal="center" vertical="center"/>
    </xf>
    <xf numFmtId="10" fontId="0" fillId="7" borderId="11" xfId="3" applyNumberFormat="1" applyFont="1" applyFill="1" applyBorder="1" applyAlignment="1">
      <alignment horizontal="center" vertical="center"/>
    </xf>
    <xf numFmtId="10" fontId="0" fillId="7" borderId="29" xfId="3" applyNumberFormat="1" applyFont="1" applyFill="1" applyBorder="1" applyAlignment="1">
      <alignment horizontal="center" vertical="center"/>
    </xf>
    <xf numFmtId="10" fontId="0" fillId="6" borderId="10" xfId="3" applyNumberFormat="1" applyFont="1" applyFill="1" applyBorder="1" applyAlignment="1">
      <alignment horizontal="center" vertical="center"/>
    </xf>
    <xf numFmtId="10" fontId="0" fillId="6" borderId="11" xfId="3" applyNumberFormat="1" applyFont="1" applyFill="1" applyBorder="1" applyAlignment="1">
      <alignment horizontal="center" vertical="center"/>
    </xf>
    <xf numFmtId="10" fontId="0" fillId="6" borderId="29" xfId="3" applyNumberFormat="1" applyFont="1" applyFill="1" applyBorder="1" applyAlignment="1">
      <alignment horizontal="center" vertical="center"/>
    </xf>
    <xf numFmtId="9" fontId="0" fillId="7" borderId="39" xfId="3" applyFont="1" applyFill="1" applyBorder="1" applyAlignment="1">
      <alignment horizontal="center" vertical="center"/>
    </xf>
    <xf numFmtId="9" fontId="0" fillId="7" borderId="42" xfId="3" applyFont="1" applyFill="1" applyBorder="1" applyAlignment="1">
      <alignment horizontal="center" vertical="center"/>
    </xf>
    <xf numFmtId="9" fontId="0" fillId="7" borderId="44" xfId="3" applyFont="1" applyFill="1" applyBorder="1" applyAlignment="1">
      <alignment horizontal="center" vertical="center"/>
    </xf>
    <xf numFmtId="9" fontId="0" fillId="6" borderId="10" xfId="3" applyFont="1" applyFill="1" applyBorder="1" applyAlignment="1">
      <alignment horizontal="center" vertical="center"/>
    </xf>
    <xf numFmtId="9" fontId="0" fillId="6" borderId="11" xfId="3" applyFont="1" applyFill="1" applyBorder="1" applyAlignment="1">
      <alignment horizontal="center" vertical="center"/>
    </xf>
    <xf numFmtId="9" fontId="0" fillId="6" borderId="29" xfId="3" applyFont="1" applyFill="1" applyBorder="1" applyAlignment="1">
      <alignment horizontal="center" vertical="center"/>
    </xf>
    <xf numFmtId="9" fontId="0" fillId="7" borderId="10" xfId="3" applyFont="1" applyFill="1" applyBorder="1" applyAlignment="1">
      <alignment horizontal="center" vertical="center"/>
    </xf>
    <xf numFmtId="9" fontId="0" fillId="7" borderId="11" xfId="3" applyFont="1" applyFill="1" applyBorder="1" applyAlignment="1">
      <alignment horizontal="center" vertical="center"/>
    </xf>
    <xf numFmtId="9" fontId="0" fillId="7" borderId="29" xfId="3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0" fillId="6" borderId="28" xfId="3" applyNumberFormat="1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</cellXfs>
  <cellStyles count="4">
    <cellStyle name="Moeda" xfId="2" builtinId="4"/>
    <cellStyle name="Moeda 2" xfId="1" xr:uid="{1AB18A5C-00EF-40E3-9DA7-E730BE77D17B}"/>
    <cellStyle name="Normal" xfId="0" builtinId="0"/>
    <cellStyle name="Porcentagem" xfId="3" builtinId="5"/>
  </cellStyles>
  <dxfs count="51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Efetiva e</a:t>
            </a:r>
            <a:r>
              <a:rPr lang="pt-BR" baseline="0"/>
              <a:t> Por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DashBoard!$A$7:$B$7</c:f>
              <c:strCache>
                <c:ptCount val="2"/>
                <c:pt idx="0">
                  <c:v>2018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603</c:v>
                </c:pt>
                <c:pt idx="11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119-822C-500D3A3E0FDC}"/>
            </c:ext>
          </c:extLst>
        </c:ser>
        <c:ser>
          <c:idx val="3"/>
          <c:order val="4"/>
          <c:tx>
            <c:strRef>
              <c:f>DashBoard!$A$11:$B$11</c:f>
              <c:strCache>
                <c:ptCount val="2"/>
                <c:pt idx="0">
                  <c:v>2019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DashBoard!$C$11:$N$11</c:f>
              <c:numCache>
                <c:formatCode>0.00</c:formatCode>
                <c:ptCount val="12"/>
                <c:pt idx="0">
                  <c:v>586</c:v>
                </c:pt>
                <c:pt idx="1">
                  <c:v>559</c:v>
                </c:pt>
                <c:pt idx="2">
                  <c:v>553</c:v>
                </c:pt>
                <c:pt idx="3">
                  <c:v>445</c:v>
                </c:pt>
                <c:pt idx="4">
                  <c:v>297</c:v>
                </c:pt>
                <c:pt idx="5">
                  <c:v>411</c:v>
                </c:pt>
                <c:pt idx="6">
                  <c:v>388</c:v>
                </c:pt>
                <c:pt idx="7">
                  <c:v>532</c:v>
                </c:pt>
                <c:pt idx="8">
                  <c:v>491</c:v>
                </c:pt>
                <c:pt idx="9">
                  <c:v>444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43823"/>
        <c:axId val="960195743"/>
        <c:extLst>
          <c:ext xmlns:c15="http://schemas.microsoft.com/office/drawing/2012/chart" uri="{02D57815-91ED-43cb-92C2-25804820EDAC}">
            <c15:filteredBa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DashBoard!$A$15:$B$15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DashBoard!$C$15:$N$15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C1-4119-822C-500D3A3E0FDC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DashBoard!$A$19:$B$19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DashBoard!$C$19:$N$19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6C1-4119-822C-500D3A3E0FDC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DashBoard!$A$23:$B$23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DashBoard!$C$23:$N$23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6C1-4119-822C-500D3A3E0FDC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DashBoard!$A$27:$B$27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DashBoard!$C$27:$N$27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6C1-4119-822C-500D3A3E0FDC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DashBoard!$A$31:$B$31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DashBoard!$C$31:$N$31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6C1-4119-822C-500D3A3E0FDC}"/>
                  </c:ext>
                </c:extLst>
              </c15:ser>
            </c15:filteredBarSeries>
            <c15:filteredBarSeries>
              <c15:ser>
                <c:idx val="14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DashBoard!$A$35:$B$35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DashBoard!$C$35:$N$35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6C1-4119-822C-500D3A3E0FDC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DashBoard!$A$39:$B$39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DashBoard!$C$39:$N$39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C1-4119-822C-500D3A3E0F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DashBoard!$C$5:$N$5</c:f>
              <c:numCache>
                <c:formatCode>General</c:formatCode>
                <c:ptCount val="12"/>
                <c:pt idx="0">
                  <c:v>530</c:v>
                </c:pt>
                <c:pt idx="1">
                  <c:v>476</c:v>
                </c:pt>
                <c:pt idx="2">
                  <c:v>502</c:v>
                </c:pt>
                <c:pt idx="3">
                  <c:v>425</c:v>
                </c:pt>
                <c:pt idx="4">
                  <c:v>373</c:v>
                </c:pt>
                <c:pt idx="5">
                  <c:v>309</c:v>
                </c:pt>
                <c:pt idx="6">
                  <c:v>351</c:v>
                </c:pt>
                <c:pt idx="7">
                  <c:v>406</c:v>
                </c:pt>
                <c:pt idx="8">
                  <c:v>387</c:v>
                </c:pt>
                <c:pt idx="9">
                  <c:v>466</c:v>
                </c:pt>
                <c:pt idx="10">
                  <c:v>506</c:v>
                </c:pt>
                <c:pt idx="11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43823"/>
        <c:axId val="960195743"/>
      </c:lineChart>
      <c:lineChart>
        <c:grouping val="standard"/>
        <c:varyColors val="0"/>
        <c:ser>
          <c:idx val="19"/>
          <c:order val="1"/>
          <c:tx>
            <c:strRef>
              <c:f>DashBoard!$B$6</c:f>
              <c:strCache>
                <c:ptCount val="1"/>
                <c:pt idx="0">
                  <c:v>Geração Mód Prevista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DashBoard!$C$6:$N$6</c:f>
              <c:numCache>
                <c:formatCode>0.00</c:formatCode>
                <c:ptCount val="12"/>
                <c:pt idx="0">
                  <c:v>44.166666666666664</c:v>
                </c:pt>
                <c:pt idx="1">
                  <c:v>39.666666666666664</c:v>
                </c:pt>
                <c:pt idx="2">
                  <c:v>41.833333333333336</c:v>
                </c:pt>
                <c:pt idx="3">
                  <c:v>35.416666666666664</c:v>
                </c:pt>
                <c:pt idx="4">
                  <c:v>31.083333333333332</c:v>
                </c:pt>
                <c:pt idx="5">
                  <c:v>25.75</c:v>
                </c:pt>
                <c:pt idx="6">
                  <c:v>29.25</c:v>
                </c:pt>
                <c:pt idx="7">
                  <c:v>33.833333333333336</c:v>
                </c:pt>
                <c:pt idx="8">
                  <c:v>32.25</c:v>
                </c:pt>
                <c:pt idx="9">
                  <c:v>38.833333333333336</c:v>
                </c:pt>
                <c:pt idx="10">
                  <c:v>42.166666666666664</c:v>
                </c:pt>
                <c:pt idx="11">
                  <c:v>44.916666666666664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1-4119-822C-500D3A3E0FDC}"/>
            </c:ext>
          </c:extLst>
        </c:ser>
        <c:ser>
          <c:idx val="2"/>
          <c:order val="3"/>
          <c:tx>
            <c:strRef>
              <c:f>DashBoard!$A$8:$B$8</c:f>
              <c:strCache>
                <c:ptCount val="2"/>
                <c:pt idx="0">
                  <c:v>2018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DashBoard!$C$8:$N$8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50.25</c:v>
                </c:pt>
                <c:pt idx="11">
                  <c:v>53.833333333333336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1-4119-822C-500D3A3E0FDC}"/>
            </c:ext>
          </c:extLst>
        </c:ser>
        <c:ser>
          <c:idx val="4"/>
          <c:order val="5"/>
          <c:tx>
            <c:strRef>
              <c:f>DashBoard!$A$12:$B$12</c:f>
              <c:strCache>
                <c:ptCount val="2"/>
                <c:pt idx="0">
                  <c:v>2019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DashBoard!$C$12:$N$12</c:f>
              <c:numCache>
                <c:formatCode>0.00</c:formatCode>
                <c:ptCount val="12"/>
                <c:pt idx="0">
                  <c:v>48.833333333333336</c:v>
                </c:pt>
                <c:pt idx="1">
                  <c:v>46.583333333333336</c:v>
                </c:pt>
                <c:pt idx="2">
                  <c:v>46.083333333333336</c:v>
                </c:pt>
                <c:pt idx="3">
                  <c:v>37.083333333333336</c:v>
                </c:pt>
                <c:pt idx="4">
                  <c:v>24.75</c:v>
                </c:pt>
                <c:pt idx="5">
                  <c:v>34.25</c:v>
                </c:pt>
                <c:pt idx="6">
                  <c:v>32.333333333333336</c:v>
                </c:pt>
                <c:pt idx="7">
                  <c:v>44.333333333333336</c:v>
                </c:pt>
                <c:pt idx="8">
                  <c:v>40.916666666666664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89839"/>
        <c:axId val="956554735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DashBoard!$A$16:$B$16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DashBoard!$C$16:$N$16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6C1-4119-822C-500D3A3E0FD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DashBoard!$A$20:$B$20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DashBoard!$C$20:$N$20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6C1-4119-822C-500D3A3E0FD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DashBoard!$A$24:$B$24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DashBoard!$C$24:$N$24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6C1-4119-822C-500D3A3E0FDC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DashBoard!$A$28:$B$28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DashBoard!$C$28:$N$28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6C1-4119-822C-500D3A3E0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DashBoard!$A$32:$B$32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DashBoard!$C$32:$N$32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6C1-4119-822C-500D3A3E0FDC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DashBoard!$A$36:$B$36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DashBoard!$C$36:$N$36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6C1-4119-822C-500D3A3E0FDC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DashBoard!$A$40:$B$40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DashBoard!$C$40:$N$40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6C1-4119-822C-500D3A3E0FDC}"/>
                  </c:ext>
                </c:extLst>
              </c15:ser>
            </c15:filteredLineSeries>
          </c:ext>
        </c:extLst>
      </c:lineChart>
      <c:catAx>
        <c:axId val="9934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195743"/>
        <c:crosses val="autoZero"/>
        <c:auto val="1"/>
        <c:lblAlgn val="ctr"/>
        <c:lblOffset val="100"/>
        <c:noMultiLvlLbl val="0"/>
      </c:catAx>
      <c:valAx>
        <c:axId val="96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43823"/>
        <c:crosses val="autoZero"/>
        <c:crossBetween val="between"/>
      </c:valAx>
      <c:valAx>
        <c:axId val="9565547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689839"/>
        <c:crosses val="max"/>
        <c:crossBetween val="between"/>
      </c:valAx>
      <c:catAx>
        <c:axId val="9596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55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Efetividade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DashBoard!$P$4</c:f>
              <c:strCache>
                <c:ptCount val="1"/>
                <c:pt idx="0">
                  <c:v>Efetividade Portal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DashBoard!$P$5:$P$42</c15:sqref>
                  </c15:fullRef>
                </c:ext>
              </c:extLst>
              <c:f>(DashBoard!$P$5,DashBoard!$P$7,DashBoard!$P$11)</c:f>
              <c:numCache>
                <c:formatCode>0.00%</c:formatCode>
                <c:ptCount val="3"/>
                <c:pt idx="0">
                  <c:v>1.2469824641311775</c:v>
                </c:pt>
                <c:pt idx="1">
                  <c:v>1.4222272830790252</c:v>
                </c:pt>
                <c:pt idx="2">
                  <c:v>1.0717376451833296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BEE-B31C-C3259AE8087C}"/>
            </c:ext>
          </c:extLst>
        </c:ser>
        <c:ser>
          <c:idx val="1"/>
          <c:order val="1"/>
          <c:tx>
            <c:strRef>
              <c:f>DashBoard!$Q$4</c:f>
              <c:strCache>
                <c:ptCount val="1"/>
                <c:pt idx="0">
                  <c:v>Efetividade conta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DashBoard!$Q$5:$Q$42</c15:sqref>
                  </c15:fullRef>
                </c:ext>
              </c:extLst>
              <c:f>(DashBoard!$Q$5,DashBoard!$Q$7,DashBoard!$Q$11)</c:f>
              <c:numCache>
                <c:formatCode>0.00%</c:formatCode>
                <c:ptCount val="3"/>
                <c:pt idx="0">
                  <c:v>0.85060350717376443</c:v>
                </c:pt>
                <c:pt idx="1">
                  <c:v>1.0043270325666134</c:v>
                </c:pt>
                <c:pt idx="2">
                  <c:v>0.69687998178091548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BEE-B31C-C3259AE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54768"/>
        <c:axId val="1307077296"/>
      </c:barChart>
      <c:catAx>
        <c:axId val="1241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077296"/>
        <c:crosses val="autoZero"/>
        <c:auto val="1"/>
        <c:lblAlgn val="ctr"/>
        <c:lblOffset val="100"/>
        <c:noMultiLvlLbl val="0"/>
      </c:catAx>
      <c:valAx>
        <c:axId val="130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542925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5A301-9A65-441F-AE29-CCC2431C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0</xdr:row>
      <xdr:rowOff>0</xdr:rowOff>
    </xdr:from>
    <xdr:to>
      <xdr:col>20</xdr:col>
      <xdr:colOff>180975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D7FCD-0574-4F5A-B3AD-FC57FE0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A78E-5A66-4B3C-A0CB-065002D6D621}" name="Tabela1" displayName="Tabela1" ref="A1:CE109" headerRowDxfId="517" headerRowBorderDxfId="516" tableBorderDxfId="515" totalsRowBorderDxfId="514">
  <autoFilter ref="A1:CE109" xr:uid="{929A6669-DC87-489E-B282-C1BF88FC097B}"/>
  <tableColumns count="83">
    <tableColumn id="1" xr3:uid="{459DBC32-4E04-4E6A-BF9F-649036E060D5}" name="Mês" totalsRowLabel="Total" dataDxfId="513" totalsRowDxfId="512"/>
    <tableColumn id="2" xr3:uid="{BD3B9E33-27F0-412E-A856-3431F95AB894}" name="MARLON ROGER COLOVINI" totalsRowFunction="average" dataDxfId="511" totalsRowDxfId="510" dataCellStyle="Moeda 2"/>
    <tableColumn id="3" xr3:uid="{7B8DF385-6D06-44E9-91E0-2551AB1CE2F9}" name="MARLON ROGER COLOVINI " totalsRowFunction="average" dataDxfId="509" totalsRowDxfId="508" dataCellStyle="Moeda 2"/>
    <tableColumn id="4" xr3:uid="{61E2FA4E-FF86-4F4A-A5F6-23C0218CB7C6}" name="MARA REGINA BARICHELLO DA SILVA" totalsRowFunction="average" dataDxfId="507" totalsRowDxfId="506" dataCellStyle="Moeda 2"/>
    <tableColumn id="5" xr3:uid="{3FCD3CEA-1451-426B-8DE9-8D2ED2ABC1AC}" name="JANDIRA TEIXEIRA DUTRA" totalsRowFunction="average" dataDxfId="505" totalsRowDxfId="504" dataCellStyle="Moeda 2"/>
    <tableColumn id="6" xr3:uid="{BCFB55EC-4B66-4FCD-98B6-96029D22B1ED}" name="LUIS FERNANDO KRUGER" totalsRowFunction="average" dataDxfId="503" totalsRowDxfId="502" dataCellStyle="Moeda 2"/>
    <tableColumn id="7" xr3:uid="{240064AE-A888-4944-8518-5E6B149C2E73}" name="PAULO OSCAR BOHN" totalsRowFunction="average" dataDxfId="501" totalsRowDxfId="500" dataCellStyle="Moeda 2"/>
    <tableColumn id="8" xr3:uid="{32FC21E6-C30D-47DD-A610-49C272F0C0A7}" name="PAULO OSCAR BOHN 2" totalsRowFunction="average" dataDxfId="499" totalsRowDxfId="498" dataCellStyle="Moeda 2"/>
    <tableColumn id="9" xr3:uid="{B3D4D84C-72DE-4BD6-BBC1-E0F55CF10370}" name="PAULO OSCAR BOHN 3" totalsRowFunction="average" dataDxfId="497" totalsRowDxfId="496" dataCellStyle="Moeda 2"/>
    <tableColumn id="10" xr3:uid="{78C2906A-4971-43E5-A3FD-85C6B3246424}" name="PAULO OSCAR BOHN 4" totalsRowFunction="average" dataDxfId="495" totalsRowDxfId="494" dataCellStyle="Moeda 2"/>
    <tableColumn id="11" xr3:uid="{43429D00-1A00-49B0-A8B6-0E5BA3B4E0D1}" name="ANALIA CRISTINA MOUSQUER BUENO" totalsRowFunction="average" dataDxfId="493" totalsRowDxfId="492" dataCellStyle="Moeda 2"/>
    <tableColumn id="12" xr3:uid="{0751D943-11F8-483A-BAA9-9348EFD2355B}" name="BIROH IMPRESSAO DIGITAL LTDA" totalsRowFunction="average" dataDxfId="491" totalsRowDxfId="490" dataCellStyle="Moeda 2"/>
    <tableColumn id="13" xr3:uid="{CB480B13-7A36-40EB-A758-61C99CDB89F6}" name="GELSON AIRTON POSSER" totalsRowFunction="average" dataDxfId="489" totalsRowDxfId="488" dataCellStyle="Moeda 2"/>
    <tableColumn id="14" xr3:uid="{794C3997-AD53-41E0-A533-E204F9440F83}" name="SUPERMERCADO CARYONE" totalsRowFunction="average" dataDxfId="487" totalsRowDxfId="486" dataCellStyle="Moeda 2"/>
    <tableColumn id="15" xr3:uid="{1A2C5E3D-4A80-4490-A8D2-72563082C275}" name="ERNANI SILVIO MINETTO" totalsRowFunction="average" dataDxfId="485" totalsRowDxfId="484" dataCellStyle="Moeda 2"/>
    <tableColumn id="16" xr3:uid="{98F0E564-C3D0-4FB8-B93D-A9A013BF651F}" name="JAIR MOSCON" totalsRowFunction="average" dataDxfId="483" totalsRowDxfId="482" dataCellStyle="Moeda 2"/>
    <tableColumn id="17" xr3:uid="{8787E3CB-EE80-4746-BD28-97FB46053790}" name="FABIO DE ANDRADE MILKE" totalsRowFunction="average" dataDxfId="481" totalsRowDxfId="480" dataCellStyle="Moeda 2"/>
    <tableColumn id="18" xr3:uid="{6CAA88B9-CD98-4479-9F0C-2D73C890F42F}" name="FABIO DE ANDRADE MILKE 2" totalsRowFunction="average" dataDxfId="479" totalsRowDxfId="478" dataCellStyle="Moeda 2"/>
    <tableColumn id="19" xr3:uid="{4C5B6616-5683-4921-A969-022DB5B9F8D2}" name="DIRCEU LUIS PIAIA" totalsRowFunction="average" dataDxfId="477" totalsRowDxfId="476" dataCellStyle="Moeda 2"/>
    <tableColumn id="20" xr3:uid="{1E2FEC4D-72A3-4FF4-A0D1-19ABB4695370}" name="OSMAR VERONESE" totalsRowFunction="average" dataDxfId="475" totalsRowDxfId="474" dataCellStyle="Moeda 2"/>
    <tableColumn id="21" xr3:uid="{F3007E15-CAC5-40E6-B0DE-8D48A4D19AD7}" name="JOSE LUIZ MORAIS DA SILVA" totalsRowFunction="average" dataDxfId="473" totalsRowDxfId="472" dataCellStyle="Moeda 2"/>
    <tableColumn id="22" xr3:uid="{65C36258-8844-4AD6-9EB4-9878CD0AFC9A}" name="ZANUSO SUPERMERCADO LTDA" totalsRowFunction="average" dataDxfId="471" totalsRowDxfId="470" dataCellStyle="Moeda 2"/>
    <tableColumn id="23" xr3:uid="{4C11FF79-5A41-4DC1-8CC3-C1D1DFAD2426}" name="GLAUCIO FABIO LIPSKI" totalsRowFunction="average" dataDxfId="469" totalsRowDxfId="468" dataCellStyle="Moeda 2"/>
    <tableColumn id="24" xr3:uid="{E2DF11FA-C374-4B08-BE62-62B958D8953B}" name="IND. CONTRI LTDA - ME" totalsRowFunction="average" dataDxfId="467" totalsRowDxfId="466" dataCellStyle="Moeda 2"/>
    <tableColumn id="25" xr3:uid="{6D90FC73-9263-48DA-B887-F7B93F2CA38D}" name="CLECI MARCZEWSKI" totalsRowFunction="average" dataDxfId="465" totalsRowDxfId="464" dataCellStyle="Moeda 2"/>
    <tableColumn id="26" xr3:uid="{57A3C6B6-72FD-49AF-9462-3A3C78F6C061}" name="BETINE ROST" totalsRowFunction="average" dataDxfId="463" totalsRowDxfId="462" dataCellStyle="Moeda 2"/>
    <tableColumn id="27" xr3:uid="{F9DEDA1E-3002-40D4-9D55-6C6B9F8B0162}" name="ROBINSON FETTER" totalsRowFunction="average" dataDxfId="461" totalsRowDxfId="460" dataCellStyle="Moeda 2"/>
    <tableColumn id="28" xr3:uid="{3819203B-0332-4F06-A12D-C8781451E1EB}" name="ROBINSON FETTER 2" totalsRowFunction="average" dataDxfId="459" totalsRowDxfId="458" dataCellStyle="Moeda 2"/>
    <tableColumn id="29" xr3:uid="{E9770518-AA6E-44A6-8E17-B85D9E64C964}" name="ROBINSON FETTER 3" totalsRowFunction="average" dataDxfId="457" totalsRowDxfId="456" dataCellStyle="Moeda 2"/>
    <tableColumn id="30" xr3:uid="{82191B28-5A1E-4661-87AC-9D5FF5CAF858}" name="FABIO DE MOURA" totalsRowFunction="average" dataDxfId="455" totalsRowDxfId="454" dataCellStyle="Moeda 2"/>
    <tableColumn id="31" xr3:uid="{C61A18E8-809D-4912-B03C-BD19621B4AA5}" name="ROCHELE SANTOS MORAES &amp; CIA LTDA" totalsRowFunction="average" dataDxfId="453" totalsRowDxfId="452" dataCellStyle="Moeda 2"/>
    <tableColumn id="32" xr3:uid="{A98BE558-31AD-4987-A696-CD2F4AB82BE8}" name="AUTO POSTO KAIRA LTDA EPP" totalsRowFunction="average" dataDxfId="451" totalsRowDxfId="450" dataCellStyle="Moeda 2"/>
    <tableColumn id="33" xr3:uid="{115700C8-3F61-4AA1-8FD0-1C10AEEEB1E8}" name="ERNO SCHIEFELBAIN" totalsRowFunction="average" dataDxfId="449" totalsRowDxfId="448" dataCellStyle="Moeda 2"/>
    <tableColumn id="34" xr3:uid="{653EE238-5B8B-4A3E-BD33-C8203D58CD2D}" name="JOSE PAULO BACKES" totalsRowFunction="average" dataDxfId="447" totalsRowDxfId="446" dataCellStyle="Moeda 2"/>
    <tableColumn id="35" xr3:uid="{EDA12A3B-4773-42BA-9B02-440EA846FF69}" name="GELSO TOFOLO" totalsRowFunction="average" dataDxfId="445" totalsRowDxfId="444" dataCellStyle="Moeda 2"/>
    <tableColumn id="36" xr3:uid="{EB7D63EF-9830-449D-B31F-A3FD4F1B1343}" name="DIAMANTINO NUNES" totalsRowFunction="average" dataDxfId="443" totalsRowDxfId="442" dataCellStyle="Moeda 2"/>
    <tableColumn id="37" xr3:uid="{1F145828-DD36-4BE5-BEEB-AC55DBAABC3B}" name="ALINE BUZATTO BUENO" totalsRowFunction="average" dataDxfId="441" totalsRowDxfId="440" dataCellStyle="Moeda 2"/>
    <tableColumn id="38" xr3:uid="{2D644894-417F-4BF5-9F2F-A5C480961170}" name="DANIELA DONADEL MASSALAI" totalsRowFunction="average" dataDxfId="439" totalsRowDxfId="438" dataCellStyle="Moeda 2"/>
    <tableColumn id="39" xr3:uid="{0EF98CD7-4370-4EEA-803D-55EA05BDCFB0}" name="COM DE MOTO PECAS IRMAOS GUARANI LTDA" totalsRowFunction="average" dataDxfId="437" totalsRowDxfId="436" dataCellStyle="Moeda 2"/>
    <tableColumn id="40" xr3:uid="{541634A1-B01C-48B9-9D06-9B19415A6F10}" name="MAURICIO LUIS LUNARDI" totalsRowFunction="average" dataDxfId="435" totalsRowDxfId="434" dataCellStyle="Moeda 2"/>
    <tableColumn id="41" xr3:uid="{E081125C-484E-4502-9EB3-0A9630BF6459}" name="ROSA MARIA RESTLE RADUNZ" totalsRowFunction="average" dataDxfId="433" totalsRowDxfId="432" dataCellStyle="Moeda 2"/>
    <tableColumn id="42" xr3:uid="{396A76B1-A605-4BA4-8FDC-8A72128467B1}" name="IVO AMARAL DE OLIVEIRA" totalsRowFunction="average" dataDxfId="431" totalsRowDxfId="430" dataCellStyle="Moeda 2"/>
    <tableColumn id="43" xr3:uid="{6C5ADB14-7C6C-4ED5-B858-0A8A01349739}" name="SILVIO ROBERT LEMOS AVILA" totalsRowFunction="average" dataDxfId="429" totalsRowDxfId="428" dataCellStyle="Moeda 2"/>
    <tableColumn id="44" xr3:uid="{8453F1BA-2E91-4F2A-B522-A2E3C7FE4649}" name="ELDO ROST" totalsRowFunction="average" dataDxfId="427" totalsRowDxfId="426" dataCellStyle="Moeda 2"/>
    <tableColumn id="45" xr3:uid="{F14578E0-3B66-42F8-AAC7-6C179BA9F083}" name="ARINI JOSE GEHLEN" totalsRowFunction="average" dataDxfId="425" totalsRowDxfId="424" dataCellStyle="Moeda 2"/>
    <tableColumn id="46" xr3:uid="{E992F8D6-8E2B-405D-974B-94C32C5E75C5}" name="ARINI JOSE GEHLEN9" totalsRowFunction="average" dataDxfId="423" totalsRowDxfId="422" dataCellStyle="Moeda 2"/>
    <tableColumn id="47" xr3:uid="{175E7E02-DFFF-4172-8746-85F11D16DC48}" name="Cristiano Castilho Anschau" totalsRowFunction="average" dataDxfId="421" totalsRowDxfId="420" dataCellStyle="Moeda 2"/>
    <tableColumn id="48" xr3:uid="{27479D94-63D4-4207-BC33-00FDD40CD406}" name="LUCIANA CLAUDETE MEIRELLES CORREA" totalsRowFunction="average" dataDxfId="419" totalsRowDxfId="418" dataCellStyle="Moeda 2"/>
    <tableColumn id="49" xr3:uid="{7B66CFF4-2A3E-4EB4-AC1F-4763ABB32707}" name="MARCIO JOSE SIQUEIRA" totalsRowFunction="average" dataDxfId="417" totalsRowDxfId="416" dataCellStyle="Moeda 2"/>
    <tableColumn id="50" xr3:uid="{BAC01B95-CCF8-4015-BD45-AF7EAFD24A9C}" name="MARCOS ROGERIO KESSLER" totalsRowFunction="average" dataDxfId="415" totalsRowDxfId="414" dataCellStyle="Moeda 2"/>
    <tableColumn id="51" xr3:uid="{7D09DDE4-4EC3-4709-8F1D-0FC25DB62FAC}" name="AABB" totalsRowFunction="average" dataDxfId="413" totalsRowDxfId="412" dataCellStyle="Moeda 2"/>
    <tableColumn id="52" xr3:uid="{9C8D9A2F-683F-4E86-AE06-F1437D32307D}" name="AABB10" totalsRowFunction="average" dataDxfId="411" totalsRowDxfId="410" dataCellStyle="Moeda 2"/>
    <tableColumn id="53" xr3:uid="{1652413D-3B71-469B-9D25-549AD45E1D95}" name="WANDA FALKOWSKI BURKARD" totalsRowFunction="average" dataDxfId="409" totalsRowDxfId="408" dataCellStyle="Moeda 2"/>
    <tableColumn id="54" xr3:uid="{96A7F952-7DCE-47A8-8790-E9BEE4AB6359}" name="WANDA FALKOWSKI BURKARD11" totalsRowFunction="average" dataDxfId="407" totalsRowDxfId="406" dataCellStyle="Moeda 2"/>
    <tableColumn id="55" xr3:uid="{624DC10D-A148-447B-8A79-E100ACE29ACD}" name="SILVIO ROBERT LEMOS AVILA ME " totalsRowFunction="average" dataDxfId="405" totalsRowDxfId="404" dataCellStyle="Moeda 2"/>
    <tableColumn id="56" xr3:uid="{12C99E12-BF37-40E1-8BAD-60FE154536E3}" name="SOC CARIT C DE JESUS" totalsRowFunction="average" dataDxfId="403" totalsRowDxfId="402" dataCellStyle="Moeda 2"/>
    <tableColumn id="57" xr3:uid="{BF9C880A-8E2F-4AC2-998C-2DBEE5C4F382}" name="ANTONIO LORENZON DAL FORNO" totalsRowFunction="average" dataDxfId="401" totalsRowDxfId="400" dataCellStyle="Moeda 2"/>
    <tableColumn id="58" xr3:uid="{0BFC3D01-3366-4228-B5A4-B6DB2F8C3298}" name="MARISANE PAULUS" totalsRowFunction="average" dataDxfId="399" totalsRowDxfId="398" dataCellStyle="Moeda 2"/>
    <tableColumn id="59" xr3:uid="{2A53AF20-B432-495E-AE88-4488063F1C0C}" name="SEGATTO CERETTA LTDA" totalsRowFunction="average" dataDxfId="397" totalsRowDxfId="396" dataCellStyle="Moeda 2"/>
    <tableColumn id="60" xr3:uid="{E8D95288-3638-4D14-87DA-036ACDC3B641}" name="SEGATTO CERETTA LTDA 2" totalsRowFunction="average" dataDxfId="395" totalsRowDxfId="394" dataCellStyle="Moeda 2"/>
    <tableColumn id="61" xr3:uid="{140C3256-D965-4B8F-95D3-DFEE276D2D7B}" name="ZEDERSON JOSE DELLA FLORA" totalsRowFunction="average" dataDxfId="393" totalsRowDxfId="392" dataCellStyle="Moeda 2"/>
    <tableColumn id="62" xr3:uid="{08E18993-7153-43DE-AC13-1E0930E247D1}" name="ERNANI MOACIR CZAPLA" totalsRowFunction="average" dataDxfId="391" totalsRowDxfId="390" dataCellStyle="Moeda 2"/>
    <tableColumn id="63" xr3:uid="{A6AA822F-FD05-4512-A186-0715292C9734}" name="CARLOS WALMIR LARSAO ROLIM" totalsRowFunction="average" dataDxfId="389" totalsRowDxfId="388" dataCellStyle="Moeda 2"/>
    <tableColumn id="64" xr3:uid="{4C685C49-6C74-456D-A01A-61567A7B6472}" name="DANIELI MISSIO" totalsRowFunction="average" dataDxfId="387" totalsRowDxfId="386" dataCellStyle="Moeda 2"/>
    <tableColumn id="65" xr3:uid="{F570F234-BC1C-4051-85D3-239C37469BB1}" name="APAE" totalsRowFunction="average" dataDxfId="385" totalsRowDxfId="384" dataCellStyle="Moeda 2"/>
    <tableColumn id="66" xr3:uid="{C5C97C81-A517-493D-88EC-1E44B4E3ADAD}" name="APAE 2" totalsRowFunction="average" dataDxfId="383" totalsRowDxfId="382" dataCellStyle="Moeda 2"/>
    <tableColumn id="85" xr3:uid="{489245FD-3964-4FE3-B4AD-40186CFEE842}" name="Patrick" totalsRowFunction="average" dataDxfId="381" totalsRowDxfId="380" dataCellStyle="Moeda 2"/>
    <tableColumn id="67" xr3:uid="{BF6C9CDD-399B-4ACC-9091-9299CF7951CF}" name="JOSE MARQUES DE VASCONCELLOS" totalsRowFunction="average" dataDxfId="379" totalsRowDxfId="378" dataCellStyle="Moeda 2"/>
    <tableColumn id="68" xr3:uid="{E6894335-70BC-401C-9D7B-4AA352B48015}" name="CASSIO BURIN" totalsRowFunction="average" dataDxfId="377" totalsRowDxfId="376" dataCellStyle="Moeda 2"/>
    <tableColumn id="71" xr3:uid="{8DFC36B1-41CC-4A55-BA3F-456B9380CF0A}" name=" DANIELI MISSIO" totalsRowFunction="average" dataDxfId="375" totalsRowDxfId="374" dataCellStyle="Moeda 2"/>
    <tableColumn id="72" xr3:uid="{BD5F1BBD-184E-4C4A-9099-DECE3D27C7F3}" name="Linho Lev Alimentos" totalsRowFunction="average" dataDxfId="373" totalsRowDxfId="372" dataCellStyle="Moeda 2"/>
    <tableColumn id="73" xr3:uid="{EFFD161D-9C3B-4272-8752-700B4C241122}" name="Silvio Robert Lemos Ávila" totalsRowFunction="average" dataDxfId="371" totalsRowDxfId="370" dataCellStyle="Moeda 2"/>
    <tableColumn id="74" xr3:uid="{A51737FC-6401-46C3-AEA8-20AB1A77AFFB}" name="Valesca da Luz" totalsRowFunction="average" dataDxfId="369" totalsRowDxfId="368" dataCellStyle="Moeda 2"/>
    <tableColumn id="75" xr3:uid="{597D16C5-4231-41F0-9E29-05B675A5B0D7}" name="Olavo Mildner" totalsRowFunction="average" dataDxfId="367" totalsRowDxfId="366" dataCellStyle="Moeda 2"/>
    <tableColumn id="76" xr3:uid="{8FF21E09-BA1C-4227-8B42-4C92378403A7}" name="Dilnei Rohled" totalsRowFunction="average" dataDxfId="365" totalsRowDxfId="364" dataCellStyle="Moeda 2"/>
    <tableColumn id="77" xr3:uid="{6613DC77-27D2-4CCD-A2D2-23460FB2ACB0}" name="Shaiana Signorini" totalsRowFunction="average" dataDxfId="363" totalsRowDxfId="362" dataCellStyle="Moeda 2"/>
    <tableColumn id="78" xr3:uid="{7D964D74-0F25-41A8-B6A3-16B2F9F5D8CD}" name="Fonse Atacado" totalsRowFunction="average" dataDxfId="361" totalsRowDxfId="360" dataCellStyle="Moeda 2"/>
    <tableColumn id="79" xr3:uid="{4A151F47-4E76-46F4-9B99-19C691567666}" name="IVONE KASBURG SERRALHERIA" totalsRowFunction="average" dataDxfId="359" totalsRowDxfId="358" dataCellStyle="Moeda 2"/>
    <tableColumn id="80" xr3:uid="{5C3EF1EC-5E1A-4203-90F8-3D1DEB3211C2}" name="MERCADO CERETTA" totalsRowFunction="average" dataDxfId="357" totalsRowDxfId="356" dataCellStyle="Moeda 2"/>
    <tableColumn id="81" xr3:uid="{F96803E3-357E-4A9B-9655-6CF96734A44B}" name=" ANTONIO CARLOS DOS SANTOS PEREIRA" totalsRowFunction="average" dataDxfId="355" totalsRowDxfId="354" dataCellStyle="Moeda 2"/>
    <tableColumn id="82" xr3:uid="{804154EF-E4E0-4B74-9118-0C292B4F41DA}" name="Volnei Lemos Avila - ME" totalsRowFunction="average" dataDxfId="353" totalsRowDxfId="352" dataCellStyle="Moeda 2"/>
    <tableColumn id="83" xr3:uid="{FB56F5FA-B013-4276-AE64-9DF1710AF1C0}" name="SILVANA MENEGHINI" totalsRowFunction="average" dataDxfId="351" totalsRowDxfId="350" dataCellStyle="Moeda 2"/>
    <tableColumn id="84" xr3:uid="{C7187384-137D-4EAE-9E9B-3B15D0F9F308}" name="Eficaz Engenharia LTDA" totalsRowFunction="average" dataDxfId="349" totalsRowDxfId="348" dataCellStyle="Moeda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G75" headerRowDxfId="347" dataDxfId="345" totalsRowDxfId="343" headerRowBorderDxfId="346" tableBorderDxfId="344" totalsRowBorderDxfId="342">
  <autoFilter ref="A1:G75" xr:uid="{6AF10B00-43C2-47DF-9EED-157A8E03104A}"/>
  <sortState ref="A2:G75">
    <sortCondition ref="A1:A75"/>
  </sortState>
  <tableColumns count="7">
    <tableColumn id="1" xr3:uid="{CE2BDB80-51C7-419E-940B-69E87205E8AC}" name="nº" totalsRowLabel="Total" dataDxfId="341" totalsRowDxfId="340"/>
    <tableColumn id="2" xr3:uid="{4B7D44A6-1E02-495C-B331-F8D49ED5DD43}" name="Cliente" dataDxfId="339" totalsRowDxfId="338"/>
    <tableColumn id="3" xr3:uid="{F3762A30-5B6B-48B9-88E2-962FB94AB4C1}" name="Nº de módulos " dataDxfId="337" totalsRowDxfId="336"/>
    <tableColumn id="4" xr3:uid="{E16AADF9-7EC3-4A1F-8A09-54B6527FF0B4}" name="Pot.do módulo" totalsRowFunction="sum" dataDxfId="335" totalsRowDxfId="334"/>
    <tableColumn id="5" xr3:uid="{41F39704-5023-498C-AD66-0F7EDFF62F54}" name="Potência" dataDxfId="333" totalsRowDxfId="332">
      <calculatedColumnFormula>Tabela14[[#This Row],[Pot.do módulo]]*Tabela14[[#This Row],[Nº de módulos ]]/1000</calculatedColumnFormula>
    </tableColumn>
    <tableColumn id="6" xr3:uid="{0BF299E3-BCC3-4BD6-B338-ABE0F07740DF}" name="Atualizada" dataDxfId="331" totalsRowDxfId="330"/>
    <tableColumn id="7" xr3:uid="{9A0F4113-E1B8-4B2E-98D6-B44D4E597C96}" name="Consolidadas" dataDxfId="329" totalsRowDxfId="328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BW109" totalsRowShown="0" headerRowDxfId="327">
  <autoFilter ref="A1:BW109" xr:uid="{F4D9816F-C244-41EE-8A8B-E0FEADA46D4A}"/>
  <tableColumns count="75">
    <tableColumn id="1" xr3:uid="{B2521A58-ED3D-42FB-A7D7-B945B5647A67}" name="Mês" dataDxfId="326"/>
    <tableColumn id="2" xr3:uid="{68398F83-DAEE-4022-A008-B63A411A49A6}" name="Marlon Colovini" dataDxfId="325">
      <calculatedColumnFormula>SUM(Tabela4[[#This Row],[Marlon Colovini - 01]:[Marlon Colovini - 02]])</calculatedColumnFormula>
    </tableColumn>
    <tableColumn id="3" xr3:uid="{780D40C5-E903-4117-A8E5-7C95E225A333}" name="Mara Barichello" dataDxfId="324">
      <calculatedColumnFormula>Tabela4[[#This Row],[Mara Barichello]]</calculatedColumnFormula>
    </tableColumn>
    <tableColumn id="4" xr3:uid="{A8A7CBA5-04FD-4EEF-9BA4-79C48919F26D}" name="Jandira Dutra" dataDxfId="323">
      <calculatedColumnFormula>Tabela4[[#This Row],[Jandira Dutra]]</calculatedColumnFormula>
    </tableColumn>
    <tableColumn id="5" xr3:uid="{273CC5E2-5017-447E-BC7A-351506307577}" name="Luiz Fernando Kruger" dataDxfId="322">
      <calculatedColumnFormula>Tabela4[[#This Row],[Luiz Fernando Kruger]]</calculatedColumnFormula>
    </tableColumn>
    <tableColumn id="6" xr3:uid="{52D4AB1B-E4C4-4AA6-9D5E-83AFC5B70093}" name="Paulo Bohn" dataDxfId="321">
      <calculatedColumnFormula>SUM(Tabela4[[#This Row],[Paulo Bohn - 01]:[Paulo Bohn - 04]])</calculatedColumnFormula>
    </tableColumn>
    <tableColumn id="7" xr3:uid="{E47D9524-C0CA-4FA0-BB32-D313601B25B6}" name="Analia (Clodoaldo Entre-Ijuis)" dataDxfId="320">
      <calculatedColumnFormula>Tabela4[[#This Row],[Analia (Clodoaldo Entre-Ijuis)]]</calculatedColumnFormula>
    </tableColumn>
    <tableColumn id="8" xr3:uid="{DE4F1C54-B260-4F7F-A111-FF59BCB6F005}" name="Biroh" dataDxfId="319">
      <calculatedColumnFormula>Tabela4[[#This Row],[Biroh]]</calculatedColumnFormula>
    </tableColumn>
    <tableColumn id="9" xr3:uid="{67B06454-CA6F-47E3-92EE-248DEBE0291E}" name="Gelson Posser" dataDxfId="318">
      <calculatedColumnFormula>Tabela4[[#This Row],[Gelson Posser]]</calculatedColumnFormula>
    </tableColumn>
    <tableColumn id="10" xr3:uid="{A2F6005E-5D82-475A-8B6E-3CDBB6BFBAEC}" name="Supermercado Caryone" dataDxfId="317">
      <calculatedColumnFormula>Tabela4[[#This Row],[Supermercado Caryone]]</calculatedColumnFormula>
    </tableColumn>
    <tableColumn id="11" xr3:uid="{4EBBE34F-6861-4CC0-B801-7EEE098C91F5}" name="Ernani Minetto" dataDxfId="316">
      <calculatedColumnFormula>Tabela4[[#This Row],[Ernani Minetto]]</calculatedColumnFormula>
    </tableColumn>
    <tableColumn id="12" xr3:uid="{C2FB98E0-23B4-4DD1-9BCD-7716B27B1C30}" name="Jair Moscon" dataDxfId="315">
      <calculatedColumnFormula>Tabela4[[#This Row],[Jair Moscon]]</calculatedColumnFormula>
    </tableColumn>
    <tableColumn id="13" xr3:uid="{BF9225C1-4BA6-4FA7-9345-49909D064BCB}" name="Fabio Milke" dataDxfId="314">
      <calculatedColumnFormula>SUM(Tabela4[[#This Row],[Fabio Milke - 01]:[Fabio Milke - 02]])</calculatedColumnFormula>
    </tableColumn>
    <tableColumn id="14" xr3:uid="{78153E99-FBE9-4DA1-8C89-B0ECF6126E6D}" name="Piaia" dataDxfId="313">
      <calculatedColumnFormula>Tabela4[[#This Row],[Piaia]]</calculatedColumnFormula>
    </tableColumn>
    <tableColumn id="15" xr3:uid="{1E28F241-E6A9-4896-86C3-2D8950867C31}" name="Osmar Veronese" dataDxfId="312">
      <calculatedColumnFormula>Tabela4[[#This Row],[Osmar Veronese]]</calculatedColumnFormula>
    </tableColumn>
    <tableColumn id="16" xr3:uid="{72F0B743-ED01-4227-8092-8F0FB47AA885}" name="José Luiz Moraes" dataDxfId="311">
      <calculatedColumnFormula>Tabela4[[#This Row],[ José Luiz Moraes]]</calculatedColumnFormula>
    </tableColumn>
    <tableColumn id="17" xr3:uid="{7688EA16-D2D1-499D-A886-69AC05FB2E6B}" name="Supermercado Cripy" dataDxfId="310">
      <calculatedColumnFormula>Tabela4[[#This Row],[Supermercado Cripy]]</calculatedColumnFormula>
    </tableColumn>
    <tableColumn id="18" xr3:uid="{6D87F4CA-23A4-49F8-95EA-3C69E32ED5BA}" name="Gláucio Lipski (Giruá)" dataDxfId="309">
      <calculatedColumnFormula>Tabela4[[#This Row],[Gláucio Lipski (Giruá)]]</calculatedColumnFormula>
    </tableColumn>
    <tableColumn id="19" xr3:uid="{5A0BD422-2950-4AD4-A813-41356A66421F}" name="Contri" dataDxfId="308">
      <calculatedColumnFormula>Tabela4[[#This Row],[Contri]]</calculatedColumnFormula>
    </tableColumn>
    <tableColumn id="20" xr3:uid="{FF8924CA-97BE-4314-BFA4-4EAF765F01D0}" name="Cleci Rubi" dataDxfId="307">
      <calculatedColumnFormula>Tabela4[[#This Row],[Cleci Rubi]]</calculatedColumnFormula>
    </tableColumn>
    <tableColumn id="21" xr3:uid="{B0D94C01-CC36-4A36-914B-5B00454EFE39}" name="Betine Rost" dataDxfId="306">
      <calculatedColumnFormula>Tabela4[[#This Row],[Betine Rost]]</calculatedColumnFormula>
    </tableColumn>
    <tableColumn id="22" xr3:uid="{F68BDE66-875D-4C8F-8571-A6AD4B7D121F}" name="Robinson Fetter" dataDxfId="305">
      <calculatedColumnFormula>SUM(Tabela4[[#This Row],[Robinson Fetter - 01]:[Robinson Fetter - 03]])</calculatedColumnFormula>
    </tableColumn>
    <tableColumn id="23" xr3:uid="{317437B4-6051-4FB0-B5DD-579A2C605837}" name="Fabio De Moura" dataDxfId="304">
      <calculatedColumnFormula>Tabela4[[#This Row],[Fabio De Moura]]</calculatedColumnFormula>
    </tableColumn>
    <tableColumn id="24" xr3:uid="{6B99D133-A9C7-45BB-AD00-7E196B88B198}" name="Rochele Santos Moraes" dataDxfId="303">
      <calculatedColumnFormula>Tabela4[[#This Row],[Rochele Santos Moraes]]</calculatedColumnFormula>
    </tableColumn>
    <tableColumn id="25" xr3:uid="{BA53D90F-25BF-417C-8D21-EFFAC83A2FB7}" name="Auto Posto Kairã" dataDxfId="302">
      <calculatedColumnFormula>Tabela4[[#This Row],[Auto Posto Kairã]]</calculatedColumnFormula>
    </tableColumn>
    <tableColumn id="26" xr3:uid="{53E31602-4254-4DDE-AA4C-AD72319F8461}" name="Erno Schiefelbain" dataDxfId="301">
      <calculatedColumnFormula>Tabela4[[#This Row],[Erno Schiefelbain]]</calculatedColumnFormula>
    </tableColumn>
    <tableColumn id="27" xr3:uid="{DF2B008A-1C7E-41B3-A610-44B2924D473D}" name="José Paulo Backes" dataDxfId="300">
      <calculatedColumnFormula>Tabela4[[#This Row],[José Paulo Backes]]</calculatedColumnFormula>
    </tableColumn>
    <tableColumn id="28" xr3:uid="{6E71B529-2E2F-401C-8235-352740A94005}" name="Gelso Tofolo" dataDxfId="299">
      <calculatedColumnFormula>Tabela4[[#This Row],[Gelso Tofolo]]</calculatedColumnFormula>
    </tableColumn>
    <tableColumn id="29" xr3:uid="{7CEE7A1D-CF65-4D62-9CCC-E65C827F2869}" name="Diamantino" dataDxfId="298">
      <calculatedColumnFormula>Tabela4[[#This Row],[Diamantino]]</calculatedColumnFormula>
    </tableColumn>
    <tableColumn id="30" xr3:uid="{033CC56C-D748-468D-8845-90E22E7A9D72}" name="Mercado Bueno" dataDxfId="297">
      <calculatedColumnFormula>Tabela4[[#This Row],[Mercado Bueno]]</calculatedColumnFormula>
    </tableColumn>
    <tableColumn id="31" xr3:uid="{02150B8D-2F22-415C-8D59-6E91DB29796A}" name="Daniela Donadel Massalai" dataDxfId="296">
      <calculatedColumnFormula>Tabela4[[#This Row],[Daniela Donadel Massalai]]</calculatedColumnFormula>
    </tableColumn>
    <tableColumn id="32" xr3:uid="{E1E1CA33-616E-445A-A8B3-5AFD69A9544D}" name="Comercio De Moto Peças Irmãos Guarani Ltda" dataDxfId="295">
      <calculatedColumnFormula>Tabela4[[#This Row],[Comercio De Moto Peças Irmãos Guarani Ltda]]</calculatedColumnFormula>
    </tableColumn>
    <tableColumn id="33" xr3:uid="{E5E0597F-85C0-4916-87E3-695E394FFBE1}" name="Mauricio Luis Lunardi" dataDxfId="294">
      <calculatedColumnFormula>Tabela4[[#This Row],[Mauricio Luis Lunardi]]</calculatedColumnFormula>
    </tableColumn>
    <tableColumn id="34" xr3:uid="{E61F30CF-2F30-4108-AB68-52D9E7F55BCA}" name="Rosa Maria Restle Radunz" dataDxfId="293">
      <calculatedColumnFormula>Tabela4[[#This Row],[Rosa Maria Restle Radunz]]</calculatedColumnFormula>
    </tableColumn>
    <tableColumn id="35" xr3:uid="{69B5A519-B328-4D05-AEEB-AEAC3E374DB3}" name="Ivo Amaral De Oliveira" dataDxfId="292">
      <calculatedColumnFormula>Tabela4[[#This Row],[Ivo Amaral De Oliveira]]</calculatedColumnFormula>
    </tableColumn>
    <tableColumn id="36" xr3:uid="{2D6C0E40-4049-41BC-BDDA-1666F411C368}" name="Silvio Robert Lemos Avila" dataDxfId="291">
      <calculatedColumnFormula>Tabela4[[#This Row],[Silvio Robert Lemos Avila]]</calculatedColumnFormula>
    </tableColumn>
    <tableColumn id="37" xr3:uid="{DF07FA61-2608-4113-A723-2C537F0B450B}" name="Eldo Rost" dataDxfId="290">
      <calculatedColumnFormula>Tabela4[[#This Row],[Eldo Rost]]</calculatedColumnFormula>
    </tableColumn>
    <tableColumn id="38" xr3:uid="{FAF374A4-6DD3-4107-9DDF-71EA92FFECD1}" name="Padaria Avenida" dataDxfId="289">
      <calculatedColumnFormula>SUM(Tabela4[[#This Row],[Padaria Avenida - 01]:[Padaria Avenida - 02]])</calculatedColumnFormula>
    </tableColumn>
    <tableColumn id="39" xr3:uid="{1B5D957A-CF9F-4737-AE9F-34960B4C9600}" name="Cristiano Anshau" dataDxfId="288">
      <calculatedColumnFormula>Tabela4[[#This Row],[Cristiano Anshau]]</calculatedColumnFormula>
    </tableColumn>
    <tableColumn id="40" xr3:uid="{504E3D98-0702-4B9F-B786-2F4AAA19C504}" name="Luciana Claudete Meirelles Correa" dataDxfId="287">
      <calculatedColumnFormula>Tabela4[[#This Row],[Luciana Claudete Meirelles Correa]]</calculatedColumnFormula>
    </tableColumn>
    <tableColumn id="41" xr3:uid="{81F44CD8-14FF-4063-A445-1D91B66E75A0}" name="Marcio Jose Siqueira" dataDxfId="286">
      <calculatedColumnFormula>Tabela4[[#This Row],[Marcio Jose Siqueira]]</calculatedColumnFormula>
    </tableColumn>
    <tableColumn id="42" xr3:uid="{6680240A-7604-4FAA-9B54-AA523F0CA4F8}" name="Marcos Rogerio Kessler" dataDxfId="285">
      <calculatedColumnFormula>Tabela4[[#This Row],[Marcos Rogerio Kessler]]</calculatedColumnFormula>
    </tableColumn>
    <tableColumn id="43" xr3:uid="{7B2D9E33-649F-4B15-AF2F-384E5F722AC3}" name="AABB" dataDxfId="284">
      <calculatedColumnFormula>SUM(Tabela4[[#This Row],[AABB - 01]:[AABB - 02]])</calculatedColumnFormula>
    </tableColumn>
    <tableColumn id="44" xr3:uid="{2FBB46E8-D5A0-4E80-8FAA-0F5AB4D90E81}" name="Wanda Burkard" dataDxfId="283">
      <calculatedColumnFormula>SUM(Tabela4[[#This Row],[Wanda Burkard - 01]:[Wanda Burkard - 02]])</calculatedColumnFormula>
    </tableColumn>
    <tableColumn id="45" xr3:uid="{21F08F09-C2B4-40E2-BD86-8189704EF363}" name="Silvio Robert Lemos Avila Me" dataDxfId="282">
      <calculatedColumnFormula>Tabela4[[#This Row],[Silvio Robert Lemos Avila Me]]</calculatedColumnFormula>
    </tableColumn>
    <tableColumn id="46" xr3:uid="{1A997BBB-305A-42CB-9AB3-84F6683B9329}" name="Carmelo" dataDxfId="281">
      <calculatedColumnFormula>Tabela4[[#This Row],[Carmelo]]</calculatedColumnFormula>
    </tableColumn>
    <tableColumn id="47" xr3:uid="{013C2934-7990-4EC8-BA88-AF77EA107627}" name="Antonio Dal Forno" dataDxfId="280">
      <calculatedColumnFormula>Tabela4[[#This Row],[Antonio Dal Forno]]</calculatedColumnFormula>
    </tableColumn>
    <tableColumn id="48" xr3:uid="{57A20D12-DB85-4A15-839D-B1FAE4B183F1}" name="Marisane Paulus" dataDxfId="279">
      <calculatedColumnFormula>Tabela4[[#This Row],[Marisane Paulus]]</calculatedColumnFormula>
    </tableColumn>
    <tableColumn id="49" xr3:uid="{1DFA83CF-89C4-451F-9B99-1C31B075FAFD}" name="Segatto Ceretta Ltda" dataDxfId="278">
      <calculatedColumnFormula>Tabela4[[#This Row],[Segatto Ceretta Ltda]]</calculatedColumnFormula>
    </tableColumn>
    <tableColumn id="50" xr3:uid="{475E7A66-2F4C-4D0D-9BAE-8AEF8FB7C23E}" name="APAE" dataDxfId="277">
      <calculatedColumnFormula>SUM(Tabela4[[#This Row],[APAE - 01]:[APAE - 02]])</calculatedColumnFormula>
    </tableColumn>
    <tableColumn id="51" xr3:uid="{E77FDB6B-871C-49E8-B13F-5D350B92CE31}" name="Cássio Burin" dataDxfId="276">
      <calculatedColumnFormula>Tabela4[[#This Row],[Cássio Burin]]</calculatedColumnFormula>
    </tableColumn>
    <tableColumn id="52" xr3:uid="{DB3D51F8-E3B0-4F43-A5C9-8FB7E8FC25D6}" name="Patrick Kristoschek Da Silva" dataDxfId="275">
      <calculatedColumnFormula>Tabela4[[#This Row],[Patrick Kristoschek Da Silva]]</calculatedColumnFormula>
    </tableColumn>
    <tableColumn id="53" xr3:uid="{5B3E9FD7-F60D-4A94-BF05-65AF233361E9}" name="Silvio Robert Ávila - (Valmir)" dataDxfId="274">
      <calculatedColumnFormula>Tabela4[[#This Row],[Silvio Robert Ávila - (Valmir)]]</calculatedColumnFormula>
    </tableColumn>
    <tableColumn id="54" xr3:uid="{900E7AE0-373D-4248-B2FB-EF856F81D4F6}" name="Zederson Jose Della Flora" dataDxfId="273">
      <calculatedColumnFormula>Tabela4[[#This Row],[Zederson Jose Della Flora]]</calculatedColumnFormula>
    </tableColumn>
    <tableColumn id="55" xr3:uid="{3CE1601B-8B5D-4C41-B6D3-677959AA71E1}" name="Carlos Walmir Larsão Rolim" dataDxfId="272">
      <calculatedColumnFormula>Tabela4[[#This Row],[Carlos Walmir Larsão Rolim]]</calculatedColumnFormula>
    </tableColumn>
    <tableColumn id="56" xr3:uid="{129264EA-6B25-4C33-BB28-E3A857A26B4A}" name="Danieli Missio" dataDxfId="271">
      <calculatedColumnFormula>Tabela4[[#This Row],[Danieli Missio]]</calculatedColumnFormula>
    </tableColumn>
    <tableColumn id="57" xr3:uid="{157B93B3-B233-4BF4-80E5-3BE8D3CAD6AE}" name="José Vasconcellos" dataDxfId="270">
      <calculatedColumnFormula>Tabela4[[#This Row],[José Vasconcellos]]</calculatedColumnFormula>
    </tableColumn>
    <tableColumn id="58" xr3:uid="{4C7EF862-282E-4F94-86E3-B8B15171FF25}" name="Linho Lev Alimentos" dataDxfId="269">
      <calculatedColumnFormula>Tabela4[[#This Row],[Linho Lev Alimentos]]</calculatedColumnFormula>
    </tableColumn>
    <tableColumn id="59" xr3:uid="{5F246D82-C60D-4864-8066-3A9BFD896A2F}" name="Ernani Czapla" dataDxfId="268">
      <calculatedColumnFormula>Tabela4[[#This Row],[Ernani Czapla]]</calculatedColumnFormula>
    </tableColumn>
    <tableColumn id="60" xr3:uid="{E4255125-B91C-4947-8AF8-BAB2DE44632A}" name="Valesca Da Luz" dataDxfId="267">
      <calculatedColumnFormula>Tabela4[[#This Row],[Valesca Da Luz]]</calculatedColumnFormula>
    </tableColumn>
    <tableColumn id="61" xr3:uid="{DB838DCB-3C1F-48B7-AA7B-4B1182F6E40B}" name="Olavo Mildner" dataDxfId="266">
      <calculatedColumnFormula>Tabela4[[#This Row],[Olavo Mildner]]</calculatedColumnFormula>
    </tableColumn>
    <tableColumn id="62" xr3:uid="{1C201BCB-8A23-44E6-8733-ABCFB918CE7D}" name="Dilnei Rohled" dataDxfId="265">
      <calculatedColumnFormula>Tabela4[[#This Row],[Dilnei Rohled]]</calculatedColumnFormula>
    </tableColumn>
    <tableColumn id="63" xr3:uid="{2AA6D6D7-E828-45F9-ADAB-FA18263ACC31}" name="Shaiana Signorini" dataDxfId="264">
      <calculatedColumnFormula>Tabela4[[#This Row],[Shaiana Signorini]]</calculatedColumnFormula>
    </tableColumn>
    <tableColumn id="64" xr3:uid="{BD313FA2-18F4-45B9-BDEC-1809BC3B2721}" name="Fonse Atacado" dataDxfId="263">
      <calculatedColumnFormula>Tabela4[[#This Row],[Fonse Atacado]]</calculatedColumnFormula>
    </tableColumn>
    <tableColumn id="65" xr3:uid="{3649A4B8-7A25-4195-AF60-8A3A9E158CF6}" name="Comercial de Alimentos" dataDxfId="262">
      <calculatedColumnFormula>Tabela4[[#This Row],[Comercial de Alimentos]]</calculatedColumnFormula>
    </tableColumn>
    <tableColumn id="66" xr3:uid="{9EEE2452-9163-42DD-870D-8C86D5F67791}" name="Ivone Kasburg Serralheria" dataDxfId="261">
      <calculatedColumnFormula>Tabela4[[#This Row],[Ivone Kasburg Serralheria]]</calculatedColumnFormula>
    </tableColumn>
    <tableColumn id="67" xr3:uid="{FCFF3D2A-81CF-41C1-8727-7BA840C68B74}" name="Mercado Ceretta" dataDxfId="260">
      <calculatedColumnFormula>Tabela4[[#This Row],[Mercado Ceretta]]</calculatedColumnFormula>
    </tableColumn>
    <tableColumn id="68" xr3:uid="{5688D2A3-594C-4BED-BC96-15548D29BE2F}" name="Antonio Carlos Dos Santos Pereira" dataDxfId="259">
      <calculatedColumnFormula>Tabela4[[#This Row],[Antonio Carlos Dos Santos Pereira]]</calculatedColumnFormula>
    </tableColumn>
    <tableColumn id="69" xr3:uid="{2F198618-C839-4497-BDB7-EEA1C0744E3E}" name="Volnei Lemos Avila - Me" dataDxfId="258">
      <calculatedColumnFormula>Tabela4[[#This Row],[Volnei Lemos Avila - Me]]</calculatedColumnFormula>
    </tableColumn>
    <tableColumn id="70" xr3:uid="{3CD03EE8-A15D-44BD-84C0-84F1262FD8A4}" name="Silvana Meneghini" dataDxfId="257">
      <calculatedColumnFormula>Tabela4[[#This Row],[Silvana Meneghini]]</calculatedColumnFormula>
    </tableColumn>
    <tableColumn id="71" xr3:uid="{A368D1FD-C78C-49DE-A968-F609711372C5}" name="Eficaz Engenharia Ltda" dataDxfId="256">
      <calculatedColumnFormula>Tabela4[[#This Row],[Eficaz Engenharia Ltda]]</calculatedColumnFormula>
    </tableColumn>
    <tableColumn id="72" xr3:uid="{6E1CA7E9-2197-405B-B2C6-BE4FC38E7F5E}" name="Tania Regina Schmaltz" dataDxfId="255">
      <calculatedColumnFormula>SUM(Tabela4[[#Headers],[Tania Regina Schmaltz - 01]:[Tania Regina Schmaltz - 02]])</calculatedColumnFormula>
    </tableColumn>
    <tableColumn id="73" xr3:uid="{44ADB7E6-7C25-4E0F-913C-2F2AA71E5BF6}" name="Camila Ceretta Segatto" dataDxfId="254">
      <calculatedColumnFormula>Tabela4[[#This Row],[Camila Ceretta Segatto]]</calculatedColumnFormula>
    </tableColumn>
    <tableColumn id="74" xr3:uid="{74C7AE08-453D-479C-ACB4-2CDCE619F68A}" name="Vagner Ribas Dos Santos" dataDxfId="253">
      <calculatedColumnFormula>Tabela4[[#This Row],[Vagner Ribas Dos Santos]]</calculatedColumnFormula>
    </tableColumn>
    <tableColumn id="75" xr3:uid="{E283E5AD-C3D5-4C41-B562-EA5D11F5113D}" name="Claudio Alfredo Konrat" dataDxfId="252">
      <calculatedColumnFormula>Tabela4[[#This Row],[Claudio Alfredo Konrat]]</calculatedColumnFormula>
    </tableColumn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BW109" totalsRowShown="0" headerRowDxfId="251" dataDxfId="250">
  <autoFilter ref="A1:BW109" xr:uid="{93E2788E-DDEA-4257-ABB6-9EE359120D0D}"/>
  <tableColumns count="75">
    <tableColumn id="1" xr3:uid="{80E5651E-F57E-4731-8E8E-4033A5406335}" name="Mês" dataDxfId="249"/>
    <tableColumn id="2" xr3:uid="{1F470606-B54A-4CF2-BF38-5335B15340F0}" name="Marlon Colovini" dataDxfId="248"/>
    <tableColumn id="3" xr3:uid="{EA195165-9ED2-435B-A176-1E3D5F5243D2}" name="Mara Barichello" dataDxfId="247"/>
    <tableColumn id="4" xr3:uid="{F8F1E70C-3C15-4BBF-91EC-3BD2958B0DA3}" name="Jandira Dutra" dataDxfId="246"/>
    <tableColumn id="5" xr3:uid="{5662DDE4-D60E-41AF-900D-2FD8B672B4D6}" name="Luiz Fernando Kruger" dataDxfId="245"/>
    <tableColumn id="6" xr3:uid="{5A4AFFB2-1D5D-4B67-B2DE-4F2DAE3104C6}" name="Paulo Bohn" dataDxfId="244"/>
    <tableColumn id="7" xr3:uid="{21A93DCB-C6DB-455D-BEB0-0434E6CF3C79}" name="Analia (Clodoaldo Entre-Ijuis)" dataDxfId="243"/>
    <tableColumn id="8" xr3:uid="{51D9000C-260D-41D6-93C6-9DEE795EF427}" name="Biroh" dataDxfId="242"/>
    <tableColumn id="9" xr3:uid="{7A7D7EAF-0E93-4671-BA51-4AD24AA38F29}" name="Gelson Posser" dataDxfId="241"/>
    <tableColumn id="10" xr3:uid="{DFF3E0DD-B0D9-4971-9EEC-52B1C139743B}" name="Supermercado Caryone" dataDxfId="240"/>
    <tableColumn id="11" xr3:uid="{825FC8DE-7D44-437C-A649-B88202510029}" name="Ernani Minetto" dataDxfId="239"/>
    <tableColumn id="12" xr3:uid="{4ED8EEFD-C570-4AA8-B02D-5E86077393AA}" name="Jair Moscon" dataDxfId="238"/>
    <tableColumn id="13" xr3:uid="{8958D90B-0A6C-4C42-92BF-C4C1DE73E782}" name="Fabio Milke" dataDxfId="237"/>
    <tableColumn id="14" xr3:uid="{F5C1C059-C57C-4D8D-9EE1-CF0A33181E91}" name="Piaia" dataDxfId="236"/>
    <tableColumn id="15" xr3:uid="{E417F983-18FE-4EFB-B65D-DCA452D83C5C}" name="Osmar Veronese" dataDxfId="235"/>
    <tableColumn id="16" xr3:uid="{451D7FFB-E7DE-4A2F-AEC2-11FCB86F8AF9}" name="José Luiz Moraes" dataDxfId="234"/>
    <tableColumn id="17" xr3:uid="{BD3CD7EF-E1AE-4FDA-B1F2-72B41EE7A941}" name="Supermercado Cripy" dataDxfId="233"/>
    <tableColumn id="18" xr3:uid="{8680E7E5-9105-4585-940C-1C47FFCF0C0A}" name="Gláucio Lipski (Giruá)" dataDxfId="232"/>
    <tableColumn id="19" xr3:uid="{78192CE1-EAE1-46E3-B0A2-F44E0CE4BC4A}" name="Contri" dataDxfId="231"/>
    <tableColumn id="20" xr3:uid="{EDAA5B3F-0F24-411A-98DC-ABD7FAA7023C}" name="Cleci Rubi" dataDxfId="230"/>
    <tableColumn id="21" xr3:uid="{C54EDFBC-4A7C-4165-AA25-6E83A53B2BA5}" name="Betine Rost" dataDxfId="229"/>
    <tableColumn id="22" xr3:uid="{8B45CD5A-AD4E-4EB9-BA00-73454808F0FB}" name="Robinson Fetter" dataDxfId="228"/>
    <tableColumn id="23" xr3:uid="{458FD966-E625-4ECC-BAE8-F7F1C2108D26}" name="Fabio De Moura" dataDxfId="227"/>
    <tableColumn id="24" xr3:uid="{7D34A511-10A3-46FD-90EA-7CDCF4D72F19}" name="Rochele Santos Moraes" dataDxfId="226"/>
    <tableColumn id="25" xr3:uid="{046DC55B-A680-43AA-9EFC-1580B1DD6811}" name="Auto Posto Kairã" dataDxfId="225"/>
    <tableColumn id="26" xr3:uid="{F8727A5A-C24C-442F-A6D8-A8F70688BA23}" name="Erno Schiefelbain" dataDxfId="224"/>
    <tableColumn id="27" xr3:uid="{34B38C18-6509-440E-B40A-57BB6538FF9F}" name="José Paulo Backes" dataDxfId="223"/>
    <tableColumn id="28" xr3:uid="{04672B6F-5F56-4A7B-9A66-26AF61486004}" name="Gelso Tofolo" dataDxfId="222"/>
    <tableColumn id="29" xr3:uid="{9068424C-13FE-40B0-A6B0-BA71150DEA2D}" name="Diamantino" dataDxfId="221"/>
    <tableColumn id="30" xr3:uid="{DD3764E8-4855-467B-AAED-5E3CD9F1FC26}" name="Mercado Bueno" dataDxfId="220"/>
    <tableColumn id="31" xr3:uid="{C5BA8352-2991-4DD9-B707-752E60AA45D6}" name="Daniela Donadel Massalai" dataDxfId="219"/>
    <tableColumn id="32" xr3:uid="{1B564FFE-A8DE-4058-9BD0-6BA3695E4B52}" name="Comercio De Moto Peças Irmãos Guarani Ltda" dataDxfId="218"/>
    <tableColumn id="33" xr3:uid="{85800997-3EDF-48DA-A71B-1EAB3AB68A58}" name="Mauricio Luis Lunardi" dataDxfId="217"/>
    <tableColumn id="34" xr3:uid="{674F551D-AEB3-4780-968B-F72CFF1CEA09}" name="Rosa Maria Restle Radunz" dataDxfId="216"/>
    <tableColumn id="35" xr3:uid="{FD5FBFD8-334D-4AD4-B35F-C8669B0D6DB7}" name="Ivo Amaral De Oliveira" dataDxfId="215"/>
    <tableColumn id="36" xr3:uid="{BCD905DE-6E46-43B7-8368-327AE569FE48}" name="Silvio Robert Lemos Avila" dataDxfId="214"/>
    <tableColumn id="37" xr3:uid="{83D21E57-A23F-4CAF-965E-D60D5909BF8B}" name="Eldo Rost" dataDxfId="213"/>
    <tableColumn id="38" xr3:uid="{0E7FC854-A46D-4F45-A068-A48263FF0129}" name="Padaria Avenida" dataDxfId="212"/>
    <tableColumn id="39" xr3:uid="{C497E7F7-4604-4B70-9F95-F6427149A7E3}" name="Cristiano Anshau" dataDxfId="211"/>
    <tableColumn id="40" xr3:uid="{4520292F-F906-45F9-AB0F-41AB43067B7E}" name="Luciana Claudete Meirelles Correa" dataDxfId="210"/>
    <tableColumn id="41" xr3:uid="{410870E0-2740-41BA-8E64-BE84B1A76F82}" name="Marcio Jose Siqueira" dataDxfId="209"/>
    <tableColumn id="42" xr3:uid="{A9E48B2A-E862-4066-8C42-0EE3FB4C9558}" name="Marcos Rogerio Kessler" dataDxfId="208"/>
    <tableColumn id="43" xr3:uid="{D2708365-359D-42EB-9332-A9C3DA3C6DBF}" name="AABB" dataDxfId="207"/>
    <tableColumn id="44" xr3:uid="{74560AE6-70D2-45E8-BC15-D3D03E3481C7}" name="Wanda Burkard" dataDxfId="206"/>
    <tableColumn id="45" xr3:uid="{7DF64AD0-CC26-4BAB-A8E6-37C92E01E1B8}" name="Silvio Robert Lemos Avila Me" dataDxfId="205"/>
    <tableColumn id="46" xr3:uid="{E09BDBCD-2931-4741-B79C-81E45FB69F78}" name="Carmelo" dataDxfId="204"/>
    <tableColumn id="47" xr3:uid="{4ABBD576-6648-447F-A361-9063E7D8B87B}" name="Antonio Dal Forno" dataDxfId="203"/>
    <tableColumn id="48" xr3:uid="{B8888917-F667-4FF8-88E2-AD51C80B90D4}" name="Marisane Paulus" dataDxfId="202"/>
    <tableColumn id="49" xr3:uid="{85A58D9C-F491-4A3E-98A4-333684A8F570}" name="Segatto Ceretta Ltda" dataDxfId="201"/>
    <tableColumn id="50" xr3:uid="{23B13536-2C5F-4CAB-B684-F66DB5ACCC76}" name="APAE" dataDxfId="200"/>
    <tableColumn id="51" xr3:uid="{C84B73C2-AE3E-4E81-A095-7C2D00D90289}" name="Cássio Burin" dataDxfId="199"/>
    <tableColumn id="52" xr3:uid="{8BB1541C-2F45-42F9-9CFE-B115B748D60E}" name="Patrick Kristoschek Da Silva" dataDxfId="198"/>
    <tableColumn id="53" xr3:uid="{1CC951F3-F277-4A7F-845C-6DE6437116F9}" name="Silvio Robert Ávila - (Valmir)" dataDxfId="197"/>
    <tableColumn id="54" xr3:uid="{A07CFE4F-9A34-4258-906B-4D1F86AAFD98}" name="Zederson Jose Della Flora" dataDxfId="196"/>
    <tableColumn id="55" xr3:uid="{391D6A95-C8CA-4EEB-81A3-13BBC234DC28}" name="Carlos Walmir Larsão Rolim" dataDxfId="195"/>
    <tableColumn id="56" xr3:uid="{06E5F94F-3C79-4341-88A6-C777527EB782}" name="Danieli Missio" dataDxfId="194"/>
    <tableColumn id="57" xr3:uid="{096A3D0D-070C-4906-979F-8B0F28EFF354}" name="José Vasconcellos" dataDxfId="193"/>
    <tableColumn id="58" xr3:uid="{57662205-6089-4BB0-B208-4FFEBD377D76}" name="Linho Lev Alimentos" dataDxfId="192"/>
    <tableColumn id="59" xr3:uid="{D9EB634A-517E-4253-A07C-AFA28F20461F}" name="Ernani Czapla" dataDxfId="191"/>
    <tableColumn id="60" xr3:uid="{AD6DA8BB-6A9B-47A2-8F65-C886D88BAB27}" name="Valesca Da Luz" dataDxfId="190"/>
    <tableColumn id="61" xr3:uid="{7EDCE558-A0CF-4DEB-A878-3C927EE87FB1}" name="Olavo Mildner" dataDxfId="189"/>
    <tableColumn id="62" xr3:uid="{F9FF12D5-4161-476B-AFEF-6BAFA6D9158B}" name="Dilnei Rohled" dataDxfId="188"/>
    <tableColumn id="63" xr3:uid="{8EB8D7D5-F278-4FC9-984A-E632D71DA8D7}" name="Shaiana Signorini" dataDxfId="187"/>
    <tableColumn id="64" xr3:uid="{B2D63C3C-4C30-4444-8D9F-78CD6EF5931A}" name="Fonse Atacado" dataDxfId="186"/>
    <tableColumn id="65" xr3:uid="{2FE90299-0D83-44B7-844B-3B434318354D}" name="Comercial de Alimentos" dataDxfId="185"/>
    <tableColumn id="66" xr3:uid="{4F0BC62D-2D93-4258-903E-CDAD42DB4DC2}" name="Ivone Kasburg Serralheria" dataDxfId="184"/>
    <tableColumn id="67" xr3:uid="{FC51CCE6-3FB9-46C2-AF1C-BB6236F2D5B6}" name="Mercado Ceretta" dataDxfId="183"/>
    <tableColumn id="68" xr3:uid="{EC6E8BBA-BE69-4A24-82C7-769F85977645}" name="Antonio Carlos Dos Santos Pereira" dataDxfId="182"/>
    <tableColumn id="69" xr3:uid="{4BC8C6CF-CA9D-46B1-95D6-9F728A17762D}" name="Volnei Lemos Avila - Me" dataDxfId="181"/>
    <tableColumn id="70" xr3:uid="{28DF5806-80A2-4716-ADB5-69F1668E4AD5}" name="Silvana Meneghini" dataDxfId="180"/>
    <tableColumn id="71" xr3:uid="{2FFE9968-B19B-44A0-A6A5-69019861B6C1}" name="Eficaz Engenharia Ltda" dataDxfId="179"/>
    <tableColumn id="72" xr3:uid="{FB0564A8-F566-4931-840A-B6B52C68564A}" name="Tania Regina Schmaltz" dataDxfId="178"/>
    <tableColumn id="73" xr3:uid="{D8B4481C-A8A7-43DE-B708-8329D1A4C799}" name="Camila Ceretta Segatto" dataDxfId="177"/>
    <tableColumn id="74" xr3:uid="{0E6570E6-4E94-4435-B743-4D0B2BF40B83}" name="Vagner Ribas Dos Santos" dataDxfId="176"/>
    <tableColumn id="75" xr3:uid="{161BF80B-83F2-4F43-86B2-1D43338C1C44}" name="Claudio Alfredo Konrat" dataDxfId="175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BW109" totalsRowShown="0" headerRowDxfId="174" dataDxfId="173">
  <autoFilter ref="A1:BW109" xr:uid="{2C993FA3-A240-4FB6-B956-CA422A700709}"/>
  <tableColumns count="75">
    <tableColumn id="1" xr3:uid="{46792CF8-0692-435A-9635-41AD17CBABE6}" name="Mês" dataDxfId="172"/>
    <tableColumn id="2" xr3:uid="{E250FCB1-814A-482C-9254-0D06C3D7681B}" name="Marlon Colovini" dataDxfId="171"/>
    <tableColumn id="3" xr3:uid="{471C3625-81F8-4918-B87B-6D838E579F54}" name="Mara Barichello" dataDxfId="170"/>
    <tableColumn id="4" xr3:uid="{ED87A0F6-1D83-4AA2-89D1-A0F8358C6B61}" name="Jandira Dutra" dataDxfId="169"/>
    <tableColumn id="5" xr3:uid="{B7CA4525-9267-4BD8-BA0D-704E61DEE19B}" name="Luiz Fernando Kruger" dataDxfId="168"/>
    <tableColumn id="6" xr3:uid="{98B3FB9A-787A-4184-9178-F99B07308040}" name="Paulo Bohn" dataDxfId="167"/>
    <tableColumn id="7" xr3:uid="{695871B2-ACD5-40D4-A152-4B8FAD3B23F7}" name="Analia (Clodoaldo Entre-Ijuis)" dataDxfId="166"/>
    <tableColumn id="8" xr3:uid="{177572D4-21FC-47DC-BF02-0F9D072D76B8}" name="Biroh" dataDxfId="165"/>
    <tableColumn id="9" xr3:uid="{86288900-7285-4903-8903-5434C15B2070}" name="Gelson Posser" dataDxfId="164"/>
    <tableColumn id="10" xr3:uid="{B830459A-2E74-4E23-9734-9EF208E85E44}" name="Supermercado Caryone" dataDxfId="163"/>
    <tableColumn id="11" xr3:uid="{3170A2E9-E1DB-4A8D-8752-C9ADF1862D55}" name="Ernani Minetto" dataDxfId="162"/>
    <tableColumn id="12" xr3:uid="{F856E0B5-ABFA-4503-BD60-47070DD561C4}" name="Jair Moscon" dataDxfId="161"/>
    <tableColumn id="13" xr3:uid="{A3DA5BAD-E05C-4499-9CA9-99722245863A}" name="Fabio Milke" dataDxfId="160"/>
    <tableColumn id="14" xr3:uid="{AE47C6C3-2015-4031-AD2E-722B29136C38}" name="Piaia" dataDxfId="159"/>
    <tableColumn id="15" xr3:uid="{EAD2D89B-22EB-401F-B4CF-6453D4BF4381}" name="Osmar Veronese" dataDxfId="158"/>
    <tableColumn id="16" xr3:uid="{E9CA9A83-4083-4170-9786-502B83307F3B}" name="José Luiz Moraes" dataDxfId="157"/>
    <tableColumn id="17" xr3:uid="{03A9A11D-E6AF-44F6-9F31-F2CFF56B9587}" name="Supermercado Cripy" dataDxfId="156"/>
    <tableColumn id="18" xr3:uid="{DDEF047C-45AD-4C6C-AB03-5B088ECCE85A}" name="Gláucio Lipski (Giruá)" dataDxfId="155"/>
    <tableColumn id="19" xr3:uid="{1514122F-2902-4CD2-8041-6FC033B2A8CA}" name="Contri" dataDxfId="154"/>
    <tableColumn id="20" xr3:uid="{6F5CDE16-77FA-46F9-8CAD-0490DA7407A3}" name="Cleci Rubi" dataDxfId="153"/>
    <tableColumn id="21" xr3:uid="{71DCC38D-E140-4E3F-AD14-B3B517DB68EA}" name="Betine Rost" dataDxfId="152"/>
    <tableColumn id="22" xr3:uid="{E8C45057-9C2E-4F96-9395-3CFCC62528D0}" name="Robinson Fetter" dataDxfId="151"/>
    <tableColumn id="23" xr3:uid="{44778275-41AE-4250-9D4D-9EAA1087F670}" name="Fabio De Moura" dataDxfId="150"/>
    <tableColumn id="24" xr3:uid="{5F879AA4-DA67-4AC6-BB3B-E3E189E55198}" name="Rochele Santos Moraes" dataDxfId="149"/>
    <tableColumn id="25" xr3:uid="{DF76AE3D-214D-46B8-83BA-84F2BDD3C4F9}" name="Auto Posto Kairã" dataDxfId="148"/>
    <tableColumn id="26" xr3:uid="{F49FEA01-7690-409C-A6D6-08541A37D930}" name="Erno Schiefelbain" dataDxfId="147"/>
    <tableColumn id="27" xr3:uid="{6CF38035-3867-4B29-A513-D28E142E8437}" name="José Paulo Backes" dataDxfId="146"/>
    <tableColumn id="28" xr3:uid="{F08744E9-AC3A-49B6-8107-98DEADBD76C2}" name="Gelso Tofolo" dataDxfId="145"/>
    <tableColumn id="29" xr3:uid="{EFAD6E7B-6094-44EC-BB16-B9DDB59CB1BE}" name="Diamantino" dataDxfId="144"/>
    <tableColumn id="30" xr3:uid="{C074974B-880E-4062-A2D3-4FE5200402C2}" name="Mercado Bueno" dataDxfId="143"/>
    <tableColumn id="31" xr3:uid="{C2901660-5B8A-44AE-B954-351485A44CB5}" name="Daniela Donadel Massalai" dataDxfId="142"/>
    <tableColumn id="32" xr3:uid="{55C5E034-A232-449B-B847-CEAF8B3CA12B}" name="Comercio De Moto Peças Irmãos Guarani Ltda" dataDxfId="141"/>
    <tableColumn id="33" xr3:uid="{C48CC46E-399C-4CF1-BA4C-5F4DE11ED3B8}" name="Mauricio Luis Lunardi" dataDxfId="140"/>
    <tableColumn id="34" xr3:uid="{1BB15307-8B6E-4551-8EA7-C3E9DCC15EA8}" name="Rosa Maria Restle Radunz" dataDxfId="139"/>
    <tableColumn id="35" xr3:uid="{4BA770FE-0F81-4F77-9FA2-FD4AE41E5491}" name="Ivo Amaral De Oliveira" dataDxfId="138"/>
    <tableColumn id="36" xr3:uid="{BC48CDB2-1D45-465F-9681-F0C920CC386C}" name="Silvio Robert Lemos Avila" dataDxfId="137"/>
    <tableColumn id="37" xr3:uid="{EFF6D0E6-6151-4861-A2B0-3E931507B08F}" name="Eldo Rost" dataDxfId="136"/>
    <tableColumn id="38" xr3:uid="{5E84817C-4CE3-40BC-A7EE-B1CD1FF49381}" name="Padaria Avenida" dataDxfId="135"/>
    <tableColumn id="39" xr3:uid="{AD086960-BE43-424A-8306-5B9767FBF204}" name="Cristiano Anshau" dataDxfId="134"/>
    <tableColumn id="40" xr3:uid="{24CEA06F-C727-4C51-A9FE-3D1AA992AC2A}" name="Luciana Claudete Meirelles Correa" dataDxfId="133"/>
    <tableColumn id="41" xr3:uid="{F97F71CC-732F-42A1-815C-7DA6E6E119B0}" name="Marcio Jose Siqueira" dataDxfId="132"/>
    <tableColumn id="42" xr3:uid="{1E576320-B850-4D4E-8357-12CF87780E14}" name="Marcos Rogerio Kessler" dataDxfId="131"/>
    <tableColumn id="43" xr3:uid="{52888CF4-B333-4A62-9AC8-90854DA1F87F}" name="AABB" dataDxfId="130"/>
    <tableColumn id="44" xr3:uid="{4C108791-5A18-4D66-9D99-C75353357A59}" name="Wanda Burkard" dataDxfId="129"/>
    <tableColumn id="45" xr3:uid="{CF95AC36-B079-444F-8DEA-E5F0092EC7C4}" name="Silvio Robert Lemos Avila Me" dataDxfId="128"/>
    <tableColumn id="46" xr3:uid="{78E7D0AE-EE45-424F-82AA-2579BE2669FB}" name="Carmelo" dataDxfId="127"/>
    <tableColumn id="47" xr3:uid="{14F4653F-C90A-4552-9C7D-D849057C7C97}" name="Antonio Dal Forno" dataDxfId="126"/>
    <tableColumn id="48" xr3:uid="{A48B63C2-0A5A-47DA-9254-F4BE6412041C}" name="Marisane Paulus" dataDxfId="125"/>
    <tableColumn id="49" xr3:uid="{7F6021E1-5DFE-463B-81E0-4D06F181BCF5}" name="Segatto Ceretta Ltda" dataDxfId="124"/>
    <tableColumn id="50" xr3:uid="{97947CA9-FB65-441E-A445-5705676CFC67}" name="APAE" dataDxfId="123"/>
    <tableColumn id="51" xr3:uid="{5804923F-80B2-4F5A-8F57-2E5649F162CD}" name="Cássio Burin" dataDxfId="122"/>
    <tableColumn id="52" xr3:uid="{8A8A16BC-7BF9-4176-B4C0-785666933901}" name="Patrick Kristoschek Da Silva" dataDxfId="121"/>
    <tableColumn id="53" xr3:uid="{F82C909E-9D96-4E77-A40E-1BE80BFE03E2}" name="Silvio Robert Ávila - (Valmir)" dataDxfId="120"/>
    <tableColumn id="54" xr3:uid="{62810A0C-34C8-4409-B3D7-6B49CC500191}" name="Zederson Jose Della Flora" dataDxfId="119"/>
    <tableColumn id="55" xr3:uid="{01E9692C-CB7C-4A4D-BD0D-810293931CCC}" name="Carlos Walmir Larsão Rolim" dataDxfId="118"/>
    <tableColumn id="56" xr3:uid="{E95A4A7B-BD4B-4533-BE19-0A39B7DCDA61}" name="Danieli Missio" dataDxfId="117"/>
    <tableColumn id="57" xr3:uid="{FBB1D219-DB5D-485C-A8C5-E32B9D3D925A}" name="José Vasconcellos" dataDxfId="116"/>
    <tableColumn id="58" xr3:uid="{06411C4D-40A4-4FBB-BDBE-B985BAD1676C}" name="Linho Lev Alimentos" dataDxfId="115"/>
    <tableColumn id="59" xr3:uid="{BE548509-2F9A-4980-99FA-23B56981678C}" name="Ernani Czapla" dataDxfId="114"/>
    <tableColumn id="60" xr3:uid="{F7887206-A059-40C5-87AD-69A2D2A7B5AC}" name="Valesca Da Luz" dataDxfId="113"/>
    <tableColumn id="61" xr3:uid="{1A3EEE42-845B-40A3-80F9-1BB5C8AD2B61}" name="Olavo Mildner" dataDxfId="112"/>
    <tableColumn id="62" xr3:uid="{7044E3EB-B996-4AF1-B3B4-22420444F199}" name="Dilnei Rohled" dataDxfId="111"/>
    <tableColumn id="63" xr3:uid="{41DD33DE-62A8-456D-89C6-441002FABCF1}" name="Shaiana Signorini" dataDxfId="110"/>
    <tableColumn id="64" xr3:uid="{C164C077-0214-4937-9DCB-FB82FC0904DF}" name="Fonse Atacado" dataDxfId="109"/>
    <tableColumn id="65" xr3:uid="{C98CCED9-54A0-4023-9906-6AB7BC896841}" name="Comercial de Alimentos" dataDxfId="108"/>
    <tableColumn id="66" xr3:uid="{613542B8-CF67-450B-A65D-AD5BA5BCFCA0}" name="Ivone Kasburg Serralheria" dataDxfId="107"/>
    <tableColumn id="67" xr3:uid="{7AC879E6-D47C-4D46-B95A-3E3B079084B3}" name="Mercado Ceretta" dataDxfId="106"/>
    <tableColumn id="68" xr3:uid="{03012FA7-FB16-47E7-A060-06E2C27DC8FA}" name="Antonio Carlos Dos Santos Pereira" dataDxfId="105"/>
    <tableColumn id="69" xr3:uid="{75A1E00A-CEFA-4B57-8EEA-E0A12EA7CB11}" name="Volnei Lemos Avila - Me" dataDxfId="104"/>
    <tableColumn id="70" xr3:uid="{E7FF19EF-01F0-4A4E-85A0-4A68332D3822}" name="Silvana Meneghini" dataDxfId="103"/>
    <tableColumn id="71" xr3:uid="{10DF3F42-8AA3-4894-B71A-C284E827830E}" name="Eficaz Engenharia Ltda" dataDxfId="102"/>
    <tableColumn id="72" xr3:uid="{4140AAE8-D76A-4361-A845-D53B45F4CF6D}" name="Tania Regina Schmaltz" dataDxfId="101"/>
    <tableColumn id="73" xr3:uid="{CC49DD38-004B-42B8-908B-4098BF78AC86}" name="Camila Ceretta Segatto" dataDxfId="100"/>
    <tableColumn id="74" xr3:uid="{23CB1285-FA83-4A3B-B703-84E8780D413F}" name="Vagner Ribas Dos Santos" dataDxfId="99"/>
    <tableColumn id="75" xr3:uid="{D6C35F04-D6D5-498E-AE5C-3FA022255EEC}" name="Claudio Alfredo Konrat" dataDxfId="98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D87" totalsRowShown="0" headerRowDxfId="97" dataDxfId="96">
  <autoFilter ref="A1:D87" xr:uid="{B03BFCC7-9215-4846-A4A7-88F3CB14F4D5}"/>
  <tableColumns count="4">
    <tableColumn id="4" xr3:uid="{02D923D8-3F22-470C-96BD-5E87AF447EF7}" name="ID" dataDxfId="95"/>
    <tableColumn id="1" xr3:uid="{EB822287-3FDE-422A-91AE-AAB08E4AC17D}" name="Cliente" dataDxfId="94"/>
    <tableColumn id="2" xr3:uid="{93991643-5D6A-4A96-9784-0FBCE909BBF8}" name="CPF/CNPJ" dataDxfId="93"/>
    <tableColumn id="3" xr3:uid="{C75B8F84-BF4C-4373-99A8-C049F107BED9}" name="Seu Código" dataDxfId="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CI109" totalsRowShown="0" headerRowDxfId="91" dataDxfId="89" headerRowBorderDxfId="90" tableBorderDxfId="88" totalsRowBorderDxfId="87">
  <autoFilter ref="A1:CI109" xr:uid="{E94A5B23-985C-45F9-94CD-2C7AF92A9FD8}"/>
  <tableColumns count="87">
    <tableColumn id="1" xr3:uid="{EDA99916-4511-49B1-9B18-4A38A7A5A427}" name="Mês" dataDxfId="86"/>
    <tableColumn id="2" xr3:uid="{27EA83FD-4C75-4350-BDF8-CDE319C1E490}" name="Marlon Colovini - 01" dataDxfId="85"/>
    <tableColumn id="3" xr3:uid="{0590917C-5B50-48CC-A5AA-89D61C56D2F4}" name="Marlon Colovini - 02" dataDxfId="84"/>
    <tableColumn id="4" xr3:uid="{082EA1E2-52A4-4513-9129-A1BF135DBB47}" name="Mara Barichello" dataDxfId="83"/>
    <tableColumn id="5" xr3:uid="{63E87E9E-C1AD-41F5-91F1-10E28603F05D}" name="Jandira Dutra" dataDxfId="82"/>
    <tableColumn id="6" xr3:uid="{E78C3F92-52F2-40ED-BC99-949EE96B3349}" name="Luiz Fernando Kruger" dataDxfId="81"/>
    <tableColumn id="7" xr3:uid="{3E4347FB-A715-4CA0-9D7C-9D799CF16C9D}" name="Paulo Bohn - 01" dataDxfId="80"/>
    <tableColumn id="8" xr3:uid="{5FB8554B-13DA-4709-8955-A72180B9428D}" name="Paulo Bohn - 02" dataDxfId="79"/>
    <tableColumn id="9" xr3:uid="{C9AB05B3-6A64-42B8-AB05-30738C7CF2A0}" name="Paulo Bohn - 03" dataDxfId="78"/>
    <tableColumn id="10" xr3:uid="{E1FC0E3A-5B3E-427F-891B-D1DB574337BD}" name="Paulo Bohn - 04" dataDxfId="77"/>
    <tableColumn id="11" xr3:uid="{C17764EE-8552-4D0B-A556-603E3A2871E6}" name="Analia (Clodoaldo Entre-Ijuis)" dataDxfId="76"/>
    <tableColumn id="12" xr3:uid="{8C8C1F83-6253-4BB1-BDF2-6C59746B3C57}" name="Biroh" dataDxfId="75"/>
    <tableColumn id="13" xr3:uid="{A0A74C2D-CC5D-4453-915C-565D22D0F58C}" name="Gelson Posser" dataDxfId="74"/>
    <tableColumn id="14" xr3:uid="{4216C3C8-966C-41E3-85B3-7B97C35FD372}" name="Supermercado Caryone" dataDxfId="73"/>
    <tableColumn id="15" xr3:uid="{790FF2D2-A63F-460B-A486-D2792BCB52CA}" name="Ernani Minetto" dataDxfId="72"/>
    <tableColumn id="16" xr3:uid="{93DEF204-6966-4257-B34E-F285B994D66B}" name="Jair Moscon" dataDxfId="71"/>
    <tableColumn id="17" xr3:uid="{976B71C7-2A02-4FE5-B52E-DC7855B79B97}" name="Fabio Milke - 01" dataDxfId="70"/>
    <tableColumn id="18" xr3:uid="{DF782E88-3129-4692-8B8C-0ABD0434F0E5}" name="Fabio Milke - 02" dataDxfId="69"/>
    <tableColumn id="19" xr3:uid="{3D87DADF-B6E4-4569-BED9-C815C3472899}" name="Piaia" dataDxfId="68"/>
    <tableColumn id="20" xr3:uid="{504904D0-BBBD-4138-860E-6CB45221E1FB}" name="Osmar Veronese" dataDxfId="67"/>
    <tableColumn id="21" xr3:uid="{180D0F80-950D-4AEE-AACD-94D08165CEC0}" name=" José Luiz Moraes" dataDxfId="66"/>
    <tableColumn id="22" xr3:uid="{E6D327BF-D954-4FD0-AFC6-73C384D8965F}" name="Supermercado Cripy" dataDxfId="65"/>
    <tableColumn id="23" xr3:uid="{9A01DEB0-F969-4AB9-B95D-2332D2E1525A}" name="Gláucio Lipski (Giruá)" dataDxfId="64"/>
    <tableColumn id="24" xr3:uid="{13A349AB-65F7-4E55-9E08-337B1F8760D0}" name="Contri" dataDxfId="63"/>
    <tableColumn id="25" xr3:uid="{93A92098-FBA2-4EB3-B6F2-E99D203ECD51}" name="Cleci Rubi" dataDxfId="62"/>
    <tableColumn id="26" xr3:uid="{36D7CF86-C335-4B75-9E86-2AF0C67E310C}" name="Betine Rost" dataDxfId="61"/>
    <tableColumn id="27" xr3:uid="{86402D4D-3D12-459B-ABCE-C9653CEFD29E}" name="Robinson Fetter - 01" dataDxfId="60"/>
    <tableColumn id="28" xr3:uid="{D244D2B4-61AD-4A35-B088-6EAC5A28D74D}" name="Robinson Fetter - 02" dataDxfId="59"/>
    <tableColumn id="29" xr3:uid="{3931A6FD-ED29-4703-B157-9B58C05DE151}" name="Robinson Fetter - 03" dataDxfId="58"/>
    <tableColumn id="30" xr3:uid="{B0AEB872-3D6B-4E33-A536-2E66BA917923}" name="Fabio De Moura" dataDxfId="57"/>
    <tableColumn id="31" xr3:uid="{497CE6AE-A383-4960-8872-59260831DEE9}" name="Rochele Santos Moraes" dataDxfId="56"/>
    <tableColumn id="32" xr3:uid="{E40C6D05-BEDF-4FA5-92C8-3B56280F1D64}" name="Auto Posto Kairã" dataDxfId="55"/>
    <tableColumn id="33" xr3:uid="{C60B7376-D79C-498A-B55A-47C3FC642915}" name="Erno Schiefelbain" dataDxfId="54"/>
    <tableColumn id="34" xr3:uid="{2C1C2F1C-4308-49EF-91DB-AF1D704A2BEC}" name="José Paulo Backes" dataDxfId="53"/>
    <tableColumn id="35" xr3:uid="{D448131A-6994-4DF3-963D-9BF38B3C8AFB}" name="Gelso Tofolo" dataDxfId="52"/>
    <tableColumn id="36" xr3:uid="{014B3472-85B2-4FF9-800E-506B9CD16FF3}" name="Diamantino" dataDxfId="51"/>
    <tableColumn id="37" xr3:uid="{EB257397-48CC-4B3B-982D-B013411980FD}" name="Mercado Bueno" dataDxfId="50"/>
    <tableColumn id="38" xr3:uid="{C1DE21AC-5BC4-4A9E-B2D6-250283B415E3}" name="Daniela Donadel Massalai" dataDxfId="49"/>
    <tableColumn id="39" xr3:uid="{D44778E7-1BC6-4867-8592-6BDC6B1E2A9E}" name="Comercio De Moto Peças Irmãos Guarani Ltda" dataDxfId="48"/>
    <tableColumn id="40" xr3:uid="{2A12CEAB-089E-4D2A-BB40-E3903F5263B8}" name="Mauricio Luis Lunardi" dataDxfId="47"/>
    <tableColumn id="41" xr3:uid="{72E79BCE-F9D7-4DF8-862E-2C622E29D634}" name="Rosa Maria Restle Radunz" dataDxfId="46"/>
    <tableColumn id="42" xr3:uid="{B41B283E-5FCE-4921-AF4D-4B0EFF64B84C}" name="Ivo Amaral De Oliveira" dataDxfId="45"/>
    <tableColumn id="43" xr3:uid="{BFCEB108-B5B2-4E73-B415-3CC4ED189343}" name="Silvio Robert Lemos Avila" dataDxfId="44"/>
    <tableColumn id="44" xr3:uid="{8FE92429-9A17-4FA7-8567-763941D3601A}" name="Eldo Rost" dataDxfId="43"/>
    <tableColumn id="45" xr3:uid="{5FD00228-384C-4E09-A313-286959D44881}" name="Padaria Avenida - 01" dataDxfId="42"/>
    <tableColumn id="46" xr3:uid="{E312B826-4C66-4593-8DD6-C7C624D3DF62}" name="Padaria Avenida - 02" dataDxfId="41"/>
    <tableColumn id="47" xr3:uid="{ED3AF8C9-2F69-4426-A6EE-CC9A9179F866}" name="Cristiano Anshau" dataDxfId="40"/>
    <tableColumn id="48" xr3:uid="{A4F8DD4C-054F-4132-B385-39BC13065CC9}" name="Luciana Claudete Meirelles Correa" dataDxfId="39"/>
    <tableColumn id="49" xr3:uid="{ADF866B1-53F5-448F-9E93-8D8DD85FB14F}" name="Marcio Jose Siqueira" dataDxfId="38"/>
    <tableColumn id="50" xr3:uid="{06BBA7A4-E8FC-43F3-8E73-8DB38B51F996}" name="Marcos Rogerio Kessler" dataDxfId="37"/>
    <tableColumn id="51" xr3:uid="{DCC0C21C-4656-41A4-8762-F1C49397EFB2}" name="AABB - 01" dataDxfId="36"/>
    <tableColumn id="52" xr3:uid="{7827C906-2D30-416A-B1DC-8AD1DAAC4250}" name="AABB - 02" dataDxfId="35"/>
    <tableColumn id="53" xr3:uid="{039BA7B7-06B6-4C04-A434-23293C826FAD}" name="Wanda Burkard - 01" dataDxfId="34"/>
    <tableColumn id="54" xr3:uid="{94B064E5-62D1-4402-88D9-18192E38DFD6}" name="Wanda Burkard - 02" dataDxfId="33"/>
    <tableColumn id="55" xr3:uid="{9162E494-55E9-4B4E-B1B8-AFB1B2E3B525}" name="Silvio Robert Lemos Avila Me" dataDxfId="32"/>
    <tableColumn id="56" xr3:uid="{7EDA6016-6456-4814-9E74-6545FF7A53FD}" name="Carmelo" dataDxfId="31"/>
    <tableColumn id="57" xr3:uid="{44B85EEB-5512-42A7-8DC6-745670BA8028}" name="Antonio Dal Forno" dataDxfId="30"/>
    <tableColumn id="58" xr3:uid="{FAC5026A-07FA-4CBD-9F2C-C314E5B80D07}" name="Marisane Paulus" dataDxfId="29"/>
    <tableColumn id="59" xr3:uid="{CB380F0A-5678-400E-BBA1-6A7325C988E1}" name="Segatto Ceretta Ltda" dataDxfId="28"/>
    <tableColumn id="60" xr3:uid="{2891C6FD-51C1-4833-9BFD-2AFBF3B3F343}" name="APAE - 01" dataDxfId="27"/>
    <tableColumn id="61" xr3:uid="{164502B1-181D-4435-BB21-E8BFDAE9B36D}" name="APAE - 02" dataDxfId="26"/>
    <tableColumn id="62" xr3:uid="{CCC26387-2830-46A4-9554-5E904CC7E327}" name="Cássio Burin" dataDxfId="25"/>
    <tableColumn id="63" xr3:uid="{DA9BB896-4583-4E94-BC86-CAA10FD039B1}" name="Patrick Kristoschek Da Silva" dataDxfId="24"/>
    <tableColumn id="64" xr3:uid="{6779EEFB-756E-4F56-9056-7FADCB5C1C15}" name="Silvio Robert Ávila - (Valmir)" dataDxfId="23"/>
    <tableColumn id="65" xr3:uid="{8602EC62-8167-454B-8C4D-00E63D91E6AB}" name="Zederson Jose Della Flora" dataDxfId="22"/>
    <tableColumn id="66" xr3:uid="{9556D95B-869C-4926-83A0-8BD8DCD3AF1B}" name="Carlos Walmir Larsão Rolim" dataDxfId="21"/>
    <tableColumn id="67" xr3:uid="{4ED66CA8-320C-4BD3-BF65-A70339C2D190}" name="Danieli Missio" dataDxfId="20"/>
    <tableColumn id="68" xr3:uid="{9066406B-F3FA-4044-9B46-42F192CDBC1B}" name="José Vasconcellos" dataDxfId="19"/>
    <tableColumn id="69" xr3:uid="{D820FEDC-68F9-4B35-88C5-370853949E21}" name="Linho Lev Alimentos" dataDxfId="18"/>
    <tableColumn id="70" xr3:uid="{23E8032E-03D0-4B13-9031-B53DD998C517}" name="Ernani Czapla" dataDxfId="17"/>
    <tableColumn id="71" xr3:uid="{D837E6E1-BE3B-4965-A0B1-20319C31F2C5}" name="Valesca Da Luz" dataDxfId="16"/>
    <tableColumn id="72" xr3:uid="{A9B1FCC8-085A-47DA-9C0F-FBB9EE599FB1}" name="Olavo Mildner" dataDxfId="15"/>
    <tableColumn id="73" xr3:uid="{2BE6DC67-2813-4EB2-98CA-877C941EB509}" name="Dilnei Rohled" dataDxfId="14"/>
    <tableColumn id="74" xr3:uid="{BC3E1778-AFBC-4061-9329-E4C66F1DE3DE}" name="Shaiana Signorini" dataDxfId="13"/>
    <tableColumn id="75" xr3:uid="{A722CD71-E154-46EC-B8DD-5567DEA84A7D}" name="Fonse Atacado" dataDxfId="12"/>
    <tableColumn id="76" xr3:uid="{95E41DDD-6000-45B8-9439-BE88F1B5C7FA}" name="Comercial de Alimentos" dataDxfId="11"/>
    <tableColumn id="77" xr3:uid="{09CDC3F3-03B2-4685-B343-0BD409022321}" name="Ivone Kasburg Serralheria" dataDxfId="10"/>
    <tableColumn id="78" xr3:uid="{437DED2F-71EB-4AFD-8949-70BD2B2D4398}" name="Mercado Ceretta" dataDxfId="9"/>
    <tableColumn id="79" xr3:uid="{890EA75C-7CB1-4399-B976-6FB88C461333}" name="Antonio Carlos Dos Santos Pereira" dataDxfId="8"/>
    <tableColumn id="80" xr3:uid="{AD3407C1-03B9-4FB3-9A18-B4D628AE6B19}" name="Volnei Lemos Avila - Me" dataDxfId="7"/>
    <tableColumn id="81" xr3:uid="{16F84ED5-D931-4959-BD22-3BE80AA63EB5}" name="Silvana Meneghini" dataDxfId="6"/>
    <tableColumn id="82" xr3:uid="{1C2D9C08-91EF-44E2-885C-DA18EDB17D29}" name="Eficaz Engenharia Ltda" dataDxfId="5"/>
    <tableColumn id="83" xr3:uid="{16B537FB-FAA9-4DA0-9807-80F8A803C144}" name="Tania Regina Schmaltz - 01" dataDxfId="4"/>
    <tableColumn id="84" xr3:uid="{432194CC-FBE7-42F7-BD1A-0E4308B50331}" name="Tania Regina Schmaltz - 02" dataDxfId="3"/>
    <tableColumn id="85" xr3:uid="{E2971D98-055D-459E-AC36-0BEFA2B000E0}" name="Camila Ceretta Segatto" dataDxfId="2"/>
    <tableColumn id="86" xr3:uid="{CF4E6776-6114-4157-BE48-0799F0C86465}" name="Vagner Ribas Dos Santos" dataDxfId="1"/>
    <tableColumn id="87" xr3:uid="{E43D39CA-F584-4822-9B3F-A53DF1869DFA}" name="Claudio Alfredo Konra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3AE-961F-4C97-8C97-AEB3DD9D3EAF}">
  <dimension ref="A1:CJ109"/>
  <sheetViews>
    <sheetView topLeftCell="A49" zoomScale="85" zoomScaleNormal="85" workbookViewId="0">
      <selection activeCell="A2" sqref="A2:A109"/>
    </sheetView>
  </sheetViews>
  <sheetFormatPr defaultRowHeight="15" x14ac:dyDescent="0.25"/>
  <cols>
    <col min="1" max="1" width="7" style="5" customWidth="1"/>
    <col min="2" max="2" width="26.85546875" style="2" customWidth="1"/>
    <col min="3" max="3" width="27.85546875" style="2" customWidth="1"/>
    <col min="4" max="4" width="35.5703125" style="2" customWidth="1"/>
    <col min="5" max="5" width="25.5703125" style="2" customWidth="1"/>
    <col min="6" max="6" width="25.140625" style="2" customWidth="1"/>
    <col min="7" max="7" width="21.42578125" style="2" customWidth="1"/>
    <col min="8" max="10" width="22.42578125" style="2" customWidth="1"/>
    <col min="11" max="11" width="36.42578125" style="2" customWidth="1"/>
    <col min="12" max="12" width="31.85546875" style="2" customWidth="1"/>
    <col min="13" max="13" width="24.7109375" style="2" customWidth="1"/>
    <col min="14" max="14" width="27" style="2" customWidth="1"/>
    <col min="15" max="15" width="24.85546875" style="2" customWidth="1"/>
    <col min="16" max="16" width="15.5703125" style="2" customWidth="1"/>
    <col min="17" max="17" width="26.28515625" style="2" customWidth="1"/>
    <col min="18" max="18" width="27.28515625" style="2" customWidth="1"/>
    <col min="19" max="19" width="19.28515625" style="2" customWidth="1"/>
    <col min="20" max="20" width="19.5703125" style="2" customWidth="1"/>
    <col min="21" max="21" width="27.7109375" style="2" customWidth="1"/>
    <col min="22" max="22" width="30.85546875" style="2" customWidth="1"/>
    <col min="23" max="23" width="22.85546875" style="2" customWidth="1"/>
    <col min="24" max="24" width="23.42578125" style="2" customWidth="1"/>
    <col min="25" max="25" width="20.42578125" style="2" customWidth="1"/>
    <col min="26" max="26" width="14.28515625" style="2" customWidth="1"/>
    <col min="27" max="27" width="19.28515625" style="2" customWidth="1"/>
    <col min="28" max="29" width="20.28515625" style="2" customWidth="1"/>
    <col min="30" max="30" width="18.85546875" style="2" customWidth="1"/>
    <col min="31" max="31" width="37" style="2" customWidth="1"/>
    <col min="32" max="32" width="29.140625" style="2" customWidth="1"/>
    <col min="33" max="33" width="20.85546875" style="2" customWidth="1"/>
    <col min="34" max="34" width="21" style="2" customWidth="1"/>
    <col min="35" max="35" width="16.42578125" style="2" customWidth="1"/>
    <col min="36" max="36" width="22" style="2" customWidth="1"/>
    <col min="37" max="37" width="23.85546875" style="2" customWidth="1"/>
    <col min="38" max="38" width="29.42578125" style="2" customWidth="1"/>
    <col min="39" max="39" width="44" style="2" customWidth="1"/>
    <col min="40" max="40" width="25.28515625" style="2" customWidth="1"/>
    <col min="41" max="41" width="29" style="2" customWidth="1"/>
    <col min="42" max="42" width="25.85546875" style="2" customWidth="1"/>
    <col min="43" max="43" width="31.7109375" style="2" bestFit="1" customWidth="1"/>
    <col min="44" max="44" width="12.7109375" style="2" customWidth="1"/>
    <col min="45" max="45" width="20.140625" style="2" customWidth="1"/>
    <col min="46" max="46" width="21.140625" style="2" customWidth="1"/>
    <col min="47" max="47" width="26.42578125" style="2" customWidth="1"/>
    <col min="48" max="48" width="37.85546875" style="2" customWidth="1"/>
    <col min="49" max="49" width="24" style="2" customWidth="1"/>
    <col min="50" max="50" width="27.140625" style="2" customWidth="1"/>
    <col min="51" max="51" width="10.5703125" style="2" bestFit="1" customWidth="1"/>
    <col min="52" max="52" width="12.140625" style="2" bestFit="1" customWidth="1"/>
    <col min="53" max="53" width="30.28515625" style="2" customWidth="1"/>
    <col min="54" max="54" width="32.28515625" style="2" customWidth="1"/>
    <col min="55" max="55" width="32.140625" style="2" customWidth="1"/>
    <col min="56" max="56" width="22.140625" style="2" customWidth="1"/>
    <col min="57" max="57" width="32.5703125" style="2" customWidth="1"/>
    <col min="58" max="58" width="20.28515625" style="2" customWidth="1"/>
    <col min="59" max="59" width="24.140625" style="2" customWidth="1"/>
    <col min="60" max="60" width="26.140625" style="2" customWidth="1"/>
    <col min="61" max="61" width="28.85546875" style="2" customWidth="1"/>
    <col min="62" max="62" width="25" style="2" customWidth="1"/>
    <col min="63" max="63" width="31.85546875" style="2" customWidth="1"/>
    <col min="64" max="64" width="17" style="2" customWidth="1"/>
    <col min="65" max="65" width="12.140625" style="2" bestFit="1" customWidth="1"/>
    <col min="66" max="66" width="10.5703125" style="2" bestFit="1" customWidth="1"/>
    <col min="67" max="67" width="12.28515625" style="2" bestFit="1" customWidth="1"/>
    <col min="68" max="68" width="33.85546875" style="2" customWidth="1"/>
    <col min="69" max="69" width="15.7109375" style="2" customWidth="1"/>
    <col min="70" max="70" width="17.42578125" style="2" customWidth="1"/>
    <col min="71" max="71" width="21" style="2" customWidth="1"/>
    <col min="72" max="72" width="25.42578125" style="2" customWidth="1"/>
    <col min="73" max="73" width="15.7109375" style="2" customWidth="1"/>
    <col min="74" max="74" width="15.85546875" style="2" customWidth="1"/>
    <col min="75" max="75" width="15.140625" style="2" customWidth="1"/>
    <col min="76" max="76" width="18.28515625" style="2" customWidth="1"/>
    <col min="77" max="77" width="16" style="2" customWidth="1"/>
    <col min="78" max="78" width="30" style="2" customWidth="1"/>
    <col min="79" max="79" width="20.28515625" style="2" customWidth="1"/>
    <col min="80" max="80" width="38.85546875" style="2" customWidth="1"/>
    <col min="81" max="81" width="24.42578125" style="2" customWidth="1"/>
    <col min="82" max="82" width="21.85546875" style="2" customWidth="1"/>
    <col min="83" max="83" width="23.28515625" style="2" customWidth="1"/>
    <col min="84" max="16384" width="9.140625" style="2"/>
  </cols>
  <sheetData>
    <row r="1" spans="1:88" s="5" customFormat="1" x14ac:dyDescent="0.25">
      <c r="A1" s="6" t="s">
        <v>69</v>
      </c>
      <c r="B1" s="7" t="s">
        <v>0</v>
      </c>
      <c r="C1" s="7" t="s">
        <v>82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73</v>
      </c>
      <c r="I1" s="7" t="s">
        <v>74</v>
      </c>
      <c r="J1" s="7" t="s">
        <v>75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76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77</v>
      </c>
      <c r="AC1" s="7" t="s">
        <v>78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70</v>
      </c>
      <c r="AU1" s="7" t="s">
        <v>37</v>
      </c>
      <c r="AV1" s="7" t="s">
        <v>38</v>
      </c>
      <c r="AW1" s="7" t="s">
        <v>39</v>
      </c>
      <c r="AX1" s="7" t="s">
        <v>40</v>
      </c>
      <c r="AY1" s="7" t="s">
        <v>41</v>
      </c>
      <c r="AZ1" s="7" t="s">
        <v>71</v>
      </c>
      <c r="BA1" s="7" t="s">
        <v>42</v>
      </c>
      <c r="BB1" s="7" t="s">
        <v>72</v>
      </c>
      <c r="BC1" s="7" t="s">
        <v>43</v>
      </c>
      <c r="BD1" s="7" t="s">
        <v>44</v>
      </c>
      <c r="BE1" s="7" t="s">
        <v>45</v>
      </c>
      <c r="BF1" s="7" t="s">
        <v>46</v>
      </c>
      <c r="BG1" s="7" t="s">
        <v>47</v>
      </c>
      <c r="BH1" s="7" t="s">
        <v>80</v>
      </c>
      <c r="BI1" s="7" t="s">
        <v>48</v>
      </c>
      <c r="BJ1" s="7" t="s">
        <v>49</v>
      </c>
      <c r="BK1" s="7" t="s">
        <v>50</v>
      </c>
      <c r="BL1" s="7" t="s">
        <v>51</v>
      </c>
      <c r="BM1" s="7" t="s">
        <v>52</v>
      </c>
      <c r="BN1" s="7" t="s">
        <v>79</v>
      </c>
      <c r="BO1" s="7" t="s">
        <v>81</v>
      </c>
      <c r="BP1" s="7" t="s">
        <v>53</v>
      </c>
      <c r="BQ1" s="7" t="s">
        <v>54</v>
      </c>
      <c r="BR1" s="7" t="s">
        <v>55</v>
      </c>
      <c r="BS1" s="7" t="s">
        <v>56</v>
      </c>
      <c r="BT1" s="7" t="s">
        <v>57</v>
      </c>
      <c r="BU1" s="7" t="s">
        <v>58</v>
      </c>
      <c r="BV1" s="7" t="s">
        <v>59</v>
      </c>
      <c r="BW1" s="7" t="s">
        <v>60</v>
      </c>
      <c r="BX1" s="7" t="s">
        <v>61</v>
      </c>
      <c r="BY1" s="7" t="s">
        <v>62</v>
      </c>
      <c r="BZ1" s="7" t="s">
        <v>63</v>
      </c>
      <c r="CA1" s="7" t="s">
        <v>64</v>
      </c>
      <c r="CB1" s="7" t="s">
        <v>65</v>
      </c>
      <c r="CC1" s="7" t="s">
        <v>66</v>
      </c>
      <c r="CD1" s="7" t="s">
        <v>67</v>
      </c>
      <c r="CE1" s="7" t="s">
        <v>68</v>
      </c>
    </row>
    <row r="2" spans="1:88" x14ac:dyDescent="0.25">
      <c r="A2" s="4">
        <v>43101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J2" s="1"/>
    </row>
    <row r="3" spans="1:88" x14ac:dyDescent="0.25">
      <c r="A3" s="4">
        <v>43132</v>
      </c>
      <c r="B3" s="8">
        <v>32.58</v>
      </c>
      <c r="C3" s="8">
        <v>134.4</v>
      </c>
      <c r="D3" s="8">
        <v>35.64</v>
      </c>
      <c r="E3" s="8">
        <v>27.63</v>
      </c>
      <c r="F3" s="8"/>
      <c r="G3" s="8">
        <v>48.6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J3" s="1"/>
    </row>
    <row r="4" spans="1:88" x14ac:dyDescent="0.25">
      <c r="A4" s="4">
        <v>43160</v>
      </c>
      <c r="B4" s="8">
        <v>33.74</v>
      </c>
      <c r="C4" s="8">
        <v>73.680000000000007</v>
      </c>
      <c r="D4" s="8">
        <v>38.49</v>
      </c>
      <c r="E4" s="8">
        <v>31.71</v>
      </c>
      <c r="F4" s="8">
        <v>48.73</v>
      </c>
      <c r="G4" s="8">
        <v>62.93</v>
      </c>
      <c r="H4" s="8">
        <v>23.49</v>
      </c>
      <c r="I4" s="8">
        <v>122.86</v>
      </c>
      <c r="J4" s="8">
        <v>45.43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J4" s="1"/>
    </row>
    <row r="5" spans="1:88" x14ac:dyDescent="0.25">
      <c r="A5" s="4">
        <v>43191</v>
      </c>
      <c r="B5" s="8">
        <v>36</v>
      </c>
      <c r="C5" s="8">
        <v>55.34</v>
      </c>
      <c r="D5" s="8">
        <v>35.21</v>
      </c>
      <c r="E5" s="8">
        <v>41.62</v>
      </c>
      <c r="F5" s="8">
        <v>65.08</v>
      </c>
      <c r="G5" s="8">
        <v>63.05</v>
      </c>
      <c r="H5" s="8">
        <v>27.04</v>
      </c>
      <c r="I5" s="8">
        <v>67.69</v>
      </c>
      <c r="J5" s="8">
        <v>82.53</v>
      </c>
      <c r="K5" s="8">
        <v>53.24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J5" s="1"/>
    </row>
    <row r="6" spans="1:88" x14ac:dyDescent="0.25">
      <c r="A6" s="4">
        <v>43221</v>
      </c>
      <c r="B6" s="8">
        <v>37.340000000000003</v>
      </c>
      <c r="C6" s="8">
        <v>66.02</v>
      </c>
      <c r="D6" s="8">
        <v>64.36</v>
      </c>
      <c r="E6" s="8">
        <v>106.9</v>
      </c>
      <c r="F6" s="8">
        <v>127</v>
      </c>
      <c r="G6" s="8">
        <v>64.25</v>
      </c>
      <c r="H6" s="8">
        <v>28.41</v>
      </c>
      <c r="I6" s="8">
        <v>120.66</v>
      </c>
      <c r="J6" s="8">
        <v>115.82</v>
      </c>
      <c r="K6" s="8">
        <v>44.64</v>
      </c>
      <c r="L6" s="8">
        <v>459.37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J6" s="1"/>
    </row>
    <row r="7" spans="1:88" x14ac:dyDescent="0.25">
      <c r="A7" s="4">
        <v>43252</v>
      </c>
      <c r="B7" s="8">
        <v>40.090000000000003</v>
      </c>
      <c r="C7" s="8">
        <v>107.18</v>
      </c>
      <c r="D7" s="8">
        <v>68.3</v>
      </c>
      <c r="E7" s="8">
        <v>97.41</v>
      </c>
      <c r="F7" s="8">
        <v>146.86000000000001</v>
      </c>
      <c r="G7" s="8">
        <v>64.88</v>
      </c>
      <c r="H7" s="8"/>
      <c r="I7" s="8">
        <v>129.52000000000001</v>
      </c>
      <c r="J7" s="8">
        <v>103.5</v>
      </c>
      <c r="K7" s="8"/>
      <c r="L7" s="8">
        <v>752.53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J7" s="1"/>
    </row>
    <row r="8" spans="1:88" x14ac:dyDescent="0.25">
      <c r="A8" s="4">
        <v>43282</v>
      </c>
      <c r="B8" s="8">
        <v>53.15</v>
      </c>
      <c r="C8" s="8">
        <v>248.94</v>
      </c>
      <c r="D8" s="8">
        <v>78.89</v>
      </c>
      <c r="E8" s="8">
        <v>91.23</v>
      </c>
      <c r="F8" s="8">
        <v>272.91000000000003</v>
      </c>
      <c r="G8" s="8">
        <v>108.14</v>
      </c>
      <c r="H8" s="8">
        <v>51.12</v>
      </c>
      <c r="I8" s="8">
        <v>147.69</v>
      </c>
      <c r="J8" s="8">
        <v>100.27</v>
      </c>
      <c r="K8" s="8">
        <v>88.04</v>
      </c>
      <c r="L8" s="8">
        <v>752.53</v>
      </c>
      <c r="M8" s="8">
        <v>213.12</v>
      </c>
      <c r="N8" s="8">
        <v>1695.57</v>
      </c>
      <c r="O8" s="8">
        <v>773.14</v>
      </c>
      <c r="P8" s="8">
        <v>70.17</v>
      </c>
      <c r="Q8" s="8">
        <v>359.54</v>
      </c>
      <c r="R8" s="8">
        <v>373.38</v>
      </c>
      <c r="S8" s="8"/>
      <c r="T8" s="8"/>
      <c r="U8" s="8"/>
      <c r="V8" s="8">
        <v>1695.57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8" x14ac:dyDescent="0.25">
      <c r="A9" s="4">
        <v>43313</v>
      </c>
      <c r="B9" s="8">
        <v>57.4</v>
      </c>
      <c r="C9" s="8">
        <v>122.15</v>
      </c>
      <c r="D9" s="8">
        <v>52.21</v>
      </c>
      <c r="E9" s="8">
        <v>104.33</v>
      </c>
      <c r="F9" s="8">
        <v>153.49</v>
      </c>
      <c r="G9" s="8">
        <v>74.599999999999994</v>
      </c>
      <c r="H9" s="8"/>
      <c r="I9" s="8">
        <v>147.13</v>
      </c>
      <c r="J9" s="8">
        <v>100.88</v>
      </c>
      <c r="K9" s="8">
        <v>49.96</v>
      </c>
      <c r="L9" s="8">
        <v>802.1</v>
      </c>
      <c r="M9" s="8">
        <v>131.11000000000001</v>
      </c>
      <c r="N9" s="8">
        <v>1184.04</v>
      </c>
      <c r="O9" s="8">
        <v>591.35</v>
      </c>
      <c r="P9" s="8">
        <v>72.290000000000006</v>
      </c>
      <c r="Q9" s="8">
        <v>243.73</v>
      </c>
      <c r="R9" s="8">
        <v>357.73</v>
      </c>
      <c r="S9" s="8">
        <v>689.93</v>
      </c>
      <c r="T9" s="8"/>
      <c r="U9" s="8"/>
      <c r="V9" s="8">
        <v>1184.04</v>
      </c>
      <c r="W9" s="8"/>
      <c r="X9" s="8">
        <v>2468.12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8" x14ac:dyDescent="0.25">
      <c r="A10" s="4">
        <v>43344</v>
      </c>
      <c r="B10" s="8">
        <v>51.04</v>
      </c>
      <c r="C10" s="8">
        <v>163.11000000000001</v>
      </c>
      <c r="D10" s="8">
        <v>54.44</v>
      </c>
      <c r="E10" s="8">
        <v>99.83</v>
      </c>
      <c r="F10" s="8">
        <v>138.19999999999999</v>
      </c>
      <c r="G10" s="8">
        <v>72.47</v>
      </c>
      <c r="H10" s="8"/>
      <c r="I10" s="8">
        <v>166.52</v>
      </c>
      <c r="J10" s="8">
        <v>126.55</v>
      </c>
      <c r="K10" s="8">
        <v>49.43</v>
      </c>
      <c r="L10" s="8">
        <v>757.88</v>
      </c>
      <c r="M10" s="8">
        <v>71.739999999999995</v>
      </c>
      <c r="N10" s="8">
        <v>533.78</v>
      </c>
      <c r="O10" s="8">
        <v>415.86</v>
      </c>
      <c r="P10" s="8">
        <v>70.59</v>
      </c>
      <c r="Q10" s="8">
        <v>105.14</v>
      </c>
      <c r="R10" s="8">
        <v>319.77</v>
      </c>
      <c r="S10" s="8">
        <v>202.81</v>
      </c>
      <c r="T10" s="8">
        <v>757.78</v>
      </c>
      <c r="U10" s="8"/>
      <c r="V10" s="8">
        <v>533.78</v>
      </c>
      <c r="W10" s="8"/>
      <c r="X10" s="8">
        <v>1058.8599999999999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8" x14ac:dyDescent="0.25">
      <c r="A11" s="4">
        <v>43374</v>
      </c>
      <c r="B11" s="8">
        <v>41.71</v>
      </c>
      <c r="C11" s="8">
        <v>105.99</v>
      </c>
      <c r="D11" s="8">
        <v>51.94</v>
      </c>
      <c r="E11" s="8">
        <v>90.59</v>
      </c>
      <c r="F11" s="8">
        <v>85.4</v>
      </c>
      <c r="G11" s="8">
        <v>66.23</v>
      </c>
      <c r="H11" s="8">
        <v>33.24</v>
      </c>
      <c r="I11" s="8">
        <v>70.78</v>
      </c>
      <c r="J11" s="8">
        <v>68.599999999999994</v>
      </c>
      <c r="K11" s="8">
        <v>51.96</v>
      </c>
      <c r="L11" s="8">
        <v>298.63</v>
      </c>
      <c r="M11" s="8">
        <v>69.260000000000005</v>
      </c>
      <c r="N11" s="8">
        <v>573.61</v>
      </c>
      <c r="O11" s="8">
        <v>397.77</v>
      </c>
      <c r="P11" s="8">
        <v>48.7</v>
      </c>
      <c r="Q11" s="8">
        <v>95.61</v>
      </c>
      <c r="R11" s="8">
        <v>305.02999999999997</v>
      </c>
      <c r="S11" s="8">
        <v>624.03</v>
      </c>
      <c r="T11" s="8">
        <v>207.93</v>
      </c>
      <c r="U11" s="8">
        <v>116.35</v>
      </c>
      <c r="V11" s="8">
        <v>573.61</v>
      </c>
      <c r="W11" s="8"/>
      <c r="X11" s="8">
        <v>909.16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8" x14ac:dyDescent="0.25">
      <c r="A12" s="4">
        <v>43405</v>
      </c>
      <c r="B12" s="8">
        <v>42.02</v>
      </c>
      <c r="C12" s="8">
        <v>100.01</v>
      </c>
      <c r="D12" s="8">
        <v>52.32</v>
      </c>
      <c r="E12" s="8">
        <v>76.959999999999994</v>
      </c>
      <c r="F12" s="8">
        <v>89.25</v>
      </c>
      <c r="G12" s="8">
        <v>74.12</v>
      </c>
      <c r="H12" s="8">
        <v>36.82</v>
      </c>
      <c r="I12" s="8">
        <v>103.1</v>
      </c>
      <c r="J12" s="8">
        <v>69.37</v>
      </c>
      <c r="K12" s="8">
        <v>56.27</v>
      </c>
      <c r="L12" s="8">
        <v>408.18</v>
      </c>
      <c r="M12" s="8">
        <v>80.19</v>
      </c>
      <c r="N12" s="8">
        <v>863.44</v>
      </c>
      <c r="O12" s="8">
        <v>179.31</v>
      </c>
      <c r="P12" s="8">
        <v>98</v>
      </c>
      <c r="Q12" s="8">
        <v>91.3</v>
      </c>
      <c r="R12" s="8">
        <v>294.22000000000003</v>
      </c>
      <c r="S12" s="8">
        <v>208.88</v>
      </c>
      <c r="T12" s="8">
        <v>197.85</v>
      </c>
      <c r="U12" s="8">
        <v>151.97</v>
      </c>
      <c r="V12" s="8">
        <v>863.44</v>
      </c>
      <c r="W12" s="8">
        <v>157.56</v>
      </c>
      <c r="X12" s="8">
        <v>967.07</v>
      </c>
      <c r="Y12" s="8">
        <v>62.67</v>
      </c>
      <c r="Z12" s="8">
        <v>350.61</v>
      </c>
      <c r="AA12" s="8">
        <v>106.81</v>
      </c>
      <c r="AB12" s="8">
        <v>393.68</v>
      </c>
      <c r="AC12" s="8">
        <v>594.74</v>
      </c>
      <c r="AD12" s="8"/>
      <c r="AE12" s="8"/>
      <c r="AF12" s="8"/>
      <c r="AG12" s="8">
        <v>249.48</v>
      </c>
      <c r="AH12" s="8">
        <v>549.20000000000005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8" x14ac:dyDescent="0.25">
      <c r="A13" s="4">
        <v>43435</v>
      </c>
      <c r="B13" s="8">
        <v>45.18</v>
      </c>
      <c r="C13" s="8">
        <v>81.77</v>
      </c>
      <c r="D13" s="8">
        <v>55.39</v>
      </c>
      <c r="E13" s="8">
        <v>50.37</v>
      </c>
      <c r="F13" s="8">
        <v>79.91</v>
      </c>
      <c r="G13" s="8">
        <v>76.489999999999995</v>
      </c>
      <c r="H13" s="8">
        <v>70.88</v>
      </c>
      <c r="I13" s="8">
        <v>59.19</v>
      </c>
      <c r="J13" s="8">
        <v>60.99</v>
      </c>
      <c r="K13" s="8">
        <v>53.22</v>
      </c>
      <c r="L13" s="8">
        <v>410.72</v>
      </c>
      <c r="M13" s="8">
        <v>69.34</v>
      </c>
      <c r="N13" s="8">
        <v>656.97</v>
      </c>
      <c r="O13" s="8">
        <v>432.47</v>
      </c>
      <c r="P13" s="8">
        <v>92.05</v>
      </c>
      <c r="Q13" s="8">
        <v>97</v>
      </c>
      <c r="R13" s="8">
        <v>176.21</v>
      </c>
      <c r="S13" s="8">
        <v>201.99</v>
      </c>
      <c r="T13" s="8">
        <v>190</v>
      </c>
      <c r="U13" s="8">
        <v>157.69</v>
      </c>
      <c r="V13" s="8">
        <v>656.97</v>
      </c>
      <c r="W13" s="8">
        <v>140.59</v>
      </c>
      <c r="X13" s="8">
        <v>0</v>
      </c>
      <c r="Y13" s="8">
        <v>59.54</v>
      </c>
      <c r="Z13" s="8">
        <v>139.72</v>
      </c>
      <c r="AA13" s="8">
        <v>99</v>
      </c>
      <c r="AB13" s="8">
        <v>284.33999999999997</v>
      </c>
      <c r="AC13" s="8">
        <v>498.43</v>
      </c>
      <c r="AD13" s="8">
        <v>97.45</v>
      </c>
      <c r="AE13" s="8">
        <v>393.81</v>
      </c>
      <c r="AF13" s="8">
        <v>1065.8</v>
      </c>
      <c r="AG13" s="8">
        <v>30.33</v>
      </c>
      <c r="AH13" s="8">
        <v>640.04999999999995</v>
      </c>
      <c r="AI13" s="8">
        <v>467.26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62.31</v>
      </c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8" x14ac:dyDescent="0.25">
      <c r="A14" s="4">
        <v>43466</v>
      </c>
      <c r="B14" s="8">
        <v>49.25</v>
      </c>
      <c r="C14" s="8">
        <v>132.03</v>
      </c>
      <c r="D14" s="8">
        <v>247.76</v>
      </c>
      <c r="E14" s="8">
        <v>107.67</v>
      </c>
      <c r="F14" s="8">
        <v>155.28</v>
      </c>
      <c r="G14" s="8">
        <v>91.61</v>
      </c>
      <c r="H14" s="8"/>
      <c r="I14" s="8">
        <v>184.57</v>
      </c>
      <c r="J14" s="8">
        <v>108.38</v>
      </c>
      <c r="K14" s="8">
        <v>98.14</v>
      </c>
      <c r="L14" s="8">
        <v>452.68</v>
      </c>
      <c r="M14" s="8">
        <v>170.65</v>
      </c>
      <c r="N14" s="8">
        <v>515.54999999999995</v>
      </c>
      <c r="O14" s="8">
        <v>430.79</v>
      </c>
      <c r="P14" s="8">
        <v>135.66999999999999</v>
      </c>
      <c r="Q14" s="8">
        <v>106.61</v>
      </c>
      <c r="R14" s="8">
        <v>410.37</v>
      </c>
      <c r="S14" s="8">
        <v>201.17</v>
      </c>
      <c r="T14" s="8">
        <v>186.46</v>
      </c>
      <c r="U14" s="8">
        <v>221.24</v>
      </c>
      <c r="V14" s="8">
        <v>515.54999999999995</v>
      </c>
      <c r="W14" s="8">
        <v>167.38</v>
      </c>
      <c r="X14" s="8">
        <v>955.92</v>
      </c>
      <c r="Y14" s="8">
        <v>60.46</v>
      </c>
      <c r="Z14" s="8">
        <v>138.03</v>
      </c>
      <c r="AA14" s="8">
        <v>151.24</v>
      </c>
      <c r="AB14" s="8">
        <v>75.540000000000006</v>
      </c>
      <c r="AC14" s="8">
        <v>76.34</v>
      </c>
      <c r="AD14" s="8">
        <v>118.86</v>
      </c>
      <c r="AE14" s="8">
        <v>147.18</v>
      </c>
      <c r="AF14" s="8">
        <v>348.58</v>
      </c>
      <c r="AG14" s="8">
        <v>27.19</v>
      </c>
      <c r="AH14" s="8">
        <v>64.17</v>
      </c>
      <c r="AI14" s="8">
        <v>485.4</v>
      </c>
      <c r="AJ14" s="8"/>
      <c r="AK14" s="8">
        <v>4547.55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161.46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8" x14ac:dyDescent="0.25">
      <c r="A15" s="4">
        <v>43497</v>
      </c>
      <c r="B15" s="8">
        <v>53.72</v>
      </c>
      <c r="C15" s="8">
        <v>133.76</v>
      </c>
      <c r="D15" s="8">
        <v>136.76</v>
      </c>
      <c r="E15" s="8">
        <v>103.1</v>
      </c>
      <c r="F15" s="8">
        <v>175.43</v>
      </c>
      <c r="G15" s="8">
        <v>102.11</v>
      </c>
      <c r="H15" s="8">
        <v>75.569999999999993</v>
      </c>
      <c r="I15" s="8">
        <v>223.75</v>
      </c>
      <c r="J15" s="8">
        <v>130.07</v>
      </c>
      <c r="K15" s="8">
        <v>197.12</v>
      </c>
      <c r="L15" s="8">
        <v>1043.33</v>
      </c>
      <c r="M15" s="8">
        <v>232.67</v>
      </c>
      <c r="N15" s="8">
        <v>3099.95</v>
      </c>
      <c r="O15" s="8">
        <v>308.20999999999998</v>
      </c>
      <c r="P15" s="8">
        <v>168.67</v>
      </c>
      <c r="Q15" s="8">
        <v>107.86</v>
      </c>
      <c r="R15" s="8">
        <v>382.47</v>
      </c>
      <c r="S15" s="8">
        <v>289.08</v>
      </c>
      <c r="T15" s="8">
        <v>160.79</v>
      </c>
      <c r="U15" s="8">
        <v>191.48</v>
      </c>
      <c r="V15" s="8">
        <v>3099.95</v>
      </c>
      <c r="W15" s="8">
        <v>165.51</v>
      </c>
      <c r="X15" s="8">
        <v>869.77</v>
      </c>
      <c r="Y15" s="8">
        <v>59.43</v>
      </c>
      <c r="Z15" s="8">
        <v>142.85</v>
      </c>
      <c r="AA15" s="8">
        <v>156.91999999999999</v>
      </c>
      <c r="AB15" s="8">
        <v>281.98</v>
      </c>
      <c r="AC15" s="8"/>
      <c r="AD15" s="8">
        <v>140.13</v>
      </c>
      <c r="AE15" s="8">
        <v>130.77000000000001</v>
      </c>
      <c r="AF15" s="8">
        <v>368.66</v>
      </c>
      <c r="AG15" s="8">
        <v>25.68</v>
      </c>
      <c r="AH15" s="8">
        <v>46.85</v>
      </c>
      <c r="AI15" s="8">
        <v>478.59</v>
      </c>
      <c r="AJ15" s="8">
        <v>471.55</v>
      </c>
      <c r="AK15" s="8">
        <v>4271.25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80.59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8" x14ac:dyDescent="0.25">
      <c r="A16" s="4">
        <v>43525</v>
      </c>
      <c r="B16" s="8">
        <v>46.67</v>
      </c>
      <c r="C16" s="8">
        <v>80.53</v>
      </c>
      <c r="D16" s="8"/>
      <c r="E16" s="8">
        <v>92.15</v>
      </c>
      <c r="F16" s="8">
        <v>91.09</v>
      </c>
      <c r="G16" s="8">
        <v>91.47</v>
      </c>
      <c r="H16" s="8"/>
      <c r="I16" s="8">
        <v>155.07</v>
      </c>
      <c r="J16" s="8">
        <v>121.65</v>
      </c>
      <c r="K16" s="8">
        <v>56.54</v>
      </c>
      <c r="L16" s="8">
        <v>689.51</v>
      </c>
      <c r="M16" s="8">
        <v>66.31</v>
      </c>
      <c r="N16" s="8">
        <v>1541.27</v>
      </c>
      <c r="O16" s="8">
        <v>331.34</v>
      </c>
      <c r="P16" s="8">
        <v>169.87</v>
      </c>
      <c r="Q16" s="8">
        <v>100.07</v>
      </c>
      <c r="R16" s="8">
        <v>329.4</v>
      </c>
      <c r="S16" s="8">
        <v>839.73</v>
      </c>
      <c r="T16" s="8">
        <v>205.66</v>
      </c>
      <c r="U16" s="8">
        <v>134.91</v>
      </c>
      <c r="V16" s="8">
        <v>1541.27</v>
      </c>
      <c r="W16" s="8">
        <v>147.76</v>
      </c>
      <c r="X16" s="8">
        <v>962.03</v>
      </c>
      <c r="Y16" s="8">
        <v>63.38</v>
      </c>
      <c r="Z16" s="8">
        <v>137.61000000000001</v>
      </c>
      <c r="AA16" s="8">
        <v>102.27</v>
      </c>
      <c r="AB16" s="8">
        <v>106.86</v>
      </c>
      <c r="AC16" s="8"/>
      <c r="AD16" s="8">
        <v>132.35</v>
      </c>
      <c r="AE16" s="8">
        <v>155</v>
      </c>
      <c r="AF16" s="8">
        <v>335.2</v>
      </c>
      <c r="AG16" s="8">
        <v>25.44</v>
      </c>
      <c r="AH16" s="8">
        <v>60.13</v>
      </c>
      <c r="AI16" s="8">
        <v>510.46</v>
      </c>
      <c r="AJ16" s="8">
        <v>482.97</v>
      </c>
      <c r="AK16" s="8"/>
      <c r="AL16" s="8">
        <v>141.16999999999999</v>
      </c>
      <c r="AM16" s="8">
        <v>942.56</v>
      </c>
      <c r="AN16" s="8">
        <v>209.8</v>
      </c>
      <c r="AO16" s="8">
        <v>46.06</v>
      </c>
      <c r="AP16" s="8"/>
      <c r="AQ16" s="8">
        <v>165.89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68.94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x14ac:dyDescent="0.25">
      <c r="A17" s="4">
        <v>43556</v>
      </c>
      <c r="B17" s="8">
        <v>44.7</v>
      </c>
      <c r="C17" s="8">
        <v>78.400000000000006</v>
      </c>
      <c r="D17" s="8">
        <v>135.93</v>
      </c>
      <c r="E17" s="8">
        <v>75.84</v>
      </c>
      <c r="F17" s="8">
        <v>71.42</v>
      </c>
      <c r="G17" s="8">
        <v>79.27</v>
      </c>
      <c r="H17" s="8">
        <v>67.94</v>
      </c>
      <c r="I17" s="8">
        <v>147.76</v>
      </c>
      <c r="J17" s="8">
        <v>96.32</v>
      </c>
      <c r="K17" s="8">
        <v>53.17</v>
      </c>
      <c r="L17" s="8">
        <v>686.69</v>
      </c>
      <c r="M17" s="8">
        <v>61.34</v>
      </c>
      <c r="N17" s="8">
        <v>1040.69</v>
      </c>
      <c r="O17" s="8">
        <v>198.18</v>
      </c>
      <c r="P17" s="8">
        <v>177.91</v>
      </c>
      <c r="Q17" s="8">
        <v>82.88</v>
      </c>
      <c r="R17" s="8">
        <v>191.64</v>
      </c>
      <c r="S17" s="8">
        <v>669.85</v>
      </c>
      <c r="T17" s="8">
        <v>189.63</v>
      </c>
      <c r="U17" s="8">
        <v>157.93</v>
      </c>
      <c r="V17" s="8">
        <v>1040.69</v>
      </c>
      <c r="W17" s="8">
        <v>135.01</v>
      </c>
      <c r="X17" s="8">
        <v>853.25</v>
      </c>
      <c r="Y17" s="8">
        <v>59.24</v>
      </c>
      <c r="Z17" s="8">
        <v>118.53</v>
      </c>
      <c r="AA17" s="8">
        <v>86.47</v>
      </c>
      <c r="AB17" s="8">
        <v>190.05</v>
      </c>
      <c r="AC17" s="8">
        <v>65.72</v>
      </c>
      <c r="AD17" s="8">
        <v>79.66</v>
      </c>
      <c r="AE17" s="8">
        <v>154.43</v>
      </c>
      <c r="AF17" s="8">
        <v>500.24</v>
      </c>
      <c r="AG17" s="8">
        <v>25.44</v>
      </c>
      <c r="AH17" s="8">
        <v>46.36</v>
      </c>
      <c r="AI17" s="8">
        <v>568.97</v>
      </c>
      <c r="AJ17" s="8">
        <v>405.97</v>
      </c>
      <c r="AK17" s="8"/>
      <c r="AL17" s="8">
        <v>64.319999999999993</v>
      </c>
      <c r="AM17" s="8">
        <v>243.37</v>
      </c>
      <c r="AN17" s="8">
        <v>184.77</v>
      </c>
      <c r="AO17" s="8"/>
      <c r="AP17" s="8">
        <v>209.57</v>
      </c>
      <c r="AQ17" s="8">
        <v>136.58000000000001</v>
      </c>
      <c r="AR17" s="8">
        <v>279.85000000000002</v>
      </c>
      <c r="AS17" s="8">
        <v>2806.42</v>
      </c>
      <c r="AT17" s="8">
        <v>2744.38</v>
      </c>
      <c r="AU17" s="8">
        <v>381.44</v>
      </c>
      <c r="AV17" s="8">
        <v>571.26</v>
      </c>
      <c r="AW17" s="8">
        <v>440.93</v>
      </c>
      <c r="AX17" s="8">
        <v>59.24</v>
      </c>
      <c r="AY17" s="8">
        <v>205.31</v>
      </c>
      <c r="AZ17" s="8">
        <v>4495.12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57.7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x14ac:dyDescent="0.25">
      <c r="A18" s="4">
        <v>43586</v>
      </c>
      <c r="B18" s="8">
        <v>46.59</v>
      </c>
      <c r="C18" s="8">
        <v>65.14</v>
      </c>
      <c r="D18" s="8">
        <v>150.79</v>
      </c>
      <c r="E18" s="8">
        <v>119.82</v>
      </c>
      <c r="F18" s="8">
        <v>231.68</v>
      </c>
      <c r="G18" s="8">
        <v>114.94</v>
      </c>
      <c r="H18" s="8">
        <v>42.36</v>
      </c>
      <c r="I18" s="8">
        <v>194.89</v>
      </c>
      <c r="J18" s="8">
        <v>126.58</v>
      </c>
      <c r="K18" s="8">
        <v>56.26</v>
      </c>
      <c r="L18" s="8">
        <v>959.5</v>
      </c>
      <c r="M18" s="8">
        <v>79.98</v>
      </c>
      <c r="N18" s="8">
        <v>2664.35</v>
      </c>
      <c r="O18" s="8">
        <v>721.28</v>
      </c>
      <c r="P18" s="8">
        <v>188.85</v>
      </c>
      <c r="Q18" s="8">
        <v>74.59</v>
      </c>
      <c r="R18" s="8">
        <v>274.88</v>
      </c>
      <c r="S18" s="8">
        <v>1264.3900000000001</v>
      </c>
      <c r="T18" s="8">
        <v>223.14</v>
      </c>
      <c r="U18" s="8">
        <v>157.93</v>
      </c>
      <c r="V18" s="8">
        <v>2664.35</v>
      </c>
      <c r="W18" s="8">
        <v>148.47999999999999</v>
      </c>
      <c r="X18" s="8">
        <v>959.48</v>
      </c>
      <c r="Y18" s="8">
        <v>66.680000000000007</v>
      </c>
      <c r="Z18" s="8">
        <v>126.93</v>
      </c>
      <c r="AA18" s="8">
        <v>87.49</v>
      </c>
      <c r="AB18" s="8">
        <v>305.01</v>
      </c>
      <c r="AC18" s="8">
        <v>386.59</v>
      </c>
      <c r="AD18" s="8">
        <v>100.79</v>
      </c>
      <c r="AE18" s="8">
        <v>222.41</v>
      </c>
      <c r="AF18" s="8">
        <v>1326.65</v>
      </c>
      <c r="AG18" s="8">
        <v>25.46</v>
      </c>
      <c r="AH18" s="8">
        <v>46.4</v>
      </c>
      <c r="AI18" s="8">
        <v>1687.61</v>
      </c>
      <c r="AJ18" s="8">
        <v>829.38</v>
      </c>
      <c r="AK18" s="8">
        <v>555.70000000000005</v>
      </c>
      <c r="AL18" s="8">
        <v>70.72</v>
      </c>
      <c r="AM18" s="8">
        <v>388.98</v>
      </c>
      <c r="AN18" s="8">
        <v>182.19</v>
      </c>
      <c r="AO18" s="8">
        <v>64.12</v>
      </c>
      <c r="AP18" s="8">
        <v>288.8</v>
      </c>
      <c r="AQ18" s="8">
        <v>157.43</v>
      </c>
      <c r="AR18" s="8">
        <v>114.68</v>
      </c>
      <c r="AS18" s="8">
        <v>2279.73</v>
      </c>
      <c r="AT18" s="8">
        <v>2101.38</v>
      </c>
      <c r="AU18" s="8">
        <v>159.97999999999999</v>
      </c>
      <c r="AV18" s="8">
        <v>714.35</v>
      </c>
      <c r="AW18" s="8">
        <v>490.85</v>
      </c>
      <c r="AX18" s="8">
        <v>62.79</v>
      </c>
      <c r="AY18" s="8">
        <v>583.51</v>
      </c>
      <c r="AZ18" s="8">
        <v>750.82</v>
      </c>
      <c r="BA18" s="8">
        <v>190.78</v>
      </c>
      <c r="BB18" s="8">
        <v>234.9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58.85</v>
      </c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x14ac:dyDescent="0.25">
      <c r="A19" s="4">
        <v>43617</v>
      </c>
      <c r="B19" s="8"/>
      <c r="C19" s="8">
        <v>65.37</v>
      </c>
      <c r="D19" s="8">
        <v>122.69</v>
      </c>
      <c r="E19" s="8">
        <v>110.22</v>
      </c>
      <c r="F19" s="8">
        <v>221.84</v>
      </c>
      <c r="G19" s="8">
        <v>112.77</v>
      </c>
      <c r="H19" s="8">
        <v>44.83</v>
      </c>
      <c r="I19" s="8">
        <v>131.62</v>
      </c>
      <c r="J19" s="8">
        <v>100.97</v>
      </c>
      <c r="K19" s="8">
        <v>50.2</v>
      </c>
      <c r="L19" s="8">
        <v>784.14</v>
      </c>
      <c r="M19" s="8">
        <v>153.91999999999999</v>
      </c>
      <c r="N19" s="8">
        <v>1800.58</v>
      </c>
      <c r="O19" s="8">
        <v>499.89</v>
      </c>
      <c r="P19" s="8">
        <v>250.27</v>
      </c>
      <c r="Q19" s="8">
        <v>337.25</v>
      </c>
      <c r="R19" s="8">
        <v>123.28</v>
      </c>
      <c r="S19" s="8">
        <v>1482.16</v>
      </c>
      <c r="T19" s="8">
        <v>222.18</v>
      </c>
      <c r="U19" s="8">
        <v>85.45</v>
      </c>
      <c r="V19" s="8">
        <v>1800.58</v>
      </c>
      <c r="W19" s="8">
        <v>165.69</v>
      </c>
      <c r="X19" s="8">
        <v>1139.05</v>
      </c>
      <c r="Y19" s="8">
        <v>65.37</v>
      </c>
      <c r="Z19" s="8">
        <v>123.25</v>
      </c>
      <c r="AA19" s="8">
        <v>73.069999999999993</v>
      </c>
      <c r="AB19" s="8">
        <v>141.87</v>
      </c>
      <c r="AC19" s="8">
        <v>219.15</v>
      </c>
      <c r="AD19" s="8">
        <v>95.51</v>
      </c>
      <c r="AE19" s="8">
        <v>108.67</v>
      </c>
      <c r="AF19" s="8">
        <v>952.56</v>
      </c>
      <c r="AG19" s="8">
        <v>26.37</v>
      </c>
      <c r="AH19" s="8">
        <v>48.22</v>
      </c>
      <c r="AI19" s="8">
        <v>1712.38</v>
      </c>
      <c r="AJ19" s="8">
        <v>774.02</v>
      </c>
      <c r="AK19" s="8">
        <v>456.97</v>
      </c>
      <c r="AL19" s="8">
        <v>59.76</v>
      </c>
      <c r="AM19" s="8">
        <v>143.13999999999999</v>
      </c>
      <c r="AN19" s="8">
        <v>277.95</v>
      </c>
      <c r="AO19" s="8"/>
      <c r="AP19" s="8">
        <v>352.83</v>
      </c>
      <c r="AQ19" s="8">
        <v>110.29</v>
      </c>
      <c r="AR19" s="8">
        <v>108.9</v>
      </c>
      <c r="AS19" s="8">
        <v>1555.99</v>
      </c>
      <c r="AT19" s="8">
        <v>1584.49</v>
      </c>
      <c r="AU19" s="8">
        <v>183.72</v>
      </c>
      <c r="AV19" s="8">
        <v>157.59</v>
      </c>
      <c r="AW19" s="8">
        <v>267.51</v>
      </c>
      <c r="AX19" s="8">
        <v>55.08</v>
      </c>
      <c r="AY19" s="8">
        <v>300.58</v>
      </c>
      <c r="AZ19" s="8">
        <v>1656.96</v>
      </c>
      <c r="BA19" s="8">
        <v>60.51</v>
      </c>
      <c r="BB19" s="8">
        <v>201.8</v>
      </c>
      <c r="BC19" s="8">
        <v>2766.04</v>
      </c>
      <c r="BD19" s="8">
        <v>780.65</v>
      </c>
      <c r="BE19" s="8">
        <v>227.13</v>
      </c>
      <c r="BF19" s="8"/>
      <c r="BG19" s="8"/>
      <c r="BH19" s="8"/>
      <c r="BI19" s="8"/>
      <c r="BJ19" s="8"/>
      <c r="BK19" s="8"/>
      <c r="BL19" s="8"/>
      <c r="BM19" s="8">
        <v>2027.08</v>
      </c>
      <c r="BN19" s="8">
        <v>198.05</v>
      </c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x14ac:dyDescent="0.25">
      <c r="A20" s="4">
        <v>43647</v>
      </c>
      <c r="B20" s="8">
        <v>89.9</v>
      </c>
      <c r="C20" s="8">
        <v>73.81</v>
      </c>
      <c r="D20" s="8">
        <v>111.22</v>
      </c>
      <c r="E20" s="8">
        <v>113.58</v>
      </c>
      <c r="F20" s="8">
        <v>156.16999999999999</v>
      </c>
      <c r="G20" s="8">
        <v>78.180000000000007</v>
      </c>
      <c r="H20" s="8">
        <v>109.58</v>
      </c>
      <c r="I20" s="8">
        <v>144.13999999999999</v>
      </c>
      <c r="J20" s="8">
        <v>106.44</v>
      </c>
      <c r="K20" s="8">
        <v>56.38</v>
      </c>
      <c r="L20" s="8">
        <v>638.42999999999995</v>
      </c>
      <c r="M20" s="8">
        <v>111.41</v>
      </c>
      <c r="N20" s="8">
        <v>957</v>
      </c>
      <c r="O20" s="8">
        <v>542.03</v>
      </c>
      <c r="P20" s="8">
        <v>15.42</v>
      </c>
      <c r="Q20" s="8">
        <v>199.52</v>
      </c>
      <c r="R20" s="8">
        <v>336.74</v>
      </c>
      <c r="S20" s="8">
        <v>841.95</v>
      </c>
      <c r="T20" s="8">
        <v>290.70999999999998</v>
      </c>
      <c r="U20" s="8">
        <v>163.09</v>
      </c>
      <c r="V20" s="8">
        <v>957</v>
      </c>
      <c r="W20" s="8">
        <v>158.66999999999999</v>
      </c>
      <c r="X20" s="8">
        <v>1415.87</v>
      </c>
      <c r="Y20" s="8">
        <v>67.89</v>
      </c>
      <c r="Z20" s="8">
        <v>127.92</v>
      </c>
      <c r="AA20" s="8">
        <v>90.55</v>
      </c>
      <c r="AB20" s="8">
        <v>132.66999999999999</v>
      </c>
      <c r="AC20" s="8">
        <v>104.67</v>
      </c>
      <c r="AD20" s="8">
        <v>128.08000000000001</v>
      </c>
      <c r="AE20" s="8">
        <v>177.37</v>
      </c>
      <c r="AF20" s="8">
        <v>953.94</v>
      </c>
      <c r="AG20" s="8">
        <v>25.78</v>
      </c>
      <c r="AH20" s="8">
        <v>152.71</v>
      </c>
      <c r="AI20" s="8">
        <v>1469.49</v>
      </c>
      <c r="AJ20" s="8">
        <v>528.67999999999995</v>
      </c>
      <c r="AK20" s="8">
        <v>482.41</v>
      </c>
      <c r="AL20" s="8">
        <v>131.91999999999999</v>
      </c>
      <c r="AM20" s="8">
        <v>150.82</v>
      </c>
      <c r="AN20" s="8">
        <v>298.99</v>
      </c>
      <c r="AO20" s="8">
        <v>97.03</v>
      </c>
      <c r="AP20" s="8">
        <v>235.88</v>
      </c>
      <c r="AQ20" s="8">
        <v>123.72</v>
      </c>
      <c r="AR20" s="8">
        <v>108.83</v>
      </c>
      <c r="AS20" s="8">
        <v>1080.9000000000001</v>
      </c>
      <c r="AT20" s="8">
        <v>1334.03</v>
      </c>
      <c r="AU20" s="8">
        <v>382.62</v>
      </c>
      <c r="AV20" s="8">
        <v>377.3</v>
      </c>
      <c r="AW20" s="8">
        <v>200.43</v>
      </c>
      <c r="AX20" s="8">
        <v>55.37</v>
      </c>
      <c r="AY20" s="8">
        <v>333.61</v>
      </c>
      <c r="AZ20" s="8">
        <v>2730.36</v>
      </c>
      <c r="BA20" s="8">
        <v>62.64</v>
      </c>
      <c r="BB20" s="8">
        <v>186.21</v>
      </c>
      <c r="BC20" s="8">
        <v>484.31</v>
      </c>
      <c r="BD20" s="8">
        <v>647.87</v>
      </c>
      <c r="BE20" s="8">
        <v>111.12</v>
      </c>
      <c r="BF20" s="8"/>
      <c r="BG20" s="8"/>
      <c r="BH20" s="8"/>
      <c r="BI20" s="8"/>
      <c r="BJ20" s="8"/>
      <c r="BK20" s="8"/>
      <c r="BL20" s="8"/>
      <c r="BM20" s="8">
        <v>336.86</v>
      </c>
      <c r="BN20" s="8">
        <v>130.06</v>
      </c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x14ac:dyDescent="0.25">
      <c r="A21" s="4">
        <v>43678</v>
      </c>
      <c r="B21" s="8">
        <v>54.67</v>
      </c>
      <c r="C21" s="8">
        <v>101.76</v>
      </c>
      <c r="D21" s="8">
        <v>52.45</v>
      </c>
      <c r="E21" s="8">
        <v>99.27</v>
      </c>
      <c r="F21" s="8">
        <v>188.77</v>
      </c>
      <c r="G21" s="8">
        <v>99.26</v>
      </c>
      <c r="H21" s="8">
        <v>121.65</v>
      </c>
      <c r="I21" s="8">
        <v>170.08</v>
      </c>
      <c r="J21" s="8">
        <v>71.33</v>
      </c>
      <c r="K21" s="8">
        <v>58.29</v>
      </c>
      <c r="L21" s="8">
        <v>897.41</v>
      </c>
      <c r="M21" s="8">
        <v>99.67</v>
      </c>
      <c r="N21" s="8">
        <v>1463.63</v>
      </c>
      <c r="O21" s="8">
        <v>585.32000000000005</v>
      </c>
      <c r="P21" s="8">
        <v>199.38</v>
      </c>
      <c r="Q21" s="8">
        <v>156.77000000000001</v>
      </c>
      <c r="R21" s="8">
        <v>314.88</v>
      </c>
      <c r="S21" s="8">
        <v>997.11</v>
      </c>
      <c r="T21" s="8">
        <v>237.99</v>
      </c>
      <c r="U21" s="8">
        <v>151.91999999999999</v>
      </c>
      <c r="V21" s="8">
        <v>1952.13</v>
      </c>
      <c r="W21" s="8">
        <v>195.65</v>
      </c>
      <c r="X21" s="8">
        <v>1488.34</v>
      </c>
      <c r="Y21" s="8">
        <v>67.23</v>
      </c>
      <c r="Z21" s="8">
        <v>148.41</v>
      </c>
      <c r="AA21" s="8">
        <v>93.66</v>
      </c>
      <c r="AB21" s="8">
        <v>115.02</v>
      </c>
      <c r="AC21" s="8">
        <v>88.84</v>
      </c>
      <c r="AD21" s="8">
        <v>125.75</v>
      </c>
      <c r="AE21" s="8">
        <v>232.56</v>
      </c>
      <c r="AF21" s="8">
        <v>880.11</v>
      </c>
      <c r="AG21" s="8">
        <v>26.82</v>
      </c>
      <c r="AH21" s="8">
        <v>219.19</v>
      </c>
      <c r="AI21" s="8">
        <v>1279.33</v>
      </c>
      <c r="AJ21" s="8">
        <v>511.21</v>
      </c>
      <c r="AK21" s="8">
        <v>464.98</v>
      </c>
      <c r="AL21" s="8">
        <v>63.56</v>
      </c>
      <c r="AM21" s="8">
        <v>168.23</v>
      </c>
      <c r="AN21" s="8">
        <v>274.32</v>
      </c>
      <c r="AO21" s="8">
        <v>267.79000000000002</v>
      </c>
      <c r="AP21" s="8">
        <v>210.11</v>
      </c>
      <c r="AQ21" s="8">
        <v>140.81</v>
      </c>
      <c r="AR21" s="8">
        <v>126.03</v>
      </c>
      <c r="AS21" s="8">
        <v>1088.98</v>
      </c>
      <c r="AT21" s="8">
        <v>1378.01</v>
      </c>
      <c r="AU21" s="8">
        <v>243.23</v>
      </c>
      <c r="AV21" s="8">
        <v>504.77</v>
      </c>
      <c r="AW21" s="8">
        <v>303.43</v>
      </c>
      <c r="AX21" s="8">
        <v>66.010000000000005</v>
      </c>
      <c r="AY21" s="8">
        <v>359.6</v>
      </c>
      <c r="AZ21" s="8">
        <v>663.46</v>
      </c>
      <c r="BA21" s="8">
        <v>75.83</v>
      </c>
      <c r="BB21" s="8">
        <v>97.95</v>
      </c>
      <c r="BC21" s="8">
        <v>564.39</v>
      </c>
      <c r="BD21" s="8"/>
      <c r="BE21" s="8">
        <v>76.349999999999994</v>
      </c>
      <c r="BF21" s="8">
        <v>88.63</v>
      </c>
      <c r="BG21" s="8"/>
      <c r="BH21" s="8"/>
      <c r="BI21" s="8"/>
      <c r="BJ21" s="8"/>
      <c r="BK21" s="8"/>
      <c r="BL21" s="8"/>
      <c r="BM21" s="8">
        <v>392.39</v>
      </c>
      <c r="BN21" s="8">
        <v>122.58</v>
      </c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x14ac:dyDescent="0.25">
      <c r="A22" s="4">
        <v>43709</v>
      </c>
      <c r="B22" s="8">
        <v>49.82</v>
      </c>
      <c r="C22" s="8">
        <v>86.15</v>
      </c>
      <c r="D22" s="8">
        <v>54.13</v>
      </c>
      <c r="E22" s="8">
        <v>67.739999999999995</v>
      </c>
      <c r="F22" s="8">
        <v>117.13</v>
      </c>
      <c r="G22" s="8">
        <v>85.61</v>
      </c>
      <c r="H22" s="8">
        <v>74.11</v>
      </c>
      <c r="I22" s="8">
        <v>118.7</v>
      </c>
      <c r="J22" s="8">
        <v>38.25</v>
      </c>
      <c r="K22" s="8">
        <v>58.16</v>
      </c>
      <c r="L22" s="8"/>
      <c r="M22" s="8">
        <v>72.12</v>
      </c>
      <c r="N22" s="8">
        <v>572.11</v>
      </c>
      <c r="O22" s="8">
        <v>284.62</v>
      </c>
      <c r="P22" s="8">
        <v>188.61</v>
      </c>
      <c r="Q22" s="8">
        <v>106.89</v>
      </c>
      <c r="R22" s="8">
        <v>259.8</v>
      </c>
      <c r="S22" s="8">
        <v>186.52</v>
      </c>
      <c r="T22" s="8">
        <v>434.24</v>
      </c>
      <c r="U22" s="8">
        <v>161.57</v>
      </c>
      <c r="V22" s="8">
        <v>851.77</v>
      </c>
      <c r="W22" s="8"/>
      <c r="X22" s="8"/>
      <c r="Y22" s="8">
        <v>73.47</v>
      </c>
      <c r="Z22" s="8">
        <v>138.76</v>
      </c>
      <c r="AA22" s="8">
        <v>88.57</v>
      </c>
      <c r="AB22" s="8">
        <v>69.89</v>
      </c>
      <c r="AC22" s="8">
        <v>123.34</v>
      </c>
      <c r="AD22" s="8">
        <v>132.49</v>
      </c>
      <c r="AE22" s="8">
        <v>635.03</v>
      </c>
      <c r="AF22" s="8">
        <v>349.05</v>
      </c>
      <c r="AG22" s="8"/>
      <c r="AH22" s="8"/>
      <c r="AI22" s="8">
        <v>449.72</v>
      </c>
      <c r="AJ22" s="8">
        <v>210.48</v>
      </c>
      <c r="AK22" s="8">
        <v>435.58</v>
      </c>
      <c r="AL22" s="8">
        <v>69.84</v>
      </c>
      <c r="AM22" s="8">
        <v>161.81</v>
      </c>
      <c r="AN22" s="8">
        <v>221.34</v>
      </c>
      <c r="AO22" s="8">
        <v>267.79000000000002</v>
      </c>
      <c r="AP22" s="8">
        <v>206</v>
      </c>
      <c r="AQ22" s="8">
        <v>139.18</v>
      </c>
      <c r="AR22" s="8">
        <v>116.38</v>
      </c>
      <c r="AS22" s="8">
        <v>621.96</v>
      </c>
      <c r="AT22" s="8">
        <v>1008.38</v>
      </c>
      <c r="AU22" s="8">
        <v>177.99</v>
      </c>
      <c r="AV22" s="8">
        <v>216.93</v>
      </c>
      <c r="AW22" s="8">
        <v>169.78</v>
      </c>
      <c r="AX22" s="8">
        <v>58.45</v>
      </c>
      <c r="AY22" s="8">
        <v>345.95</v>
      </c>
      <c r="AZ22" s="8">
        <v>717.45</v>
      </c>
      <c r="BA22" s="8"/>
      <c r="BB22" s="8"/>
      <c r="BC22" s="8">
        <v>698.52</v>
      </c>
      <c r="BD22" s="8">
        <v>235.36</v>
      </c>
      <c r="BE22" s="8">
        <v>73.13</v>
      </c>
      <c r="BF22" s="8">
        <v>88.16</v>
      </c>
      <c r="BG22" s="8">
        <v>501.16</v>
      </c>
      <c r="BH22" s="8"/>
      <c r="BI22" s="8"/>
      <c r="BJ22" s="8"/>
      <c r="BK22" s="8">
        <v>76.239999999999995</v>
      </c>
      <c r="BL22" s="8"/>
      <c r="BM22" s="8">
        <v>314.01</v>
      </c>
      <c r="BN22" s="8">
        <v>142.54</v>
      </c>
      <c r="BO22" s="8"/>
      <c r="BP22" s="8"/>
      <c r="BQ22" s="8"/>
      <c r="BR22" s="8"/>
      <c r="BS22" s="8"/>
      <c r="BT22" s="8">
        <v>184.08</v>
      </c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x14ac:dyDescent="0.25">
      <c r="A23" s="4">
        <v>43739</v>
      </c>
      <c r="B23" s="8">
        <v>49.71</v>
      </c>
      <c r="C23" s="8">
        <v>89.56</v>
      </c>
      <c r="D23" s="8">
        <v>54.14</v>
      </c>
      <c r="E23" s="8">
        <v>53.3</v>
      </c>
      <c r="F23" s="8">
        <v>165.11</v>
      </c>
      <c r="G23" s="8">
        <v>90.63</v>
      </c>
      <c r="H23" s="8">
        <v>60.33</v>
      </c>
      <c r="I23" s="8">
        <v>155.72999999999999</v>
      </c>
      <c r="J23" s="8">
        <v>88.35</v>
      </c>
      <c r="K23" s="8">
        <v>62.9</v>
      </c>
      <c r="L23" s="8">
        <v>457.93</v>
      </c>
      <c r="M23" s="8">
        <v>78.12</v>
      </c>
      <c r="N23" s="8">
        <v>717.28</v>
      </c>
      <c r="O23" s="8">
        <v>560.15</v>
      </c>
      <c r="P23" s="8">
        <v>193.37</v>
      </c>
      <c r="Q23" s="8">
        <v>107</v>
      </c>
      <c r="R23" s="8">
        <v>262.38</v>
      </c>
      <c r="S23" s="8">
        <v>286.64999999999998</v>
      </c>
      <c r="T23" s="8">
        <v>216.15</v>
      </c>
      <c r="U23" s="8">
        <v>110.51</v>
      </c>
      <c r="V23" s="8">
        <v>1253.73</v>
      </c>
      <c r="W23" s="8"/>
      <c r="X23" s="8"/>
      <c r="Y23" s="8">
        <v>73.41</v>
      </c>
      <c r="Z23" s="8">
        <v>142.49</v>
      </c>
      <c r="AA23" s="8">
        <v>126.61</v>
      </c>
      <c r="AB23" s="8">
        <v>308.48</v>
      </c>
      <c r="AC23" s="8">
        <v>225.92</v>
      </c>
      <c r="AD23" s="8">
        <v>95.84</v>
      </c>
      <c r="AE23" s="8">
        <v>241.56</v>
      </c>
      <c r="AF23" s="8">
        <v>438.56</v>
      </c>
      <c r="AG23" s="8"/>
      <c r="AH23" s="8"/>
      <c r="AI23" s="8">
        <v>508.99</v>
      </c>
      <c r="AJ23" s="8">
        <v>323.66000000000003</v>
      </c>
      <c r="AK23" s="8">
        <v>549.17999999999995</v>
      </c>
      <c r="AL23" s="8">
        <v>76.23</v>
      </c>
      <c r="AM23" s="8">
        <v>194.85</v>
      </c>
      <c r="AN23" s="8">
        <v>200.61</v>
      </c>
      <c r="AO23" s="8"/>
      <c r="AP23" s="8">
        <v>232.31</v>
      </c>
      <c r="AQ23" s="8">
        <v>137.04</v>
      </c>
      <c r="AR23" s="8">
        <v>117.49</v>
      </c>
      <c r="AS23" s="8">
        <v>469.63</v>
      </c>
      <c r="AT23" s="8">
        <v>1193.5</v>
      </c>
      <c r="AU23" s="8">
        <v>159.9</v>
      </c>
      <c r="AV23" s="8">
        <v>200.55</v>
      </c>
      <c r="AW23" s="8">
        <v>165.3</v>
      </c>
      <c r="AX23" s="8">
        <v>55.29</v>
      </c>
      <c r="AY23" s="8">
        <v>370.4</v>
      </c>
      <c r="AZ23" s="8">
        <v>845.01</v>
      </c>
      <c r="BA23" s="8"/>
      <c r="BB23" s="8"/>
      <c r="BC23" s="8">
        <v>909.94</v>
      </c>
      <c r="BD23" s="8">
        <v>250.77</v>
      </c>
      <c r="BE23" s="8">
        <v>76.319999999999993</v>
      </c>
      <c r="BF23" s="8">
        <v>91.39</v>
      </c>
      <c r="BG23" s="8">
        <v>563.92999999999995</v>
      </c>
      <c r="BH23" s="8"/>
      <c r="BI23" s="8"/>
      <c r="BJ23" s="8"/>
      <c r="BK23" s="8">
        <v>86.36</v>
      </c>
      <c r="BL23" s="8"/>
      <c r="BM23" s="8">
        <v>377.81</v>
      </c>
      <c r="BN23" s="8">
        <v>142.57</v>
      </c>
      <c r="BO23" s="8">
        <v>141.84</v>
      </c>
      <c r="BP23" s="8">
        <v>110.86</v>
      </c>
      <c r="BQ23" s="8"/>
      <c r="BR23" s="8">
        <v>79.209999999999994</v>
      </c>
      <c r="BS23" s="8">
        <v>120.77</v>
      </c>
      <c r="BT23" s="8">
        <v>171.53</v>
      </c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x14ac:dyDescent="0.25">
      <c r="A24" s="4">
        <v>43770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x14ac:dyDescent="0.25">
      <c r="A25" s="4">
        <v>43800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x14ac:dyDescent="0.25">
      <c r="A26" s="4">
        <v>43831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x14ac:dyDescent="0.25">
      <c r="A27" s="4">
        <v>43862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x14ac:dyDescent="0.25">
      <c r="A28" s="4">
        <v>43891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x14ac:dyDescent="0.25">
      <c r="A29" s="4">
        <v>43922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x14ac:dyDescent="0.25">
      <c r="A30" s="4">
        <v>43952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x14ac:dyDescent="0.25">
      <c r="A31" s="4">
        <v>43983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x14ac:dyDescent="0.25">
      <c r="A32" s="4">
        <v>44013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x14ac:dyDescent="0.25">
      <c r="A33" s="4">
        <v>44044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 spans="1:83" x14ac:dyDescent="0.25">
      <c r="A34" s="4">
        <v>44075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x14ac:dyDescent="0.25">
      <c r="A35" s="4">
        <v>44105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x14ac:dyDescent="0.25">
      <c r="A36" s="4">
        <v>44136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x14ac:dyDescent="0.25">
      <c r="A37" s="4">
        <v>44166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x14ac:dyDescent="0.25">
      <c r="A38" s="4">
        <v>44197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x14ac:dyDescent="0.25">
      <c r="A39" s="4">
        <v>44228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x14ac:dyDescent="0.25">
      <c r="A40" s="4">
        <v>44256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x14ac:dyDescent="0.25">
      <c r="A41" s="4">
        <v>44287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x14ac:dyDescent="0.25">
      <c r="A42" s="4">
        <v>44317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x14ac:dyDescent="0.25">
      <c r="A43" s="4">
        <v>44348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x14ac:dyDescent="0.25">
      <c r="A44" s="4">
        <v>44378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x14ac:dyDescent="0.25">
      <c r="A45" s="4">
        <v>44409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x14ac:dyDescent="0.25">
      <c r="A46" s="4">
        <v>44440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x14ac:dyDescent="0.25">
      <c r="A47" s="4">
        <v>44470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x14ac:dyDescent="0.25">
      <c r="A48" s="4">
        <v>44501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x14ac:dyDescent="0.25">
      <c r="A49" s="4">
        <v>44531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x14ac:dyDescent="0.25">
      <c r="A50" s="4">
        <v>44562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x14ac:dyDescent="0.25">
      <c r="A51" s="4">
        <v>44593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x14ac:dyDescent="0.25">
      <c r="A52" s="4">
        <v>44621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x14ac:dyDescent="0.25">
      <c r="A53" s="4">
        <v>44652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x14ac:dyDescent="0.25">
      <c r="A54" s="4">
        <v>44682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x14ac:dyDescent="0.25">
      <c r="A55" s="4">
        <v>44713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x14ac:dyDescent="0.25">
      <c r="A56" s="4">
        <v>44743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x14ac:dyDescent="0.25">
      <c r="A57" s="4">
        <v>44774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x14ac:dyDescent="0.25">
      <c r="A58" s="4">
        <v>44805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x14ac:dyDescent="0.25">
      <c r="A59" s="4">
        <v>44835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x14ac:dyDescent="0.25">
      <c r="A60" s="4">
        <v>44866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x14ac:dyDescent="0.25">
      <c r="A61" s="4">
        <v>44896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x14ac:dyDescent="0.25">
      <c r="A62" s="4">
        <v>44927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x14ac:dyDescent="0.25">
      <c r="A63" s="4">
        <v>44958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x14ac:dyDescent="0.25">
      <c r="A64" s="4">
        <v>44986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 spans="1:83" x14ac:dyDescent="0.25">
      <c r="A65" s="4">
        <v>45017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x14ac:dyDescent="0.25">
      <c r="A66" s="4">
        <v>45047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x14ac:dyDescent="0.25">
      <c r="A67" s="4">
        <v>45078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x14ac:dyDescent="0.25">
      <c r="A68" s="4">
        <v>45108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x14ac:dyDescent="0.25">
      <c r="A69" s="4">
        <v>45139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x14ac:dyDescent="0.25">
      <c r="A70" s="4">
        <v>45170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x14ac:dyDescent="0.25">
      <c r="A71" s="4">
        <v>45200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x14ac:dyDescent="0.25">
      <c r="A72" s="4">
        <v>45231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x14ac:dyDescent="0.25">
      <c r="A73" s="4">
        <v>45261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x14ac:dyDescent="0.25">
      <c r="A74" s="4">
        <v>45292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x14ac:dyDescent="0.25">
      <c r="A75" s="4">
        <v>45323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x14ac:dyDescent="0.25">
      <c r="A76" s="4">
        <v>45352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x14ac:dyDescent="0.25">
      <c r="A77" s="4">
        <v>45383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x14ac:dyDescent="0.25">
      <c r="A78" s="4">
        <v>45413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x14ac:dyDescent="0.25">
      <c r="A79" s="4">
        <v>45444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x14ac:dyDescent="0.25">
      <c r="A80" s="4">
        <v>45474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x14ac:dyDescent="0.25">
      <c r="A81" s="4">
        <v>45505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x14ac:dyDescent="0.25">
      <c r="A82" s="4">
        <v>45536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x14ac:dyDescent="0.25">
      <c r="A83" s="4">
        <v>45566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x14ac:dyDescent="0.25">
      <c r="A84" s="4">
        <v>45597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x14ac:dyDescent="0.25">
      <c r="A85" s="4">
        <v>45627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x14ac:dyDescent="0.25">
      <c r="A86" s="4">
        <v>45658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x14ac:dyDescent="0.25">
      <c r="A87" s="4">
        <v>45689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x14ac:dyDescent="0.25">
      <c r="A88" s="4">
        <v>45717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x14ac:dyDescent="0.25">
      <c r="A89" s="4">
        <v>45748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x14ac:dyDescent="0.25">
      <c r="A90" s="4">
        <v>45778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x14ac:dyDescent="0.25">
      <c r="A91" s="4">
        <v>45809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x14ac:dyDescent="0.25">
      <c r="A92" s="4">
        <v>45839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x14ac:dyDescent="0.25">
      <c r="A93" s="4">
        <v>45870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x14ac:dyDescent="0.25">
      <c r="A94" s="4">
        <v>45901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x14ac:dyDescent="0.25">
      <c r="A95" s="4">
        <v>45931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spans="1:83" x14ac:dyDescent="0.25">
      <c r="A96" s="4">
        <v>45962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x14ac:dyDescent="0.25">
      <c r="A97" s="4">
        <v>45992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x14ac:dyDescent="0.25">
      <c r="A98" s="4">
        <v>46023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x14ac:dyDescent="0.25">
      <c r="A99" s="4">
        <v>46054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x14ac:dyDescent="0.25">
      <c r="A100" s="4">
        <v>46082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x14ac:dyDescent="0.25">
      <c r="A101" s="4">
        <v>46113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x14ac:dyDescent="0.25">
      <c r="A102" s="4">
        <v>46143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x14ac:dyDescent="0.25">
      <c r="A103" s="4">
        <v>46174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x14ac:dyDescent="0.25">
      <c r="A104" s="4">
        <v>46204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x14ac:dyDescent="0.25">
      <c r="A105" s="4">
        <v>46235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x14ac:dyDescent="0.25">
      <c r="A106" s="4">
        <v>46266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x14ac:dyDescent="0.25">
      <c r="A107" s="4">
        <v>46296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x14ac:dyDescent="0.25">
      <c r="A108" s="4">
        <v>46327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x14ac:dyDescent="0.25">
      <c r="A109" s="4">
        <v>46357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dimension ref="A1:B8"/>
  <sheetViews>
    <sheetView zoomScaleNormal="100"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73" t="s">
        <v>447</v>
      </c>
      <c r="B1" s="74">
        <f>SUM(Tabela5[[Marlon Colovini]:[Claudio Alfredo Konrat]])</f>
        <v>774459</v>
      </c>
    </row>
    <row r="2" spans="1:2" x14ac:dyDescent="0.25">
      <c r="A2" s="73" t="s">
        <v>448</v>
      </c>
      <c r="B2" s="75">
        <f>B1*0.84</f>
        <v>650545.55999999994</v>
      </c>
    </row>
    <row r="3" spans="1:2" x14ac:dyDescent="0.25">
      <c r="A3" s="73" t="s">
        <v>449</v>
      </c>
      <c r="B3" s="76">
        <f>B1/474.466</f>
        <v>1632.275020760181</v>
      </c>
    </row>
    <row r="4" spans="1:2" x14ac:dyDescent="0.25">
      <c r="A4" s="73" t="s">
        <v>450</v>
      </c>
      <c r="B4" s="76">
        <f>B1/3.3898</f>
        <v>228467.46120715086</v>
      </c>
    </row>
    <row r="5" spans="1:2" x14ac:dyDescent="0.25">
      <c r="A5" s="73" t="s">
        <v>451</v>
      </c>
      <c r="B5" s="21">
        <f>COUNTIF(Tabela14[[#All],[Atualizada]],"Sim")</f>
        <v>63</v>
      </c>
    </row>
    <row r="6" spans="1:2" x14ac:dyDescent="0.25">
      <c r="A6" s="73" t="s">
        <v>384</v>
      </c>
      <c r="B6" s="21">
        <f>COUNTIF(Tabela14[[#All],[Consolidadas]],"Sim")</f>
        <v>74</v>
      </c>
    </row>
    <row r="7" spans="1:2" x14ac:dyDescent="0.25">
      <c r="A7" s="73" t="s">
        <v>452</v>
      </c>
      <c r="B7" s="77">
        <f>ROUNDDOWN(SUMIF(Tabela14[Atualizada],"Sim",Tabela14[Potência]),2)</f>
        <v>982.13</v>
      </c>
    </row>
    <row r="8" spans="1:2" x14ac:dyDescent="0.25">
      <c r="A8" s="73" t="s">
        <v>453</v>
      </c>
      <c r="B8" s="77">
        <f>ROUNDDOWN(SUMIF(Tabela14[Consolidadas],"Sim",Tabela14[Potência]),2)</f>
        <v>1124.1600000000001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dimension ref="A1:A75"/>
  <sheetViews>
    <sheetView zoomScale="90" zoomScaleNormal="90" workbookViewId="0">
      <selection activeCell="C14" sqref="C14"/>
    </sheetView>
  </sheetViews>
  <sheetFormatPr defaultRowHeight="15" x14ac:dyDescent="0.25"/>
  <cols>
    <col min="1" max="1" width="49.28515625" style="13" bestFit="1" customWidth="1"/>
    <col min="2" max="16384" width="9.140625" style="13"/>
  </cols>
  <sheetData>
    <row r="1" spans="1:1" x14ac:dyDescent="0.25">
      <c r="A1" s="13" t="s">
        <v>235</v>
      </c>
    </row>
    <row r="2" spans="1:1" x14ac:dyDescent="0.25">
      <c r="A2" s="11" t="s">
        <v>83</v>
      </c>
    </row>
    <row r="3" spans="1:1" x14ac:dyDescent="0.25">
      <c r="A3" s="11" t="s">
        <v>84</v>
      </c>
    </row>
    <row r="4" spans="1:1" x14ac:dyDescent="0.25">
      <c r="A4" s="11" t="s">
        <v>85</v>
      </c>
    </row>
    <row r="5" spans="1:1" x14ac:dyDescent="0.25">
      <c r="A5" s="11" t="s">
        <v>86</v>
      </c>
    </row>
    <row r="6" spans="1:1" x14ac:dyDescent="0.25">
      <c r="A6" s="11" t="s">
        <v>87</v>
      </c>
    </row>
    <row r="7" spans="1:1" x14ac:dyDescent="0.25">
      <c r="A7" s="11" t="s">
        <v>88</v>
      </c>
    </row>
    <row r="8" spans="1:1" x14ac:dyDescent="0.25">
      <c r="A8" s="11" t="s">
        <v>89</v>
      </c>
    </row>
    <row r="9" spans="1:1" x14ac:dyDescent="0.25">
      <c r="A9" s="11" t="s">
        <v>90</v>
      </c>
    </row>
    <row r="10" spans="1:1" x14ac:dyDescent="0.25">
      <c r="A10" s="11" t="s">
        <v>91</v>
      </c>
    </row>
    <row r="11" spans="1:1" x14ac:dyDescent="0.25">
      <c r="A11" s="11" t="s">
        <v>92</v>
      </c>
    </row>
    <row r="12" spans="1:1" x14ac:dyDescent="0.25">
      <c r="A12" s="11" t="s">
        <v>93</v>
      </c>
    </row>
    <row r="13" spans="1:1" x14ac:dyDescent="0.25">
      <c r="A13" s="11" t="s">
        <v>94</v>
      </c>
    </row>
    <row r="14" spans="1:1" x14ac:dyDescent="0.25">
      <c r="A14" s="11" t="s">
        <v>95</v>
      </c>
    </row>
    <row r="15" spans="1:1" x14ac:dyDescent="0.25">
      <c r="A15" s="11" t="s">
        <v>96</v>
      </c>
    </row>
    <row r="16" spans="1:1" x14ac:dyDescent="0.25">
      <c r="A16" s="11" t="s">
        <v>97</v>
      </c>
    </row>
    <row r="17" spans="1:1" x14ac:dyDescent="0.25">
      <c r="A17" s="11" t="s">
        <v>98</v>
      </c>
    </row>
    <row r="18" spans="1:1" x14ac:dyDescent="0.25">
      <c r="A18" s="11" t="s">
        <v>99</v>
      </c>
    </row>
    <row r="19" spans="1:1" x14ac:dyDescent="0.25">
      <c r="A19" s="11" t="s">
        <v>100</v>
      </c>
    </row>
    <row r="20" spans="1:1" x14ac:dyDescent="0.25">
      <c r="A20" s="11" t="s">
        <v>101</v>
      </c>
    </row>
    <row r="21" spans="1:1" x14ac:dyDescent="0.25">
      <c r="A21" s="11" t="s">
        <v>102</v>
      </c>
    </row>
    <row r="22" spans="1:1" x14ac:dyDescent="0.25">
      <c r="A22" s="11" t="s">
        <v>103</v>
      </c>
    </row>
    <row r="23" spans="1:1" x14ac:dyDescent="0.25">
      <c r="A23" s="11" t="s">
        <v>104</v>
      </c>
    </row>
    <row r="24" spans="1:1" x14ac:dyDescent="0.25">
      <c r="A24" s="11" t="s">
        <v>105</v>
      </c>
    </row>
    <row r="25" spans="1:1" x14ac:dyDescent="0.25">
      <c r="A25" s="11" t="s">
        <v>106</v>
      </c>
    </row>
    <row r="26" spans="1:1" x14ac:dyDescent="0.25">
      <c r="A26" s="11" t="s">
        <v>107</v>
      </c>
    </row>
    <row r="27" spans="1:1" x14ac:dyDescent="0.25">
      <c r="A27" s="11" t="s">
        <v>108</v>
      </c>
    </row>
    <row r="28" spans="1:1" x14ac:dyDescent="0.25">
      <c r="A28" s="11" t="s">
        <v>109</v>
      </c>
    </row>
    <row r="29" spans="1:1" x14ac:dyDescent="0.25">
      <c r="A29" s="11" t="s">
        <v>110</v>
      </c>
    </row>
    <row r="30" spans="1:1" x14ac:dyDescent="0.25">
      <c r="A30" s="11" t="s">
        <v>111</v>
      </c>
    </row>
    <row r="31" spans="1:1" x14ac:dyDescent="0.25">
      <c r="A31" s="11" t="s">
        <v>112</v>
      </c>
    </row>
    <row r="32" spans="1:1" x14ac:dyDescent="0.25">
      <c r="A32" s="11" t="s">
        <v>113</v>
      </c>
    </row>
    <row r="33" spans="1:1" x14ac:dyDescent="0.25">
      <c r="A33" s="11" t="s">
        <v>114</v>
      </c>
    </row>
    <row r="34" spans="1:1" x14ac:dyDescent="0.25">
      <c r="A34" s="11" t="s">
        <v>115</v>
      </c>
    </row>
    <row r="35" spans="1:1" x14ac:dyDescent="0.25">
      <c r="A35" s="11" t="s">
        <v>116</v>
      </c>
    </row>
    <row r="36" spans="1:1" x14ac:dyDescent="0.25">
      <c r="A36" s="11" t="s">
        <v>117</v>
      </c>
    </row>
    <row r="37" spans="1:1" x14ac:dyDescent="0.25">
      <c r="A37" s="11" t="s">
        <v>118</v>
      </c>
    </row>
    <row r="38" spans="1:1" x14ac:dyDescent="0.25">
      <c r="A38" s="11" t="s">
        <v>119</v>
      </c>
    </row>
    <row r="39" spans="1:1" x14ac:dyDescent="0.25">
      <c r="A39" s="11" t="s">
        <v>120</v>
      </c>
    </row>
    <row r="40" spans="1:1" x14ac:dyDescent="0.25">
      <c r="A40" s="11" t="s">
        <v>121</v>
      </c>
    </row>
    <row r="41" spans="1:1" x14ac:dyDescent="0.25">
      <c r="A41" s="11" t="s">
        <v>122</v>
      </c>
    </row>
    <row r="42" spans="1:1" x14ac:dyDescent="0.25">
      <c r="A42" s="11" t="s">
        <v>123</v>
      </c>
    </row>
    <row r="43" spans="1:1" x14ac:dyDescent="0.25">
      <c r="A43" s="11" t="s">
        <v>234</v>
      </c>
    </row>
    <row r="44" spans="1:1" x14ac:dyDescent="0.25">
      <c r="A44" s="11" t="s">
        <v>124</v>
      </c>
    </row>
    <row r="45" spans="1:1" x14ac:dyDescent="0.25">
      <c r="A45" s="11" t="s">
        <v>125</v>
      </c>
    </row>
    <row r="46" spans="1:1" x14ac:dyDescent="0.25">
      <c r="A46" s="11" t="s">
        <v>126</v>
      </c>
    </row>
    <row r="47" spans="1:1" x14ac:dyDescent="0.25">
      <c r="A47" s="11" t="s">
        <v>127</v>
      </c>
    </row>
    <row r="48" spans="1:1" x14ac:dyDescent="0.25">
      <c r="A48" s="11" t="s">
        <v>128</v>
      </c>
    </row>
    <row r="49" spans="1:1" x14ac:dyDescent="0.25">
      <c r="A49" s="11" t="s">
        <v>129</v>
      </c>
    </row>
    <row r="50" spans="1:1" x14ac:dyDescent="0.25">
      <c r="A50" s="11" t="s">
        <v>233</v>
      </c>
    </row>
    <row r="51" spans="1:1" x14ac:dyDescent="0.25">
      <c r="A51" s="11" t="s">
        <v>209</v>
      </c>
    </row>
    <row r="52" spans="1:1" x14ac:dyDescent="0.25">
      <c r="A52" s="11" t="s">
        <v>210</v>
      </c>
    </row>
    <row r="53" spans="1:1" x14ac:dyDescent="0.25">
      <c r="A53" s="11" t="s">
        <v>211</v>
      </c>
    </row>
    <row r="54" spans="1:1" x14ac:dyDescent="0.25">
      <c r="A54" s="11" t="s">
        <v>212</v>
      </c>
    </row>
    <row r="55" spans="1:1" x14ac:dyDescent="0.25">
      <c r="A55" s="11" t="s">
        <v>213</v>
      </c>
    </row>
    <row r="56" spans="1:1" x14ac:dyDescent="0.25">
      <c r="A56" s="11" t="s">
        <v>214</v>
      </c>
    </row>
    <row r="57" spans="1:1" x14ac:dyDescent="0.25">
      <c r="A57" s="11" t="s">
        <v>215</v>
      </c>
    </row>
    <row r="58" spans="1:1" x14ac:dyDescent="0.25">
      <c r="A58" s="11" t="s">
        <v>216</v>
      </c>
    </row>
    <row r="59" spans="1:1" x14ac:dyDescent="0.25">
      <c r="A59" s="11" t="s">
        <v>217</v>
      </c>
    </row>
    <row r="60" spans="1:1" x14ac:dyDescent="0.25">
      <c r="A60" s="11" t="s">
        <v>218</v>
      </c>
    </row>
    <row r="61" spans="1:1" x14ac:dyDescent="0.25">
      <c r="A61" s="11" t="s">
        <v>219</v>
      </c>
    </row>
    <row r="62" spans="1:1" x14ac:dyDescent="0.25">
      <c r="A62" s="11" t="s">
        <v>220</v>
      </c>
    </row>
    <row r="63" spans="1:1" x14ac:dyDescent="0.25">
      <c r="A63" s="11" t="s">
        <v>221</v>
      </c>
    </row>
    <row r="64" spans="1:1" x14ac:dyDescent="0.25">
      <c r="A64" s="11" t="s">
        <v>222</v>
      </c>
    </row>
    <row r="65" spans="1:1" x14ac:dyDescent="0.25">
      <c r="A65" s="11" t="s">
        <v>223</v>
      </c>
    </row>
    <row r="66" spans="1:1" x14ac:dyDescent="0.25">
      <c r="A66" s="10" t="s">
        <v>224</v>
      </c>
    </row>
    <row r="67" spans="1:1" x14ac:dyDescent="0.25">
      <c r="A67" s="10" t="s">
        <v>225</v>
      </c>
    </row>
    <row r="68" spans="1:1" x14ac:dyDescent="0.25">
      <c r="A68" s="10" t="s">
        <v>226</v>
      </c>
    </row>
    <row r="69" spans="1:1" x14ac:dyDescent="0.25">
      <c r="A69" s="10" t="s">
        <v>227</v>
      </c>
    </row>
    <row r="70" spans="1:1" x14ac:dyDescent="0.25">
      <c r="A70" s="10" t="s">
        <v>228</v>
      </c>
    </row>
    <row r="71" spans="1:1" x14ac:dyDescent="0.25">
      <c r="A71" s="10" t="s">
        <v>229</v>
      </c>
    </row>
    <row r="72" spans="1:1" x14ac:dyDescent="0.25">
      <c r="A72" s="10" t="s">
        <v>230</v>
      </c>
    </row>
    <row r="73" spans="1:1" x14ac:dyDescent="0.25">
      <c r="A73" s="10" t="s">
        <v>231</v>
      </c>
    </row>
    <row r="74" spans="1:1" x14ac:dyDescent="0.25">
      <c r="A74" s="10" t="s">
        <v>232</v>
      </c>
    </row>
    <row r="75" spans="1:1" x14ac:dyDescent="0.25">
      <c r="A75" s="10" t="s">
        <v>236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dimension ref="A1:L87"/>
  <sheetViews>
    <sheetView zoomScale="60" zoomScaleNormal="60" workbookViewId="0">
      <selection activeCell="E21" sqref="E21"/>
    </sheetView>
  </sheetViews>
  <sheetFormatPr defaultRowHeight="15" x14ac:dyDescent="0.25"/>
  <cols>
    <col min="1" max="1" width="49.28515625" style="13" bestFit="1" customWidth="1"/>
    <col min="2" max="3" width="9.140625" style="13"/>
    <col min="4" max="4" width="49.28515625" style="13" bestFit="1" customWidth="1"/>
    <col min="5" max="5" width="9.140625" style="13"/>
    <col min="6" max="6" width="45" style="13" bestFit="1" customWidth="1"/>
    <col min="7" max="16384" width="9.140625" style="13"/>
  </cols>
  <sheetData>
    <row r="1" spans="1:6" x14ac:dyDescent="0.25">
      <c r="A1" s="13" t="s">
        <v>130</v>
      </c>
      <c r="B1" s="13" t="s">
        <v>131</v>
      </c>
      <c r="D1" s="13" t="s">
        <v>379</v>
      </c>
      <c r="F1" s="13" t="s">
        <v>424</v>
      </c>
    </row>
    <row r="2" spans="1:6" x14ac:dyDescent="0.25">
      <c r="A2" s="11" t="s">
        <v>238</v>
      </c>
      <c r="B2" s="13">
        <v>2</v>
      </c>
      <c r="D2" s="10" t="s">
        <v>305</v>
      </c>
      <c r="F2" s="10" t="s">
        <v>425</v>
      </c>
    </row>
    <row r="3" spans="1:6" x14ac:dyDescent="0.25">
      <c r="A3" s="11" t="s">
        <v>239</v>
      </c>
      <c r="B3" s="13">
        <v>1</v>
      </c>
      <c r="D3" s="10" t="s">
        <v>306</v>
      </c>
      <c r="F3" s="10" t="s">
        <v>426</v>
      </c>
    </row>
    <row r="4" spans="1:6" x14ac:dyDescent="0.25">
      <c r="A4" s="11" t="s">
        <v>240</v>
      </c>
      <c r="B4" s="13">
        <v>1</v>
      </c>
      <c r="D4" s="10" t="s">
        <v>307</v>
      </c>
      <c r="F4" s="10" t="s">
        <v>239</v>
      </c>
    </row>
    <row r="5" spans="1:6" x14ac:dyDescent="0.25">
      <c r="A5" s="11" t="s">
        <v>241</v>
      </c>
      <c r="B5" s="13">
        <v>1</v>
      </c>
      <c r="D5" s="10" t="s">
        <v>308</v>
      </c>
      <c r="F5" s="10" t="s">
        <v>240</v>
      </c>
    </row>
    <row r="6" spans="1:6" x14ac:dyDescent="0.25">
      <c r="A6" s="11" t="s">
        <v>242</v>
      </c>
      <c r="B6" s="13">
        <v>4</v>
      </c>
      <c r="D6" s="10" t="s">
        <v>309</v>
      </c>
      <c r="F6" s="10" t="s">
        <v>241</v>
      </c>
    </row>
    <row r="7" spans="1:6" x14ac:dyDescent="0.25">
      <c r="A7" s="11" t="s">
        <v>243</v>
      </c>
      <c r="B7" s="13">
        <v>1</v>
      </c>
      <c r="D7" s="10" t="s">
        <v>310</v>
      </c>
      <c r="F7" s="10" t="s">
        <v>427</v>
      </c>
    </row>
    <row r="8" spans="1:6" x14ac:dyDescent="0.25">
      <c r="A8" s="11" t="s">
        <v>244</v>
      </c>
      <c r="B8" s="13">
        <v>1</v>
      </c>
      <c r="D8" s="10" t="s">
        <v>311</v>
      </c>
      <c r="F8" s="10" t="s">
        <v>428</v>
      </c>
    </row>
    <row r="9" spans="1:6" x14ac:dyDescent="0.25">
      <c r="A9" s="11" t="s">
        <v>245</v>
      </c>
      <c r="B9" s="13">
        <v>1</v>
      </c>
      <c r="D9" s="10" t="s">
        <v>312</v>
      </c>
      <c r="F9" s="10" t="s">
        <v>429</v>
      </c>
    </row>
    <row r="10" spans="1:6" x14ac:dyDescent="0.25">
      <c r="A10" s="11" t="s">
        <v>246</v>
      </c>
      <c r="B10" s="13">
        <v>1</v>
      </c>
      <c r="D10" s="10" t="s">
        <v>313</v>
      </c>
      <c r="F10" s="10" t="s">
        <v>430</v>
      </c>
    </row>
    <row r="11" spans="1:6" x14ac:dyDescent="0.25">
      <c r="A11" s="11" t="s">
        <v>247</v>
      </c>
      <c r="B11" s="13">
        <v>1</v>
      </c>
      <c r="D11" s="10" t="s">
        <v>314</v>
      </c>
      <c r="F11" s="10" t="s">
        <v>243</v>
      </c>
    </row>
    <row r="12" spans="1:6" x14ac:dyDescent="0.25">
      <c r="A12" s="11" t="s">
        <v>248</v>
      </c>
      <c r="B12" s="13">
        <v>1</v>
      </c>
      <c r="D12" s="10" t="s">
        <v>315</v>
      </c>
      <c r="F12" s="10" t="s">
        <v>244</v>
      </c>
    </row>
    <row r="13" spans="1:6" x14ac:dyDescent="0.25">
      <c r="A13" s="11" t="s">
        <v>249</v>
      </c>
      <c r="B13" s="13">
        <v>2</v>
      </c>
      <c r="D13" s="10" t="s">
        <v>316</v>
      </c>
      <c r="F13" s="10" t="s">
        <v>245</v>
      </c>
    </row>
    <row r="14" spans="1:6" x14ac:dyDescent="0.25">
      <c r="A14" s="11" t="s">
        <v>250</v>
      </c>
      <c r="B14" s="13">
        <v>1</v>
      </c>
      <c r="D14" s="10" t="s">
        <v>317</v>
      </c>
      <c r="F14" s="10" t="s">
        <v>246</v>
      </c>
    </row>
    <row r="15" spans="1:6" x14ac:dyDescent="0.25">
      <c r="A15" s="11" t="s">
        <v>251</v>
      </c>
      <c r="B15" s="13">
        <v>1</v>
      </c>
      <c r="D15" s="10" t="s">
        <v>318</v>
      </c>
      <c r="F15" s="10" t="s">
        <v>247</v>
      </c>
    </row>
    <row r="16" spans="1:6" x14ac:dyDescent="0.25">
      <c r="A16" s="11" t="s">
        <v>252</v>
      </c>
      <c r="B16" s="13">
        <v>1</v>
      </c>
      <c r="D16" s="10" t="s">
        <v>319</v>
      </c>
      <c r="F16" s="10" t="s">
        <v>248</v>
      </c>
    </row>
    <row r="17" spans="1:6" x14ac:dyDescent="0.25">
      <c r="A17" s="11" t="s">
        <v>253</v>
      </c>
      <c r="B17" s="13">
        <v>1</v>
      </c>
      <c r="D17" s="10" t="s">
        <v>320</v>
      </c>
      <c r="F17" s="10" t="s">
        <v>431</v>
      </c>
    </row>
    <row r="18" spans="1:6" x14ac:dyDescent="0.25">
      <c r="A18" s="11" t="s">
        <v>254</v>
      </c>
      <c r="B18" s="13">
        <v>1</v>
      </c>
      <c r="D18" s="10" t="s">
        <v>321</v>
      </c>
      <c r="F18" s="10" t="s">
        <v>432</v>
      </c>
    </row>
    <row r="19" spans="1:6" x14ac:dyDescent="0.25">
      <c r="A19" s="11" t="s">
        <v>255</v>
      </c>
      <c r="B19" s="13">
        <v>1</v>
      </c>
      <c r="D19" s="10" t="s">
        <v>322</v>
      </c>
      <c r="F19" s="10" t="s">
        <v>250</v>
      </c>
    </row>
    <row r="20" spans="1:6" x14ac:dyDescent="0.25">
      <c r="A20" s="11" t="s">
        <v>256</v>
      </c>
      <c r="B20" s="13">
        <v>1</v>
      </c>
      <c r="D20" s="10" t="s">
        <v>323</v>
      </c>
      <c r="F20" s="10" t="s">
        <v>251</v>
      </c>
    </row>
    <row r="21" spans="1:6" x14ac:dyDescent="0.25">
      <c r="A21" s="11" t="s">
        <v>257</v>
      </c>
      <c r="B21" s="13">
        <v>1</v>
      </c>
      <c r="D21" s="10" t="s">
        <v>324</v>
      </c>
      <c r="F21" s="71" t="s">
        <v>433</v>
      </c>
    </row>
    <row r="22" spans="1:6" x14ac:dyDescent="0.25">
      <c r="A22" s="11" t="s">
        <v>258</v>
      </c>
      <c r="B22" s="13">
        <v>3</v>
      </c>
      <c r="D22" s="10" t="s">
        <v>325</v>
      </c>
      <c r="F22" s="10" t="s">
        <v>253</v>
      </c>
    </row>
    <row r="23" spans="1:6" x14ac:dyDescent="0.25">
      <c r="A23" s="11" t="s">
        <v>259</v>
      </c>
      <c r="B23" s="13">
        <v>1</v>
      </c>
      <c r="D23" s="10" t="s">
        <v>326</v>
      </c>
      <c r="F23" s="10" t="s">
        <v>254</v>
      </c>
    </row>
    <row r="24" spans="1:6" x14ac:dyDescent="0.25">
      <c r="A24" s="11" t="s">
        <v>260</v>
      </c>
      <c r="B24" s="13">
        <v>1</v>
      </c>
      <c r="D24" s="10" t="s">
        <v>327</v>
      </c>
      <c r="F24" s="10" t="s">
        <v>255</v>
      </c>
    </row>
    <row r="25" spans="1:6" x14ac:dyDescent="0.25">
      <c r="A25" s="11" t="s">
        <v>261</v>
      </c>
      <c r="B25" s="13">
        <v>1</v>
      </c>
      <c r="D25" s="10" t="s">
        <v>328</v>
      </c>
      <c r="F25" s="10" t="s">
        <v>256</v>
      </c>
    </row>
    <row r="26" spans="1:6" x14ac:dyDescent="0.25">
      <c r="A26" s="11" t="s">
        <v>262</v>
      </c>
      <c r="B26" s="13">
        <v>1</v>
      </c>
      <c r="D26" s="10" t="s">
        <v>329</v>
      </c>
      <c r="F26" s="10" t="s">
        <v>257</v>
      </c>
    </row>
    <row r="27" spans="1:6" x14ac:dyDescent="0.25">
      <c r="A27" s="11" t="s">
        <v>263</v>
      </c>
      <c r="B27" s="13">
        <v>1</v>
      </c>
      <c r="D27" s="10" t="s">
        <v>330</v>
      </c>
      <c r="F27" s="10" t="s">
        <v>434</v>
      </c>
    </row>
    <row r="28" spans="1:6" x14ac:dyDescent="0.25">
      <c r="A28" s="11" t="s">
        <v>264</v>
      </c>
      <c r="B28" s="13">
        <v>1</v>
      </c>
      <c r="D28" s="10" t="s">
        <v>331</v>
      </c>
      <c r="F28" s="10" t="s">
        <v>435</v>
      </c>
    </row>
    <row r="29" spans="1:6" x14ac:dyDescent="0.25">
      <c r="A29" s="11" t="s">
        <v>265</v>
      </c>
      <c r="B29" s="13">
        <v>1</v>
      </c>
      <c r="D29" s="10" t="s">
        <v>332</v>
      </c>
      <c r="F29" s="10" t="s">
        <v>436</v>
      </c>
    </row>
    <row r="30" spans="1:6" x14ac:dyDescent="0.25">
      <c r="A30" s="11" t="s">
        <v>266</v>
      </c>
      <c r="B30" s="13">
        <v>1</v>
      </c>
      <c r="D30" s="10" t="s">
        <v>333</v>
      </c>
      <c r="F30" s="10" t="s">
        <v>259</v>
      </c>
    </row>
    <row r="31" spans="1:6" x14ac:dyDescent="0.25">
      <c r="A31" s="11" t="s">
        <v>267</v>
      </c>
      <c r="B31" s="13">
        <v>1</v>
      </c>
      <c r="D31" s="10" t="s">
        <v>334</v>
      </c>
      <c r="F31" s="10" t="s">
        <v>260</v>
      </c>
    </row>
    <row r="32" spans="1:6" x14ac:dyDescent="0.25">
      <c r="A32" s="11" t="s">
        <v>268</v>
      </c>
      <c r="B32" s="13">
        <v>1</v>
      </c>
      <c r="D32" s="10" t="s">
        <v>335</v>
      </c>
      <c r="F32" s="10" t="s">
        <v>261</v>
      </c>
    </row>
    <row r="33" spans="1:6" x14ac:dyDescent="0.25">
      <c r="A33" s="11" t="s">
        <v>269</v>
      </c>
      <c r="B33" s="13">
        <v>1</v>
      </c>
      <c r="D33" s="10" t="s">
        <v>336</v>
      </c>
      <c r="F33" s="10" t="s">
        <v>262</v>
      </c>
    </row>
    <row r="34" spans="1:6" x14ac:dyDescent="0.25">
      <c r="A34" s="11" t="s">
        <v>270</v>
      </c>
      <c r="B34" s="13">
        <v>1</v>
      </c>
      <c r="D34" s="10" t="s">
        <v>337</v>
      </c>
      <c r="F34" s="10" t="s">
        <v>263</v>
      </c>
    </row>
    <row r="35" spans="1:6" x14ac:dyDescent="0.25">
      <c r="A35" s="11" t="s">
        <v>271</v>
      </c>
      <c r="B35" s="13">
        <v>1</v>
      </c>
      <c r="D35" s="10" t="s">
        <v>338</v>
      </c>
      <c r="F35" s="10" t="s">
        <v>264</v>
      </c>
    </row>
    <row r="36" spans="1:6" x14ac:dyDescent="0.25">
      <c r="A36" s="11" t="s">
        <v>272</v>
      </c>
      <c r="B36" s="13">
        <v>1</v>
      </c>
      <c r="D36" s="10" t="s">
        <v>339</v>
      </c>
      <c r="F36" s="10" t="s">
        <v>265</v>
      </c>
    </row>
    <row r="37" spans="1:6" x14ac:dyDescent="0.25">
      <c r="A37" s="11" t="s">
        <v>273</v>
      </c>
      <c r="B37" s="13">
        <v>1</v>
      </c>
      <c r="D37" s="10" t="s">
        <v>340</v>
      </c>
      <c r="F37" s="10" t="s">
        <v>266</v>
      </c>
    </row>
    <row r="38" spans="1:6" x14ac:dyDescent="0.25">
      <c r="A38" s="11" t="s">
        <v>274</v>
      </c>
      <c r="B38" s="13">
        <v>2</v>
      </c>
      <c r="D38" s="10" t="s">
        <v>341</v>
      </c>
      <c r="F38" s="10" t="s">
        <v>267</v>
      </c>
    </row>
    <row r="39" spans="1:6" x14ac:dyDescent="0.25">
      <c r="A39" s="11" t="s">
        <v>275</v>
      </c>
      <c r="B39" s="13">
        <v>1</v>
      </c>
      <c r="D39" s="10" t="s">
        <v>342</v>
      </c>
      <c r="F39" s="10" t="s">
        <v>268</v>
      </c>
    </row>
    <row r="40" spans="1:6" x14ac:dyDescent="0.25">
      <c r="A40" s="11" t="s">
        <v>276</v>
      </c>
      <c r="B40" s="13">
        <v>1</v>
      </c>
      <c r="D40" s="10" t="s">
        <v>343</v>
      </c>
      <c r="F40" s="10" t="s">
        <v>269</v>
      </c>
    </row>
    <row r="41" spans="1:6" x14ac:dyDescent="0.25">
      <c r="A41" s="11" t="s">
        <v>277</v>
      </c>
      <c r="B41" s="13">
        <v>1</v>
      </c>
      <c r="D41" s="10" t="s">
        <v>344</v>
      </c>
      <c r="F41" s="10" t="s">
        <v>270</v>
      </c>
    </row>
    <row r="42" spans="1:6" x14ac:dyDescent="0.25">
      <c r="A42" s="11" t="s">
        <v>278</v>
      </c>
      <c r="B42" s="13">
        <v>1</v>
      </c>
      <c r="D42" s="10" t="s">
        <v>345</v>
      </c>
      <c r="F42" s="10" t="s">
        <v>271</v>
      </c>
    </row>
    <row r="43" spans="1:6" x14ac:dyDescent="0.25">
      <c r="A43" s="11" t="s">
        <v>41</v>
      </c>
      <c r="B43" s="13">
        <v>2</v>
      </c>
      <c r="D43" s="10" t="s">
        <v>346</v>
      </c>
      <c r="F43" s="10" t="s">
        <v>272</v>
      </c>
    </row>
    <row r="44" spans="1:6" x14ac:dyDescent="0.25">
      <c r="A44" s="11" t="s">
        <v>279</v>
      </c>
      <c r="B44" s="13">
        <v>2</v>
      </c>
      <c r="D44" s="10" t="s">
        <v>347</v>
      </c>
      <c r="F44" s="10" t="s">
        <v>273</v>
      </c>
    </row>
    <row r="45" spans="1:6" x14ac:dyDescent="0.25">
      <c r="A45" s="11" t="s">
        <v>280</v>
      </c>
      <c r="B45" s="13">
        <v>1</v>
      </c>
      <c r="D45" s="10" t="s">
        <v>348</v>
      </c>
      <c r="F45" s="10" t="s">
        <v>437</v>
      </c>
    </row>
    <row r="46" spans="1:6" x14ac:dyDescent="0.25">
      <c r="A46" s="11" t="s">
        <v>281</v>
      </c>
      <c r="B46" s="13">
        <v>1</v>
      </c>
      <c r="D46" s="10" t="s">
        <v>349</v>
      </c>
      <c r="F46" s="10" t="s">
        <v>438</v>
      </c>
    </row>
    <row r="47" spans="1:6" x14ac:dyDescent="0.25">
      <c r="A47" s="11" t="s">
        <v>282</v>
      </c>
      <c r="B47" s="13">
        <v>1</v>
      </c>
      <c r="D47" s="10" t="s">
        <v>350</v>
      </c>
      <c r="F47" s="10" t="s">
        <v>275</v>
      </c>
    </row>
    <row r="48" spans="1:6" x14ac:dyDescent="0.25">
      <c r="A48" s="11" t="s">
        <v>283</v>
      </c>
      <c r="B48" s="13">
        <v>1</v>
      </c>
      <c r="D48" s="10" t="s">
        <v>351</v>
      </c>
      <c r="F48" s="10" t="s">
        <v>276</v>
      </c>
    </row>
    <row r="49" spans="1:6" x14ac:dyDescent="0.25">
      <c r="A49" s="11" t="s">
        <v>284</v>
      </c>
      <c r="B49" s="13">
        <v>1</v>
      </c>
      <c r="D49" s="10" t="s">
        <v>352</v>
      </c>
      <c r="F49" s="10" t="s">
        <v>277</v>
      </c>
    </row>
    <row r="50" spans="1:6" x14ac:dyDescent="0.25">
      <c r="A50" s="11" t="s">
        <v>52</v>
      </c>
      <c r="B50" s="13">
        <v>2</v>
      </c>
      <c r="D50" s="10" t="s">
        <v>353</v>
      </c>
      <c r="F50" s="10" t="s">
        <v>278</v>
      </c>
    </row>
    <row r="51" spans="1:6" x14ac:dyDescent="0.25">
      <c r="A51" s="11" t="s">
        <v>285</v>
      </c>
      <c r="B51" s="13">
        <v>1</v>
      </c>
      <c r="D51" s="10" t="s">
        <v>354</v>
      </c>
      <c r="F51" s="10" t="s">
        <v>439</v>
      </c>
    </row>
    <row r="52" spans="1:6" x14ac:dyDescent="0.25">
      <c r="A52" s="11" t="s">
        <v>286</v>
      </c>
      <c r="B52" s="13">
        <v>1</v>
      </c>
      <c r="D52" s="10" t="s">
        <v>355</v>
      </c>
      <c r="F52" s="10" t="s">
        <v>440</v>
      </c>
    </row>
    <row r="53" spans="1:6" x14ac:dyDescent="0.25">
      <c r="A53" s="11" t="s">
        <v>287</v>
      </c>
      <c r="B53" s="13">
        <v>1</v>
      </c>
      <c r="D53" s="10" t="s">
        <v>356</v>
      </c>
      <c r="F53" s="10" t="s">
        <v>441</v>
      </c>
    </row>
    <row r="54" spans="1:6" x14ac:dyDescent="0.25">
      <c r="A54" s="11" t="s">
        <v>288</v>
      </c>
      <c r="B54" s="13">
        <v>1</v>
      </c>
      <c r="D54" s="10" t="s">
        <v>357</v>
      </c>
      <c r="F54" s="10" t="s">
        <v>442</v>
      </c>
    </row>
    <row r="55" spans="1:6" x14ac:dyDescent="0.25">
      <c r="A55" s="11" t="s">
        <v>289</v>
      </c>
      <c r="B55" s="13">
        <v>1</v>
      </c>
      <c r="D55" s="10" t="s">
        <v>358</v>
      </c>
      <c r="F55" s="10" t="s">
        <v>280</v>
      </c>
    </row>
    <row r="56" spans="1:6" x14ac:dyDescent="0.25">
      <c r="A56" s="11" t="s">
        <v>290</v>
      </c>
      <c r="B56" s="13">
        <v>1</v>
      </c>
      <c r="D56" s="10" t="s">
        <v>359</v>
      </c>
      <c r="F56" s="10" t="s">
        <v>281</v>
      </c>
    </row>
    <row r="57" spans="1:6" x14ac:dyDescent="0.25">
      <c r="A57" s="11" t="s">
        <v>291</v>
      </c>
      <c r="B57" s="13">
        <v>1</v>
      </c>
      <c r="D57" s="10" t="s">
        <v>360</v>
      </c>
      <c r="F57" s="10" t="s">
        <v>282</v>
      </c>
    </row>
    <row r="58" spans="1:6" x14ac:dyDescent="0.25">
      <c r="A58" s="11" t="s">
        <v>56</v>
      </c>
      <c r="B58" s="13">
        <v>1</v>
      </c>
      <c r="D58" s="10" t="s">
        <v>361</v>
      </c>
      <c r="F58" s="10" t="s">
        <v>283</v>
      </c>
    </row>
    <row r="59" spans="1:6" x14ac:dyDescent="0.25">
      <c r="A59" s="11" t="s">
        <v>292</v>
      </c>
      <c r="B59" s="13">
        <v>1</v>
      </c>
      <c r="D59" s="10" t="s">
        <v>362</v>
      </c>
      <c r="F59" s="10" t="s">
        <v>284</v>
      </c>
    </row>
    <row r="60" spans="1:6" x14ac:dyDescent="0.25">
      <c r="A60" s="11" t="s">
        <v>293</v>
      </c>
      <c r="B60" s="13">
        <v>1</v>
      </c>
      <c r="D60" s="10" t="s">
        <v>363</v>
      </c>
      <c r="F60" s="10" t="s">
        <v>443</v>
      </c>
    </row>
    <row r="61" spans="1:6" x14ac:dyDescent="0.25">
      <c r="A61" s="11" t="s">
        <v>59</v>
      </c>
      <c r="B61" s="13">
        <v>1</v>
      </c>
      <c r="D61" s="10" t="s">
        <v>364</v>
      </c>
      <c r="F61" s="10" t="s">
        <v>444</v>
      </c>
    </row>
    <row r="62" spans="1:6" x14ac:dyDescent="0.25">
      <c r="A62" s="11" t="s">
        <v>60</v>
      </c>
      <c r="B62" s="13">
        <v>1</v>
      </c>
      <c r="D62" s="10" t="s">
        <v>365</v>
      </c>
      <c r="F62" s="10" t="s">
        <v>285</v>
      </c>
    </row>
    <row r="63" spans="1:6" x14ac:dyDescent="0.25">
      <c r="A63" s="11" t="s">
        <v>61</v>
      </c>
      <c r="B63" s="13">
        <v>1</v>
      </c>
      <c r="D63" s="10" t="s">
        <v>366</v>
      </c>
      <c r="F63" s="10" t="s">
        <v>286</v>
      </c>
    </row>
    <row r="64" spans="1:6" x14ac:dyDescent="0.25">
      <c r="A64" s="11" t="s">
        <v>62</v>
      </c>
      <c r="B64" s="13">
        <v>1</v>
      </c>
      <c r="D64" s="10" t="s">
        <v>367</v>
      </c>
      <c r="F64" s="10" t="s">
        <v>287</v>
      </c>
    </row>
    <row r="65" spans="1:12" x14ac:dyDescent="0.25">
      <c r="A65" s="11" t="s">
        <v>294</v>
      </c>
      <c r="B65" s="13">
        <v>1</v>
      </c>
      <c r="D65" s="10" t="s">
        <v>368</v>
      </c>
      <c r="F65" s="10" t="s">
        <v>288</v>
      </c>
    </row>
    <row r="66" spans="1:12" x14ac:dyDescent="0.25">
      <c r="A66" s="10" t="s">
        <v>295</v>
      </c>
      <c r="B66" s="13">
        <v>1</v>
      </c>
      <c r="D66" s="10" t="s">
        <v>369</v>
      </c>
      <c r="F66" s="10" t="s">
        <v>289</v>
      </c>
    </row>
    <row r="67" spans="1:12" x14ac:dyDescent="0.25">
      <c r="A67" s="10" t="s">
        <v>296</v>
      </c>
      <c r="B67" s="13">
        <v>1</v>
      </c>
      <c r="D67" s="10" t="s">
        <v>370</v>
      </c>
      <c r="F67" s="10" t="s">
        <v>290</v>
      </c>
    </row>
    <row r="68" spans="1:12" x14ac:dyDescent="0.25">
      <c r="A68" s="10" t="s">
        <v>297</v>
      </c>
      <c r="B68" s="13">
        <v>1</v>
      </c>
      <c r="D68" s="10" t="s">
        <v>371</v>
      </c>
      <c r="F68" s="10" t="s">
        <v>291</v>
      </c>
    </row>
    <row r="69" spans="1:12" x14ac:dyDescent="0.25">
      <c r="A69" s="10" t="s">
        <v>298</v>
      </c>
      <c r="B69" s="13">
        <v>1</v>
      </c>
      <c r="D69" s="10" t="s">
        <v>372</v>
      </c>
      <c r="F69" s="10" t="s">
        <v>56</v>
      </c>
    </row>
    <row r="70" spans="1:12" x14ac:dyDescent="0.25">
      <c r="A70" s="10" t="s">
        <v>299</v>
      </c>
      <c r="B70" s="13">
        <v>1</v>
      </c>
      <c r="D70" s="10" t="s">
        <v>373</v>
      </c>
      <c r="F70" s="10" t="s">
        <v>292</v>
      </c>
    </row>
    <row r="71" spans="1:12" x14ac:dyDescent="0.25">
      <c r="A71" s="10" t="s">
        <v>300</v>
      </c>
      <c r="B71" s="13">
        <v>1</v>
      </c>
      <c r="D71" s="10" t="s">
        <v>374</v>
      </c>
      <c r="F71" s="10" t="s">
        <v>293</v>
      </c>
    </row>
    <row r="72" spans="1:12" x14ac:dyDescent="0.25">
      <c r="A72" s="10" t="s">
        <v>301</v>
      </c>
      <c r="B72" s="13">
        <v>2</v>
      </c>
      <c r="D72" s="10" t="s">
        <v>375</v>
      </c>
      <c r="F72" s="10" t="s">
        <v>59</v>
      </c>
    </row>
    <row r="73" spans="1:12" x14ac:dyDescent="0.25">
      <c r="A73" s="10" t="s">
        <v>302</v>
      </c>
      <c r="B73" s="13">
        <v>1</v>
      </c>
      <c r="D73" s="10" t="s">
        <v>376</v>
      </c>
      <c r="F73" s="10" t="s">
        <v>60</v>
      </c>
      <c r="G73" s="3"/>
      <c r="H73" s="3"/>
      <c r="I73" s="3"/>
      <c r="J73" s="3"/>
      <c r="K73" s="3"/>
      <c r="L73" s="3"/>
    </row>
    <row r="74" spans="1:12" x14ac:dyDescent="0.25">
      <c r="A74" s="10" t="s">
        <v>303</v>
      </c>
      <c r="B74" s="13">
        <v>1</v>
      </c>
      <c r="D74" s="10" t="s">
        <v>377</v>
      </c>
      <c r="F74" s="10" t="s">
        <v>61</v>
      </c>
    </row>
    <row r="75" spans="1:12" x14ac:dyDescent="0.25">
      <c r="A75" s="10" t="s">
        <v>304</v>
      </c>
      <c r="B75" s="13">
        <v>1</v>
      </c>
      <c r="D75" s="10" t="s">
        <v>378</v>
      </c>
      <c r="F75" s="10" t="s">
        <v>62</v>
      </c>
    </row>
    <row r="76" spans="1:12" x14ac:dyDescent="0.25">
      <c r="D76" s="11"/>
      <c r="F76" s="10" t="s">
        <v>294</v>
      </c>
    </row>
    <row r="77" spans="1:12" x14ac:dyDescent="0.25">
      <c r="D77" s="10"/>
      <c r="F77" s="10" t="s">
        <v>295</v>
      </c>
    </row>
    <row r="78" spans="1:12" x14ac:dyDescent="0.25">
      <c r="D78" s="10"/>
      <c r="F78" s="10" t="s">
        <v>296</v>
      </c>
    </row>
    <row r="79" spans="1:12" x14ac:dyDescent="0.25">
      <c r="D79" s="10"/>
      <c r="F79" s="10" t="s">
        <v>297</v>
      </c>
    </row>
    <row r="80" spans="1:12" x14ac:dyDescent="0.25">
      <c r="D80" s="10"/>
      <c r="F80" s="10" t="s">
        <v>298</v>
      </c>
    </row>
    <row r="81" spans="4:6" x14ac:dyDescent="0.25">
      <c r="D81" s="10"/>
      <c r="F81" s="10" t="s">
        <v>299</v>
      </c>
    </row>
    <row r="82" spans="4:6" x14ac:dyDescent="0.25">
      <c r="D82" s="10"/>
      <c r="F82" s="10" t="s">
        <v>300</v>
      </c>
    </row>
    <row r="83" spans="4:6" x14ac:dyDescent="0.25">
      <c r="D83" s="10"/>
      <c r="F83" s="10" t="s">
        <v>445</v>
      </c>
    </row>
    <row r="84" spans="4:6" x14ac:dyDescent="0.25">
      <c r="D84" s="10"/>
      <c r="F84" s="10" t="s">
        <v>446</v>
      </c>
    </row>
    <row r="85" spans="4:6" x14ac:dyDescent="0.25">
      <c r="D85" s="10"/>
      <c r="F85" s="10" t="s">
        <v>302</v>
      </c>
    </row>
    <row r="86" spans="4:6" x14ac:dyDescent="0.25">
      <c r="D86" s="10"/>
      <c r="F86" s="10" t="s">
        <v>303</v>
      </c>
    </row>
    <row r="87" spans="4:6" x14ac:dyDescent="0.25">
      <c r="F87" s="10" t="s">
        <v>304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dimension ref="A1:CI109"/>
  <sheetViews>
    <sheetView zoomScale="85" zoomScaleNormal="85" workbookViewId="0">
      <selection activeCell="A2" sqref="A2:A109"/>
    </sheetView>
  </sheetViews>
  <sheetFormatPr defaultRowHeight="15" x14ac:dyDescent="0.25"/>
  <cols>
    <col min="1" max="1" width="10" style="12" customWidth="1"/>
    <col min="2" max="3" width="24.85546875" style="12" bestFit="1" customWidth="1"/>
    <col min="4" max="4" width="20.85546875" style="12" bestFit="1" customWidth="1"/>
    <col min="5" max="5" width="18.85546875" style="12" bestFit="1" customWidth="1"/>
    <col min="6" max="6" width="26.85546875" style="12" bestFit="1" customWidth="1"/>
    <col min="7" max="10" width="20.7109375" style="12" bestFit="1" customWidth="1"/>
    <col min="11" max="11" width="33.7109375" style="12" bestFit="1" customWidth="1"/>
    <col min="12" max="12" width="12.28515625" style="12" bestFit="1" customWidth="1"/>
    <col min="13" max="13" width="20.42578125" style="12" bestFit="1" customWidth="1"/>
    <col min="14" max="14" width="29" style="12" bestFit="1" customWidth="1"/>
    <col min="15" max="15" width="20" style="12" bestFit="1" customWidth="1"/>
    <col min="16" max="16" width="17.85546875" style="12" bestFit="1" customWidth="1"/>
    <col min="17" max="18" width="20.85546875" style="12" bestFit="1" customWidth="1"/>
    <col min="19" max="19" width="12.28515625" style="12" bestFit="1" customWidth="1"/>
    <col min="20" max="20" width="22.7109375" style="12" bestFit="1" customWidth="1"/>
    <col min="21" max="21" width="21.85546875" style="12" bestFit="1" customWidth="1"/>
    <col min="22" max="22" width="26" style="12" bestFit="1" customWidth="1"/>
    <col min="23" max="23" width="26.5703125" style="12" bestFit="1" customWidth="1"/>
    <col min="24" max="24" width="12.28515625" style="12" bestFit="1" customWidth="1"/>
    <col min="25" max="25" width="15.5703125" style="12" bestFit="1" customWidth="1"/>
    <col min="26" max="26" width="17.140625" style="12" bestFit="1" customWidth="1"/>
    <col min="27" max="29" width="25.28515625" style="12" bestFit="1" customWidth="1"/>
    <col min="30" max="30" width="20.85546875" style="12" bestFit="1" customWidth="1"/>
    <col min="31" max="31" width="28.85546875" style="12" bestFit="1" customWidth="1"/>
    <col min="32" max="32" width="22" style="12" bestFit="1" customWidth="1"/>
    <col min="33" max="33" width="22.7109375" style="12" bestFit="1" customWidth="1"/>
    <col min="34" max="34" width="24.140625" style="12" bestFit="1" customWidth="1"/>
    <col min="35" max="35" width="18.28515625" style="12" bestFit="1" customWidth="1"/>
    <col min="36" max="36" width="16.7109375" style="12" bestFit="1" customWidth="1"/>
    <col min="37" max="37" width="21.140625" style="12" bestFit="1" customWidth="1"/>
    <col min="38" max="38" width="30" style="12" bestFit="1" customWidth="1"/>
    <col min="39" max="39" width="50.28515625" style="12" bestFit="1" customWidth="1"/>
    <col min="40" max="40" width="26.85546875" style="12" bestFit="1" customWidth="1"/>
    <col min="41" max="41" width="30.7109375" style="12" bestFit="1" customWidth="1"/>
    <col min="42" max="42" width="26.85546875" style="12" bestFit="1" customWidth="1"/>
    <col min="43" max="43" width="30.5703125" style="12" bestFit="1" customWidth="1"/>
    <col min="44" max="44" width="15.140625" style="12" bestFit="1" customWidth="1"/>
    <col min="45" max="46" width="25.140625" style="12" bestFit="1" customWidth="1"/>
    <col min="47" max="47" width="22.7109375" style="12" bestFit="1" customWidth="1"/>
    <col min="48" max="48" width="39.28515625" style="12" bestFit="1" customWidth="1"/>
    <col min="49" max="49" width="26.140625" style="12" bestFit="1" customWidth="1"/>
    <col min="50" max="50" width="29.42578125" style="12" bestFit="1" customWidth="1"/>
    <col min="51" max="52" width="15.28515625" style="12" bestFit="1" customWidth="1"/>
    <col min="53" max="54" width="24.5703125" style="12" bestFit="1" customWidth="1"/>
    <col min="55" max="55" width="34.140625" style="12" bestFit="1" customWidth="1"/>
    <col min="56" max="56" width="14.42578125" style="12" bestFit="1" customWidth="1"/>
    <col min="57" max="57" width="23.140625" style="12" bestFit="1" customWidth="1"/>
    <col min="58" max="58" width="22" style="12" bestFit="1" customWidth="1"/>
    <col min="59" max="59" width="25.85546875" style="12" bestFit="1" customWidth="1"/>
    <col min="60" max="61" width="15.140625" style="12" bestFit="1" customWidth="1"/>
    <col min="62" max="62" width="18.28515625" style="12" bestFit="1" customWidth="1"/>
    <col min="63" max="64" width="32.7109375" style="12" bestFit="1" customWidth="1"/>
    <col min="65" max="65" width="31" style="12" bestFit="1" customWidth="1"/>
    <col min="66" max="66" width="32.7109375" style="12" bestFit="1" customWidth="1"/>
    <col min="67" max="67" width="19.42578125" style="12" bestFit="1" customWidth="1"/>
    <col min="68" max="68" width="24.28515625" style="12" bestFit="1" customWidth="1"/>
    <col min="69" max="69" width="26" style="12" bestFit="1" customWidth="1"/>
    <col min="70" max="70" width="19" style="12" bestFit="1" customWidth="1"/>
    <col min="71" max="71" width="20.42578125" style="12" bestFit="1" customWidth="1"/>
    <col min="72" max="72" width="19.28515625" style="12" bestFit="1" customWidth="1"/>
    <col min="73" max="73" width="18.42578125" style="12" bestFit="1" customWidth="1"/>
    <col min="74" max="74" width="22.42578125" style="12" bestFit="1" customWidth="1"/>
    <col min="75" max="75" width="20.28515625" style="12" bestFit="1" customWidth="1"/>
    <col min="76" max="76" width="29.42578125" style="12" bestFit="1" customWidth="1"/>
    <col min="77" max="77" width="31" style="12" bestFit="1" customWidth="1"/>
    <col min="78" max="78" width="22.140625" style="12" bestFit="1" customWidth="1"/>
    <col min="79" max="79" width="39.28515625" style="12" bestFit="1" customWidth="1"/>
    <col min="80" max="80" width="29.42578125" style="12" bestFit="1" customWidth="1"/>
    <col min="81" max="81" width="23.5703125" style="12" bestFit="1" customWidth="1"/>
    <col min="82" max="82" width="27.5703125" style="12" bestFit="1" customWidth="1"/>
    <col min="83" max="84" width="31.42578125" style="12" bestFit="1" customWidth="1"/>
    <col min="85" max="85" width="28.140625" style="12" bestFit="1" customWidth="1"/>
    <col min="86" max="86" width="30.28515625" style="12" bestFit="1" customWidth="1"/>
    <col min="87" max="87" width="27.85546875" style="12" bestFit="1" customWidth="1"/>
    <col min="88" max="16384" width="9.140625" style="12"/>
  </cols>
  <sheetData>
    <row r="1" spans="1:87" x14ac:dyDescent="0.25">
      <c r="A1" s="3" t="s">
        <v>69</v>
      </c>
      <c r="B1" s="10" t="s">
        <v>425</v>
      </c>
      <c r="C1" s="10" t="s">
        <v>426</v>
      </c>
      <c r="D1" s="10" t="s">
        <v>239</v>
      </c>
      <c r="E1" s="10" t="s">
        <v>240</v>
      </c>
      <c r="F1" s="10" t="s">
        <v>241</v>
      </c>
      <c r="G1" s="10" t="s">
        <v>427</v>
      </c>
      <c r="H1" s="10" t="s">
        <v>428</v>
      </c>
      <c r="I1" s="10" t="s">
        <v>429</v>
      </c>
      <c r="J1" s="10" t="s">
        <v>430</v>
      </c>
      <c r="K1" s="10" t="s">
        <v>243</v>
      </c>
      <c r="L1" s="10" t="s">
        <v>244</v>
      </c>
      <c r="M1" s="10" t="s">
        <v>245</v>
      </c>
      <c r="N1" s="10" t="s">
        <v>246</v>
      </c>
      <c r="O1" s="10" t="s">
        <v>247</v>
      </c>
      <c r="P1" s="10" t="s">
        <v>248</v>
      </c>
      <c r="Q1" s="10" t="s">
        <v>431</v>
      </c>
      <c r="R1" s="10" t="s">
        <v>432</v>
      </c>
      <c r="S1" s="10" t="s">
        <v>250</v>
      </c>
      <c r="T1" s="10" t="s">
        <v>251</v>
      </c>
      <c r="U1" s="71" t="s">
        <v>433</v>
      </c>
      <c r="V1" s="10" t="s">
        <v>253</v>
      </c>
      <c r="W1" s="10" t="s">
        <v>254</v>
      </c>
      <c r="X1" s="10" t="s">
        <v>255</v>
      </c>
      <c r="Y1" s="10" t="s">
        <v>256</v>
      </c>
      <c r="Z1" s="10" t="s">
        <v>257</v>
      </c>
      <c r="AA1" s="10" t="s">
        <v>434</v>
      </c>
      <c r="AB1" s="10" t="s">
        <v>435</v>
      </c>
      <c r="AC1" s="10" t="s">
        <v>436</v>
      </c>
      <c r="AD1" s="10" t="s">
        <v>259</v>
      </c>
      <c r="AE1" s="10" t="s">
        <v>260</v>
      </c>
      <c r="AF1" s="10" t="s">
        <v>261</v>
      </c>
      <c r="AG1" s="10" t="s">
        <v>262</v>
      </c>
      <c r="AH1" s="10" t="s">
        <v>263</v>
      </c>
      <c r="AI1" s="10" t="s">
        <v>264</v>
      </c>
      <c r="AJ1" s="10" t="s">
        <v>265</v>
      </c>
      <c r="AK1" s="10" t="s">
        <v>266</v>
      </c>
      <c r="AL1" s="10" t="s">
        <v>267</v>
      </c>
      <c r="AM1" s="10" t="s">
        <v>268</v>
      </c>
      <c r="AN1" s="10" t="s">
        <v>269</v>
      </c>
      <c r="AO1" s="10" t="s">
        <v>270</v>
      </c>
      <c r="AP1" s="10" t="s">
        <v>271</v>
      </c>
      <c r="AQ1" s="10" t="s">
        <v>272</v>
      </c>
      <c r="AR1" s="10" t="s">
        <v>273</v>
      </c>
      <c r="AS1" s="10" t="s">
        <v>437</v>
      </c>
      <c r="AT1" s="10" t="s">
        <v>438</v>
      </c>
      <c r="AU1" s="10" t="s">
        <v>275</v>
      </c>
      <c r="AV1" s="10" t="s">
        <v>276</v>
      </c>
      <c r="AW1" s="10" t="s">
        <v>277</v>
      </c>
      <c r="AX1" s="10" t="s">
        <v>278</v>
      </c>
      <c r="AY1" s="10" t="s">
        <v>439</v>
      </c>
      <c r="AZ1" s="10" t="s">
        <v>440</v>
      </c>
      <c r="BA1" s="10" t="s">
        <v>441</v>
      </c>
      <c r="BB1" s="10" t="s">
        <v>442</v>
      </c>
      <c r="BC1" s="10" t="s">
        <v>280</v>
      </c>
      <c r="BD1" s="10" t="s">
        <v>281</v>
      </c>
      <c r="BE1" s="10" t="s">
        <v>282</v>
      </c>
      <c r="BF1" s="10" t="s">
        <v>283</v>
      </c>
      <c r="BG1" s="10" t="s">
        <v>284</v>
      </c>
      <c r="BH1" s="10" t="s">
        <v>443</v>
      </c>
      <c r="BI1" s="10" t="s">
        <v>444</v>
      </c>
      <c r="BJ1" s="10" t="s">
        <v>285</v>
      </c>
      <c r="BK1" s="10" t="s">
        <v>286</v>
      </c>
      <c r="BL1" s="10" t="s">
        <v>287</v>
      </c>
      <c r="BM1" s="10" t="s">
        <v>288</v>
      </c>
      <c r="BN1" s="10" t="s">
        <v>289</v>
      </c>
      <c r="BO1" s="10" t="s">
        <v>290</v>
      </c>
      <c r="BP1" s="10" t="s">
        <v>291</v>
      </c>
      <c r="BQ1" s="10" t="s">
        <v>56</v>
      </c>
      <c r="BR1" s="10" t="s">
        <v>292</v>
      </c>
      <c r="BS1" s="10" t="s">
        <v>293</v>
      </c>
      <c r="BT1" s="10" t="s">
        <v>59</v>
      </c>
      <c r="BU1" s="10" t="s">
        <v>60</v>
      </c>
      <c r="BV1" s="10" t="s">
        <v>61</v>
      </c>
      <c r="BW1" s="10" t="s">
        <v>62</v>
      </c>
      <c r="BX1" s="10" t="s">
        <v>294</v>
      </c>
      <c r="BY1" s="10" t="s">
        <v>295</v>
      </c>
      <c r="BZ1" s="10" t="s">
        <v>296</v>
      </c>
      <c r="CA1" s="10" t="s">
        <v>297</v>
      </c>
      <c r="CB1" s="10" t="s">
        <v>298</v>
      </c>
      <c r="CC1" s="10" t="s">
        <v>299</v>
      </c>
      <c r="CD1" s="10" t="s">
        <v>300</v>
      </c>
      <c r="CE1" s="10" t="s">
        <v>445</v>
      </c>
      <c r="CF1" s="10" t="s">
        <v>446</v>
      </c>
      <c r="CG1" s="10" t="s">
        <v>302</v>
      </c>
      <c r="CH1" s="10" t="s">
        <v>303</v>
      </c>
      <c r="CI1" s="10" t="s">
        <v>304</v>
      </c>
    </row>
    <row r="2" spans="1:87" x14ac:dyDescent="0.25">
      <c r="A2" s="70">
        <v>43101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N2" s="8"/>
      <c r="BO2" s="8"/>
      <c r="BP2" s="8"/>
      <c r="BQ2" s="8"/>
      <c r="CE2" s="1"/>
      <c r="CF2" s="1"/>
      <c r="CG2" s="1"/>
      <c r="CH2" s="1"/>
    </row>
    <row r="3" spans="1:87" x14ac:dyDescent="0.25">
      <c r="A3" s="70">
        <v>43132</v>
      </c>
      <c r="B3" s="8">
        <v>32.58</v>
      </c>
      <c r="C3" s="8">
        <v>134.4</v>
      </c>
      <c r="D3" s="8">
        <v>35.64</v>
      </c>
      <c r="E3" s="8">
        <v>27.63</v>
      </c>
      <c r="F3" s="8"/>
      <c r="G3" s="8">
        <v>48.6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N3" s="8"/>
      <c r="BO3" s="8"/>
      <c r="BP3" s="8"/>
      <c r="BQ3" s="8"/>
      <c r="CE3" s="1"/>
      <c r="CF3" s="1"/>
      <c r="CG3" s="1"/>
      <c r="CH3" s="1"/>
    </row>
    <row r="4" spans="1:87" x14ac:dyDescent="0.25">
      <c r="A4" s="70">
        <v>43160</v>
      </c>
      <c r="B4" s="8">
        <v>33.74</v>
      </c>
      <c r="C4" s="8">
        <v>73.680000000000007</v>
      </c>
      <c r="D4" s="8">
        <v>38.49</v>
      </c>
      <c r="E4" s="8">
        <v>31.71</v>
      </c>
      <c r="F4" s="8">
        <v>48.73</v>
      </c>
      <c r="G4" s="8">
        <v>62.93</v>
      </c>
      <c r="H4" s="8">
        <v>23.49</v>
      </c>
      <c r="I4" s="8">
        <v>122.86</v>
      </c>
      <c r="J4" s="8">
        <v>45.43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N4" s="8"/>
      <c r="BO4" s="8"/>
      <c r="BP4" s="8"/>
      <c r="BQ4" s="8"/>
      <c r="CE4" s="1"/>
      <c r="CF4" s="1"/>
      <c r="CG4" s="1"/>
      <c r="CH4" s="1"/>
    </row>
    <row r="5" spans="1:87" x14ac:dyDescent="0.25">
      <c r="A5" s="70">
        <v>43191</v>
      </c>
      <c r="B5" s="8">
        <v>36</v>
      </c>
      <c r="C5" s="8">
        <v>55.34</v>
      </c>
      <c r="D5" s="8">
        <v>35.21</v>
      </c>
      <c r="E5" s="8">
        <v>41.62</v>
      </c>
      <c r="F5" s="8">
        <v>65.08</v>
      </c>
      <c r="G5" s="8">
        <v>63.05</v>
      </c>
      <c r="H5" s="8">
        <v>27.04</v>
      </c>
      <c r="I5" s="8">
        <v>67.69</v>
      </c>
      <c r="J5" s="8">
        <v>82.53</v>
      </c>
      <c r="K5" s="8">
        <v>53.24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N5" s="8"/>
      <c r="BO5" s="8"/>
      <c r="BP5" s="8"/>
      <c r="BQ5" s="8"/>
      <c r="CE5" s="1"/>
      <c r="CF5" s="1"/>
      <c r="CG5" s="1"/>
      <c r="CH5" s="1"/>
    </row>
    <row r="6" spans="1:87" x14ac:dyDescent="0.25">
      <c r="A6" s="70">
        <v>43221</v>
      </c>
      <c r="B6" s="8">
        <v>37.340000000000003</v>
      </c>
      <c r="C6" s="8">
        <v>66.02</v>
      </c>
      <c r="D6" s="8">
        <v>64.36</v>
      </c>
      <c r="E6" s="8">
        <v>106.9</v>
      </c>
      <c r="F6" s="8">
        <v>127</v>
      </c>
      <c r="G6" s="8">
        <v>64.25</v>
      </c>
      <c r="H6" s="8">
        <v>28.41</v>
      </c>
      <c r="I6" s="8">
        <v>120.66</v>
      </c>
      <c r="J6" s="8">
        <v>115.82</v>
      </c>
      <c r="K6" s="8">
        <v>44.64</v>
      </c>
      <c r="L6" s="8">
        <v>459.37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8"/>
      <c r="BO6" s="8"/>
      <c r="BP6" s="8"/>
      <c r="BQ6" s="8"/>
      <c r="CE6" s="1"/>
      <c r="CF6" s="1"/>
      <c r="CG6" s="1"/>
      <c r="CH6" s="1"/>
    </row>
    <row r="7" spans="1:87" x14ac:dyDescent="0.25">
      <c r="A7" s="70">
        <v>43252</v>
      </c>
      <c r="B7" s="8">
        <v>40.090000000000003</v>
      </c>
      <c r="C7" s="8">
        <v>107.18</v>
      </c>
      <c r="D7" s="8">
        <v>68.3</v>
      </c>
      <c r="E7" s="8">
        <v>97.41</v>
      </c>
      <c r="F7" s="8">
        <v>146.86000000000001</v>
      </c>
      <c r="G7" s="8">
        <v>64.88</v>
      </c>
      <c r="H7" s="8"/>
      <c r="I7" s="8">
        <v>129.52000000000001</v>
      </c>
      <c r="J7" s="8">
        <v>103.5</v>
      </c>
      <c r="K7" s="8"/>
      <c r="L7" s="8">
        <v>752.53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N7" s="8"/>
      <c r="BO7" s="8"/>
      <c r="BP7" s="8"/>
      <c r="BQ7" s="8"/>
      <c r="CE7" s="1"/>
      <c r="CF7" s="1"/>
      <c r="CG7" s="1"/>
      <c r="CH7" s="1"/>
    </row>
    <row r="8" spans="1:87" x14ac:dyDescent="0.25">
      <c r="A8" s="70">
        <v>43282</v>
      </c>
      <c r="B8" s="8">
        <v>53.15</v>
      </c>
      <c r="C8" s="8">
        <v>248.94</v>
      </c>
      <c r="D8" s="8">
        <v>78.89</v>
      </c>
      <c r="E8" s="8">
        <v>91.23</v>
      </c>
      <c r="F8" s="8">
        <v>272.91000000000003</v>
      </c>
      <c r="G8" s="8">
        <v>108.14</v>
      </c>
      <c r="H8" s="8">
        <v>51.12</v>
      </c>
      <c r="I8" s="8">
        <v>147.69</v>
      </c>
      <c r="J8" s="8">
        <v>100.27</v>
      </c>
      <c r="K8" s="8">
        <v>88.04</v>
      </c>
      <c r="L8" s="8">
        <v>752.53</v>
      </c>
      <c r="M8" s="8">
        <v>213.12</v>
      </c>
      <c r="N8" s="8">
        <v>1695.57</v>
      </c>
      <c r="O8" s="8">
        <v>773.14</v>
      </c>
      <c r="P8" s="8">
        <v>70.17</v>
      </c>
      <c r="Q8" s="8">
        <v>359.54</v>
      </c>
      <c r="R8" s="8">
        <v>373.38</v>
      </c>
      <c r="S8" s="8"/>
      <c r="T8" s="8"/>
      <c r="U8" s="8"/>
      <c r="V8" s="8">
        <v>1695.57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N8" s="8"/>
      <c r="BO8" s="8"/>
      <c r="BP8" s="8"/>
      <c r="BQ8" s="8"/>
      <c r="CE8" s="1"/>
      <c r="CF8" s="1"/>
      <c r="CG8" s="1"/>
      <c r="CH8" s="1"/>
    </row>
    <row r="9" spans="1:87" x14ac:dyDescent="0.25">
      <c r="A9" s="70">
        <v>43313</v>
      </c>
      <c r="B9" s="8">
        <v>57.4</v>
      </c>
      <c r="C9" s="8">
        <v>122.15</v>
      </c>
      <c r="D9" s="8">
        <v>52.21</v>
      </c>
      <c r="E9" s="8">
        <v>104.33</v>
      </c>
      <c r="F9" s="8">
        <v>153.49</v>
      </c>
      <c r="G9" s="8">
        <v>74.599999999999994</v>
      </c>
      <c r="H9" s="8"/>
      <c r="I9" s="8">
        <v>147.13</v>
      </c>
      <c r="J9" s="8">
        <v>100.88</v>
      </c>
      <c r="K9" s="8">
        <v>49.96</v>
      </c>
      <c r="L9" s="8">
        <v>802.1</v>
      </c>
      <c r="M9" s="8">
        <v>131.11000000000001</v>
      </c>
      <c r="N9" s="8">
        <v>1184.04</v>
      </c>
      <c r="O9" s="8">
        <v>591.35</v>
      </c>
      <c r="P9" s="8">
        <v>72.290000000000006</v>
      </c>
      <c r="Q9" s="8">
        <v>243.73</v>
      </c>
      <c r="R9" s="8">
        <v>357.73</v>
      </c>
      <c r="S9" s="8">
        <v>689.93</v>
      </c>
      <c r="T9" s="8"/>
      <c r="U9" s="8"/>
      <c r="V9" s="8">
        <v>1184.04</v>
      </c>
      <c r="W9" s="8"/>
      <c r="X9" s="8">
        <v>2468.12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N9" s="8"/>
      <c r="BO9" s="8"/>
      <c r="BP9" s="8"/>
      <c r="BQ9" s="8"/>
      <c r="CE9" s="1"/>
      <c r="CF9" s="1"/>
      <c r="CG9" s="1"/>
      <c r="CH9" s="1"/>
    </row>
    <row r="10" spans="1:87" x14ac:dyDescent="0.25">
      <c r="A10" s="70">
        <v>43344</v>
      </c>
      <c r="B10" s="8">
        <v>51.04</v>
      </c>
      <c r="C10" s="8">
        <v>163.11000000000001</v>
      </c>
      <c r="D10" s="8">
        <v>54.44</v>
      </c>
      <c r="E10" s="8">
        <v>99.83</v>
      </c>
      <c r="F10" s="8">
        <v>138.19999999999999</v>
      </c>
      <c r="G10" s="8">
        <v>72.47</v>
      </c>
      <c r="H10" s="8"/>
      <c r="I10" s="8">
        <v>166.52</v>
      </c>
      <c r="J10" s="8">
        <v>126.55</v>
      </c>
      <c r="K10" s="8">
        <v>49.43</v>
      </c>
      <c r="L10" s="8">
        <v>757.88</v>
      </c>
      <c r="M10" s="8">
        <v>71.739999999999995</v>
      </c>
      <c r="N10" s="8">
        <v>533.78</v>
      </c>
      <c r="O10" s="8">
        <v>415.86</v>
      </c>
      <c r="P10" s="8">
        <v>70.59</v>
      </c>
      <c r="Q10" s="8">
        <v>105.14</v>
      </c>
      <c r="R10" s="8">
        <v>319.77</v>
      </c>
      <c r="S10" s="8">
        <v>202.81</v>
      </c>
      <c r="T10" s="8">
        <v>757.78</v>
      </c>
      <c r="U10" s="8"/>
      <c r="V10" s="8">
        <v>533.78</v>
      </c>
      <c r="W10" s="8"/>
      <c r="X10" s="8">
        <v>1058.8599999999999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N10" s="8"/>
      <c r="BO10" s="8"/>
      <c r="BP10" s="8"/>
      <c r="BQ10" s="8"/>
      <c r="CE10" s="1"/>
      <c r="CF10" s="1"/>
      <c r="CG10" s="1"/>
      <c r="CH10" s="1"/>
    </row>
    <row r="11" spans="1:87" x14ac:dyDescent="0.25">
      <c r="A11" s="70">
        <v>43374</v>
      </c>
      <c r="B11" s="8">
        <v>41.71</v>
      </c>
      <c r="C11" s="8">
        <v>105.99</v>
      </c>
      <c r="D11" s="8">
        <v>51.94</v>
      </c>
      <c r="E11" s="8">
        <v>90.59</v>
      </c>
      <c r="F11" s="8">
        <v>85.4</v>
      </c>
      <c r="G11" s="8">
        <v>66.23</v>
      </c>
      <c r="H11" s="8">
        <v>33.24</v>
      </c>
      <c r="I11" s="8">
        <v>70.78</v>
      </c>
      <c r="J11" s="8">
        <v>68.599999999999994</v>
      </c>
      <c r="K11" s="8">
        <v>51.96</v>
      </c>
      <c r="L11" s="8">
        <v>298.63</v>
      </c>
      <c r="M11" s="8">
        <v>69.260000000000005</v>
      </c>
      <c r="N11" s="8">
        <v>573.61</v>
      </c>
      <c r="O11" s="8">
        <v>397.77</v>
      </c>
      <c r="P11" s="8">
        <v>48.7</v>
      </c>
      <c r="Q11" s="8">
        <v>95.61</v>
      </c>
      <c r="R11" s="8">
        <v>305.02999999999997</v>
      </c>
      <c r="S11" s="8">
        <v>624.03</v>
      </c>
      <c r="T11" s="8">
        <v>207.93</v>
      </c>
      <c r="U11" s="8">
        <v>116.35</v>
      </c>
      <c r="V11" s="8">
        <v>573.61</v>
      </c>
      <c r="W11" s="8"/>
      <c r="X11" s="8">
        <v>909.16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N11" s="8"/>
      <c r="BO11" s="8"/>
      <c r="BP11" s="8"/>
      <c r="BQ11" s="8"/>
      <c r="CE11" s="1"/>
      <c r="CF11" s="1"/>
      <c r="CG11" s="1"/>
      <c r="CH11" s="1"/>
    </row>
    <row r="12" spans="1:87" x14ac:dyDescent="0.25">
      <c r="A12" s="70">
        <v>43405</v>
      </c>
      <c r="B12" s="8">
        <v>42.02</v>
      </c>
      <c r="C12" s="8">
        <v>100.01</v>
      </c>
      <c r="D12" s="8">
        <v>52.32</v>
      </c>
      <c r="E12" s="8">
        <v>76.959999999999994</v>
      </c>
      <c r="F12" s="8">
        <v>89.25</v>
      </c>
      <c r="G12" s="8">
        <v>74.12</v>
      </c>
      <c r="H12" s="8">
        <v>36.82</v>
      </c>
      <c r="I12" s="8">
        <v>103.1</v>
      </c>
      <c r="J12" s="8">
        <v>69.37</v>
      </c>
      <c r="K12" s="8">
        <v>56.27</v>
      </c>
      <c r="L12" s="8">
        <v>408.18</v>
      </c>
      <c r="M12" s="8">
        <v>80.19</v>
      </c>
      <c r="N12" s="8">
        <v>863.44</v>
      </c>
      <c r="O12" s="8">
        <v>179.31</v>
      </c>
      <c r="P12" s="8">
        <v>98</v>
      </c>
      <c r="Q12" s="8">
        <v>91.3</v>
      </c>
      <c r="R12" s="8">
        <v>294.22000000000003</v>
      </c>
      <c r="S12" s="8">
        <v>208.88</v>
      </c>
      <c r="T12" s="8">
        <v>197.85</v>
      </c>
      <c r="U12" s="8">
        <v>151.97</v>
      </c>
      <c r="V12" s="8">
        <v>863.44</v>
      </c>
      <c r="W12" s="8">
        <v>157.56</v>
      </c>
      <c r="X12" s="8">
        <v>967.07</v>
      </c>
      <c r="Y12" s="8">
        <v>62.67</v>
      </c>
      <c r="Z12" s="8">
        <v>350.61</v>
      </c>
      <c r="AA12" s="8">
        <v>106.81</v>
      </c>
      <c r="AB12" s="8">
        <v>393.68</v>
      </c>
      <c r="AC12" s="8">
        <v>594.74</v>
      </c>
      <c r="AD12" s="8"/>
      <c r="AE12" s="8"/>
      <c r="AF12" s="8"/>
      <c r="AG12" s="8">
        <v>249.48</v>
      </c>
      <c r="AH12" s="8">
        <v>549.20000000000005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N12" s="8"/>
      <c r="BO12" s="8"/>
      <c r="BP12" s="8"/>
      <c r="BQ12" s="8"/>
      <c r="CE12" s="1"/>
      <c r="CF12" s="1"/>
      <c r="CG12" s="1"/>
      <c r="CH12" s="1"/>
    </row>
    <row r="13" spans="1:87" x14ac:dyDescent="0.25">
      <c r="A13" s="70">
        <v>43435</v>
      </c>
      <c r="B13" s="8">
        <v>45.18</v>
      </c>
      <c r="C13" s="8">
        <v>81.77</v>
      </c>
      <c r="D13" s="8">
        <v>55.39</v>
      </c>
      <c r="E13" s="8">
        <v>50.37</v>
      </c>
      <c r="F13" s="8">
        <v>79.91</v>
      </c>
      <c r="G13" s="8">
        <v>76.489999999999995</v>
      </c>
      <c r="H13" s="8">
        <v>70.88</v>
      </c>
      <c r="I13" s="8">
        <v>59.19</v>
      </c>
      <c r="J13" s="8">
        <v>60.99</v>
      </c>
      <c r="K13" s="8">
        <v>53.22</v>
      </c>
      <c r="L13" s="8">
        <v>410.72</v>
      </c>
      <c r="M13" s="8">
        <v>69.34</v>
      </c>
      <c r="N13" s="8">
        <v>656.97</v>
      </c>
      <c r="O13" s="8">
        <v>432.47</v>
      </c>
      <c r="P13" s="8">
        <v>92.05</v>
      </c>
      <c r="Q13" s="8">
        <v>97</v>
      </c>
      <c r="R13" s="8">
        <v>176.21</v>
      </c>
      <c r="S13" s="8">
        <v>201.99</v>
      </c>
      <c r="T13" s="8">
        <v>190</v>
      </c>
      <c r="U13" s="8">
        <v>157.69</v>
      </c>
      <c r="V13" s="8">
        <v>656.97</v>
      </c>
      <c r="W13" s="8">
        <v>140.59</v>
      </c>
      <c r="X13" s="8">
        <v>0</v>
      </c>
      <c r="Y13" s="8">
        <v>59.54</v>
      </c>
      <c r="Z13" s="8">
        <v>139.72</v>
      </c>
      <c r="AA13" s="8">
        <v>99</v>
      </c>
      <c r="AB13" s="8">
        <v>284.33999999999997</v>
      </c>
      <c r="AC13" s="8">
        <v>498.43</v>
      </c>
      <c r="AD13" s="8">
        <v>97.45</v>
      </c>
      <c r="AE13" s="8">
        <v>393.81</v>
      </c>
      <c r="AF13" s="8">
        <v>1065.8</v>
      </c>
      <c r="AG13" s="8">
        <v>30.33</v>
      </c>
      <c r="AH13" s="8">
        <v>640.04999999999995</v>
      </c>
      <c r="AI13" s="8">
        <v>467.26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62.31</v>
      </c>
      <c r="BK13" s="8"/>
      <c r="BL13" s="8"/>
      <c r="BN13" s="8"/>
      <c r="BO13" s="8"/>
      <c r="BP13" s="8"/>
      <c r="BQ13" s="8"/>
      <c r="CE13" s="1"/>
      <c r="CF13" s="1"/>
      <c r="CG13" s="1"/>
      <c r="CH13" s="1"/>
    </row>
    <row r="14" spans="1:87" x14ac:dyDescent="0.25">
      <c r="A14" s="70">
        <v>43466</v>
      </c>
      <c r="B14" s="8">
        <v>49.25</v>
      </c>
      <c r="C14" s="8">
        <v>132.03</v>
      </c>
      <c r="D14" s="8">
        <v>247.76</v>
      </c>
      <c r="E14" s="8">
        <v>107.67</v>
      </c>
      <c r="F14" s="8">
        <v>155.28</v>
      </c>
      <c r="G14" s="8">
        <v>91.61</v>
      </c>
      <c r="H14" s="8"/>
      <c r="I14" s="8">
        <v>184.57</v>
      </c>
      <c r="J14" s="8">
        <v>108.38</v>
      </c>
      <c r="K14" s="8">
        <v>98.14</v>
      </c>
      <c r="L14" s="8">
        <v>452.68</v>
      </c>
      <c r="M14" s="8">
        <v>170.65</v>
      </c>
      <c r="N14" s="8">
        <v>515.54999999999995</v>
      </c>
      <c r="O14" s="8">
        <v>430.79</v>
      </c>
      <c r="P14" s="8">
        <v>135.66999999999999</v>
      </c>
      <c r="Q14" s="8">
        <v>106.61</v>
      </c>
      <c r="R14" s="8">
        <v>410.37</v>
      </c>
      <c r="S14" s="8">
        <v>201.17</v>
      </c>
      <c r="T14" s="8">
        <v>186.46</v>
      </c>
      <c r="U14" s="8">
        <v>221.24</v>
      </c>
      <c r="V14" s="8">
        <v>515.54999999999995</v>
      </c>
      <c r="W14" s="8">
        <v>167.38</v>
      </c>
      <c r="X14" s="8">
        <v>955.92</v>
      </c>
      <c r="Y14" s="8">
        <v>60.46</v>
      </c>
      <c r="Z14" s="8">
        <v>138.03</v>
      </c>
      <c r="AA14" s="8">
        <v>151.24</v>
      </c>
      <c r="AB14" s="8">
        <v>75.540000000000006</v>
      </c>
      <c r="AC14" s="8">
        <v>76.34</v>
      </c>
      <c r="AD14" s="8">
        <v>118.86</v>
      </c>
      <c r="AE14" s="8">
        <v>147.18</v>
      </c>
      <c r="AF14" s="8">
        <v>348.58</v>
      </c>
      <c r="AG14" s="8">
        <v>27.19</v>
      </c>
      <c r="AH14" s="8">
        <v>64.17</v>
      </c>
      <c r="AI14" s="8">
        <v>485.4</v>
      </c>
      <c r="AJ14" s="8"/>
      <c r="AK14" s="8">
        <v>4547.55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161.46</v>
      </c>
      <c r="BK14" s="8"/>
      <c r="BL14" s="8"/>
      <c r="BN14" s="8"/>
      <c r="BO14" s="8"/>
      <c r="BP14" s="8"/>
      <c r="BQ14" s="8"/>
      <c r="CE14" s="1"/>
      <c r="CF14" s="1"/>
      <c r="CG14" s="1"/>
      <c r="CH14" s="1"/>
    </row>
    <row r="15" spans="1:87" x14ac:dyDescent="0.25">
      <c r="A15" s="70">
        <v>43497</v>
      </c>
      <c r="B15" s="8">
        <v>53.72</v>
      </c>
      <c r="C15" s="8">
        <v>133.76</v>
      </c>
      <c r="D15" s="8">
        <v>136.76</v>
      </c>
      <c r="E15" s="8">
        <v>103.1</v>
      </c>
      <c r="F15" s="8">
        <v>175.43</v>
      </c>
      <c r="G15" s="8">
        <v>102.11</v>
      </c>
      <c r="H15" s="8">
        <v>75.569999999999993</v>
      </c>
      <c r="I15" s="8">
        <v>223.75</v>
      </c>
      <c r="J15" s="8">
        <v>130.07</v>
      </c>
      <c r="K15" s="8">
        <v>197.12</v>
      </c>
      <c r="L15" s="8">
        <v>1043.33</v>
      </c>
      <c r="M15" s="8">
        <v>232.67</v>
      </c>
      <c r="N15" s="8">
        <v>3099.95</v>
      </c>
      <c r="O15" s="8">
        <v>308.20999999999998</v>
      </c>
      <c r="P15" s="8">
        <v>168.67</v>
      </c>
      <c r="Q15" s="8">
        <v>107.86</v>
      </c>
      <c r="R15" s="8">
        <v>382.47</v>
      </c>
      <c r="S15" s="8">
        <v>289.08</v>
      </c>
      <c r="T15" s="8">
        <v>160.79</v>
      </c>
      <c r="U15" s="8">
        <v>191.48</v>
      </c>
      <c r="V15" s="8">
        <v>3099.95</v>
      </c>
      <c r="W15" s="8">
        <v>165.51</v>
      </c>
      <c r="X15" s="8">
        <v>869.77</v>
      </c>
      <c r="Y15" s="8">
        <v>59.43</v>
      </c>
      <c r="Z15" s="8">
        <v>142.85</v>
      </c>
      <c r="AA15" s="8">
        <v>156.91999999999999</v>
      </c>
      <c r="AB15" s="8">
        <v>281.98</v>
      </c>
      <c r="AC15" s="8"/>
      <c r="AD15" s="8">
        <v>140.13</v>
      </c>
      <c r="AE15" s="8">
        <v>130.77000000000001</v>
      </c>
      <c r="AF15" s="8">
        <v>368.66</v>
      </c>
      <c r="AG15" s="8">
        <v>25.68</v>
      </c>
      <c r="AH15" s="8">
        <v>46.85</v>
      </c>
      <c r="AI15" s="8">
        <v>478.59</v>
      </c>
      <c r="AJ15" s="8">
        <v>471.55</v>
      </c>
      <c r="AK15" s="8">
        <v>4271.25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>
        <v>80.59</v>
      </c>
      <c r="BK15" s="8"/>
      <c r="BL15" s="8"/>
      <c r="BN15" s="8"/>
      <c r="BO15" s="8"/>
      <c r="BP15" s="8"/>
      <c r="BQ15" s="8"/>
      <c r="CE15" s="1"/>
      <c r="CF15" s="1"/>
      <c r="CG15" s="1"/>
      <c r="CH15" s="1"/>
    </row>
    <row r="16" spans="1:87" x14ac:dyDescent="0.25">
      <c r="A16" s="70">
        <v>43525</v>
      </c>
      <c r="B16" s="8">
        <v>46.67</v>
      </c>
      <c r="C16" s="8">
        <v>80.53</v>
      </c>
      <c r="D16" s="8"/>
      <c r="E16" s="8">
        <v>92.15</v>
      </c>
      <c r="F16" s="8">
        <v>91.09</v>
      </c>
      <c r="G16" s="8">
        <v>91.47</v>
      </c>
      <c r="H16" s="8"/>
      <c r="I16" s="8">
        <v>155.07</v>
      </c>
      <c r="J16" s="8">
        <v>121.65</v>
      </c>
      <c r="K16" s="8">
        <v>56.54</v>
      </c>
      <c r="L16" s="8">
        <v>689.51</v>
      </c>
      <c r="M16" s="8">
        <v>66.31</v>
      </c>
      <c r="N16" s="8">
        <v>1541.27</v>
      </c>
      <c r="O16" s="8">
        <v>331.34</v>
      </c>
      <c r="P16" s="8">
        <v>169.87</v>
      </c>
      <c r="Q16" s="8">
        <v>100.07</v>
      </c>
      <c r="R16" s="8">
        <v>329.4</v>
      </c>
      <c r="S16" s="8">
        <v>839.73</v>
      </c>
      <c r="T16" s="8">
        <v>205.66</v>
      </c>
      <c r="U16" s="8">
        <v>134.91</v>
      </c>
      <c r="V16" s="8">
        <v>1541.27</v>
      </c>
      <c r="W16" s="8">
        <v>147.76</v>
      </c>
      <c r="X16" s="8">
        <v>962.03</v>
      </c>
      <c r="Y16" s="8">
        <v>63.38</v>
      </c>
      <c r="Z16" s="8">
        <v>137.61000000000001</v>
      </c>
      <c r="AA16" s="8">
        <v>102.27</v>
      </c>
      <c r="AB16" s="8">
        <v>106.86</v>
      </c>
      <c r="AC16" s="8"/>
      <c r="AD16" s="8">
        <v>132.35</v>
      </c>
      <c r="AE16" s="8">
        <v>155</v>
      </c>
      <c r="AF16" s="8">
        <v>335.2</v>
      </c>
      <c r="AG16" s="8">
        <v>25.44</v>
      </c>
      <c r="AH16" s="8">
        <v>60.13</v>
      </c>
      <c r="AI16" s="8">
        <v>510.46</v>
      </c>
      <c r="AJ16" s="8">
        <v>482.97</v>
      </c>
      <c r="AK16" s="8"/>
      <c r="AL16" s="8">
        <v>141.16999999999999</v>
      </c>
      <c r="AM16" s="8">
        <v>942.56</v>
      </c>
      <c r="AN16" s="8">
        <v>209.8</v>
      </c>
      <c r="AO16" s="8">
        <v>46.06</v>
      </c>
      <c r="AP16" s="8"/>
      <c r="AQ16" s="8">
        <v>165.89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>
        <v>68.94</v>
      </c>
      <c r="BK16" s="8"/>
      <c r="BL16" s="8"/>
      <c r="BN16" s="8"/>
      <c r="BO16" s="8"/>
      <c r="BP16" s="8"/>
      <c r="BQ16" s="8"/>
      <c r="CE16" s="1"/>
      <c r="CF16" s="1"/>
      <c r="CG16" s="1"/>
      <c r="CH16" s="1"/>
    </row>
    <row r="17" spans="1:86" x14ac:dyDescent="0.25">
      <c r="A17" s="70">
        <v>43556</v>
      </c>
      <c r="B17" s="8">
        <v>44.7</v>
      </c>
      <c r="C17" s="8">
        <v>78.400000000000006</v>
      </c>
      <c r="D17" s="8">
        <v>135.93</v>
      </c>
      <c r="E17" s="8">
        <v>75.84</v>
      </c>
      <c r="F17" s="8">
        <v>71.42</v>
      </c>
      <c r="G17" s="8">
        <v>79.27</v>
      </c>
      <c r="H17" s="8">
        <v>67.94</v>
      </c>
      <c r="I17" s="8">
        <v>147.76</v>
      </c>
      <c r="J17" s="8">
        <v>96.32</v>
      </c>
      <c r="K17" s="8">
        <v>53.17</v>
      </c>
      <c r="L17" s="8">
        <v>686.69</v>
      </c>
      <c r="M17" s="8">
        <v>61.34</v>
      </c>
      <c r="N17" s="8">
        <v>1040.69</v>
      </c>
      <c r="O17" s="8">
        <v>198.18</v>
      </c>
      <c r="P17" s="8">
        <v>177.91</v>
      </c>
      <c r="Q17" s="8">
        <v>82.88</v>
      </c>
      <c r="R17" s="8">
        <v>191.64</v>
      </c>
      <c r="S17" s="8">
        <v>669.85</v>
      </c>
      <c r="T17" s="8">
        <v>189.63</v>
      </c>
      <c r="U17" s="8">
        <v>157.93</v>
      </c>
      <c r="V17" s="8">
        <v>1040.69</v>
      </c>
      <c r="W17" s="8">
        <v>135.01</v>
      </c>
      <c r="X17" s="8">
        <v>853.25</v>
      </c>
      <c r="Y17" s="8">
        <v>59.24</v>
      </c>
      <c r="Z17" s="8">
        <v>118.53</v>
      </c>
      <c r="AA17" s="8">
        <v>86.47</v>
      </c>
      <c r="AB17" s="8">
        <v>190.05</v>
      </c>
      <c r="AC17" s="8">
        <v>65.72</v>
      </c>
      <c r="AD17" s="8">
        <v>79.66</v>
      </c>
      <c r="AE17" s="8">
        <v>154.43</v>
      </c>
      <c r="AF17" s="8">
        <v>500.24</v>
      </c>
      <c r="AG17" s="8">
        <v>25.44</v>
      </c>
      <c r="AH17" s="8">
        <v>46.36</v>
      </c>
      <c r="AI17" s="8">
        <v>568.97</v>
      </c>
      <c r="AJ17" s="8">
        <v>405.97</v>
      </c>
      <c r="AK17" s="8"/>
      <c r="AL17" s="8">
        <v>64.319999999999993</v>
      </c>
      <c r="AM17" s="8">
        <v>243.37</v>
      </c>
      <c r="AN17" s="8">
        <v>184.77</v>
      </c>
      <c r="AO17" s="8"/>
      <c r="AP17" s="8">
        <v>209.57</v>
      </c>
      <c r="AQ17" s="8">
        <v>136.58000000000001</v>
      </c>
      <c r="AR17" s="8">
        <v>279.85000000000002</v>
      </c>
      <c r="AS17" s="8">
        <v>2806.42</v>
      </c>
      <c r="AT17" s="8">
        <v>2744.38</v>
      </c>
      <c r="AU17" s="8">
        <v>381.44</v>
      </c>
      <c r="AV17" s="8">
        <v>571.26</v>
      </c>
      <c r="AW17" s="8">
        <v>440.93</v>
      </c>
      <c r="AX17" s="8">
        <v>59.24</v>
      </c>
      <c r="AY17" s="8">
        <v>205.31</v>
      </c>
      <c r="AZ17" s="8">
        <v>4495.12</v>
      </c>
      <c r="BA17" s="8"/>
      <c r="BB17" s="8"/>
      <c r="BC17" s="8"/>
      <c r="BD17" s="8"/>
      <c r="BE17" s="8"/>
      <c r="BF17" s="8"/>
      <c r="BG17" s="8"/>
      <c r="BH17" s="8"/>
      <c r="BI17" s="8"/>
      <c r="BJ17" s="8">
        <v>57.7</v>
      </c>
      <c r="BK17" s="8"/>
      <c r="BL17" s="8"/>
      <c r="BN17" s="8"/>
      <c r="BO17" s="8"/>
      <c r="BP17" s="8"/>
      <c r="BQ17" s="8"/>
      <c r="CE17" s="1"/>
      <c r="CF17" s="1"/>
      <c r="CG17" s="1"/>
      <c r="CH17" s="1"/>
    </row>
    <row r="18" spans="1:86" x14ac:dyDescent="0.25">
      <c r="A18" s="70">
        <v>43586</v>
      </c>
      <c r="B18" s="8">
        <v>46.59</v>
      </c>
      <c r="C18" s="8">
        <v>65.14</v>
      </c>
      <c r="D18" s="8">
        <v>150.79</v>
      </c>
      <c r="E18" s="8">
        <v>119.82</v>
      </c>
      <c r="F18" s="8">
        <v>231.68</v>
      </c>
      <c r="G18" s="8">
        <v>114.94</v>
      </c>
      <c r="H18" s="8">
        <v>42.36</v>
      </c>
      <c r="I18" s="8">
        <v>194.89</v>
      </c>
      <c r="J18" s="8">
        <v>126.58</v>
      </c>
      <c r="K18" s="8">
        <v>56.26</v>
      </c>
      <c r="L18" s="8">
        <v>959.5</v>
      </c>
      <c r="M18" s="8">
        <v>79.98</v>
      </c>
      <c r="N18" s="8">
        <v>2664.35</v>
      </c>
      <c r="O18" s="8">
        <v>721.28</v>
      </c>
      <c r="P18" s="8">
        <v>188.85</v>
      </c>
      <c r="Q18" s="8">
        <v>74.59</v>
      </c>
      <c r="R18" s="8">
        <v>274.88</v>
      </c>
      <c r="S18" s="8">
        <v>1264.3900000000001</v>
      </c>
      <c r="T18" s="8">
        <v>223.14</v>
      </c>
      <c r="U18" s="8">
        <v>157.93</v>
      </c>
      <c r="V18" s="8">
        <v>2664.35</v>
      </c>
      <c r="W18" s="8">
        <v>148.47999999999999</v>
      </c>
      <c r="X18" s="8">
        <v>959.48</v>
      </c>
      <c r="Y18" s="8">
        <v>66.680000000000007</v>
      </c>
      <c r="Z18" s="8">
        <v>126.93</v>
      </c>
      <c r="AA18" s="8">
        <v>87.49</v>
      </c>
      <c r="AB18" s="8">
        <v>305.01</v>
      </c>
      <c r="AC18" s="8">
        <v>386.59</v>
      </c>
      <c r="AD18" s="8">
        <v>100.79</v>
      </c>
      <c r="AE18" s="8">
        <v>222.41</v>
      </c>
      <c r="AF18" s="8">
        <v>1326.65</v>
      </c>
      <c r="AG18" s="8">
        <v>25.46</v>
      </c>
      <c r="AH18" s="8">
        <v>46.4</v>
      </c>
      <c r="AI18" s="8">
        <v>1687.61</v>
      </c>
      <c r="AJ18" s="8">
        <v>829.38</v>
      </c>
      <c r="AK18" s="8">
        <v>555.70000000000005</v>
      </c>
      <c r="AL18" s="8">
        <v>70.72</v>
      </c>
      <c r="AM18" s="8">
        <v>388.98</v>
      </c>
      <c r="AN18" s="8">
        <v>182.19</v>
      </c>
      <c r="AO18" s="8">
        <v>64.12</v>
      </c>
      <c r="AP18" s="8">
        <v>288.8</v>
      </c>
      <c r="AQ18" s="8">
        <v>157.43</v>
      </c>
      <c r="AR18" s="8">
        <v>114.68</v>
      </c>
      <c r="AS18" s="8">
        <v>2279.73</v>
      </c>
      <c r="AT18" s="8">
        <v>2101.38</v>
      </c>
      <c r="AU18" s="8">
        <v>159.97999999999999</v>
      </c>
      <c r="AV18" s="8">
        <v>714.35</v>
      </c>
      <c r="AW18" s="8">
        <v>490.85</v>
      </c>
      <c r="AX18" s="8">
        <v>62.79</v>
      </c>
      <c r="AY18" s="8">
        <v>583.51</v>
      </c>
      <c r="AZ18" s="8">
        <v>750.82</v>
      </c>
      <c r="BA18" s="8">
        <v>190.78</v>
      </c>
      <c r="BB18" s="8">
        <v>234.9</v>
      </c>
      <c r="BC18" s="8"/>
      <c r="BD18" s="8"/>
      <c r="BE18" s="8"/>
      <c r="BF18" s="8"/>
      <c r="BG18" s="8"/>
      <c r="BH18" s="8"/>
      <c r="BI18" s="8"/>
      <c r="BJ18" s="8">
        <v>58.85</v>
      </c>
      <c r="BK18" s="8"/>
      <c r="BL18" s="8"/>
      <c r="BN18" s="8"/>
      <c r="BO18" s="8"/>
      <c r="BP18" s="8"/>
      <c r="BQ18" s="8"/>
      <c r="CE18" s="1"/>
      <c r="CF18" s="1"/>
      <c r="CG18" s="1"/>
      <c r="CH18" s="1"/>
    </row>
    <row r="19" spans="1:86" x14ac:dyDescent="0.25">
      <c r="A19" s="70">
        <v>43617</v>
      </c>
      <c r="B19" s="8"/>
      <c r="C19" s="8">
        <v>65.37</v>
      </c>
      <c r="D19" s="8">
        <v>122.69</v>
      </c>
      <c r="E19" s="8">
        <v>110.22</v>
      </c>
      <c r="F19" s="8">
        <v>221.84</v>
      </c>
      <c r="G19" s="8">
        <v>112.77</v>
      </c>
      <c r="H19" s="8">
        <v>44.83</v>
      </c>
      <c r="I19" s="8">
        <v>131.62</v>
      </c>
      <c r="J19" s="8">
        <v>100.97</v>
      </c>
      <c r="K19" s="8">
        <v>50.2</v>
      </c>
      <c r="L19" s="8">
        <v>784.14</v>
      </c>
      <c r="M19" s="8">
        <v>153.91999999999999</v>
      </c>
      <c r="N19" s="8">
        <v>1800.58</v>
      </c>
      <c r="O19" s="8">
        <v>499.89</v>
      </c>
      <c r="P19" s="8">
        <v>250.27</v>
      </c>
      <c r="Q19" s="8">
        <v>337.25</v>
      </c>
      <c r="R19" s="8">
        <v>123.28</v>
      </c>
      <c r="S19" s="8">
        <v>1482.16</v>
      </c>
      <c r="T19" s="8">
        <v>222.18</v>
      </c>
      <c r="U19" s="8">
        <v>85.45</v>
      </c>
      <c r="V19" s="8">
        <v>1800.58</v>
      </c>
      <c r="W19" s="8">
        <v>165.69</v>
      </c>
      <c r="X19" s="8">
        <v>1139.05</v>
      </c>
      <c r="Y19" s="8">
        <v>65.37</v>
      </c>
      <c r="Z19" s="8">
        <v>123.25</v>
      </c>
      <c r="AA19" s="8">
        <v>73.069999999999993</v>
      </c>
      <c r="AB19" s="8">
        <v>141.87</v>
      </c>
      <c r="AC19" s="8">
        <v>219.15</v>
      </c>
      <c r="AD19" s="8">
        <v>95.51</v>
      </c>
      <c r="AE19" s="8">
        <v>108.67</v>
      </c>
      <c r="AF19" s="8">
        <v>952.56</v>
      </c>
      <c r="AG19" s="8">
        <v>26.37</v>
      </c>
      <c r="AH19" s="8">
        <v>48.22</v>
      </c>
      <c r="AI19" s="8">
        <v>1712.38</v>
      </c>
      <c r="AJ19" s="8">
        <v>774.02</v>
      </c>
      <c r="AK19" s="8">
        <v>456.97</v>
      </c>
      <c r="AL19" s="8">
        <v>59.76</v>
      </c>
      <c r="AM19" s="8">
        <v>143.13999999999999</v>
      </c>
      <c r="AN19" s="8">
        <v>277.95</v>
      </c>
      <c r="AO19" s="8"/>
      <c r="AP19" s="8">
        <v>352.83</v>
      </c>
      <c r="AQ19" s="8">
        <v>110.29</v>
      </c>
      <c r="AR19" s="8">
        <v>108.9</v>
      </c>
      <c r="AS19" s="8">
        <v>1555.99</v>
      </c>
      <c r="AT19" s="8">
        <v>1584.49</v>
      </c>
      <c r="AU19" s="8">
        <v>183.72</v>
      </c>
      <c r="AV19" s="8">
        <v>157.59</v>
      </c>
      <c r="AW19" s="8">
        <v>267.51</v>
      </c>
      <c r="AX19" s="8">
        <v>55.08</v>
      </c>
      <c r="AY19" s="8">
        <v>300.58</v>
      </c>
      <c r="AZ19" s="8">
        <v>1656.96</v>
      </c>
      <c r="BA19" s="8">
        <v>60.51</v>
      </c>
      <c r="BB19" s="8">
        <v>201.8</v>
      </c>
      <c r="BC19" s="8">
        <v>2766.04</v>
      </c>
      <c r="BD19" s="8">
        <v>780.65</v>
      </c>
      <c r="BE19" s="8">
        <v>227.13</v>
      </c>
      <c r="BF19" s="8"/>
      <c r="BG19" s="8"/>
      <c r="BH19" s="8">
        <v>2027.08</v>
      </c>
      <c r="BI19" s="8">
        <v>198.05</v>
      </c>
      <c r="BJ19" s="8"/>
      <c r="BK19" s="8"/>
      <c r="BL19" s="8"/>
      <c r="BN19" s="8"/>
      <c r="BO19" s="8"/>
      <c r="BP19" s="8"/>
      <c r="BQ19" s="8"/>
      <c r="CE19" s="1"/>
      <c r="CF19" s="1"/>
      <c r="CG19" s="1"/>
      <c r="CH19" s="1"/>
    </row>
    <row r="20" spans="1:86" x14ac:dyDescent="0.25">
      <c r="A20" s="70">
        <v>43647</v>
      </c>
      <c r="B20" s="8">
        <v>89.9</v>
      </c>
      <c r="C20" s="8">
        <v>73.81</v>
      </c>
      <c r="D20" s="8">
        <v>111.22</v>
      </c>
      <c r="E20" s="8">
        <v>113.58</v>
      </c>
      <c r="F20" s="8">
        <v>156.16999999999999</v>
      </c>
      <c r="G20" s="8">
        <v>78.180000000000007</v>
      </c>
      <c r="H20" s="8">
        <v>109.58</v>
      </c>
      <c r="I20" s="8">
        <v>144.13999999999999</v>
      </c>
      <c r="J20" s="8">
        <v>106.44</v>
      </c>
      <c r="K20" s="8">
        <v>56.38</v>
      </c>
      <c r="L20" s="8">
        <v>638.42999999999995</v>
      </c>
      <c r="M20" s="8">
        <v>111.41</v>
      </c>
      <c r="N20" s="8">
        <v>957</v>
      </c>
      <c r="O20" s="8">
        <v>542.03</v>
      </c>
      <c r="P20" s="8">
        <v>15.42</v>
      </c>
      <c r="Q20" s="8">
        <v>199.52</v>
      </c>
      <c r="R20" s="8">
        <v>336.74</v>
      </c>
      <c r="S20" s="8">
        <v>841.95</v>
      </c>
      <c r="T20" s="8">
        <v>290.70999999999998</v>
      </c>
      <c r="U20" s="8">
        <v>163.09</v>
      </c>
      <c r="V20" s="8">
        <v>957</v>
      </c>
      <c r="W20" s="8">
        <v>158.66999999999999</v>
      </c>
      <c r="X20" s="8">
        <v>1415.87</v>
      </c>
      <c r="Y20" s="8">
        <v>67.89</v>
      </c>
      <c r="Z20" s="8">
        <v>127.92</v>
      </c>
      <c r="AA20" s="8">
        <v>90.55</v>
      </c>
      <c r="AB20" s="8">
        <v>132.66999999999999</v>
      </c>
      <c r="AC20" s="8">
        <v>104.67</v>
      </c>
      <c r="AD20" s="8">
        <v>128.08000000000001</v>
      </c>
      <c r="AE20" s="8">
        <v>177.37</v>
      </c>
      <c r="AF20" s="8">
        <v>953.94</v>
      </c>
      <c r="AG20" s="8">
        <v>25.78</v>
      </c>
      <c r="AH20" s="8">
        <v>152.71</v>
      </c>
      <c r="AI20" s="8">
        <v>1469.49</v>
      </c>
      <c r="AJ20" s="8">
        <v>528.67999999999995</v>
      </c>
      <c r="AK20" s="8">
        <v>482.41</v>
      </c>
      <c r="AL20" s="8">
        <v>131.91999999999999</v>
      </c>
      <c r="AM20" s="8">
        <v>150.82</v>
      </c>
      <c r="AN20" s="8">
        <v>298.99</v>
      </c>
      <c r="AO20" s="8">
        <v>97.03</v>
      </c>
      <c r="AP20" s="8">
        <v>235.88</v>
      </c>
      <c r="AQ20" s="8">
        <v>123.72</v>
      </c>
      <c r="AR20" s="8">
        <v>108.83</v>
      </c>
      <c r="AS20" s="8">
        <v>1080.9000000000001</v>
      </c>
      <c r="AT20" s="8">
        <v>1334.03</v>
      </c>
      <c r="AU20" s="8">
        <v>382.62</v>
      </c>
      <c r="AV20" s="8">
        <v>377.3</v>
      </c>
      <c r="AW20" s="8">
        <v>200.43</v>
      </c>
      <c r="AX20" s="8">
        <v>55.37</v>
      </c>
      <c r="AY20" s="8">
        <v>333.61</v>
      </c>
      <c r="AZ20" s="8">
        <v>2730.36</v>
      </c>
      <c r="BA20" s="8">
        <v>62.64</v>
      </c>
      <c r="BB20" s="8">
        <v>186.21</v>
      </c>
      <c r="BC20" s="8">
        <v>484.31</v>
      </c>
      <c r="BD20" s="8">
        <v>647.87</v>
      </c>
      <c r="BE20" s="8">
        <v>111.12</v>
      </c>
      <c r="BF20" s="8"/>
      <c r="BG20" s="8"/>
      <c r="BH20" s="8">
        <v>336.86</v>
      </c>
      <c r="BI20" s="8">
        <v>130.06</v>
      </c>
      <c r="BJ20" s="8"/>
      <c r="BK20" s="8"/>
      <c r="BL20" s="8"/>
      <c r="BN20" s="8"/>
      <c r="BO20" s="8"/>
      <c r="BP20" s="8"/>
      <c r="BQ20" s="8"/>
      <c r="CE20" s="1"/>
      <c r="CF20" s="1"/>
      <c r="CG20" s="1"/>
      <c r="CH20" s="1"/>
    </row>
    <row r="21" spans="1:86" x14ac:dyDescent="0.25">
      <c r="A21" s="70">
        <v>43678</v>
      </c>
      <c r="B21" s="8">
        <v>54.67</v>
      </c>
      <c r="C21" s="8">
        <v>101.76</v>
      </c>
      <c r="D21" s="8">
        <v>52.45</v>
      </c>
      <c r="E21" s="8">
        <v>99.27</v>
      </c>
      <c r="F21" s="8">
        <v>188.77</v>
      </c>
      <c r="G21" s="8">
        <v>99.26</v>
      </c>
      <c r="H21" s="8">
        <v>121.65</v>
      </c>
      <c r="I21" s="8">
        <v>170.08</v>
      </c>
      <c r="J21" s="8">
        <v>71.33</v>
      </c>
      <c r="K21" s="8">
        <v>58.29</v>
      </c>
      <c r="L21" s="8">
        <v>897.41</v>
      </c>
      <c r="M21" s="8">
        <v>99.67</v>
      </c>
      <c r="N21" s="8">
        <v>1463.63</v>
      </c>
      <c r="O21" s="8">
        <v>585.32000000000005</v>
      </c>
      <c r="P21" s="8">
        <v>199.38</v>
      </c>
      <c r="Q21" s="8">
        <v>156.77000000000001</v>
      </c>
      <c r="R21" s="8">
        <v>314.88</v>
      </c>
      <c r="S21" s="8">
        <v>997.11</v>
      </c>
      <c r="T21" s="8">
        <v>237.99</v>
      </c>
      <c r="U21" s="8">
        <v>151.91999999999999</v>
      </c>
      <c r="V21" s="8">
        <v>1952.13</v>
      </c>
      <c r="W21" s="8">
        <v>195.65</v>
      </c>
      <c r="X21" s="8">
        <v>1488.34</v>
      </c>
      <c r="Y21" s="8">
        <v>67.23</v>
      </c>
      <c r="Z21" s="8">
        <v>148.41</v>
      </c>
      <c r="AA21" s="8">
        <v>93.66</v>
      </c>
      <c r="AB21" s="8">
        <v>115.02</v>
      </c>
      <c r="AC21" s="8">
        <v>88.84</v>
      </c>
      <c r="AD21" s="8">
        <v>125.75</v>
      </c>
      <c r="AE21" s="8">
        <v>232.56</v>
      </c>
      <c r="AF21" s="8">
        <v>880.11</v>
      </c>
      <c r="AG21" s="8">
        <v>26.82</v>
      </c>
      <c r="AH21" s="8">
        <v>219.19</v>
      </c>
      <c r="AI21" s="8">
        <v>1279.33</v>
      </c>
      <c r="AJ21" s="8">
        <v>511.21</v>
      </c>
      <c r="AK21" s="8">
        <v>464.98</v>
      </c>
      <c r="AL21" s="8">
        <v>63.56</v>
      </c>
      <c r="AM21" s="8">
        <v>168.23</v>
      </c>
      <c r="AN21" s="8">
        <v>274.32</v>
      </c>
      <c r="AO21" s="8">
        <v>267.79000000000002</v>
      </c>
      <c r="AP21" s="8">
        <v>210.11</v>
      </c>
      <c r="AQ21" s="8">
        <v>140.81</v>
      </c>
      <c r="AR21" s="8">
        <v>126.03</v>
      </c>
      <c r="AS21" s="8">
        <v>1088.98</v>
      </c>
      <c r="AT21" s="8">
        <v>1378.01</v>
      </c>
      <c r="AU21" s="8">
        <v>243.23</v>
      </c>
      <c r="AV21" s="8">
        <v>504.77</v>
      </c>
      <c r="AW21" s="8">
        <v>303.43</v>
      </c>
      <c r="AX21" s="8">
        <v>66.010000000000005</v>
      </c>
      <c r="AY21" s="8">
        <v>359.6</v>
      </c>
      <c r="AZ21" s="8">
        <v>663.46</v>
      </c>
      <c r="BA21" s="8">
        <v>75.83</v>
      </c>
      <c r="BB21" s="8">
        <v>97.95</v>
      </c>
      <c r="BC21" s="8">
        <v>564.39</v>
      </c>
      <c r="BD21" s="8"/>
      <c r="BE21" s="8">
        <v>76.349999999999994</v>
      </c>
      <c r="BF21" s="8">
        <v>88.63</v>
      </c>
      <c r="BG21" s="8"/>
      <c r="BH21" s="8">
        <v>392.39</v>
      </c>
      <c r="BI21" s="8">
        <v>122.58</v>
      </c>
      <c r="BJ21" s="8"/>
      <c r="BK21" s="8"/>
      <c r="BL21" s="8"/>
      <c r="BN21" s="8"/>
      <c r="BO21" s="8"/>
      <c r="BP21" s="8"/>
      <c r="BQ21" s="8"/>
      <c r="CE21" s="1"/>
      <c r="CF21" s="1"/>
      <c r="CG21" s="1"/>
      <c r="CH21" s="1"/>
    </row>
    <row r="22" spans="1:86" x14ac:dyDescent="0.25">
      <c r="A22" s="70">
        <v>43709</v>
      </c>
      <c r="B22" s="8">
        <v>49.82</v>
      </c>
      <c r="C22" s="8">
        <v>86.15</v>
      </c>
      <c r="D22" s="8">
        <v>54.13</v>
      </c>
      <c r="E22" s="8">
        <v>67.739999999999995</v>
      </c>
      <c r="F22" s="8">
        <v>117.13</v>
      </c>
      <c r="G22" s="8">
        <v>85.61</v>
      </c>
      <c r="H22" s="8">
        <v>74.11</v>
      </c>
      <c r="I22" s="8">
        <v>118.7</v>
      </c>
      <c r="J22" s="8">
        <v>38.25</v>
      </c>
      <c r="K22" s="8">
        <v>58.16</v>
      </c>
      <c r="L22" s="8"/>
      <c r="M22" s="8">
        <v>72.12</v>
      </c>
      <c r="N22" s="8">
        <v>572.11</v>
      </c>
      <c r="O22" s="8">
        <v>284.62</v>
      </c>
      <c r="P22" s="8">
        <v>188.61</v>
      </c>
      <c r="Q22" s="8">
        <v>106.89</v>
      </c>
      <c r="R22" s="8">
        <v>259.8</v>
      </c>
      <c r="S22" s="8">
        <v>186.52</v>
      </c>
      <c r="T22" s="8">
        <v>434.24</v>
      </c>
      <c r="U22" s="8">
        <v>161.57</v>
      </c>
      <c r="V22" s="8">
        <v>851.77</v>
      </c>
      <c r="W22" s="8"/>
      <c r="X22" s="8"/>
      <c r="Y22" s="8">
        <v>73.47</v>
      </c>
      <c r="Z22" s="8">
        <v>138.76</v>
      </c>
      <c r="AA22" s="8">
        <v>88.57</v>
      </c>
      <c r="AB22" s="8">
        <v>69.89</v>
      </c>
      <c r="AC22" s="8">
        <v>123.34</v>
      </c>
      <c r="AD22" s="8">
        <v>132.49</v>
      </c>
      <c r="AE22" s="8">
        <v>635.03</v>
      </c>
      <c r="AF22" s="8">
        <v>349.05</v>
      </c>
      <c r="AG22" s="8"/>
      <c r="AH22" s="8"/>
      <c r="AI22" s="8">
        <v>449.72</v>
      </c>
      <c r="AJ22" s="8">
        <v>210.48</v>
      </c>
      <c r="AK22" s="8">
        <v>435.58</v>
      </c>
      <c r="AL22" s="8">
        <v>69.84</v>
      </c>
      <c r="AM22" s="8">
        <v>161.81</v>
      </c>
      <c r="AN22" s="8">
        <v>221.34</v>
      </c>
      <c r="AO22" s="8">
        <v>267.79000000000002</v>
      </c>
      <c r="AP22" s="8">
        <v>206</v>
      </c>
      <c r="AQ22" s="8">
        <v>139.18</v>
      </c>
      <c r="AR22" s="8">
        <v>116.38</v>
      </c>
      <c r="AS22" s="8">
        <v>621.96</v>
      </c>
      <c r="AT22" s="8">
        <v>1008.38</v>
      </c>
      <c r="AU22" s="8">
        <v>177.99</v>
      </c>
      <c r="AV22" s="8">
        <v>216.93</v>
      </c>
      <c r="AW22" s="8">
        <v>169.78</v>
      </c>
      <c r="AX22" s="8">
        <v>58.45</v>
      </c>
      <c r="AY22" s="8">
        <v>345.95</v>
      </c>
      <c r="AZ22" s="8">
        <v>717.45</v>
      </c>
      <c r="BA22" s="8"/>
      <c r="BB22" s="8"/>
      <c r="BC22" s="8">
        <v>698.52</v>
      </c>
      <c r="BD22" s="8">
        <v>235.36</v>
      </c>
      <c r="BE22" s="8">
        <v>73.13</v>
      </c>
      <c r="BF22" s="8">
        <v>88.16</v>
      </c>
      <c r="BG22" s="8">
        <v>501.16</v>
      </c>
      <c r="BH22" s="8">
        <v>314.01</v>
      </c>
      <c r="BI22" s="8">
        <v>142.54</v>
      </c>
      <c r="BJ22" s="8"/>
      <c r="BK22" s="8"/>
      <c r="BL22" s="8">
        <v>184.08</v>
      </c>
      <c r="BN22" s="8">
        <v>76.239999999999995</v>
      </c>
      <c r="BO22" s="8"/>
      <c r="BP22" s="8"/>
      <c r="BQ22" s="8"/>
      <c r="CE22" s="1"/>
      <c r="CF22" s="1"/>
      <c r="CG22" s="1"/>
      <c r="CH22" s="1"/>
    </row>
    <row r="23" spans="1:86" x14ac:dyDescent="0.25">
      <c r="A23" s="70">
        <v>43739</v>
      </c>
      <c r="B23" s="8">
        <v>49.71</v>
      </c>
      <c r="C23" s="8">
        <v>89.56</v>
      </c>
      <c r="D23" s="8">
        <v>54.14</v>
      </c>
      <c r="E23" s="8">
        <v>53.3</v>
      </c>
      <c r="F23" s="8">
        <v>165.11</v>
      </c>
      <c r="G23" s="8">
        <v>90.63</v>
      </c>
      <c r="H23" s="8">
        <v>60.33</v>
      </c>
      <c r="I23" s="8">
        <v>155.72999999999999</v>
      </c>
      <c r="J23" s="8">
        <v>88.35</v>
      </c>
      <c r="K23" s="8">
        <v>62.9</v>
      </c>
      <c r="L23" s="8">
        <v>457.93</v>
      </c>
      <c r="M23" s="8">
        <v>78.12</v>
      </c>
      <c r="N23" s="8">
        <v>717.28</v>
      </c>
      <c r="O23" s="8">
        <v>560.15</v>
      </c>
      <c r="P23" s="8">
        <v>193.37</v>
      </c>
      <c r="Q23" s="8">
        <v>107</v>
      </c>
      <c r="R23" s="8">
        <v>262.38</v>
      </c>
      <c r="S23" s="8">
        <v>286.64999999999998</v>
      </c>
      <c r="T23" s="8">
        <v>216.15</v>
      </c>
      <c r="U23" s="8">
        <v>110.51</v>
      </c>
      <c r="V23" s="8">
        <v>1253.73</v>
      </c>
      <c r="W23" s="8"/>
      <c r="X23" s="8"/>
      <c r="Y23" s="8">
        <v>73.41</v>
      </c>
      <c r="Z23" s="8">
        <v>142.49</v>
      </c>
      <c r="AA23" s="8">
        <v>126.61</v>
      </c>
      <c r="AB23" s="8">
        <v>308.48</v>
      </c>
      <c r="AC23" s="8">
        <v>225.92</v>
      </c>
      <c r="AD23" s="8">
        <v>95.84</v>
      </c>
      <c r="AE23" s="8">
        <v>241.56</v>
      </c>
      <c r="AF23" s="8">
        <v>438.56</v>
      </c>
      <c r="AG23" s="8"/>
      <c r="AH23" s="8"/>
      <c r="AI23" s="8">
        <v>508.99</v>
      </c>
      <c r="AJ23" s="8">
        <v>323.66000000000003</v>
      </c>
      <c r="AK23" s="8">
        <v>549.17999999999995</v>
      </c>
      <c r="AL23" s="8">
        <v>76.23</v>
      </c>
      <c r="AM23" s="8">
        <v>194.85</v>
      </c>
      <c r="AN23" s="8">
        <v>200.61</v>
      </c>
      <c r="AO23" s="8"/>
      <c r="AP23" s="8">
        <v>232.31</v>
      </c>
      <c r="AQ23" s="8">
        <v>137.04</v>
      </c>
      <c r="AR23" s="8">
        <v>117.49</v>
      </c>
      <c r="AS23" s="8">
        <v>469.63</v>
      </c>
      <c r="AT23" s="8">
        <v>1193.5</v>
      </c>
      <c r="AU23" s="8">
        <v>159.9</v>
      </c>
      <c r="AV23" s="8">
        <v>200.55</v>
      </c>
      <c r="AW23" s="8">
        <v>165.3</v>
      </c>
      <c r="AX23" s="8">
        <v>55.29</v>
      </c>
      <c r="AY23" s="8">
        <v>370.4</v>
      </c>
      <c r="AZ23" s="8">
        <v>845.01</v>
      </c>
      <c r="BA23" s="8"/>
      <c r="BB23" s="8"/>
      <c r="BC23" s="8">
        <v>909.94</v>
      </c>
      <c r="BD23" s="8">
        <v>250.77</v>
      </c>
      <c r="BE23" s="8">
        <v>76.319999999999993</v>
      </c>
      <c r="BF23" s="8">
        <v>91.39</v>
      </c>
      <c r="BG23" s="8">
        <v>563.92999999999995</v>
      </c>
      <c r="BH23" s="8">
        <v>377.81</v>
      </c>
      <c r="BI23" s="8">
        <v>142.57</v>
      </c>
      <c r="BJ23" s="8"/>
      <c r="BK23" s="8">
        <v>141.84</v>
      </c>
      <c r="BL23" s="8">
        <v>171.53</v>
      </c>
      <c r="BN23" s="8">
        <v>86.36</v>
      </c>
      <c r="BO23" s="8">
        <v>79.209999999999994</v>
      </c>
      <c r="BP23" s="8">
        <v>110.86</v>
      </c>
      <c r="BQ23" s="8">
        <v>120.77</v>
      </c>
      <c r="CE23" s="1"/>
      <c r="CF23" s="1"/>
      <c r="CG23" s="1"/>
      <c r="CH23" s="1"/>
    </row>
    <row r="24" spans="1:86" x14ac:dyDescent="0.25">
      <c r="A24" s="70">
        <v>43770</v>
      </c>
      <c r="BE24" s="8"/>
      <c r="BF24" s="8"/>
      <c r="BG24" s="8"/>
      <c r="CE24" s="1"/>
      <c r="CF24" s="1"/>
      <c r="CG24" s="1"/>
      <c r="CH24" s="1"/>
    </row>
    <row r="25" spans="1:86" x14ac:dyDescent="0.25">
      <c r="A25" s="70">
        <v>43800</v>
      </c>
      <c r="CE25" s="1"/>
      <c r="CF25" s="1"/>
      <c r="CG25" s="1"/>
      <c r="CH25" s="1"/>
    </row>
    <row r="26" spans="1:86" x14ac:dyDescent="0.25">
      <c r="A26" s="70">
        <v>43831</v>
      </c>
      <c r="CE26" s="1"/>
      <c r="CF26" s="1"/>
      <c r="CG26" s="1"/>
      <c r="CH26" s="1"/>
    </row>
    <row r="27" spans="1:86" x14ac:dyDescent="0.25">
      <c r="A27" s="70">
        <v>43862</v>
      </c>
      <c r="CE27" s="1"/>
      <c r="CF27" s="1"/>
      <c r="CG27" s="1"/>
      <c r="CH27" s="1"/>
    </row>
    <row r="28" spans="1:86" x14ac:dyDescent="0.25">
      <c r="A28" s="70">
        <v>43891</v>
      </c>
      <c r="CE28" s="1"/>
      <c r="CF28" s="1"/>
      <c r="CG28" s="1"/>
      <c r="CH28" s="1"/>
    </row>
    <row r="29" spans="1:86" x14ac:dyDescent="0.25">
      <c r="A29" s="70">
        <v>43922</v>
      </c>
      <c r="CE29" s="1"/>
      <c r="CF29" s="1"/>
      <c r="CG29" s="1"/>
      <c r="CH29" s="1"/>
    </row>
    <row r="30" spans="1:86" x14ac:dyDescent="0.25">
      <c r="A30" s="70">
        <v>43952</v>
      </c>
      <c r="CE30" s="1"/>
      <c r="CF30" s="1"/>
      <c r="CG30" s="1"/>
      <c r="CH30" s="1"/>
    </row>
    <row r="31" spans="1:86" x14ac:dyDescent="0.25">
      <c r="A31" s="70">
        <v>43983</v>
      </c>
      <c r="CE31" s="1"/>
      <c r="CF31" s="1"/>
      <c r="CG31" s="1"/>
      <c r="CH31" s="1"/>
    </row>
    <row r="32" spans="1:86" x14ac:dyDescent="0.25">
      <c r="A32" s="70">
        <v>44013</v>
      </c>
      <c r="CE32" s="1"/>
      <c r="CF32" s="1"/>
      <c r="CG32" s="1"/>
      <c r="CH32" s="1"/>
    </row>
    <row r="33" spans="1:86" x14ac:dyDescent="0.25">
      <c r="A33" s="70">
        <v>44044</v>
      </c>
      <c r="CE33" s="1"/>
      <c r="CF33" s="1"/>
      <c r="CG33" s="1"/>
      <c r="CH33" s="1"/>
    </row>
    <row r="34" spans="1:86" x14ac:dyDescent="0.25">
      <c r="A34" s="70">
        <v>44075</v>
      </c>
      <c r="CE34" s="1"/>
      <c r="CF34" s="1"/>
      <c r="CG34" s="1"/>
      <c r="CH34" s="1"/>
    </row>
    <row r="35" spans="1:86" x14ac:dyDescent="0.25">
      <c r="A35" s="70">
        <v>44105</v>
      </c>
      <c r="CE35" s="1"/>
      <c r="CF35" s="1"/>
      <c r="CG35" s="1"/>
      <c r="CH35" s="1"/>
    </row>
    <row r="36" spans="1:86" x14ac:dyDescent="0.25">
      <c r="A36" s="70">
        <v>44136</v>
      </c>
      <c r="CE36" s="1"/>
      <c r="CF36" s="1"/>
      <c r="CG36" s="1"/>
      <c r="CH36" s="1"/>
    </row>
    <row r="37" spans="1:86" x14ac:dyDescent="0.25">
      <c r="A37" s="70">
        <v>44166</v>
      </c>
      <c r="CE37" s="1"/>
      <c r="CF37" s="1"/>
      <c r="CG37" s="1"/>
      <c r="CH37" s="1"/>
    </row>
    <row r="38" spans="1:86" x14ac:dyDescent="0.25">
      <c r="A38" s="70">
        <v>44197</v>
      </c>
      <c r="CE38" s="1"/>
      <c r="CF38" s="1"/>
      <c r="CG38" s="1"/>
      <c r="CH38" s="1"/>
    </row>
    <row r="39" spans="1:86" x14ac:dyDescent="0.25">
      <c r="A39" s="70">
        <v>44228</v>
      </c>
      <c r="CE39" s="1"/>
      <c r="CF39" s="1"/>
      <c r="CG39" s="1"/>
      <c r="CH39" s="1"/>
    </row>
    <row r="40" spans="1:86" x14ac:dyDescent="0.25">
      <c r="A40" s="70">
        <v>44256</v>
      </c>
      <c r="CE40" s="1"/>
      <c r="CF40" s="1"/>
      <c r="CG40" s="1"/>
      <c r="CH40" s="1"/>
    </row>
    <row r="41" spans="1:86" x14ac:dyDescent="0.25">
      <c r="A41" s="70">
        <v>44287</v>
      </c>
      <c r="CE41" s="1"/>
      <c r="CF41" s="1"/>
      <c r="CG41" s="1"/>
      <c r="CH41" s="1"/>
    </row>
    <row r="42" spans="1:86" x14ac:dyDescent="0.25">
      <c r="A42" s="70">
        <v>44317</v>
      </c>
      <c r="CE42" s="1"/>
      <c r="CF42" s="1"/>
      <c r="CG42" s="1"/>
      <c r="CH42" s="1"/>
    </row>
    <row r="43" spans="1:86" x14ac:dyDescent="0.25">
      <c r="A43" s="70">
        <v>44348</v>
      </c>
      <c r="CE43" s="1"/>
      <c r="CF43" s="1"/>
      <c r="CG43" s="1"/>
      <c r="CH43" s="1"/>
    </row>
    <row r="44" spans="1:86" x14ac:dyDescent="0.25">
      <c r="A44" s="70">
        <v>44378</v>
      </c>
      <c r="CE44" s="1"/>
      <c r="CF44" s="1"/>
      <c r="CG44" s="1"/>
      <c r="CH44" s="1"/>
    </row>
    <row r="45" spans="1:86" x14ac:dyDescent="0.25">
      <c r="A45" s="70">
        <v>44409</v>
      </c>
      <c r="CE45" s="1"/>
      <c r="CF45" s="1"/>
      <c r="CG45" s="1"/>
      <c r="CH45" s="1"/>
    </row>
    <row r="46" spans="1:86" x14ac:dyDescent="0.25">
      <c r="A46" s="70">
        <v>44440</v>
      </c>
      <c r="CE46" s="1"/>
      <c r="CF46" s="1"/>
      <c r="CG46" s="1"/>
      <c r="CH46" s="1"/>
    </row>
    <row r="47" spans="1:86" x14ac:dyDescent="0.25">
      <c r="A47" s="70">
        <v>44470</v>
      </c>
      <c r="CE47" s="1"/>
      <c r="CF47" s="1"/>
      <c r="CG47" s="1"/>
      <c r="CH47" s="1"/>
    </row>
    <row r="48" spans="1:86" x14ac:dyDescent="0.25">
      <c r="A48" s="70">
        <v>44501</v>
      </c>
      <c r="CE48" s="1"/>
      <c r="CF48" s="1"/>
      <c r="CG48" s="1"/>
      <c r="CH48" s="1"/>
    </row>
    <row r="49" spans="1:86" x14ac:dyDescent="0.25">
      <c r="A49" s="70">
        <v>44531</v>
      </c>
      <c r="CE49" s="1"/>
      <c r="CF49" s="1"/>
      <c r="CG49" s="1"/>
      <c r="CH49" s="1"/>
    </row>
    <row r="50" spans="1:86" x14ac:dyDescent="0.25">
      <c r="A50" s="70">
        <v>44562</v>
      </c>
      <c r="CE50" s="1"/>
      <c r="CF50" s="1"/>
      <c r="CG50" s="1"/>
      <c r="CH50" s="1"/>
    </row>
    <row r="51" spans="1:86" x14ac:dyDescent="0.25">
      <c r="A51" s="70">
        <v>44593</v>
      </c>
      <c r="CE51" s="1"/>
      <c r="CF51" s="1"/>
      <c r="CG51" s="1"/>
      <c r="CH51" s="1"/>
    </row>
    <row r="52" spans="1:86" x14ac:dyDescent="0.25">
      <c r="A52" s="70">
        <v>44621</v>
      </c>
      <c r="CE52" s="1"/>
      <c r="CF52" s="1"/>
      <c r="CG52" s="1"/>
      <c r="CH52" s="1"/>
    </row>
    <row r="53" spans="1:86" x14ac:dyDescent="0.25">
      <c r="A53" s="70">
        <v>44652</v>
      </c>
      <c r="CE53" s="1"/>
      <c r="CF53" s="1"/>
      <c r="CG53" s="1"/>
      <c r="CH53" s="1"/>
    </row>
    <row r="54" spans="1:86" x14ac:dyDescent="0.25">
      <c r="A54" s="70">
        <v>44682</v>
      </c>
      <c r="CE54" s="1"/>
      <c r="CF54" s="1"/>
      <c r="CG54" s="1"/>
      <c r="CH54" s="1"/>
    </row>
    <row r="55" spans="1:86" x14ac:dyDescent="0.25">
      <c r="A55" s="70">
        <v>44713</v>
      </c>
      <c r="CE55" s="1"/>
      <c r="CF55" s="1"/>
      <c r="CG55" s="1"/>
      <c r="CH55" s="1"/>
    </row>
    <row r="56" spans="1:86" x14ac:dyDescent="0.25">
      <c r="A56" s="70">
        <v>44743</v>
      </c>
      <c r="CE56" s="1"/>
      <c r="CF56" s="1"/>
      <c r="CG56" s="1"/>
      <c r="CH56" s="1"/>
    </row>
    <row r="57" spans="1:86" x14ac:dyDescent="0.25">
      <c r="A57" s="70">
        <v>44774</v>
      </c>
      <c r="CE57" s="1"/>
      <c r="CF57" s="1"/>
      <c r="CG57" s="1"/>
      <c r="CH57" s="1"/>
    </row>
    <row r="58" spans="1:86" x14ac:dyDescent="0.25">
      <c r="A58" s="70">
        <v>44805</v>
      </c>
      <c r="CE58" s="1"/>
      <c r="CF58" s="1"/>
      <c r="CG58" s="1"/>
      <c r="CH58" s="1"/>
    </row>
    <row r="59" spans="1:86" x14ac:dyDescent="0.25">
      <c r="A59" s="70">
        <v>44835</v>
      </c>
      <c r="CE59" s="1"/>
      <c r="CF59" s="1"/>
      <c r="CG59" s="1"/>
      <c r="CH59" s="1"/>
    </row>
    <row r="60" spans="1:86" x14ac:dyDescent="0.25">
      <c r="A60" s="70">
        <v>44866</v>
      </c>
      <c r="CE60" s="1"/>
      <c r="CF60" s="1"/>
      <c r="CG60" s="1"/>
      <c r="CH60" s="1"/>
    </row>
    <row r="61" spans="1:86" x14ac:dyDescent="0.25">
      <c r="A61" s="70">
        <v>44896</v>
      </c>
      <c r="CE61" s="1"/>
      <c r="CF61" s="1"/>
      <c r="CG61" s="1"/>
      <c r="CH61" s="1"/>
    </row>
    <row r="62" spans="1:86" x14ac:dyDescent="0.25">
      <c r="A62" s="70">
        <v>44927</v>
      </c>
      <c r="CE62" s="1"/>
      <c r="CF62" s="1"/>
      <c r="CG62" s="1"/>
      <c r="CH62" s="1"/>
    </row>
    <row r="63" spans="1:86" x14ac:dyDescent="0.25">
      <c r="A63" s="70">
        <v>44958</v>
      </c>
      <c r="CE63" s="1"/>
      <c r="CF63" s="1"/>
      <c r="CG63" s="1"/>
      <c r="CH63" s="1"/>
    </row>
    <row r="64" spans="1:86" x14ac:dyDescent="0.25">
      <c r="A64" s="70">
        <v>44986</v>
      </c>
      <c r="CE64" s="1"/>
      <c r="CF64" s="1"/>
      <c r="CG64" s="1"/>
      <c r="CH64" s="1"/>
    </row>
    <row r="65" spans="1:86" x14ac:dyDescent="0.25">
      <c r="A65" s="70">
        <v>45017</v>
      </c>
      <c r="CE65" s="1"/>
      <c r="CF65" s="1"/>
      <c r="CG65" s="1"/>
      <c r="CH65" s="1"/>
    </row>
    <row r="66" spans="1:86" x14ac:dyDescent="0.25">
      <c r="A66" s="70">
        <v>45047</v>
      </c>
      <c r="CE66" s="1"/>
      <c r="CF66" s="1"/>
      <c r="CG66" s="1"/>
      <c r="CH66" s="1"/>
    </row>
    <row r="67" spans="1:86" x14ac:dyDescent="0.25">
      <c r="A67" s="70">
        <v>45078</v>
      </c>
      <c r="CE67" s="1"/>
      <c r="CF67" s="1"/>
      <c r="CG67" s="1"/>
      <c r="CH67" s="1"/>
    </row>
    <row r="68" spans="1:86" x14ac:dyDescent="0.25">
      <c r="A68" s="70">
        <v>45108</v>
      </c>
      <c r="CE68" s="1"/>
      <c r="CF68" s="1"/>
      <c r="CG68" s="1"/>
      <c r="CH68" s="1"/>
    </row>
    <row r="69" spans="1:86" x14ac:dyDescent="0.25">
      <c r="A69" s="70">
        <v>45139</v>
      </c>
      <c r="CE69" s="1"/>
      <c r="CF69" s="1"/>
      <c r="CG69" s="1"/>
      <c r="CH69" s="1"/>
    </row>
    <row r="70" spans="1:86" x14ac:dyDescent="0.25">
      <c r="A70" s="70">
        <v>45170</v>
      </c>
      <c r="CE70" s="1"/>
      <c r="CF70" s="1"/>
      <c r="CG70" s="1"/>
      <c r="CH70" s="1"/>
    </row>
    <row r="71" spans="1:86" x14ac:dyDescent="0.25">
      <c r="A71" s="70">
        <v>45200</v>
      </c>
      <c r="CE71" s="1"/>
      <c r="CF71" s="1"/>
      <c r="CG71" s="1"/>
      <c r="CH71" s="1"/>
    </row>
    <row r="72" spans="1:86" x14ac:dyDescent="0.25">
      <c r="A72" s="70">
        <v>45231</v>
      </c>
      <c r="CE72" s="1"/>
      <c r="CF72" s="1"/>
      <c r="CG72" s="1"/>
      <c r="CH72" s="1"/>
    </row>
    <row r="73" spans="1:86" x14ac:dyDescent="0.25">
      <c r="A73" s="70">
        <v>45261</v>
      </c>
      <c r="CE73" s="1"/>
      <c r="CF73" s="1"/>
      <c r="CG73" s="1"/>
      <c r="CH73" s="1"/>
    </row>
    <row r="74" spans="1:86" x14ac:dyDescent="0.25">
      <c r="A74" s="70">
        <v>45292</v>
      </c>
      <c r="CE74" s="1"/>
      <c r="CF74" s="1"/>
      <c r="CG74" s="1"/>
      <c r="CH74" s="1"/>
    </row>
    <row r="75" spans="1:86" x14ac:dyDescent="0.25">
      <c r="A75" s="70">
        <v>45323</v>
      </c>
      <c r="CE75" s="1"/>
      <c r="CF75" s="1"/>
      <c r="CG75" s="1"/>
      <c r="CH75" s="1"/>
    </row>
    <row r="76" spans="1:86" x14ac:dyDescent="0.25">
      <c r="A76" s="70">
        <v>45352</v>
      </c>
      <c r="CE76" s="1"/>
      <c r="CF76" s="1"/>
      <c r="CG76" s="1"/>
      <c r="CH76" s="1"/>
    </row>
    <row r="77" spans="1:86" x14ac:dyDescent="0.25">
      <c r="A77" s="70">
        <v>45383</v>
      </c>
      <c r="CE77" s="1"/>
      <c r="CF77" s="1"/>
      <c r="CG77" s="1"/>
      <c r="CH77" s="1"/>
    </row>
    <row r="78" spans="1:86" x14ac:dyDescent="0.25">
      <c r="A78" s="70">
        <v>45413</v>
      </c>
      <c r="CE78" s="1"/>
      <c r="CF78" s="1"/>
      <c r="CG78" s="1"/>
      <c r="CH78" s="1"/>
    </row>
    <row r="79" spans="1:86" x14ac:dyDescent="0.25">
      <c r="A79" s="70">
        <v>45444</v>
      </c>
      <c r="CE79" s="1"/>
      <c r="CF79" s="1"/>
      <c r="CG79" s="1"/>
      <c r="CH79" s="1"/>
    </row>
    <row r="80" spans="1:86" x14ac:dyDescent="0.25">
      <c r="A80" s="70">
        <v>45474</v>
      </c>
      <c r="CE80" s="1"/>
      <c r="CF80" s="1"/>
      <c r="CG80" s="1"/>
      <c r="CH80" s="1"/>
    </row>
    <row r="81" spans="1:86" x14ac:dyDescent="0.25">
      <c r="A81" s="70">
        <v>45505</v>
      </c>
      <c r="CE81" s="1"/>
      <c r="CF81" s="1"/>
      <c r="CG81" s="1"/>
      <c r="CH81" s="1"/>
    </row>
    <row r="82" spans="1:86" x14ac:dyDescent="0.25">
      <c r="A82" s="70">
        <v>45536</v>
      </c>
      <c r="CE82" s="1"/>
      <c r="CF82" s="1"/>
      <c r="CG82" s="1"/>
      <c r="CH82" s="1"/>
    </row>
    <row r="83" spans="1:86" x14ac:dyDescent="0.25">
      <c r="A83" s="70">
        <v>45566</v>
      </c>
      <c r="CE83" s="1"/>
      <c r="CF83" s="1"/>
      <c r="CG83" s="1"/>
      <c r="CH83" s="1"/>
    </row>
    <row r="84" spans="1:86" x14ac:dyDescent="0.25">
      <c r="A84" s="70">
        <v>45597</v>
      </c>
      <c r="CE84" s="1"/>
      <c r="CF84" s="1"/>
      <c r="CG84" s="1"/>
      <c r="CH84" s="1"/>
    </row>
    <row r="85" spans="1:86" x14ac:dyDescent="0.25">
      <c r="A85" s="70">
        <v>45627</v>
      </c>
      <c r="CE85" s="1"/>
      <c r="CF85" s="1"/>
      <c r="CG85" s="1"/>
      <c r="CH85" s="1"/>
    </row>
    <row r="86" spans="1:86" x14ac:dyDescent="0.25">
      <c r="A86" s="70">
        <v>45658</v>
      </c>
    </row>
    <row r="87" spans="1:86" x14ac:dyDescent="0.25">
      <c r="A87" s="70">
        <v>45689</v>
      </c>
    </row>
    <row r="88" spans="1:86" x14ac:dyDescent="0.25">
      <c r="A88" s="70">
        <v>45717</v>
      </c>
    </row>
    <row r="89" spans="1:86" x14ac:dyDescent="0.25">
      <c r="A89" s="70">
        <v>45748</v>
      </c>
    </row>
    <row r="90" spans="1:86" x14ac:dyDescent="0.25">
      <c r="A90" s="70">
        <v>45778</v>
      </c>
    </row>
    <row r="91" spans="1:86" x14ac:dyDescent="0.25">
      <c r="A91" s="70">
        <v>45809</v>
      </c>
    </row>
    <row r="92" spans="1:86" x14ac:dyDescent="0.25">
      <c r="A92" s="70">
        <v>45839</v>
      </c>
    </row>
    <row r="93" spans="1:86" x14ac:dyDescent="0.25">
      <c r="A93" s="70">
        <v>45870</v>
      </c>
    </row>
    <row r="94" spans="1:86" x14ac:dyDescent="0.25">
      <c r="A94" s="70">
        <v>45901</v>
      </c>
    </row>
    <row r="95" spans="1:86" x14ac:dyDescent="0.25">
      <c r="A95" s="70">
        <v>45931</v>
      </c>
    </row>
    <row r="96" spans="1:86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dimension ref="A1:R42"/>
  <sheetViews>
    <sheetView showGridLines="0" tabSelected="1" workbookViewId="0">
      <selection activeCell="B1" sqref="B1:I1"/>
    </sheetView>
  </sheetViews>
  <sheetFormatPr defaultRowHeight="15" x14ac:dyDescent="0.25"/>
  <cols>
    <col min="1" max="1" width="5" bestFit="1" customWidth="1"/>
    <col min="2" max="2" width="20.42578125" bestFit="1" customWidth="1"/>
    <col min="3" max="15" width="7.5703125" bestFit="1" customWidth="1"/>
    <col min="16" max="16" width="17" bestFit="1" customWidth="1"/>
    <col min="17" max="17" width="16.5703125" bestFit="1" customWidth="1"/>
  </cols>
  <sheetData>
    <row r="1" spans="1:18" ht="24" thickBot="1" x14ac:dyDescent="0.3">
      <c r="B1" s="130" t="s">
        <v>256</v>
      </c>
      <c r="C1" s="131"/>
      <c r="D1" s="131"/>
      <c r="E1" s="131"/>
      <c r="F1" s="131"/>
      <c r="G1" s="131"/>
      <c r="H1" s="131"/>
      <c r="I1" s="132"/>
    </row>
    <row r="2" spans="1:18" ht="15.75" thickBot="1" x14ac:dyDescent="0.3">
      <c r="B2" s="93" t="s">
        <v>404</v>
      </c>
      <c r="C2" s="94">
        <f>VLOOKUP($B$1,Tabela14[[#All],[Cliente]:[Pot.do módulo]],2,0)</f>
        <v>12</v>
      </c>
      <c r="D2" s="133" t="s">
        <v>405</v>
      </c>
      <c r="E2" s="134"/>
      <c r="F2" s="135"/>
      <c r="G2" s="94">
        <f>VLOOKUP($B$1,Tabela14[[#All],[Cliente]:[Pot.do módulo]],3,0)</f>
        <v>330</v>
      </c>
      <c r="H2" s="133" t="s">
        <v>406</v>
      </c>
      <c r="I2" s="134"/>
      <c r="J2" s="135"/>
      <c r="K2" s="95">
        <f>VLOOKUP($B$1,Tabela14[[#All],[Cliente]:[Potência]],4,0)</f>
        <v>3.96</v>
      </c>
    </row>
    <row r="3" spans="1:18" ht="15.75" thickBot="1" x14ac:dyDescent="0.3">
      <c r="B3" s="12"/>
      <c r="C3" s="91">
        <v>1</v>
      </c>
      <c r="D3" s="91">
        <v>2</v>
      </c>
      <c r="E3" s="92">
        <v>3</v>
      </c>
      <c r="F3" s="91">
        <v>4</v>
      </c>
      <c r="G3" s="92">
        <v>5</v>
      </c>
      <c r="H3" s="91">
        <v>6</v>
      </c>
      <c r="I3" s="92">
        <v>7</v>
      </c>
      <c r="J3" s="91">
        <v>8</v>
      </c>
      <c r="K3" s="92">
        <v>9</v>
      </c>
      <c r="L3" s="87">
        <v>10</v>
      </c>
      <c r="M3" s="90">
        <v>11</v>
      </c>
      <c r="N3" s="87">
        <v>12</v>
      </c>
      <c r="O3" s="12"/>
      <c r="P3" s="12"/>
      <c r="Q3" s="12"/>
    </row>
    <row r="4" spans="1:18" ht="15.75" thickBot="1" x14ac:dyDescent="0.3">
      <c r="B4" s="88" t="s">
        <v>458</v>
      </c>
      <c r="C4" s="88" t="s">
        <v>410</v>
      </c>
      <c r="D4" s="88" t="s">
        <v>411</v>
      </c>
      <c r="E4" s="89" t="s">
        <v>412</v>
      </c>
      <c r="F4" s="88" t="s">
        <v>413</v>
      </c>
      <c r="G4" s="89" t="s">
        <v>414</v>
      </c>
      <c r="H4" s="88" t="s">
        <v>415</v>
      </c>
      <c r="I4" s="89" t="s">
        <v>416</v>
      </c>
      <c r="J4" s="88" t="s">
        <v>417</v>
      </c>
      <c r="K4" s="89" t="s">
        <v>418</v>
      </c>
      <c r="L4" s="88" t="s">
        <v>419</v>
      </c>
      <c r="M4" s="89" t="s">
        <v>420</v>
      </c>
      <c r="N4" s="86" t="s">
        <v>421</v>
      </c>
      <c r="O4" s="88" t="s">
        <v>401</v>
      </c>
      <c r="P4" s="88" t="s">
        <v>454</v>
      </c>
      <c r="Q4" s="89" t="s">
        <v>455</v>
      </c>
    </row>
    <row r="5" spans="1:18" ht="15.75" thickBot="1" x14ac:dyDescent="0.3">
      <c r="B5" s="88" t="s">
        <v>407</v>
      </c>
      <c r="C5" s="89">
        <f>VLOOKUP($B$1,Prev!$B$3:$O$98,2,0)</f>
        <v>530</v>
      </c>
      <c r="D5" s="88">
        <f>VLOOKUP($B$1,Prev!$B$3:$O$98,3,0)</f>
        <v>476</v>
      </c>
      <c r="E5" s="89">
        <f>VLOOKUP($B$1,Prev!$B$3:$O$98,4,0)</f>
        <v>502</v>
      </c>
      <c r="F5" s="88">
        <f>VLOOKUP($B$1,Prev!$B$3:$O$98,5,0)</f>
        <v>425</v>
      </c>
      <c r="G5" s="89">
        <f>VLOOKUP($B$1,Prev!$B$3:$O$98,6,0)</f>
        <v>373</v>
      </c>
      <c r="H5" s="88">
        <f>VLOOKUP($B$1,Prev!$B$3:$O$98,7,0)</f>
        <v>309</v>
      </c>
      <c r="I5" s="89">
        <f>VLOOKUP($B$1,Prev!$B$3:$O$98,8,0)</f>
        <v>351</v>
      </c>
      <c r="J5" s="88">
        <f>VLOOKUP($B$1,Prev!$B$3:$O$98,9,0)</f>
        <v>406</v>
      </c>
      <c r="K5" s="89">
        <f>VLOOKUP($B$1,Prev!$B$3:$O$98,10,0)</f>
        <v>387</v>
      </c>
      <c r="L5" s="88">
        <f>VLOOKUP($B$1,Prev!$B$3:$O$98,11,0)</f>
        <v>466</v>
      </c>
      <c r="M5" s="89">
        <f>VLOOKUP($B$1,Prev!$B$3:$O$98,12,0)</f>
        <v>506</v>
      </c>
      <c r="N5" s="86">
        <f>VLOOKUP($B$1,Prev!$B$3:$O$98,13,0)</f>
        <v>539</v>
      </c>
      <c r="O5" s="88">
        <f>ROUNDDOWN(AVERAGE(C5:N5),1)</f>
        <v>439.1</v>
      </c>
      <c r="P5" s="128">
        <f>AVERAGE(P7,P11,P15,P19,P23,P27,P31)</f>
        <v>1.2469824641311775</v>
      </c>
      <c r="Q5" s="128">
        <f>AVERAGE(Q7,Q11,Q17,Q21,Q25,Q29,Q33)</f>
        <v>0.85060350717376443</v>
      </c>
      <c r="R5" s="162" t="s">
        <v>460</v>
      </c>
    </row>
    <row r="6" spans="1:18" ht="15.75" thickBot="1" x14ac:dyDescent="0.3">
      <c r="B6" s="88" t="s">
        <v>459</v>
      </c>
      <c r="C6" s="127">
        <f t="shared" ref="C6:N8" si="0">IF(C5="","",C5/$C$2)</f>
        <v>44.166666666666664</v>
      </c>
      <c r="D6" s="127">
        <f t="shared" si="0"/>
        <v>39.666666666666664</v>
      </c>
      <c r="E6" s="127">
        <f t="shared" si="0"/>
        <v>41.833333333333336</v>
      </c>
      <c r="F6" s="127">
        <f t="shared" si="0"/>
        <v>35.416666666666664</v>
      </c>
      <c r="G6" s="127">
        <f t="shared" si="0"/>
        <v>31.083333333333332</v>
      </c>
      <c r="H6" s="127">
        <f t="shared" si="0"/>
        <v>25.75</v>
      </c>
      <c r="I6" s="127">
        <f t="shared" si="0"/>
        <v>29.25</v>
      </c>
      <c r="J6" s="127">
        <f t="shared" si="0"/>
        <v>33.833333333333336</v>
      </c>
      <c r="K6" s="127">
        <f t="shared" si="0"/>
        <v>32.25</v>
      </c>
      <c r="L6" s="127">
        <f t="shared" si="0"/>
        <v>38.833333333333336</v>
      </c>
      <c r="M6" s="127">
        <f t="shared" si="0"/>
        <v>42.166666666666664</v>
      </c>
      <c r="N6" s="127">
        <f t="shared" si="0"/>
        <v>44.916666666666664</v>
      </c>
      <c r="O6" s="88">
        <f>ROUNDDOWN(AVERAGE(C6:N6),1)</f>
        <v>36.5</v>
      </c>
      <c r="P6" s="129"/>
      <c r="Q6" s="129"/>
      <c r="R6" s="163"/>
    </row>
    <row r="7" spans="1:18" x14ac:dyDescent="0.25">
      <c r="A7" s="115">
        <v>2018</v>
      </c>
      <c r="B7" s="121" t="s">
        <v>408</v>
      </c>
      <c r="C7" s="106" t="str">
        <f>IF(HLOOKUP($B$1,Tabela5[#All],1+C$3,0)=0,"",HLOOKUP($B$1,Tabela5[#All],1+C$3,0))</f>
        <v/>
      </c>
      <c r="D7" s="82" t="str">
        <f>IF(HLOOKUP($B$1,Tabela5[#All],1+D$3,0)=0,"",HLOOKUP($B$1,Tabela5[#All],1+D$3,0))</f>
        <v/>
      </c>
      <c r="E7" s="82" t="str">
        <f>IF(HLOOKUP($B$1,Tabela5[#All],1+E$3,0)=0,"",HLOOKUP($B$1,Tabela5[#All],1+E$3,0))</f>
        <v/>
      </c>
      <c r="F7" s="82" t="str">
        <f>IF(HLOOKUP($B$1,Tabela5[#All],1+F$3,0)=0,"",HLOOKUP($B$1,Tabela5[#All],1+F$3,0))</f>
        <v/>
      </c>
      <c r="G7" s="82" t="str">
        <f>IF(HLOOKUP($B$1,Tabela5[#All],1+G$3,0)=0,"",HLOOKUP($B$1,Tabela5[#All],1+G$3,0))</f>
        <v/>
      </c>
      <c r="H7" s="82" t="str">
        <f>IF(HLOOKUP($B$1,Tabela5[#All],1+H$3,0)=0,"",HLOOKUP($B$1,Tabela5[#All],1+H$3,0))</f>
        <v/>
      </c>
      <c r="I7" s="82" t="str">
        <f>IF(HLOOKUP($B$1,Tabela5[#All],1+I$3,0)=0,"",HLOOKUP($B$1,Tabela5[#All],1+I$3,0))</f>
        <v/>
      </c>
      <c r="J7" s="82" t="str">
        <f>IF(HLOOKUP($B$1,Tabela5[#All],1+J$3,0)=0,"",HLOOKUP($B$1,Tabela5[#All],1+J$3,0))</f>
        <v/>
      </c>
      <c r="K7" s="82" t="str">
        <f>IF(HLOOKUP($B$1,Tabela5[#All],1+K$3,0)=0,"",HLOOKUP($B$1,Tabela5[#All],1+K$3,0))</f>
        <v/>
      </c>
      <c r="L7" s="82" t="str">
        <f>IF(HLOOKUP($B$1,Tabela5[#All],1+L$3,0)=0,"",HLOOKUP($B$1,Tabela5[#All],1+L$3,0))</f>
        <v/>
      </c>
      <c r="M7" s="82">
        <f>IF(HLOOKUP($B$1,Tabela5[#All],1+M$3,0)=0,"",HLOOKUP($B$1,Tabela5[#All],1+M$3,0))</f>
        <v>603</v>
      </c>
      <c r="N7" s="83">
        <f>IF(HLOOKUP($B$1,Tabela5[#All],1+N$3,0)=0,"",HLOOKUP($B$1,Tabela5[#All],1+N$3,0))</f>
        <v>646</v>
      </c>
      <c r="O7" s="100">
        <f>IFERROR(ROUNDDOWN(AVERAGE(C7:N7),1),"")</f>
        <v>624.5</v>
      </c>
      <c r="P7" s="136">
        <f>IFERROR(O7/$O$5,"")</f>
        <v>1.4222272830790252</v>
      </c>
      <c r="Q7" s="136">
        <f>IFERROR(O9/$O$5,"")</f>
        <v>1.0043270325666134</v>
      </c>
      <c r="R7" s="164">
        <v>2018</v>
      </c>
    </row>
    <row r="8" spans="1:18" x14ac:dyDescent="0.25">
      <c r="A8" s="116">
        <v>2018</v>
      </c>
      <c r="B8" s="122" t="s">
        <v>409</v>
      </c>
      <c r="C8" s="107" t="str">
        <f t="shared" si="0"/>
        <v/>
      </c>
      <c r="D8" s="80" t="str">
        <f t="shared" si="0"/>
        <v/>
      </c>
      <c r="E8" s="80" t="str">
        <f t="shared" si="0"/>
        <v/>
      </c>
      <c r="F8" s="80" t="str">
        <f t="shared" si="0"/>
        <v/>
      </c>
      <c r="G8" s="80" t="str">
        <f t="shared" si="0"/>
        <v/>
      </c>
      <c r="H8" s="80" t="str">
        <f t="shared" si="0"/>
        <v/>
      </c>
      <c r="I8" s="80" t="str">
        <f t="shared" si="0"/>
        <v/>
      </c>
      <c r="J8" s="80" t="str">
        <f t="shared" si="0"/>
        <v/>
      </c>
      <c r="K8" s="80" t="str">
        <f t="shared" si="0"/>
        <v/>
      </c>
      <c r="L8" s="80" t="str">
        <f t="shared" si="0"/>
        <v/>
      </c>
      <c r="M8" s="80">
        <f t="shared" si="0"/>
        <v>50.25</v>
      </c>
      <c r="N8" s="81">
        <f t="shared" si="0"/>
        <v>53.833333333333336</v>
      </c>
      <c r="O8" s="101">
        <f t="shared" ref="O8:O42" si="1">IFERROR(ROUNDDOWN(AVERAGE(C8:N8),1),"")</f>
        <v>52</v>
      </c>
      <c r="P8" s="137"/>
      <c r="Q8" s="137"/>
      <c r="R8" s="165"/>
    </row>
    <row r="9" spans="1:18" x14ac:dyDescent="0.25">
      <c r="A9" s="116">
        <v>2018</v>
      </c>
      <c r="B9" s="122" t="s">
        <v>422</v>
      </c>
      <c r="C9" s="107" t="str">
        <f>IF(HLOOKUP($B$1,Tabela6[#All],1+C$3,0)=0,"",HLOOKUP($B$1,Tabela6[#All],1+C$3,0))</f>
        <v/>
      </c>
      <c r="D9" s="80" t="str">
        <f>IF(HLOOKUP($B$1,Tabela6[#All],1+D$3,0)=0,"",HLOOKUP($B$1,Tabela6[#All],1+D$3,0))</f>
        <v/>
      </c>
      <c r="E9" s="80" t="str">
        <f>IF(HLOOKUP($B$1,Tabela6[#All],1+E$3,0)=0,"",HLOOKUP($B$1,Tabela6[#All],1+E$3,0))</f>
        <v/>
      </c>
      <c r="F9" s="80" t="str">
        <f>IF(HLOOKUP($B$1,Tabela6[#All],1+F$3,0)=0,"",HLOOKUP($B$1,Tabela6[#All],1+F$3,0))</f>
        <v/>
      </c>
      <c r="G9" s="80" t="str">
        <f>IF(HLOOKUP($B$1,Tabela6[#All],1+G$3,0)=0,"",HLOOKUP($B$1,Tabela6[#All],1+G$3,0))</f>
        <v/>
      </c>
      <c r="H9" s="80" t="str">
        <f>IF(HLOOKUP($B$1,Tabela6[#All],1+H$3,0)=0,"",HLOOKUP($B$1,Tabela6[#All],1+H$3,0))</f>
        <v/>
      </c>
      <c r="I9" s="80" t="str">
        <f>IF(HLOOKUP($B$1,Tabela6[#All],1+I$3,0)=0,"",HLOOKUP($B$1,Tabela6[#All],1+I$3,0))</f>
        <v/>
      </c>
      <c r="J9" s="80" t="str">
        <f>IF(HLOOKUP($B$1,Tabela6[#All],1+J$3,0)=0,"",HLOOKUP($B$1,Tabela6[#All],1+J$3,0))</f>
        <v/>
      </c>
      <c r="K9" s="80" t="str">
        <f>IF(HLOOKUP($B$1,Tabela6[#All],1+K$3,0)=0,"",HLOOKUP($B$1,Tabela6[#All],1+K$3,0))</f>
        <v/>
      </c>
      <c r="L9" s="80" t="str">
        <f>IF(HLOOKUP($B$1,Tabela6[#All],1+L$3,0)=0,"",HLOOKUP($B$1,Tabela6[#All],1+L$3,0))</f>
        <v/>
      </c>
      <c r="M9" s="80">
        <f>IF(HLOOKUP($B$1,Tabela6[#All],1+M$3,0)=0,"",HLOOKUP($B$1,Tabela6[#All],1+M$3,0))</f>
        <v>396</v>
      </c>
      <c r="N9" s="81">
        <f>IF(HLOOKUP($B$1,Tabela6[#All],1+N$3,0)=0,"",HLOOKUP($B$1,Tabela6[#All],1+N$3,0))</f>
        <v>486</v>
      </c>
      <c r="O9" s="101">
        <f t="shared" si="1"/>
        <v>441</v>
      </c>
      <c r="P9" s="137"/>
      <c r="Q9" s="137"/>
      <c r="R9" s="165"/>
    </row>
    <row r="10" spans="1:18" ht="15.75" thickBot="1" x14ac:dyDescent="0.3">
      <c r="A10" s="117">
        <v>2018</v>
      </c>
      <c r="B10" s="123" t="s">
        <v>423</v>
      </c>
      <c r="C10" s="108" t="str">
        <f>IF(HLOOKUP($B$1,Tabela7[#All],1+C$3,0)=0,"",HLOOKUP($B$1,Tabela7[#All],1+C$3,0))</f>
        <v/>
      </c>
      <c r="D10" s="84" t="str">
        <f>IF(HLOOKUP($B$1,Tabela7[#All],1+D$3,0)=0,"",HLOOKUP($B$1,Tabela7[#All],1+D$3,0))</f>
        <v/>
      </c>
      <c r="E10" s="84" t="str">
        <f>IF(HLOOKUP($B$1,Tabela7[#All],1+E$3,0)=0,"",HLOOKUP($B$1,Tabela7[#All],1+E$3,0))</f>
        <v/>
      </c>
      <c r="F10" s="84" t="str">
        <f>IF(HLOOKUP($B$1,Tabela7[#All],1+F$3,0)=0,"",HLOOKUP($B$1,Tabela7[#All],1+F$3,0))</f>
        <v/>
      </c>
      <c r="G10" s="84" t="str">
        <f>IF(HLOOKUP($B$1,Tabela7[#All],1+G$3,0)=0,"",HLOOKUP($B$1,Tabela7[#All],1+G$3,0))</f>
        <v/>
      </c>
      <c r="H10" s="84" t="str">
        <f>IF(HLOOKUP($B$1,Tabela7[#All],1+H$3,0)=0,"",HLOOKUP($B$1,Tabela7[#All],1+H$3,0))</f>
        <v/>
      </c>
      <c r="I10" s="84" t="str">
        <f>IF(HLOOKUP($B$1,Tabela7[#All],1+I$3,0)=0,"",HLOOKUP($B$1,Tabela7[#All],1+I$3,0))</f>
        <v/>
      </c>
      <c r="J10" s="84" t="str">
        <f>IF(HLOOKUP($B$1,Tabela7[#All],1+J$3,0)=0,"",HLOOKUP($B$1,Tabela7[#All],1+J$3,0))</f>
        <v/>
      </c>
      <c r="K10" s="84" t="str">
        <f>IF(HLOOKUP($B$1,Tabela7[#All],1+K$3,0)=0,"",HLOOKUP($B$1,Tabela7[#All],1+K$3,0))</f>
        <v/>
      </c>
      <c r="L10" s="84" t="str">
        <f>IF(HLOOKUP($B$1,Tabela7[#All],1+L$3,0)=0,"",HLOOKUP($B$1,Tabela7[#All],1+L$3,0))</f>
        <v/>
      </c>
      <c r="M10" s="84">
        <f>IF(HLOOKUP($B$1,Tabela7[#All],1+M$3,0)=0,"",HLOOKUP($B$1,Tabela7[#All],1+M$3,0))</f>
        <v>62.67</v>
      </c>
      <c r="N10" s="85">
        <f>IF(HLOOKUP($B$1,Tabela7[#All],1+N$3,0)=0,"",HLOOKUP($B$1,Tabela7[#All],1+N$3,0))</f>
        <v>59.54</v>
      </c>
      <c r="O10" s="102">
        <f t="shared" si="1"/>
        <v>61.1</v>
      </c>
      <c r="P10" s="138"/>
      <c r="Q10" s="138"/>
      <c r="R10" s="166"/>
    </row>
    <row r="11" spans="1:18" x14ac:dyDescent="0.25">
      <c r="A11" s="118">
        <v>2019</v>
      </c>
      <c r="B11" s="124" t="s">
        <v>408</v>
      </c>
      <c r="C11" s="109">
        <f>IF(HLOOKUP($B$1,Tabela5[#All],13+C$3,0)=0,"",HLOOKUP($B$1,Tabela5[#All],13+C$3,0))</f>
        <v>586</v>
      </c>
      <c r="D11" s="96">
        <f>IF(HLOOKUP($B$1,Tabela5[#All],13+D$3,0)=0,"",HLOOKUP($B$1,Tabela5[#All],13+D$3,0))</f>
        <v>559</v>
      </c>
      <c r="E11" s="96">
        <f>IF(HLOOKUP($B$1,Tabela5[#All],13+E$3,0)=0,"",HLOOKUP($B$1,Tabela5[#All],13+E$3,0))</f>
        <v>553</v>
      </c>
      <c r="F11" s="96">
        <f>IF(HLOOKUP($B$1,Tabela5[#All],13+F$3,0)=0,"",HLOOKUP($B$1,Tabela5[#All],13+F$3,0))</f>
        <v>445</v>
      </c>
      <c r="G11" s="96">
        <f>IF(HLOOKUP($B$1,Tabela5[#All],13+G$3,0)=0,"",HLOOKUP($B$1,Tabela5[#All],13+G$3,0))</f>
        <v>297</v>
      </c>
      <c r="H11" s="96">
        <f>IF(HLOOKUP($B$1,Tabela5[#All],13+H$3,0)=0,"",HLOOKUP($B$1,Tabela5[#All],13+H$3,0))</f>
        <v>411</v>
      </c>
      <c r="I11" s="96">
        <f>IF(HLOOKUP($B$1,Tabela5[#All],13+I$3,0)=0,"",HLOOKUP($B$1,Tabela5[#All],13+I$3,0))</f>
        <v>388</v>
      </c>
      <c r="J11" s="96">
        <f>IF(HLOOKUP($B$1,Tabela5[#All],13+J$3,0)=0,"",HLOOKUP($B$1,Tabela5[#All],13+J$3,0))</f>
        <v>532</v>
      </c>
      <c r="K11" s="96">
        <f>IF(HLOOKUP($B$1,Tabela5[#All],13+K$3,0)=0,"",HLOOKUP($B$1,Tabela5[#All],13+K$3,0))</f>
        <v>491</v>
      </c>
      <c r="L11" s="96">
        <f>IF(HLOOKUP($B$1,Tabela5[#All],13+L$3,0)=0,"",HLOOKUP($B$1,Tabela5[#All],13+L$3,0))</f>
        <v>444</v>
      </c>
      <c r="M11" s="96" t="str">
        <f>IF(HLOOKUP($B$1,Tabela5[#All],13+M$3,0)=0,"",HLOOKUP($B$1,Tabela5[#All],13+M$3,0))</f>
        <v/>
      </c>
      <c r="N11" s="97" t="str">
        <f>IF(HLOOKUP($B$1,Tabela5[#All],13+N$3,0)=0,"",HLOOKUP($B$1,Tabela5[#All],13+N$3,0))</f>
        <v/>
      </c>
      <c r="O11" s="103">
        <f t="shared" si="1"/>
        <v>470.6</v>
      </c>
      <c r="P11" s="161">
        <f>IFERROR(O11/$O$5,"")</f>
        <v>1.0717376451833296</v>
      </c>
      <c r="Q11" s="139">
        <f>IFERROR(O13/$O$5,"")</f>
        <v>0.69687998178091548</v>
      </c>
      <c r="R11" s="167">
        <v>2019</v>
      </c>
    </row>
    <row r="12" spans="1:18" x14ac:dyDescent="0.25">
      <c r="A12" s="119">
        <v>2019</v>
      </c>
      <c r="B12" s="125" t="s">
        <v>409</v>
      </c>
      <c r="C12" s="110">
        <f t="shared" ref="C12:N12" si="2">IF(C11="","",C11/$C$2)</f>
        <v>48.833333333333336</v>
      </c>
      <c r="D12" s="78">
        <f t="shared" si="2"/>
        <v>46.583333333333336</v>
      </c>
      <c r="E12" s="78">
        <f t="shared" si="2"/>
        <v>46.083333333333336</v>
      </c>
      <c r="F12" s="78">
        <f t="shared" si="2"/>
        <v>37.083333333333336</v>
      </c>
      <c r="G12" s="78">
        <f t="shared" si="2"/>
        <v>24.75</v>
      </c>
      <c r="H12" s="78">
        <f t="shared" si="2"/>
        <v>34.25</v>
      </c>
      <c r="I12" s="78">
        <f t="shared" si="2"/>
        <v>32.333333333333336</v>
      </c>
      <c r="J12" s="78">
        <f t="shared" si="2"/>
        <v>44.333333333333336</v>
      </c>
      <c r="K12" s="78">
        <f t="shared" si="2"/>
        <v>40.916666666666664</v>
      </c>
      <c r="L12" s="78">
        <f t="shared" si="2"/>
        <v>37</v>
      </c>
      <c r="M12" s="78" t="str">
        <f t="shared" si="2"/>
        <v/>
      </c>
      <c r="N12" s="79" t="str">
        <f t="shared" si="2"/>
        <v/>
      </c>
      <c r="O12" s="104">
        <f t="shared" si="1"/>
        <v>39.200000000000003</v>
      </c>
      <c r="P12" s="140"/>
      <c r="Q12" s="140"/>
      <c r="R12" s="168"/>
    </row>
    <row r="13" spans="1:18" x14ac:dyDescent="0.25">
      <c r="A13" s="119">
        <v>2019</v>
      </c>
      <c r="B13" s="125" t="s">
        <v>422</v>
      </c>
      <c r="C13" s="110">
        <f>IF(HLOOKUP($B$1,Tabela6[#All],13+C$3,0)=0,"",HLOOKUP($B$1,Tabela6[#All],13+C$3,0))</f>
        <v>325</v>
      </c>
      <c r="D13" s="78">
        <f>IF(HLOOKUP($B$1,Tabela6[#All],13+D$3,0)=0,"",HLOOKUP($B$1,Tabela6[#All],13+D$3,0))</f>
        <v>384</v>
      </c>
      <c r="E13" s="78">
        <f>IF(HLOOKUP($B$1,Tabela6[#All],13+E$3,0)=0,"",HLOOKUP($B$1,Tabela6[#All],13+E$3,0))</f>
        <v>399</v>
      </c>
      <c r="F13" s="78">
        <f>IF(HLOOKUP($B$1,Tabela6[#All],13+F$3,0)=0,"",HLOOKUP($B$1,Tabela6[#All],13+F$3,0))</f>
        <v>365</v>
      </c>
      <c r="G13" s="78">
        <f>IF(HLOOKUP($B$1,Tabela6[#All],13+G$3,0)=0,"",HLOOKUP($B$1,Tabela6[#All],13+G$3,0))</f>
        <v>175</v>
      </c>
      <c r="H13" s="78">
        <f>IF(HLOOKUP($B$1,Tabela6[#All],13+H$3,0)=0,"",HLOOKUP($B$1,Tabela6[#All],13+H$3,0))</f>
        <v>230</v>
      </c>
      <c r="I13" s="78">
        <f>IF(HLOOKUP($B$1,Tabela6[#All],13+I$3,0)=0,"",HLOOKUP($B$1,Tabela6[#All],13+I$3,0))</f>
        <v>300</v>
      </c>
      <c r="J13" s="78">
        <f>IF(HLOOKUP($B$1,Tabela6[#All],13+J$3,0)=0,"",HLOOKUP($B$1,Tabela6[#All],13+J$3,0))</f>
        <v>255</v>
      </c>
      <c r="K13" s="78">
        <f>IF(HLOOKUP($B$1,Tabela6[#All],13+K$3,0)=0,"",HLOOKUP($B$1,Tabela6[#All],13+K$3,0))</f>
        <v>330</v>
      </c>
      <c r="L13" s="78">
        <f>IF(HLOOKUP($B$1,Tabela6[#All],13+L$3,0)=0,"",HLOOKUP($B$1,Tabela6[#All],13+L$3,0))</f>
        <v>297</v>
      </c>
      <c r="M13" s="78" t="str">
        <f>IF(HLOOKUP($B$1,Tabela6[#All],13+M$3,0)=0,"",HLOOKUP($B$1,Tabela6[#All],13+M$3,0))</f>
        <v/>
      </c>
      <c r="N13" s="79" t="str">
        <f>IF(HLOOKUP($B$1,Tabela6[#All],13+N$3,0)=0,"",HLOOKUP($B$1,Tabela6[#All],13+N$3,0))</f>
        <v/>
      </c>
      <c r="O13" s="104">
        <f t="shared" si="1"/>
        <v>306</v>
      </c>
      <c r="P13" s="140"/>
      <c r="Q13" s="140"/>
      <c r="R13" s="168"/>
    </row>
    <row r="14" spans="1:18" ht="15.75" thickBot="1" x14ac:dyDescent="0.3">
      <c r="A14" s="120">
        <v>2019</v>
      </c>
      <c r="B14" s="126" t="s">
        <v>423</v>
      </c>
      <c r="C14" s="111">
        <f>IF(HLOOKUP($B$1,Tabela7[#All],13+C$3,0)=0,"",HLOOKUP($B$1,Tabela7[#All],13+C$3,0))</f>
        <v>60.46</v>
      </c>
      <c r="D14" s="98">
        <f>IF(HLOOKUP($B$1,Tabela7[#All],13+D$3,0)=0,"",HLOOKUP($B$1,Tabela7[#All],13+D$3,0))</f>
        <v>59.43</v>
      </c>
      <c r="E14" s="98">
        <f>IF(HLOOKUP($B$1,Tabela7[#All],13+E$3,0)=0,"",HLOOKUP($B$1,Tabela7[#All],13+E$3,0))</f>
        <v>63.38</v>
      </c>
      <c r="F14" s="98">
        <f>IF(HLOOKUP($B$1,Tabela7[#All],13+F$3,0)=0,"",HLOOKUP($B$1,Tabela7[#All],13+F$3,0))</f>
        <v>59.24</v>
      </c>
      <c r="G14" s="98">
        <f>IF(HLOOKUP($B$1,Tabela7[#All],13+G$3,0)=0,"",HLOOKUP($B$1,Tabela7[#All],13+G$3,0))</f>
        <v>66.680000000000007</v>
      </c>
      <c r="H14" s="98">
        <f>IF(HLOOKUP($B$1,Tabela7[#All],13+H$3,0)=0,"",HLOOKUP($B$1,Tabela7[#All],13+H$3,0))</f>
        <v>65.37</v>
      </c>
      <c r="I14" s="98">
        <f>IF(HLOOKUP($B$1,Tabela7[#All],13+I$3,0)=0,"",HLOOKUP($B$1,Tabela7[#All],13+I$3,0))</f>
        <v>67.89</v>
      </c>
      <c r="J14" s="98">
        <f>IF(HLOOKUP($B$1,Tabela7[#All],13+J$3,0)=0,"",HLOOKUP($B$1,Tabela7[#All],13+J$3,0))</f>
        <v>67.23</v>
      </c>
      <c r="K14" s="98">
        <f>IF(HLOOKUP($B$1,Tabela7[#All],13+K$3,0)=0,"",HLOOKUP($B$1,Tabela7[#All],13+K$3,0))</f>
        <v>73.47</v>
      </c>
      <c r="L14" s="98">
        <f>IF(HLOOKUP($B$1,Tabela7[#All],13+L$3,0)=0,"",HLOOKUP($B$1,Tabela7[#All],13+L$3,0))</f>
        <v>73.41</v>
      </c>
      <c r="M14" s="98" t="str">
        <f>IF(HLOOKUP($B$1,Tabela7[#All],13+M$3,0)=0,"",HLOOKUP($B$1,Tabela7[#All],13+M$3,0))</f>
        <v/>
      </c>
      <c r="N14" s="99" t="str">
        <f>IF(HLOOKUP($B$1,Tabela7[#All],13+N$3,0)=0,"",HLOOKUP($B$1,Tabela7[#All],13+N$3,0))</f>
        <v/>
      </c>
      <c r="O14" s="105">
        <f t="shared" si="1"/>
        <v>65.599999999999994</v>
      </c>
      <c r="P14" s="141"/>
      <c r="Q14" s="141"/>
      <c r="R14" s="168"/>
    </row>
    <row r="15" spans="1:18" x14ac:dyDescent="0.25">
      <c r="A15" s="115">
        <v>2020</v>
      </c>
      <c r="B15" s="121" t="s">
        <v>408</v>
      </c>
      <c r="C15" s="106" t="str">
        <f>IF(HLOOKUP($B$1,Tabela5[#All],25+C$3,0)=0,"",HLOOKUP($B$1,Tabela5[#All],25+C$3,0))</f>
        <v/>
      </c>
      <c r="D15" s="82" t="str">
        <f>IF(HLOOKUP($B$1,Tabela5[#All],25+D$3,0)=0,"",HLOOKUP($B$1,Tabela5[#All],25+D$3,0))</f>
        <v/>
      </c>
      <c r="E15" s="82" t="str">
        <f>IF(HLOOKUP($B$1,Tabela5[#All],25+E$3,0)=0,"",HLOOKUP($B$1,Tabela5[#All],25+E$3,0))</f>
        <v/>
      </c>
      <c r="F15" s="82" t="str">
        <f>IF(HLOOKUP($B$1,Tabela5[#All],25+F$3,0)=0,"",HLOOKUP($B$1,Tabela5[#All],25+F$3,0))</f>
        <v/>
      </c>
      <c r="G15" s="82" t="str">
        <f>IF(HLOOKUP($B$1,Tabela5[#All],25+G$3,0)=0,"",HLOOKUP($B$1,Tabela5[#All],25+G$3,0))</f>
        <v/>
      </c>
      <c r="H15" s="82" t="str">
        <f>IF(HLOOKUP($B$1,Tabela5[#All],25+H$3,0)=0,"",HLOOKUP($B$1,Tabela5[#All],25+H$3,0))</f>
        <v/>
      </c>
      <c r="I15" s="82" t="str">
        <f>IF(HLOOKUP($B$1,Tabela5[#All],25+I$3,0)=0,"",HLOOKUP($B$1,Tabela5[#All],25+I$3,0))</f>
        <v/>
      </c>
      <c r="J15" s="82" t="str">
        <f>IF(HLOOKUP($B$1,Tabela5[#All],25+J$3,0)=0,"",HLOOKUP($B$1,Tabela5[#All],25+J$3,0))</f>
        <v/>
      </c>
      <c r="K15" s="82" t="str">
        <f>IF(HLOOKUP($B$1,Tabela5[#All],25+K$3,0)=0,"",HLOOKUP($B$1,Tabela5[#All],25+K$3,0))</f>
        <v/>
      </c>
      <c r="L15" s="82" t="str">
        <f>IF(HLOOKUP($B$1,Tabela5[#All],25+L$3,0)=0,"",HLOOKUP($B$1,Tabela5[#All],25+L$3,0))</f>
        <v/>
      </c>
      <c r="M15" s="82" t="str">
        <f>IF(HLOOKUP($B$1,Tabela5[#All],25+M$3,0)=0,"",HLOOKUP($B$1,Tabela5[#All],25+M$3,0))</f>
        <v/>
      </c>
      <c r="N15" s="83" t="str">
        <f>IF(HLOOKUP($B$1,Tabela5[#All],25+N$3,0)=0,"",HLOOKUP($B$1,Tabela5[#All],25+N$3,0))</f>
        <v/>
      </c>
      <c r="O15" s="100" t="str">
        <f t="shared" si="1"/>
        <v/>
      </c>
      <c r="P15" s="142" t="str">
        <f>IFERROR(O15/$O$5,"")</f>
        <v/>
      </c>
      <c r="Q15" s="143" t="str">
        <f>IFERROR(O17/$O$5,"")</f>
        <v/>
      </c>
      <c r="R15" s="164">
        <v>2020</v>
      </c>
    </row>
    <row r="16" spans="1:18" x14ac:dyDescent="0.25">
      <c r="A16" s="116">
        <v>2020</v>
      </c>
      <c r="B16" s="122" t="s">
        <v>409</v>
      </c>
      <c r="C16" s="107" t="str">
        <f t="shared" ref="C16:N16" si="3">IF(C15="","",C15/$C$2)</f>
        <v/>
      </c>
      <c r="D16" s="80" t="str">
        <f t="shared" si="3"/>
        <v/>
      </c>
      <c r="E16" s="80" t="str">
        <f t="shared" si="3"/>
        <v/>
      </c>
      <c r="F16" s="80" t="str">
        <f t="shared" si="3"/>
        <v/>
      </c>
      <c r="G16" s="80" t="str">
        <f t="shared" si="3"/>
        <v/>
      </c>
      <c r="H16" s="80" t="str">
        <f t="shared" si="3"/>
        <v/>
      </c>
      <c r="I16" s="80" t="str">
        <f t="shared" si="3"/>
        <v/>
      </c>
      <c r="J16" s="80" t="str">
        <f t="shared" si="3"/>
        <v/>
      </c>
      <c r="K16" s="80" t="str">
        <f t="shared" si="3"/>
        <v/>
      </c>
      <c r="L16" s="80" t="str">
        <f t="shared" si="3"/>
        <v/>
      </c>
      <c r="M16" s="80" t="str">
        <f t="shared" si="3"/>
        <v/>
      </c>
      <c r="N16" s="81" t="str">
        <f t="shared" si="3"/>
        <v/>
      </c>
      <c r="O16" s="101" t="str">
        <f t="shared" si="1"/>
        <v/>
      </c>
      <c r="P16" s="143"/>
      <c r="Q16" s="143"/>
      <c r="R16" s="165"/>
    </row>
    <row r="17" spans="1:18" x14ac:dyDescent="0.25">
      <c r="A17" s="116">
        <v>2020</v>
      </c>
      <c r="B17" s="122" t="s">
        <v>422</v>
      </c>
      <c r="C17" s="107" t="str">
        <f>IF(HLOOKUP($B$1,Tabela6[#All],25+C$3,0)=0,"",HLOOKUP($B$1,Tabela6[#All],25+C$3,0))</f>
        <v/>
      </c>
      <c r="D17" s="80" t="str">
        <f>IF(HLOOKUP($B$1,Tabela6[#All],25+D$3,0)=0,"",HLOOKUP($B$1,Tabela6[#All],25+D$3,0))</f>
        <v/>
      </c>
      <c r="E17" s="80" t="str">
        <f>IF(HLOOKUP($B$1,Tabela6[#All],25+E$3,0)=0,"",HLOOKUP($B$1,Tabela6[#All],25+E$3,0))</f>
        <v/>
      </c>
      <c r="F17" s="80" t="str">
        <f>IF(HLOOKUP($B$1,Tabela6[#All],25+F$3,0)=0,"",HLOOKUP($B$1,Tabela6[#All],25+F$3,0))</f>
        <v/>
      </c>
      <c r="G17" s="80" t="str">
        <f>IF(HLOOKUP($B$1,Tabela6[#All],25+G$3,0)=0,"",HLOOKUP($B$1,Tabela6[#All],25+G$3,0))</f>
        <v/>
      </c>
      <c r="H17" s="80" t="str">
        <f>IF(HLOOKUP($B$1,Tabela6[#All],25+H$3,0)=0,"",HLOOKUP($B$1,Tabela6[#All],25+H$3,0))</f>
        <v/>
      </c>
      <c r="I17" s="80" t="str">
        <f>IF(HLOOKUP($B$1,Tabela6[#All],25+I$3,0)=0,"",HLOOKUP($B$1,Tabela6[#All],25+I$3,0))</f>
        <v/>
      </c>
      <c r="J17" s="80" t="str">
        <f>IF(HLOOKUP($B$1,Tabela6[#All],25+J$3,0)=0,"",HLOOKUP($B$1,Tabela6[#All],25+J$3,0))</f>
        <v/>
      </c>
      <c r="K17" s="80" t="str">
        <f>IF(HLOOKUP($B$1,Tabela6[#All],25+K$3,0)=0,"",HLOOKUP($B$1,Tabela6[#All],25+K$3,0))</f>
        <v/>
      </c>
      <c r="L17" s="80" t="str">
        <f>IF(HLOOKUP($B$1,Tabela6[#All],25+L$3,0)=0,"",HLOOKUP($B$1,Tabela6[#All],25+L$3,0))</f>
        <v/>
      </c>
      <c r="M17" s="80" t="str">
        <f>IF(HLOOKUP($B$1,Tabela6[#All],25+M$3,0)=0,"",HLOOKUP($B$1,Tabela6[#All],25+M$3,0))</f>
        <v/>
      </c>
      <c r="N17" s="81" t="str">
        <f>IF(HLOOKUP($B$1,Tabela6[#All],25+N$3,0)=0,"",HLOOKUP($B$1,Tabela6[#All],25+N$3,0))</f>
        <v/>
      </c>
      <c r="O17" s="101" t="str">
        <f t="shared" si="1"/>
        <v/>
      </c>
      <c r="P17" s="143"/>
      <c r="Q17" s="143"/>
      <c r="R17" s="165"/>
    </row>
    <row r="18" spans="1:18" ht="15.75" thickBot="1" x14ac:dyDescent="0.3">
      <c r="A18" s="117">
        <v>2020</v>
      </c>
      <c r="B18" s="123" t="s">
        <v>423</v>
      </c>
      <c r="C18" s="108" t="str">
        <f>IF(HLOOKUP($B$1,Tabela7[#All],25+C$3,0)=0,"",HLOOKUP($B$1,Tabela7[#All],25+C$3,0))</f>
        <v/>
      </c>
      <c r="D18" s="84" t="str">
        <f>IF(HLOOKUP($B$1,Tabela7[#All],25+D$3,0)=0,"",HLOOKUP($B$1,Tabela7[#All],25+D$3,0))</f>
        <v/>
      </c>
      <c r="E18" s="84" t="str">
        <f>IF(HLOOKUP($B$1,Tabela7[#All],25+E$3,0)=0,"",HLOOKUP($B$1,Tabela7[#All],25+E$3,0))</f>
        <v/>
      </c>
      <c r="F18" s="84" t="str">
        <f>IF(HLOOKUP($B$1,Tabela7[#All],25+F$3,0)=0,"",HLOOKUP($B$1,Tabela7[#All],25+F$3,0))</f>
        <v/>
      </c>
      <c r="G18" s="84" t="str">
        <f>IF(HLOOKUP($B$1,Tabela7[#All],25+G$3,0)=0,"",HLOOKUP($B$1,Tabela7[#All],25+G$3,0))</f>
        <v/>
      </c>
      <c r="H18" s="84" t="str">
        <f>IF(HLOOKUP($B$1,Tabela7[#All],25+H$3,0)=0,"",HLOOKUP($B$1,Tabela7[#All],25+H$3,0))</f>
        <v/>
      </c>
      <c r="I18" s="84" t="str">
        <f>IF(HLOOKUP($B$1,Tabela7[#All],25+I$3,0)=0,"",HLOOKUP($B$1,Tabela7[#All],25+I$3,0))</f>
        <v/>
      </c>
      <c r="J18" s="84" t="str">
        <f>IF(HLOOKUP($B$1,Tabela7[#All],25+J$3,0)=0,"",HLOOKUP($B$1,Tabela7[#All],25+J$3,0))</f>
        <v/>
      </c>
      <c r="K18" s="84" t="str">
        <f>IF(HLOOKUP($B$1,Tabela7[#All],25+K$3,0)=0,"",HLOOKUP($B$1,Tabela7[#All],25+K$3,0))</f>
        <v/>
      </c>
      <c r="L18" s="84" t="str">
        <f>IF(HLOOKUP($B$1,Tabela7[#All],25+L$3,0)=0,"",HLOOKUP($B$1,Tabela7[#All],25+L$3,0))</f>
        <v/>
      </c>
      <c r="M18" s="84" t="str">
        <f>IF(HLOOKUP($B$1,Tabela7[#All],25+M$3,0)=0,"",HLOOKUP($B$1,Tabela7[#All],25+M$3,0))</f>
        <v/>
      </c>
      <c r="N18" s="85" t="str">
        <f>IF(HLOOKUP($B$1,Tabela7[#All],25+N$3,0)=0,"",HLOOKUP($B$1,Tabela7[#All],25+N$3,0))</f>
        <v/>
      </c>
      <c r="O18" s="102" t="str">
        <f t="shared" si="1"/>
        <v/>
      </c>
      <c r="P18" s="144"/>
      <c r="Q18" s="144"/>
      <c r="R18" s="166"/>
    </row>
    <row r="19" spans="1:18" x14ac:dyDescent="0.25">
      <c r="A19" s="118">
        <v>2021</v>
      </c>
      <c r="B19" s="124" t="s">
        <v>408</v>
      </c>
      <c r="C19" s="109" t="str">
        <f>IF(HLOOKUP($B$1,Tabela5[#All],37+C$3,0)=0,"",HLOOKUP($B$1,Tabela5[#All],37+C$3,0))</f>
        <v/>
      </c>
      <c r="D19" s="96" t="str">
        <f>IF(HLOOKUP($B$1,Tabela5[#All],37+D$3,0)=0,"",HLOOKUP($B$1,Tabela5[#All],37+D$3,0))</f>
        <v/>
      </c>
      <c r="E19" s="96" t="str">
        <f>IF(HLOOKUP($B$1,Tabela5[#All],37+E$3,0)=0,"",HLOOKUP($B$1,Tabela5[#All],37+E$3,0))</f>
        <v/>
      </c>
      <c r="F19" s="96" t="str">
        <f>IF(HLOOKUP($B$1,Tabela5[#All],37+F$3,0)=0,"",HLOOKUP($B$1,Tabela5[#All],37+F$3,0))</f>
        <v/>
      </c>
      <c r="G19" s="96" t="str">
        <f>IF(HLOOKUP($B$1,Tabela5[#All],37+G$3,0)=0,"",HLOOKUP($B$1,Tabela5[#All],37+G$3,0))</f>
        <v/>
      </c>
      <c r="H19" s="96" t="str">
        <f>IF(HLOOKUP($B$1,Tabela5[#All],37+H$3,0)=0,"",HLOOKUP($B$1,Tabela5[#All],37+H$3,0))</f>
        <v/>
      </c>
      <c r="I19" s="96" t="str">
        <f>IF(HLOOKUP($B$1,Tabela5[#All],37+I$3,0)=0,"",HLOOKUP($B$1,Tabela5[#All],37+I$3,0))</f>
        <v/>
      </c>
      <c r="J19" s="96" t="str">
        <f>IF(HLOOKUP($B$1,Tabela5[#All],37+J$3,0)=0,"",HLOOKUP($B$1,Tabela5[#All],37+J$3,0))</f>
        <v/>
      </c>
      <c r="K19" s="96" t="str">
        <f>IF(HLOOKUP($B$1,Tabela5[#All],37+K$3,0)=0,"",HLOOKUP($B$1,Tabela5[#All],37+K$3,0))</f>
        <v/>
      </c>
      <c r="L19" s="96" t="str">
        <f>IF(HLOOKUP($B$1,Tabela5[#All],37+L$3,0)=0,"",HLOOKUP($B$1,Tabela5[#All],37+L$3,0))</f>
        <v/>
      </c>
      <c r="M19" s="96" t="str">
        <f>IF(HLOOKUP($B$1,Tabela5[#All],37+M$3,0)=0,"",HLOOKUP($B$1,Tabela5[#All],37+M$3,0))</f>
        <v/>
      </c>
      <c r="N19" s="97" t="str">
        <f>IF(HLOOKUP($B$1,Tabela5[#All],37+N$3,0)=0,"",HLOOKUP($B$1,Tabela5[#All],37+N$3,0))</f>
        <v/>
      </c>
      <c r="O19" s="103" t="str">
        <f t="shared" si="1"/>
        <v/>
      </c>
      <c r="P19" s="145" t="str">
        <f>IFERROR(O19/$O$5,"")</f>
        <v/>
      </c>
      <c r="Q19" s="145" t="str">
        <f>IFERROR(O21/$O$5,"")</f>
        <v/>
      </c>
      <c r="R19" s="167">
        <v>2021</v>
      </c>
    </row>
    <row r="20" spans="1:18" x14ac:dyDescent="0.25">
      <c r="A20" s="119">
        <v>2021</v>
      </c>
      <c r="B20" s="125" t="s">
        <v>409</v>
      </c>
      <c r="C20" s="110" t="str">
        <f t="shared" ref="C20:N20" si="4">IF(C19="","",C19/$C$2)</f>
        <v/>
      </c>
      <c r="D20" s="78" t="str">
        <f t="shared" si="4"/>
        <v/>
      </c>
      <c r="E20" s="78" t="str">
        <f t="shared" si="4"/>
        <v/>
      </c>
      <c r="F20" s="78" t="str">
        <f t="shared" si="4"/>
        <v/>
      </c>
      <c r="G20" s="78" t="str">
        <f t="shared" si="4"/>
        <v/>
      </c>
      <c r="H20" s="78" t="str">
        <f t="shared" si="4"/>
        <v/>
      </c>
      <c r="I20" s="78" t="str">
        <f t="shared" si="4"/>
        <v/>
      </c>
      <c r="J20" s="78" t="str">
        <f t="shared" si="4"/>
        <v/>
      </c>
      <c r="K20" s="78" t="str">
        <f t="shared" si="4"/>
        <v/>
      </c>
      <c r="L20" s="78" t="str">
        <f t="shared" si="4"/>
        <v/>
      </c>
      <c r="M20" s="78" t="str">
        <f t="shared" si="4"/>
        <v/>
      </c>
      <c r="N20" s="79" t="str">
        <f t="shared" si="4"/>
        <v/>
      </c>
      <c r="O20" s="104" t="str">
        <f t="shared" si="1"/>
        <v/>
      </c>
      <c r="P20" s="146"/>
      <c r="Q20" s="146"/>
      <c r="R20" s="168"/>
    </row>
    <row r="21" spans="1:18" x14ac:dyDescent="0.25">
      <c r="A21" s="119">
        <v>2021</v>
      </c>
      <c r="B21" s="125" t="s">
        <v>422</v>
      </c>
      <c r="C21" s="110" t="str">
        <f>IF(HLOOKUP($B$1,Tabela6[#All],37+C$3,0)=0,"",HLOOKUP($B$1,Tabela6[#All],37+C$3,0))</f>
        <v/>
      </c>
      <c r="D21" s="78" t="str">
        <f>IF(HLOOKUP($B$1,Tabela6[#All],37+D$3,0)=0,"",HLOOKUP($B$1,Tabela6[#All],37+D$3,0))</f>
        <v/>
      </c>
      <c r="E21" s="78" t="str">
        <f>IF(HLOOKUP($B$1,Tabela6[#All],37+E$3,0)=0,"",HLOOKUP($B$1,Tabela6[#All],37+E$3,0))</f>
        <v/>
      </c>
      <c r="F21" s="78" t="str">
        <f>IF(HLOOKUP($B$1,Tabela6[#All],37+F$3,0)=0,"",HLOOKUP($B$1,Tabela6[#All],37+F$3,0))</f>
        <v/>
      </c>
      <c r="G21" s="78" t="str">
        <f>IF(HLOOKUP($B$1,Tabela6[#All],37+G$3,0)=0,"",HLOOKUP($B$1,Tabela6[#All],37+G$3,0))</f>
        <v/>
      </c>
      <c r="H21" s="78" t="str">
        <f>IF(HLOOKUP($B$1,Tabela6[#All],37+H$3,0)=0,"",HLOOKUP($B$1,Tabela6[#All],37+H$3,0))</f>
        <v/>
      </c>
      <c r="I21" s="78" t="str">
        <f>IF(HLOOKUP($B$1,Tabela6[#All],37+I$3,0)=0,"",HLOOKUP($B$1,Tabela6[#All],37+I$3,0))</f>
        <v/>
      </c>
      <c r="J21" s="78" t="str">
        <f>IF(HLOOKUP($B$1,Tabela6[#All],37+J$3,0)=0,"",HLOOKUP($B$1,Tabela6[#All],37+J$3,0))</f>
        <v/>
      </c>
      <c r="K21" s="78" t="str">
        <f>IF(HLOOKUP($B$1,Tabela6[#All],37+K$3,0)=0,"",HLOOKUP($B$1,Tabela6[#All],37+K$3,0))</f>
        <v/>
      </c>
      <c r="L21" s="78" t="str">
        <f>IF(HLOOKUP($B$1,Tabela6[#All],37+L$3,0)=0,"",HLOOKUP($B$1,Tabela6[#All],37+L$3,0))</f>
        <v/>
      </c>
      <c r="M21" s="78" t="str">
        <f>IF(HLOOKUP($B$1,Tabela6[#All],37+M$3,0)=0,"",HLOOKUP($B$1,Tabela6[#All],37+M$3,0))</f>
        <v/>
      </c>
      <c r="N21" s="79" t="str">
        <f>IF(HLOOKUP($B$1,Tabela6[#All],37+N$3,0)=0,"",HLOOKUP($B$1,Tabela6[#All],37+N$3,0))</f>
        <v/>
      </c>
      <c r="O21" s="104" t="str">
        <f t="shared" si="1"/>
        <v/>
      </c>
      <c r="P21" s="146"/>
      <c r="Q21" s="146"/>
      <c r="R21" s="168"/>
    </row>
    <row r="22" spans="1:18" ht="15.75" thickBot="1" x14ac:dyDescent="0.3">
      <c r="A22" s="120">
        <v>2021</v>
      </c>
      <c r="B22" s="126" t="s">
        <v>423</v>
      </c>
      <c r="C22" s="111" t="str">
        <f>IF(HLOOKUP($B$1,Tabela7[#All],37+C$3,0)=0,"",HLOOKUP($B$1,Tabela7[#All],37+C$3,0))</f>
        <v/>
      </c>
      <c r="D22" s="98" t="str">
        <f>IF(HLOOKUP($B$1,Tabela7[#All],37+D$3,0)=0,"",HLOOKUP($B$1,Tabela7[#All],37+D$3,0))</f>
        <v/>
      </c>
      <c r="E22" s="98" t="str">
        <f>IF(HLOOKUP($B$1,Tabela7[#All],37+E$3,0)=0,"",HLOOKUP($B$1,Tabela7[#All],37+E$3,0))</f>
        <v/>
      </c>
      <c r="F22" s="98" t="str">
        <f>IF(HLOOKUP($B$1,Tabela7[#All],37+F$3,0)=0,"",HLOOKUP($B$1,Tabela7[#All],37+F$3,0))</f>
        <v/>
      </c>
      <c r="G22" s="98" t="str">
        <f>IF(HLOOKUP($B$1,Tabela7[#All],37+G$3,0)=0,"",HLOOKUP($B$1,Tabela7[#All],37+G$3,0))</f>
        <v/>
      </c>
      <c r="H22" s="98" t="str">
        <f>IF(HLOOKUP($B$1,Tabela7[#All],37+H$3,0)=0,"",HLOOKUP($B$1,Tabela7[#All],37+H$3,0))</f>
        <v/>
      </c>
      <c r="I22" s="98" t="str">
        <f>IF(HLOOKUP($B$1,Tabela7[#All],37+I$3,0)=0,"",HLOOKUP($B$1,Tabela7[#All],37+I$3,0))</f>
        <v/>
      </c>
      <c r="J22" s="98" t="str">
        <f>IF(HLOOKUP($B$1,Tabela7[#All],37+J$3,0)=0,"",HLOOKUP($B$1,Tabela7[#All],37+J$3,0))</f>
        <v/>
      </c>
      <c r="K22" s="98" t="str">
        <f>IF(HLOOKUP($B$1,Tabela7[#All],37+K$3,0)=0,"",HLOOKUP($B$1,Tabela7[#All],37+K$3,0))</f>
        <v/>
      </c>
      <c r="L22" s="98" t="str">
        <f>IF(HLOOKUP($B$1,Tabela7[#All],37+L$3,0)=0,"",HLOOKUP($B$1,Tabela7[#All],37+L$3,0))</f>
        <v/>
      </c>
      <c r="M22" s="98" t="str">
        <f>IF(HLOOKUP($B$1,Tabela7[#All],37+M$3,0)=0,"",HLOOKUP($B$1,Tabela7[#All],37+M$3,0))</f>
        <v/>
      </c>
      <c r="N22" s="99" t="str">
        <f>IF(HLOOKUP($B$1,Tabela7[#All],37+N$3,0)=0,"",HLOOKUP($B$1,Tabela7[#All],37+N$3,0))</f>
        <v/>
      </c>
      <c r="O22" s="105" t="str">
        <f t="shared" si="1"/>
        <v/>
      </c>
      <c r="P22" s="147"/>
      <c r="Q22" s="147"/>
      <c r="R22" s="169"/>
    </row>
    <row r="23" spans="1:18" x14ac:dyDescent="0.25">
      <c r="A23" s="115">
        <v>2022</v>
      </c>
      <c r="B23" s="121" t="s">
        <v>408</v>
      </c>
      <c r="C23" s="106" t="str">
        <f>IF(HLOOKUP($B$1,Tabela5[#All],49+C$3,0)=0,"",HLOOKUP($B$1,Tabela5[#All],49+C$3,0))</f>
        <v/>
      </c>
      <c r="D23" s="82" t="str">
        <f>IF(HLOOKUP($B$1,Tabela5[#All],49+D$3,0)=0,"",HLOOKUP($B$1,Tabela5[#All],49+D$3,0))</f>
        <v/>
      </c>
      <c r="E23" s="82" t="str">
        <f>IF(HLOOKUP($B$1,Tabela5[#All],49+E$3,0)=0,"",HLOOKUP($B$1,Tabela5[#All],49+E$3,0))</f>
        <v/>
      </c>
      <c r="F23" s="82" t="str">
        <f>IF(HLOOKUP($B$1,Tabela5[#All],49+F$3,0)=0,"",HLOOKUP($B$1,Tabela5[#All],49+F$3,0))</f>
        <v/>
      </c>
      <c r="G23" s="82" t="str">
        <f>IF(HLOOKUP($B$1,Tabela5[#All],49+G$3,0)=0,"",HLOOKUP($B$1,Tabela5[#All],49+G$3,0))</f>
        <v/>
      </c>
      <c r="H23" s="82" t="str">
        <f>IF(HLOOKUP($B$1,Tabela5[#All],49+H$3,0)=0,"",HLOOKUP($B$1,Tabela5[#All],49+H$3,0))</f>
        <v/>
      </c>
      <c r="I23" s="82" t="str">
        <f>IF(HLOOKUP($B$1,Tabela5[#All],49+I$3,0)=0,"",HLOOKUP($B$1,Tabela5[#All],49+I$3,0))</f>
        <v/>
      </c>
      <c r="J23" s="82" t="str">
        <f>IF(HLOOKUP($B$1,Tabela5[#All],49+J$3,0)=0,"",HLOOKUP($B$1,Tabela5[#All],49+J$3,0))</f>
        <v/>
      </c>
      <c r="K23" s="82" t="str">
        <f>IF(HLOOKUP($B$1,Tabela5[#All],49+K$3,0)=0,"",HLOOKUP($B$1,Tabela5[#All],49+K$3,0))</f>
        <v/>
      </c>
      <c r="L23" s="82" t="str">
        <f>IF(HLOOKUP($B$1,Tabela5[#All],49+L$3,0)=0,"",HLOOKUP($B$1,Tabela5[#All],49+L$3,0))</f>
        <v/>
      </c>
      <c r="M23" s="82" t="str">
        <f>IF(HLOOKUP($B$1,Tabela5[#All],49+M$3,0)=0,"",HLOOKUP($B$1,Tabela5[#All],49+M$3,0))</f>
        <v/>
      </c>
      <c r="N23" s="83" t="str">
        <f>IF(HLOOKUP($B$1,Tabela5[#All],49+N$3,0)=0,"",HLOOKUP($B$1,Tabela5[#All],49+N$3,0))</f>
        <v/>
      </c>
      <c r="O23" s="100" t="str">
        <f t="shared" si="1"/>
        <v/>
      </c>
      <c r="P23" s="148" t="str">
        <f>IFERROR(O23/$O$5,"")</f>
        <v/>
      </c>
      <c r="Q23" s="148" t="str">
        <f>IFERROR(O25/$O$5,"")</f>
        <v/>
      </c>
      <c r="R23" s="164">
        <v>2022</v>
      </c>
    </row>
    <row r="24" spans="1:18" x14ac:dyDescent="0.25">
      <c r="A24" s="116">
        <v>2022</v>
      </c>
      <c r="B24" s="122" t="s">
        <v>409</v>
      </c>
      <c r="C24" s="107" t="str">
        <f t="shared" ref="C24:N24" si="5">IF(C23="","",C23/$C$2)</f>
        <v/>
      </c>
      <c r="D24" s="80" t="str">
        <f t="shared" si="5"/>
        <v/>
      </c>
      <c r="E24" s="80" t="str">
        <f t="shared" si="5"/>
        <v/>
      </c>
      <c r="F24" s="80" t="str">
        <f t="shared" si="5"/>
        <v/>
      </c>
      <c r="G24" s="80" t="str">
        <f t="shared" si="5"/>
        <v/>
      </c>
      <c r="H24" s="80" t="str">
        <f t="shared" si="5"/>
        <v/>
      </c>
      <c r="I24" s="80" t="str">
        <f t="shared" si="5"/>
        <v/>
      </c>
      <c r="J24" s="80" t="str">
        <f t="shared" si="5"/>
        <v/>
      </c>
      <c r="K24" s="80" t="str">
        <f t="shared" si="5"/>
        <v/>
      </c>
      <c r="L24" s="80" t="str">
        <f t="shared" si="5"/>
        <v/>
      </c>
      <c r="M24" s="80" t="str">
        <f t="shared" si="5"/>
        <v/>
      </c>
      <c r="N24" s="81" t="str">
        <f t="shared" si="5"/>
        <v/>
      </c>
      <c r="O24" s="101" t="str">
        <f t="shared" si="1"/>
        <v/>
      </c>
      <c r="P24" s="149"/>
      <c r="Q24" s="149"/>
      <c r="R24" s="165"/>
    </row>
    <row r="25" spans="1:18" x14ac:dyDescent="0.25">
      <c r="A25" s="116">
        <v>2022</v>
      </c>
      <c r="B25" s="122" t="s">
        <v>422</v>
      </c>
      <c r="C25" s="107" t="str">
        <f>IF(HLOOKUP($B$1,Tabela6[#All],49+C$3,0)=0,"",HLOOKUP($B$1,Tabela6[#All],49+C$3,0))</f>
        <v/>
      </c>
      <c r="D25" s="80" t="str">
        <f>IF(HLOOKUP($B$1,Tabela6[#All],49+D$3,0)=0,"",HLOOKUP($B$1,Tabela6[#All],49+D$3,0))</f>
        <v/>
      </c>
      <c r="E25" s="80" t="str">
        <f>IF(HLOOKUP($B$1,Tabela6[#All],49+E$3,0)=0,"",HLOOKUP($B$1,Tabela6[#All],49+E$3,0))</f>
        <v/>
      </c>
      <c r="F25" s="80" t="str">
        <f>IF(HLOOKUP($B$1,Tabela6[#All],49+F$3,0)=0,"",HLOOKUP($B$1,Tabela6[#All],49+F$3,0))</f>
        <v/>
      </c>
      <c r="G25" s="80" t="str">
        <f>IF(HLOOKUP($B$1,Tabela6[#All],49+G$3,0)=0,"",HLOOKUP($B$1,Tabela6[#All],49+G$3,0))</f>
        <v/>
      </c>
      <c r="H25" s="80" t="str">
        <f>IF(HLOOKUP($B$1,Tabela6[#All],49+H$3,0)=0,"",HLOOKUP($B$1,Tabela6[#All],49+H$3,0))</f>
        <v/>
      </c>
      <c r="I25" s="80" t="str">
        <f>IF(HLOOKUP($B$1,Tabela6[#All],49+I$3,0)=0,"",HLOOKUP($B$1,Tabela6[#All],49+I$3,0))</f>
        <v/>
      </c>
      <c r="J25" s="80" t="str">
        <f>IF(HLOOKUP($B$1,Tabela6[#All],49+J$3,0)=0,"",HLOOKUP($B$1,Tabela6[#All],49+J$3,0))</f>
        <v/>
      </c>
      <c r="K25" s="80" t="str">
        <f>IF(HLOOKUP($B$1,Tabela6[#All],49+K$3,0)=0,"",HLOOKUP($B$1,Tabela6[#All],49+K$3,0))</f>
        <v/>
      </c>
      <c r="L25" s="80" t="str">
        <f>IF(HLOOKUP($B$1,Tabela6[#All],49+L$3,0)=0,"",HLOOKUP($B$1,Tabela6[#All],49+L$3,0))</f>
        <v/>
      </c>
      <c r="M25" s="80" t="str">
        <f>IF(HLOOKUP($B$1,Tabela6[#All],49+M$3,0)=0,"",HLOOKUP($B$1,Tabela6[#All],49+M$3,0))</f>
        <v/>
      </c>
      <c r="N25" s="81" t="str">
        <f>IF(HLOOKUP($B$1,Tabela6[#All],49+N$3,0)=0,"",HLOOKUP($B$1,Tabela6[#All],49+N$3,0))</f>
        <v/>
      </c>
      <c r="O25" s="101" t="str">
        <f t="shared" si="1"/>
        <v/>
      </c>
      <c r="P25" s="149"/>
      <c r="Q25" s="149"/>
      <c r="R25" s="165"/>
    </row>
    <row r="26" spans="1:18" ht="15.75" thickBot="1" x14ac:dyDescent="0.3">
      <c r="A26" s="117">
        <v>2022</v>
      </c>
      <c r="B26" s="123" t="s">
        <v>423</v>
      </c>
      <c r="C26" s="108" t="str">
        <f>IF(HLOOKUP($B$1,Tabela7[#All],49+C$3,0)=0,"",HLOOKUP($B$1,Tabela7[#All],49+C$3,0))</f>
        <v/>
      </c>
      <c r="D26" s="84" t="str">
        <f>IF(HLOOKUP($B$1,Tabela7[#All],49+D$3,0)=0,"",HLOOKUP($B$1,Tabela7[#All],49+D$3,0))</f>
        <v/>
      </c>
      <c r="E26" s="84" t="str">
        <f>IF(HLOOKUP($B$1,Tabela7[#All],49+E$3,0)=0,"",HLOOKUP($B$1,Tabela7[#All],49+E$3,0))</f>
        <v/>
      </c>
      <c r="F26" s="84" t="str">
        <f>IF(HLOOKUP($B$1,Tabela7[#All],49+F$3,0)=0,"",HLOOKUP($B$1,Tabela7[#All],49+F$3,0))</f>
        <v/>
      </c>
      <c r="G26" s="84" t="str">
        <f>IF(HLOOKUP($B$1,Tabela7[#All],49+G$3,0)=0,"",HLOOKUP($B$1,Tabela7[#All],49+G$3,0))</f>
        <v/>
      </c>
      <c r="H26" s="84" t="str">
        <f>IF(HLOOKUP($B$1,Tabela7[#All],49+H$3,0)=0,"",HLOOKUP($B$1,Tabela7[#All],49+H$3,0))</f>
        <v/>
      </c>
      <c r="I26" s="84" t="str">
        <f>IF(HLOOKUP($B$1,Tabela7[#All],49+I$3,0)=0,"",HLOOKUP($B$1,Tabela7[#All],49+I$3,0))</f>
        <v/>
      </c>
      <c r="J26" s="84" t="str">
        <f>IF(HLOOKUP($B$1,Tabela7[#All],49+J$3,0)=0,"",HLOOKUP($B$1,Tabela7[#All],49+J$3,0))</f>
        <v/>
      </c>
      <c r="K26" s="84" t="str">
        <f>IF(HLOOKUP($B$1,Tabela7[#All],49+K$3,0)=0,"",HLOOKUP($B$1,Tabela7[#All],49+K$3,0))</f>
        <v/>
      </c>
      <c r="L26" s="84" t="str">
        <f>IF(HLOOKUP($B$1,Tabela7[#All],49+L$3,0)=0,"",HLOOKUP($B$1,Tabela7[#All],49+L$3,0))</f>
        <v/>
      </c>
      <c r="M26" s="84" t="str">
        <f>IF(HLOOKUP($B$1,Tabela7[#All],49+M$3,0)=0,"",HLOOKUP($B$1,Tabela7[#All],49+M$3,0))</f>
        <v/>
      </c>
      <c r="N26" s="85" t="str">
        <f>IF(HLOOKUP($B$1,Tabela7[#All],49+N$3,0)=0,"",HLOOKUP($B$1,Tabela7[#All],49+N$3,0))</f>
        <v/>
      </c>
      <c r="O26" s="102" t="str">
        <f t="shared" si="1"/>
        <v/>
      </c>
      <c r="P26" s="150"/>
      <c r="Q26" s="150"/>
      <c r="R26" s="166"/>
    </row>
    <row r="27" spans="1:18" x14ac:dyDescent="0.25">
      <c r="A27" s="118">
        <v>2023</v>
      </c>
      <c r="B27" s="124" t="s">
        <v>408</v>
      </c>
      <c r="C27" s="109" t="str">
        <f>IF(HLOOKUP($B$1,Tabela5[#All],61+C$3,0)=0,"",HLOOKUP($B$1,Tabela5[#All],61+C$3,0))</f>
        <v/>
      </c>
      <c r="D27" s="96" t="str">
        <f>IF(HLOOKUP($B$1,Tabela5[#All],61+D$3,0)=0,"",HLOOKUP($B$1,Tabela5[#All],61+D$3,0))</f>
        <v/>
      </c>
      <c r="E27" s="96" t="str">
        <f>IF(HLOOKUP($B$1,Tabela5[#All],61+E$3,0)=0,"",HLOOKUP($B$1,Tabela5[#All],61+E$3,0))</f>
        <v/>
      </c>
      <c r="F27" s="96" t="str">
        <f>IF(HLOOKUP($B$1,Tabela5[#All],61+F$3,0)=0,"",HLOOKUP($B$1,Tabela5[#All],61+F$3,0))</f>
        <v/>
      </c>
      <c r="G27" s="96" t="str">
        <f>IF(HLOOKUP($B$1,Tabela5[#All],61+G$3,0)=0,"",HLOOKUP($B$1,Tabela5[#All],61+G$3,0))</f>
        <v/>
      </c>
      <c r="H27" s="96" t="str">
        <f>IF(HLOOKUP($B$1,Tabela5[#All],61+H$3,0)=0,"",HLOOKUP($B$1,Tabela5[#All],61+H$3,0))</f>
        <v/>
      </c>
      <c r="I27" s="96" t="str">
        <f>IF(HLOOKUP($B$1,Tabela5[#All],61+I$3,0)=0,"",HLOOKUP($B$1,Tabela5[#All],61+I$3,0))</f>
        <v/>
      </c>
      <c r="J27" s="96" t="str">
        <f>IF(HLOOKUP($B$1,Tabela5[#All],61+J$3,0)=0,"",HLOOKUP($B$1,Tabela5[#All],61+J$3,0))</f>
        <v/>
      </c>
      <c r="K27" s="96" t="str">
        <f>IF(HLOOKUP($B$1,Tabela5[#All],61+K$3,0)=0,"",HLOOKUP($B$1,Tabela5[#All],61+K$3,0))</f>
        <v/>
      </c>
      <c r="L27" s="96" t="str">
        <f>IF(HLOOKUP($B$1,Tabela5[#All],61+L$3,0)=0,"",HLOOKUP($B$1,Tabela5[#All],61+L$3,0))</f>
        <v/>
      </c>
      <c r="M27" s="96" t="str">
        <f>IF(HLOOKUP($B$1,Tabela5[#All],61+M$3,0)=0,"",HLOOKUP($B$1,Tabela5[#All],61+M$3,0))</f>
        <v/>
      </c>
      <c r="N27" s="97" t="str">
        <f>IF(HLOOKUP($B$1,Tabela5[#All],61+N$3,0)=0,"",HLOOKUP($B$1,Tabela5[#All],61+N$3,0))</f>
        <v/>
      </c>
      <c r="O27" s="103" t="str">
        <f t="shared" si="1"/>
        <v/>
      </c>
      <c r="P27" s="145" t="str">
        <f>IFERROR(O27/$O$5,"")</f>
        <v/>
      </c>
      <c r="Q27" s="145" t="str">
        <f>IFERROR(O29/$O$5,"")</f>
        <v/>
      </c>
      <c r="R27" s="167">
        <v>2023</v>
      </c>
    </row>
    <row r="28" spans="1:18" x14ac:dyDescent="0.25">
      <c r="A28" s="119">
        <v>2023</v>
      </c>
      <c r="B28" s="125" t="s">
        <v>409</v>
      </c>
      <c r="C28" s="110" t="str">
        <f t="shared" ref="C28:N28" si="6">IF(C27="","",C27/$C$2)</f>
        <v/>
      </c>
      <c r="D28" s="78" t="str">
        <f t="shared" si="6"/>
        <v/>
      </c>
      <c r="E28" s="78" t="str">
        <f t="shared" si="6"/>
        <v/>
      </c>
      <c r="F28" s="78" t="str">
        <f t="shared" si="6"/>
        <v/>
      </c>
      <c r="G28" s="78" t="str">
        <f t="shared" si="6"/>
        <v/>
      </c>
      <c r="H28" s="78" t="str">
        <f t="shared" si="6"/>
        <v/>
      </c>
      <c r="I28" s="78" t="str">
        <f t="shared" si="6"/>
        <v/>
      </c>
      <c r="J28" s="78" t="str">
        <f t="shared" si="6"/>
        <v/>
      </c>
      <c r="K28" s="78" t="str">
        <f t="shared" si="6"/>
        <v/>
      </c>
      <c r="L28" s="78" t="str">
        <f t="shared" si="6"/>
        <v/>
      </c>
      <c r="M28" s="78" t="str">
        <f t="shared" si="6"/>
        <v/>
      </c>
      <c r="N28" s="79" t="str">
        <f t="shared" si="6"/>
        <v/>
      </c>
      <c r="O28" s="104" t="str">
        <f t="shared" si="1"/>
        <v/>
      </c>
      <c r="P28" s="146"/>
      <c r="Q28" s="146"/>
      <c r="R28" s="168"/>
    </row>
    <row r="29" spans="1:18" x14ac:dyDescent="0.25">
      <c r="A29" s="119">
        <v>2023</v>
      </c>
      <c r="B29" s="125" t="s">
        <v>422</v>
      </c>
      <c r="C29" s="110" t="str">
        <f>IF(HLOOKUP($B$1,Tabela6[#All],61+C$3,0)=0,"",HLOOKUP($B$1,Tabela6[#All],61+C$3,0))</f>
        <v/>
      </c>
      <c r="D29" s="78" t="str">
        <f>IF(HLOOKUP($B$1,Tabela6[#All],61+D$3,0)=0,"",HLOOKUP($B$1,Tabela6[#All],61+D$3,0))</f>
        <v/>
      </c>
      <c r="E29" s="78" t="str">
        <f>IF(HLOOKUP($B$1,Tabela6[#All],61+E$3,0)=0,"",HLOOKUP($B$1,Tabela6[#All],61+E$3,0))</f>
        <v/>
      </c>
      <c r="F29" s="78" t="str">
        <f>IF(HLOOKUP($B$1,Tabela6[#All],61+F$3,0)=0,"",HLOOKUP($B$1,Tabela6[#All],61+F$3,0))</f>
        <v/>
      </c>
      <c r="G29" s="78" t="str">
        <f>IF(HLOOKUP($B$1,Tabela6[#All],61+G$3,0)=0,"",HLOOKUP($B$1,Tabela6[#All],61+G$3,0))</f>
        <v/>
      </c>
      <c r="H29" s="78" t="str">
        <f>IF(HLOOKUP($B$1,Tabela6[#All],61+H$3,0)=0,"",HLOOKUP($B$1,Tabela6[#All],61+H$3,0))</f>
        <v/>
      </c>
      <c r="I29" s="78" t="str">
        <f>IF(HLOOKUP($B$1,Tabela6[#All],61+I$3,0)=0,"",HLOOKUP($B$1,Tabela6[#All],61+I$3,0))</f>
        <v/>
      </c>
      <c r="J29" s="78" t="str">
        <f>IF(HLOOKUP($B$1,Tabela6[#All],61+J$3,0)=0,"",HLOOKUP($B$1,Tabela6[#All],61+J$3,0))</f>
        <v/>
      </c>
      <c r="K29" s="78" t="str">
        <f>IF(HLOOKUP($B$1,Tabela6[#All],61+K$3,0)=0,"",HLOOKUP($B$1,Tabela6[#All],61+K$3,0))</f>
        <v/>
      </c>
      <c r="L29" s="78" t="str">
        <f>IF(HLOOKUP($B$1,Tabela6[#All],61+L$3,0)=0,"",HLOOKUP($B$1,Tabela6[#All],61+L$3,0))</f>
        <v/>
      </c>
      <c r="M29" s="78" t="str">
        <f>IF(HLOOKUP($B$1,Tabela6[#All],61+M$3,0)=0,"",HLOOKUP($B$1,Tabela6[#All],61+M$3,0))</f>
        <v/>
      </c>
      <c r="N29" s="79" t="str">
        <f>IF(HLOOKUP($B$1,Tabela6[#All],61+N$3,0)=0,"",HLOOKUP($B$1,Tabela6[#All],61+N$3,0))</f>
        <v/>
      </c>
      <c r="O29" s="104" t="str">
        <f t="shared" si="1"/>
        <v/>
      </c>
      <c r="P29" s="146"/>
      <c r="Q29" s="146"/>
      <c r="R29" s="168"/>
    </row>
    <row r="30" spans="1:18" ht="15.75" thickBot="1" x14ac:dyDescent="0.3">
      <c r="A30" s="120">
        <v>2023</v>
      </c>
      <c r="B30" s="126" t="s">
        <v>423</v>
      </c>
      <c r="C30" s="111" t="str">
        <f>IF(HLOOKUP($B$1,Tabela7[#All],61+C$3,0)=0,"",HLOOKUP($B$1,Tabela7[#All],61+C$3,0))</f>
        <v/>
      </c>
      <c r="D30" s="98" t="str">
        <f>IF(HLOOKUP($B$1,Tabela7[#All],61+D$3,0)=0,"",HLOOKUP($B$1,Tabela7[#All],61+D$3,0))</f>
        <v/>
      </c>
      <c r="E30" s="98" t="str">
        <f>IF(HLOOKUP($B$1,Tabela7[#All],61+E$3,0)=0,"",HLOOKUP($B$1,Tabela7[#All],61+E$3,0))</f>
        <v/>
      </c>
      <c r="F30" s="98" t="str">
        <f>IF(HLOOKUP($B$1,Tabela7[#All],61+F$3,0)=0,"",HLOOKUP($B$1,Tabela7[#All],61+F$3,0))</f>
        <v/>
      </c>
      <c r="G30" s="98" t="str">
        <f>IF(HLOOKUP($B$1,Tabela7[#All],61+G$3,0)=0,"",HLOOKUP($B$1,Tabela7[#All],61+G$3,0))</f>
        <v/>
      </c>
      <c r="H30" s="98" t="str">
        <f>IF(HLOOKUP($B$1,Tabela7[#All],61+H$3,0)=0,"",HLOOKUP($B$1,Tabela7[#All],61+H$3,0))</f>
        <v/>
      </c>
      <c r="I30" s="98" t="str">
        <f>IF(HLOOKUP($B$1,Tabela7[#All],61+I$3,0)=0,"",HLOOKUP($B$1,Tabela7[#All],61+I$3,0))</f>
        <v/>
      </c>
      <c r="J30" s="98" t="str">
        <f>IF(HLOOKUP($B$1,Tabela7[#All],61+J$3,0)=0,"",HLOOKUP($B$1,Tabela7[#All],61+J$3,0))</f>
        <v/>
      </c>
      <c r="K30" s="98" t="str">
        <f>IF(HLOOKUP($B$1,Tabela7[#All],61+K$3,0)=0,"",HLOOKUP($B$1,Tabela7[#All],61+K$3,0))</f>
        <v/>
      </c>
      <c r="L30" s="98" t="str">
        <f>IF(HLOOKUP($B$1,Tabela7[#All],61+L$3,0)=0,"",HLOOKUP($B$1,Tabela7[#All],61+L$3,0))</f>
        <v/>
      </c>
      <c r="M30" s="98" t="str">
        <f>IF(HLOOKUP($B$1,Tabela7[#All],61+M$3,0)=0,"",HLOOKUP($B$1,Tabela7[#All],61+M$3,0))</f>
        <v/>
      </c>
      <c r="N30" s="99" t="str">
        <f>IF(HLOOKUP($B$1,Tabela7[#All],61+N$3,0)=0,"",HLOOKUP($B$1,Tabela7[#All],61+N$3,0))</f>
        <v/>
      </c>
      <c r="O30" s="105" t="str">
        <f t="shared" si="1"/>
        <v/>
      </c>
      <c r="P30" s="147"/>
      <c r="Q30" s="147"/>
      <c r="R30" s="169"/>
    </row>
    <row r="31" spans="1:18" x14ac:dyDescent="0.25">
      <c r="A31" s="115">
        <v>2024</v>
      </c>
      <c r="B31" s="121" t="s">
        <v>408</v>
      </c>
      <c r="C31" s="106" t="str">
        <f>IF(HLOOKUP($B$1,Tabela5[#All],73+C$3,0)=0,"",HLOOKUP($B$1,Tabela5[#All],73+C$3,0))</f>
        <v/>
      </c>
      <c r="D31" s="82" t="str">
        <f>IF(HLOOKUP($B$1,Tabela5[#All],73+D$3,0)=0,"",HLOOKUP($B$1,Tabela5[#All],73+D$3,0))</f>
        <v/>
      </c>
      <c r="E31" s="82" t="str">
        <f>IF(HLOOKUP($B$1,Tabela5[#All],73+E$3,0)=0,"",HLOOKUP($B$1,Tabela5[#All],73+E$3,0))</f>
        <v/>
      </c>
      <c r="F31" s="82" t="str">
        <f>IF(HLOOKUP($B$1,Tabela5[#All],73+F$3,0)=0,"",HLOOKUP($B$1,Tabela5[#All],73+F$3,0))</f>
        <v/>
      </c>
      <c r="G31" s="82" t="str">
        <f>IF(HLOOKUP($B$1,Tabela5[#All],73+G$3,0)=0,"",HLOOKUP($B$1,Tabela5[#All],73+G$3,0))</f>
        <v/>
      </c>
      <c r="H31" s="82" t="str">
        <f>IF(HLOOKUP($B$1,Tabela5[#All],73+H$3,0)=0,"",HLOOKUP($B$1,Tabela5[#All],73+H$3,0))</f>
        <v/>
      </c>
      <c r="I31" s="82" t="str">
        <f>IF(HLOOKUP($B$1,Tabela5[#All],73+I$3,0)=0,"",HLOOKUP($B$1,Tabela5[#All],73+I$3,0))</f>
        <v/>
      </c>
      <c r="J31" s="82" t="str">
        <f>IF(HLOOKUP($B$1,Tabela5[#All],73+J$3,0)=0,"",HLOOKUP($B$1,Tabela5[#All],73+J$3,0))</f>
        <v/>
      </c>
      <c r="K31" s="82" t="str">
        <f>IF(HLOOKUP($B$1,Tabela5[#All],73+K$3,0)=0,"",HLOOKUP($B$1,Tabela5[#All],73+K$3,0))</f>
        <v/>
      </c>
      <c r="L31" s="82" t="str">
        <f>IF(HLOOKUP($B$1,Tabela5[#All],73+L$3,0)=0,"",HLOOKUP($B$1,Tabela5[#All],73+L$3,0))</f>
        <v/>
      </c>
      <c r="M31" s="82" t="str">
        <f>IF(HLOOKUP($B$1,Tabela5[#All],73+M$3,0)=0,"",HLOOKUP($B$1,Tabela5[#All],73+M$3,0))</f>
        <v/>
      </c>
      <c r="N31" s="83" t="str">
        <f>IF(HLOOKUP($B$1,Tabela5[#All],73+N$3,0)=0,"",HLOOKUP($B$1,Tabela5[#All],73+N$3,0))</f>
        <v/>
      </c>
      <c r="O31" s="100" t="str">
        <f t="shared" si="1"/>
        <v/>
      </c>
      <c r="P31" s="148" t="str">
        <f>IFERROR(O31/$O$5,"")</f>
        <v/>
      </c>
      <c r="Q31" s="148" t="str">
        <f>IFERROR(O33/$O$5,"")</f>
        <v/>
      </c>
      <c r="R31" s="164">
        <v>2024</v>
      </c>
    </row>
    <row r="32" spans="1:18" x14ac:dyDescent="0.25">
      <c r="A32" s="116">
        <v>2024</v>
      </c>
      <c r="B32" s="122" t="s">
        <v>409</v>
      </c>
      <c r="C32" s="107" t="str">
        <f t="shared" ref="C32:N32" si="7">IF(C31="","",C31/$C$2)</f>
        <v/>
      </c>
      <c r="D32" s="80" t="str">
        <f t="shared" si="7"/>
        <v/>
      </c>
      <c r="E32" s="80" t="str">
        <f t="shared" si="7"/>
        <v/>
      </c>
      <c r="F32" s="80" t="str">
        <f t="shared" si="7"/>
        <v/>
      </c>
      <c r="G32" s="80" t="str">
        <f t="shared" si="7"/>
        <v/>
      </c>
      <c r="H32" s="80" t="str">
        <f t="shared" si="7"/>
        <v/>
      </c>
      <c r="I32" s="80" t="str">
        <f t="shared" si="7"/>
        <v/>
      </c>
      <c r="J32" s="80" t="str">
        <f t="shared" si="7"/>
        <v/>
      </c>
      <c r="K32" s="80" t="str">
        <f t="shared" si="7"/>
        <v/>
      </c>
      <c r="L32" s="80" t="str">
        <f t="shared" si="7"/>
        <v/>
      </c>
      <c r="M32" s="80" t="str">
        <f t="shared" si="7"/>
        <v/>
      </c>
      <c r="N32" s="81" t="str">
        <f t="shared" si="7"/>
        <v/>
      </c>
      <c r="O32" s="101" t="str">
        <f t="shared" si="1"/>
        <v/>
      </c>
      <c r="P32" s="149"/>
      <c r="Q32" s="149"/>
      <c r="R32" s="165"/>
    </row>
    <row r="33" spans="1:18" x14ac:dyDescent="0.25">
      <c r="A33" s="116">
        <v>2024</v>
      </c>
      <c r="B33" s="122" t="s">
        <v>422</v>
      </c>
      <c r="C33" s="107" t="str">
        <f>IF(HLOOKUP($B$1,Tabela6[#All],73+C$3,0)=0,"",HLOOKUP($B$1,Tabela6[#All],73+C$3,0))</f>
        <v/>
      </c>
      <c r="D33" s="80" t="str">
        <f>IF(HLOOKUP($B$1,Tabela6[#All],73+D$3,0)=0,"",HLOOKUP($B$1,Tabela6[#All],73+D$3,0))</f>
        <v/>
      </c>
      <c r="E33" s="80" t="str">
        <f>IF(HLOOKUP($B$1,Tabela6[#All],73+E$3,0)=0,"",HLOOKUP($B$1,Tabela6[#All],73+E$3,0))</f>
        <v/>
      </c>
      <c r="F33" s="80" t="str">
        <f>IF(HLOOKUP($B$1,Tabela6[#All],73+F$3,0)=0,"",HLOOKUP($B$1,Tabela6[#All],73+F$3,0))</f>
        <v/>
      </c>
      <c r="G33" s="80" t="str">
        <f>IF(HLOOKUP($B$1,Tabela6[#All],73+G$3,0)=0,"",HLOOKUP($B$1,Tabela6[#All],73+G$3,0))</f>
        <v/>
      </c>
      <c r="H33" s="80" t="str">
        <f>IF(HLOOKUP($B$1,Tabela6[#All],73+H$3,0)=0,"",HLOOKUP($B$1,Tabela6[#All],73+H$3,0))</f>
        <v/>
      </c>
      <c r="I33" s="80" t="str">
        <f>IF(HLOOKUP($B$1,Tabela6[#All],73+I$3,0)=0,"",HLOOKUP($B$1,Tabela6[#All],73+I$3,0))</f>
        <v/>
      </c>
      <c r="J33" s="80" t="str">
        <f>IF(HLOOKUP($B$1,Tabela6[#All],73+J$3,0)=0,"",HLOOKUP($B$1,Tabela6[#All],73+J$3,0))</f>
        <v/>
      </c>
      <c r="K33" s="80" t="str">
        <f>IF(HLOOKUP($B$1,Tabela6[#All],73+K$3,0)=0,"",HLOOKUP($B$1,Tabela6[#All],73+K$3,0))</f>
        <v/>
      </c>
      <c r="L33" s="80" t="str">
        <f>IF(HLOOKUP($B$1,Tabela6[#All],73+L$3,0)=0,"",HLOOKUP($B$1,Tabela6[#All],73+L$3,0))</f>
        <v/>
      </c>
      <c r="M33" s="80" t="str">
        <f>IF(HLOOKUP($B$1,Tabela6[#All],73+M$3,0)=0,"",HLOOKUP($B$1,Tabela6[#All],73+M$3,0))</f>
        <v/>
      </c>
      <c r="N33" s="81" t="str">
        <f>IF(HLOOKUP($B$1,Tabela6[#All],73+N$3,0)=0,"",HLOOKUP($B$1,Tabela6[#All],73+N$3,0))</f>
        <v/>
      </c>
      <c r="O33" s="101" t="str">
        <f t="shared" si="1"/>
        <v/>
      </c>
      <c r="P33" s="149"/>
      <c r="Q33" s="149"/>
      <c r="R33" s="165"/>
    </row>
    <row r="34" spans="1:18" ht="15.75" thickBot="1" x14ac:dyDescent="0.3">
      <c r="A34" s="117">
        <v>2024</v>
      </c>
      <c r="B34" s="123" t="s">
        <v>423</v>
      </c>
      <c r="C34" s="108" t="str">
        <f>IF(HLOOKUP($B$1,Tabela7[#All],73+C$3,0)=0,"",HLOOKUP($B$1,Tabela7[#All],73+C$3,0))</f>
        <v/>
      </c>
      <c r="D34" s="84" t="str">
        <f>IF(HLOOKUP($B$1,Tabela7[#All],73+D$3,0)=0,"",HLOOKUP($B$1,Tabela7[#All],73+D$3,0))</f>
        <v/>
      </c>
      <c r="E34" s="84" t="str">
        <f>IF(HLOOKUP($B$1,Tabela7[#All],73+E$3,0)=0,"",HLOOKUP($B$1,Tabela7[#All],73+E$3,0))</f>
        <v/>
      </c>
      <c r="F34" s="84" t="str">
        <f>IF(HLOOKUP($B$1,Tabela7[#All],73+F$3,0)=0,"",HLOOKUP($B$1,Tabela7[#All],73+F$3,0))</f>
        <v/>
      </c>
      <c r="G34" s="84" t="str">
        <f>IF(HLOOKUP($B$1,Tabela7[#All],73+G$3,0)=0,"",HLOOKUP($B$1,Tabela7[#All],73+G$3,0))</f>
        <v/>
      </c>
      <c r="H34" s="84" t="str">
        <f>IF(HLOOKUP($B$1,Tabela7[#All],73+H$3,0)=0,"",HLOOKUP($B$1,Tabela7[#All],73+H$3,0))</f>
        <v/>
      </c>
      <c r="I34" s="84" t="str">
        <f>IF(HLOOKUP($B$1,Tabela7[#All],73+I$3,0)=0,"",HLOOKUP($B$1,Tabela7[#All],73+I$3,0))</f>
        <v/>
      </c>
      <c r="J34" s="84" t="str">
        <f>IF(HLOOKUP($B$1,Tabela7[#All],73+J$3,0)=0,"",HLOOKUP($B$1,Tabela7[#All],73+J$3,0))</f>
        <v/>
      </c>
      <c r="K34" s="84" t="str">
        <f>IF(HLOOKUP($B$1,Tabela7[#All],73+K$3,0)=0,"",HLOOKUP($B$1,Tabela7[#All],73+K$3,0))</f>
        <v/>
      </c>
      <c r="L34" s="84" t="str">
        <f>IF(HLOOKUP($B$1,Tabela7[#All],73+L$3,0)=0,"",HLOOKUP($B$1,Tabela7[#All],73+L$3,0))</f>
        <v/>
      </c>
      <c r="M34" s="84" t="str">
        <f>IF(HLOOKUP($B$1,Tabela7[#All],73+M$3,0)=0,"",HLOOKUP($B$1,Tabela7[#All],73+M$3,0))</f>
        <v/>
      </c>
      <c r="N34" s="85" t="str">
        <f>IF(HLOOKUP($B$1,Tabela7[#All],73+N$3,0)=0,"",HLOOKUP($B$1,Tabela7[#All],73+N$3,0))</f>
        <v/>
      </c>
      <c r="O34" s="102" t="str">
        <f t="shared" si="1"/>
        <v/>
      </c>
      <c r="P34" s="150"/>
      <c r="Q34" s="150"/>
      <c r="R34" s="166"/>
    </row>
    <row r="35" spans="1:18" x14ac:dyDescent="0.25">
      <c r="A35" s="118">
        <v>2025</v>
      </c>
      <c r="B35" s="124" t="s">
        <v>408</v>
      </c>
      <c r="C35" s="109" t="str">
        <f>IF(HLOOKUP($B$1,Tabela5[#All],85+C$3,0)=0,"",HLOOKUP($B$1,Tabela5[#All],85+C$3,0))</f>
        <v/>
      </c>
      <c r="D35" s="96" t="str">
        <f>IF(HLOOKUP($B$1,Tabela5[#All],85+D$3,0)=0,"",HLOOKUP($B$1,Tabela5[#All],85+D$3,0))</f>
        <v/>
      </c>
      <c r="E35" s="96" t="str">
        <f>IF(HLOOKUP($B$1,Tabela5[#All],85+E$3,0)=0,"",HLOOKUP($B$1,Tabela5[#All],85+E$3,0))</f>
        <v/>
      </c>
      <c r="F35" s="96" t="str">
        <f>IF(HLOOKUP($B$1,Tabela5[#All],85+F$3,0)=0,"",HLOOKUP($B$1,Tabela5[#All],85+F$3,0))</f>
        <v/>
      </c>
      <c r="G35" s="96" t="str">
        <f>IF(HLOOKUP($B$1,Tabela5[#All],85+G$3,0)=0,"",HLOOKUP($B$1,Tabela5[#All],85+G$3,0))</f>
        <v/>
      </c>
      <c r="H35" s="96" t="str">
        <f>IF(HLOOKUP($B$1,Tabela5[#All],85+H$3,0)=0,"",HLOOKUP($B$1,Tabela5[#All],85+H$3,0))</f>
        <v/>
      </c>
      <c r="I35" s="96" t="str">
        <f>IF(HLOOKUP($B$1,Tabela5[#All],85+I$3,0)=0,"",HLOOKUP($B$1,Tabela5[#All],85+I$3,0))</f>
        <v/>
      </c>
      <c r="J35" s="96" t="str">
        <f>IF(HLOOKUP($B$1,Tabela5[#All],85+J$3,0)=0,"",HLOOKUP($B$1,Tabela5[#All],85+J$3,0))</f>
        <v/>
      </c>
      <c r="K35" s="96" t="str">
        <f>IF(HLOOKUP($B$1,Tabela5[#All],85+K$3,0)=0,"",HLOOKUP($B$1,Tabela5[#All],85+K$3,0))</f>
        <v/>
      </c>
      <c r="L35" s="96" t="str">
        <f>IF(HLOOKUP($B$1,Tabela5[#All],85+L$3,0)=0,"",HLOOKUP($B$1,Tabela5[#All],85+L$3,0))</f>
        <v/>
      </c>
      <c r="M35" s="96" t="str">
        <f>IF(HLOOKUP($B$1,Tabela5[#All],85+M$3,0)=0,"",HLOOKUP($B$1,Tabela5[#All],85+M$3,0))</f>
        <v/>
      </c>
      <c r="N35" s="97" t="str">
        <f>IF(HLOOKUP($B$1,Tabela5[#All],85+N$3,0)=0,"",HLOOKUP($B$1,Tabela5[#All],85+N$3,0))</f>
        <v/>
      </c>
      <c r="O35" s="103" t="str">
        <f t="shared" si="1"/>
        <v/>
      </c>
      <c r="P35" s="145" t="str">
        <f>IFERROR(O35/$O$5,"")</f>
        <v/>
      </c>
      <c r="Q35" s="145" t="str">
        <f>IFERROR(O37/$O$5,"")</f>
        <v/>
      </c>
      <c r="R35" s="167">
        <v>2025</v>
      </c>
    </row>
    <row r="36" spans="1:18" x14ac:dyDescent="0.25">
      <c r="A36" s="119">
        <v>2025</v>
      </c>
      <c r="B36" s="125" t="s">
        <v>409</v>
      </c>
      <c r="C36" s="110" t="str">
        <f>IF(C35="","",C35/$C$2)</f>
        <v/>
      </c>
      <c r="D36" s="78" t="str">
        <f t="shared" ref="D36:N36" si="8">IF(D35="","",D35/$C$2)</f>
        <v/>
      </c>
      <c r="E36" s="78" t="str">
        <f t="shared" si="8"/>
        <v/>
      </c>
      <c r="F36" s="78" t="str">
        <f t="shared" si="8"/>
        <v/>
      </c>
      <c r="G36" s="78" t="str">
        <f t="shared" si="8"/>
        <v/>
      </c>
      <c r="H36" s="78" t="str">
        <f t="shared" si="8"/>
        <v/>
      </c>
      <c r="I36" s="78" t="str">
        <f t="shared" si="8"/>
        <v/>
      </c>
      <c r="J36" s="78" t="str">
        <f t="shared" si="8"/>
        <v/>
      </c>
      <c r="K36" s="78" t="str">
        <f t="shared" si="8"/>
        <v/>
      </c>
      <c r="L36" s="78" t="str">
        <f t="shared" si="8"/>
        <v/>
      </c>
      <c r="M36" s="78" t="str">
        <f t="shared" si="8"/>
        <v/>
      </c>
      <c r="N36" s="79" t="str">
        <f t="shared" si="8"/>
        <v/>
      </c>
      <c r="O36" s="104" t="str">
        <f t="shared" si="1"/>
        <v/>
      </c>
      <c r="P36" s="146"/>
      <c r="Q36" s="146"/>
      <c r="R36" s="168"/>
    </row>
    <row r="37" spans="1:18" x14ac:dyDescent="0.25">
      <c r="A37" s="119">
        <v>2025</v>
      </c>
      <c r="B37" s="125" t="s">
        <v>422</v>
      </c>
      <c r="C37" s="110" t="str">
        <f>IF(HLOOKUP($B$1,Tabela6[#All],85+C$3,0)=0,"",HLOOKUP($B$1,Tabela6[#All],85+C$3,0))</f>
        <v/>
      </c>
      <c r="D37" s="78" t="str">
        <f>IF(HLOOKUP($B$1,Tabela6[#All],85+D$3,0)=0,"",HLOOKUP($B$1,Tabela6[#All],85+D$3,0))</f>
        <v/>
      </c>
      <c r="E37" s="78" t="str">
        <f>IF(HLOOKUP($B$1,Tabela6[#All],85+E$3,0)=0,"",HLOOKUP($B$1,Tabela6[#All],85+E$3,0))</f>
        <v/>
      </c>
      <c r="F37" s="78" t="str">
        <f>IF(HLOOKUP($B$1,Tabela6[#All],85+F$3,0)=0,"",HLOOKUP($B$1,Tabela6[#All],85+F$3,0))</f>
        <v/>
      </c>
      <c r="G37" s="78" t="str">
        <f>IF(HLOOKUP($B$1,Tabela6[#All],85+G$3,0)=0,"",HLOOKUP($B$1,Tabela6[#All],85+G$3,0))</f>
        <v/>
      </c>
      <c r="H37" s="78" t="str">
        <f>IF(HLOOKUP($B$1,Tabela6[#All],85+H$3,0)=0,"",HLOOKUP($B$1,Tabela6[#All],85+H$3,0))</f>
        <v/>
      </c>
      <c r="I37" s="78" t="str">
        <f>IF(HLOOKUP($B$1,Tabela6[#All],85+I$3,0)=0,"",HLOOKUP($B$1,Tabela6[#All],85+I$3,0))</f>
        <v/>
      </c>
      <c r="J37" s="78" t="str">
        <f>IF(HLOOKUP($B$1,Tabela6[#All],85+J$3,0)=0,"",HLOOKUP($B$1,Tabela6[#All],85+J$3,0))</f>
        <v/>
      </c>
      <c r="K37" s="78" t="str">
        <f>IF(HLOOKUP($B$1,Tabela6[#All],85+K$3,0)=0,"",HLOOKUP($B$1,Tabela6[#All],85+K$3,0))</f>
        <v/>
      </c>
      <c r="L37" s="78" t="str">
        <f>IF(HLOOKUP($B$1,Tabela6[#All],85+L$3,0)=0,"",HLOOKUP($B$1,Tabela6[#All],85+L$3,0))</f>
        <v/>
      </c>
      <c r="M37" s="78" t="str">
        <f>IF(HLOOKUP($B$1,Tabela6[#All],85+M$3,0)=0,"",HLOOKUP($B$1,Tabela6[#All],85+M$3,0))</f>
        <v/>
      </c>
      <c r="N37" s="79" t="str">
        <f>IF(HLOOKUP($B$1,Tabela6[#All],85+N$3,0)=0,"",HLOOKUP($B$1,Tabela6[#All],85+N$3,0))</f>
        <v/>
      </c>
      <c r="O37" s="104" t="str">
        <f t="shared" si="1"/>
        <v/>
      </c>
      <c r="P37" s="146"/>
      <c r="Q37" s="146"/>
      <c r="R37" s="168"/>
    </row>
    <row r="38" spans="1:18" ht="15.75" thickBot="1" x14ac:dyDescent="0.3">
      <c r="A38" s="120">
        <v>2025</v>
      </c>
      <c r="B38" s="126" t="s">
        <v>423</v>
      </c>
      <c r="C38" s="111" t="str">
        <f>IF(HLOOKUP($B$1,Tabela7[#All],85+C$3,0)=0,"",HLOOKUP($B$1,Tabela7[#All],85+C$3,0))</f>
        <v/>
      </c>
      <c r="D38" s="98" t="str">
        <f>IF(HLOOKUP($B$1,Tabela7[#All],85+D$3,0)=0,"",HLOOKUP($B$1,Tabela7[#All],85+D$3,0))</f>
        <v/>
      </c>
      <c r="E38" s="98" t="str">
        <f>IF(HLOOKUP($B$1,Tabela7[#All],85+E$3,0)=0,"",HLOOKUP($B$1,Tabela7[#All],85+E$3,0))</f>
        <v/>
      </c>
      <c r="F38" s="98" t="str">
        <f>IF(HLOOKUP($B$1,Tabela7[#All],85+F$3,0)=0,"",HLOOKUP($B$1,Tabela7[#All],85+F$3,0))</f>
        <v/>
      </c>
      <c r="G38" s="98" t="str">
        <f>IF(HLOOKUP($B$1,Tabela7[#All],85+G$3,0)=0,"",HLOOKUP($B$1,Tabela7[#All],85+G$3,0))</f>
        <v/>
      </c>
      <c r="H38" s="98" t="str">
        <f>IF(HLOOKUP($B$1,Tabela7[#All],85+H$3,0)=0,"",HLOOKUP($B$1,Tabela7[#All],85+H$3,0))</f>
        <v/>
      </c>
      <c r="I38" s="98" t="str">
        <f>IF(HLOOKUP($B$1,Tabela7[#All],85+I$3,0)=0,"",HLOOKUP($B$1,Tabela7[#All],85+I$3,0))</f>
        <v/>
      </c>
      <c r="J38" s="98" t="str">
        <f>IF(HLOOKUP($B$1,Tabela7[#All],85+J$3,0)=0,"",HLOOKUP($B$1,Tabela7[#All],85+J$3,0))</f>
        <v/>
      </c>
      <c r="K38" s="98" t="str">
        <f>IF(HLOOKUP($B$1,Tabela7[#All],85+K$3,0)=0,"",HLOOKUP($B$1,Tabela7[#All],85+K$3,0))</f>
        <v/>
      </c>
      <c r="L38" s="98" t="str">
        <f>IF(HLOOKUP($B$1,Tabela7[#All],85+L$3,0)=0,"",HLOOKUP($B$1,Tabela7[#All],85+L$3,0))</f>
        <v/>
      </c>
      <c r="M38" s="98" t="str">
        <f>IF(HLOOKUP($B$1,Tabela7[#All],85+M$3,0)=0,"",HLOOKUP($B$1,Tabela7[#All],85+M$3,0))</f>
        <v/>
      </c>
      <c r="N38" s="99" t="str">
        <f>IF(HLOOKUP($B$1,Tabela7[#All],85+N$3,0)=0,"",HLOOKUP($B$1,Tabela7[#All],85+N$3,0))</f>
        <v/>
      </c>
      <c r="O38" s="105" t="str">
        <f t="shared" si="1"/>
        <v/>
      </c>
      <c r="P38" s="147"/>
      <c r="Q38" s="147"/>
      <c r="R38" s="169"/>
    </row>
    <row r="39" spans="1:18" x14ac:dyDescent="0.25">
      <c r="A39" s="115">
        <v>2026</v>
      </c>
      <c r="B39" s="121" t="s">
        <v>408</v>
      </c>
      <c r="C39" s="106" t="str">
        <f>IF(HLOOKUP($B$1,Tabela5[#All],97+C$3,0)=0,"",HLOOKUP($B$1,Tabela5[#All],97+C$3,0))</f>
        <v/>
      </c>
      <c r="D39" s="82" t="str">
        <f>IF(HLOOKUP($B$1,Tabela5[#All],97+D$3,0)=0,"",HLOOKUP($B$1,Tabela5[#All],97+D$3,0))</f>
        <v/>
      </c>
      <c r="E39" s="82" t="str">
        <f>IF(HLOOKUP($B$1,Tabela5[#All],97+E$3,0)=0,"",HLOOKUP($B$1,Tabela5[#All],97+E$3,0))</f>
        <v/>
      </c>
      <c r="F39" s="82" t="str">
        <f>IF(HLOOKUP($B$1,Tabela5[#All],97+F$3,0)=0,"",HLOOKUP($B$1,Tabela5[#All],97+F$3,0))</f>
        <v/>
      </c>
      <c r="G39" s="82" t="str">
        <f>IF(HLOOKUP($B$1,Tabela5[#All],97+G$3,0)=0,"",HLOOKUP($B$1,Tabela5[#All],97+G$3,0))</f>
        <v/>
      </c>
      <c r="H39" s="82" t="str">
        <f>IF(HLOOKUP($B$1,Tabela5[#All],97+H$3,0)=0,"",HLOOKUP($B$1,Tabela5[#All],97+H$3,0))</f>
        <v/>
      </c>
      <c r="I39" s="82" t="str">
        <f>IF(HLOOKUP($B$1,Tabela5[#All],97+I$3,0)=0,"",HLOOKUP($B$1,Tabela5[#All],97+I$3,0))</f>
        <v/>
      </c>
      <c r="J39" s="82" t="str">
        <f>IF(HLOOKUP($B$1,Tabela5[#All],97+J$3,0)=0,"",HLOOKUP($B$1,Tabela5[#All],97+J$3,0))</f>
        <v/>
      </c>
      <c r="K39" s="82" t="str">
        <f>IF(HLOOKUP($B$1,Tabela5[#All],97+K$3,0)=0,"",HLOOKUP($B$1,Tabela5[#All],97+K$3,0))</f>
        <v/>
      </c>
      <c r="L39" s="82" t="str">
        <f>IF(HLOOKUP($B$1,Tabela5[#All],97+L$3,0)=0,"",HLOOKUP($B$1,Tabela5[#All],97+L$3,0))</f>
        <v/>
      </c>
      <c r="M39" s="82" t="str">
        <f>IF(HLOOKUP($B$1,Tabela5[#All],97+M$3,0)=0,"",HLOOKUP($B$1,Tabela5[#All],97+M$3,0))</f>
        <v/>
      </c>
      <c r="N39" s="83" t="str">
        <f>IF(HLOOKUP($B$1,Tabela5[#All],97+N$3,0)=0,"",HLOOKUP($B$1,Tabela5[#All],97+N$3,0))</f>
        <v/>
      </c>
      <c r="O39" s="100" t="str">
        <f t="shared" si="1"/>
        <v/>
      </c>
      <c r="P39" s="148" t="str">
        <f>IFERROR(O39/$O$5,"")</f>
        <v/>
      </c>
      <c r="Q39" s="148" t="str">
        <f>IFERROR(O41/$O$5,"")</f>
        <v/>
      </c>
      <c r="R39" s="164">
        <v>2026</v>
      </c>
    </row>
    <row r="40" spans="1:18" x14ac:dyDescent="0.25">
      <c r="A40" s="116">
        <v>2026</v>
      </c>
      <c r="B40" s="122" t="s">
        <v>409</v>
      </c>
      <c r="C40" s="107" t="str">
        <f>IF(C39="","",C39/$C$2)</f>
        <v/>
      </c>
      <c r="D40" s="80" t="str">
        <f t="shared" ref="D40:N40" si="9">IF(D39="","",D39/$C$2)</f>
        <v/>
      </c>
      <c r="E40" s="80" t="str">
        <f t="shared" si="9"/>
        <v/>
      </c>
      <c r="F40" s="80" t="str">
        <f t="shared" si="9"/>
        <v/>
      </c>
      <c r="G40" s="80" t="str">
        <f t="shared" si="9"/>
        <v/>
      </c>
      <c r="H40" s="80" t="str">
        <f t="shared" si="9"/>
        <v/>
      </c>
      <c r="I40" s="80" t="str">
        <f t="shared" si="9"/>
        <v/>
      </c>
      <c r="J40" s="80" t="str">
        <f t="shared" si="9"/>
        <v/>
      </c>
      <c r="K40" s="80" t="str">
        <f t="shared" si="9"/>
        <v/>
      </c>
      <c r="L40" s="80" t="str">
        <f t="shared" si="9"/>
        <v/>
      </c>
      <c r="M40" s="80" t="str">
        <f t="shared" si="9"/>
        <v/>
      </c>
      <c r="N40" s="81" t="str">
        <f t="shared" si="9"/>
        <v/>
      </c>
      <c r="O40" s="101" t="str">
        <f t="shared" si="1"/>
        <v/>
      </c>
      <c r="P40" s="149"/>
      <c r="Q40" s="149"/>
      <c r="R40" s="165"/>
    </row>
    <row r="41" spans="1:18" x14ac:dyDescent="0.25">
      <c r="A41" s="116">
        <v>2026</v>
      </c>
      <c r="B41" s="122" t="s">
        <v>422</v>
      </c>
      <c r="C41" s="107" t="str">
        <f>IF(HLOOKUP($B$1,Tabela6[#All],97+C$3,0)=0,"",HLOOKUP($B$1,Tabela6[#All],9+C$3,0))</f>
        <v/>
      </c>
      <c r="D41" s="80" t="str">
        <f>IF(HLOOKUP($B$1,Tabela6[#All],97+D$3,0)=0,"",HLOOKUP($B$1,Tabela6[#All],9+D$3,0))</f>
        <v/>
      </c>
      <c r="E41" s="80" t="str">
        <f>IF(HLOOKUP($B$1,Tabela6[#All],97+E$3,0)=0,"",HLOOKUP($B$1,Tabela6[#All],9+E$3,0))</f>
        <v/>
      </c>
      <c r="F41" s="80" t="str">
        <f>IF(HLOOKUP($B$1,Tabela6[#All],97+F$3,0)=0,"",HLOOKUP($B$1,Tabela6[#All],9+F$3,0))</f>
        <v/>
      </c>
      <c r="G41" s="80" t="str">
        <f>IF(HLOOKUP($B$1,Tabela6[#All],97+G$3,0)=0,"",HLOOKUP($B$1,Tabela6[#All],9+G$3,0))</f>
        <v/>
      </c>
      <c r="H41" s="80" t="str">
        <f>IF(HLOOKUP($B$1,Tabela6[#All],97+H$3,0)=0,"",HLOOKUP($B$1,Tabela6[#All],9+H$3,0))</f>
        <v/>
      </c>
      <c r="I41" s="80" t="str">
        <f>IF(HLOOKUP($B$1,Tabela6[#All],97+I$3,0)=0,"",HLOOKUP($B$1,Tabela6[#All],9+I$3,0))</f>
        <v/>
      </c>
      <c r="J41" s="80" t="str">
        <f>IF(HLOOKUP($B$1,Tabela6[#All],97+J$3,0)=0,"",HLOOKUP($B$1,Tabela6[#All],9+J$3,0))</f>
        <v/>
      </c>
      <c r="K41" s="80" t="str">
        <f>IF(HLOOKUP($B$1,Tabela6[#All],97+K$3,0)=0,"",HLOOKUP($B$1,Tabela6[#All],9+K$3,0))</f>
        <v/>
      </c>
      <c r="L41" s="80" t="str">
        <f>IF(HLOOKUP($B$1,Tabela6[#All],97+L$3,0)=0,"",HLOOKUP($B$1,Tabela6[#All],9+L$3,0))</f>
        <v/>
      </c>
      <c r="M41" s="80" t="str">
        <f>IF(HLOOKUP($B$1,Tabela6[#All],97+M$3,0)=0,"",HLOOKUP($B$1,Tabela6[#All],9+M$3,0))</f>
        <v/>
      </c>
      <c r="N41" s="81" t="str">
        <f>IF(HLOOKUP($B$1,Tabela6[#All],97+N$3,0)=0,"",HLOOKUP($B$1,Tabela6[#All],9+N$3,0))</f>
        <v/>
      </c>
      <c r="O41" s="101" t="str">
        <f t="shared" si="1"/>
        <v/>
      </c>
      <c r="P41" s="149"/>
      <c r="Q41" s="149"/>
      <c r="R41" s="165"/>
    </row>
    <row r="42" spans="1:18" ht="15.75" thickBot="1" x14ac:dyDescent="0.3">
      <c r="A42" s="117">
        <v>2026</v>
      </c>
      <c r="B42" s="123" t="s">
        <v>423</v>
      </c>
      <c r="C42" s="108" t="str">
        <f>IF(HLOOKUP($B$1,Tabela7[#All],97+C$3,0)=0,"",HLOOKUP($B$1,Tabela7[#All],97+C$3,0))</f>
        <v/>
      </c>
      <c r="D42" s="84" t="str">
        <f>IF(HLOOKUP($B$1,Tabela7[#All],97+D$3,0)=0,"",HLOOKUP($B$1,Tabela7[#All],97+D$3,0))</f>
        <v/>
      </c>
      <c r="E42" s="84" t="str">
        <f>IF(HLOOKUP($B$1,Tabela7[#All],97+E$3,0)=0,"",HLOOKUP($B$1,Tabela7[#All],97+E$3,0))</f>
        <v/>
      </c>
      <c r="F42" s="84" t="str">
        <f>IF(HLOOKUP($B$1,Tabela7[#All],97+F$3,0)=0,"",HLOOKUP($B$1,Tabela7[#All],97+F$3,0))</f>
        <v/>
      </c>
      <c r="G42" s="84" t="str">
        <f>IF(HLOOKUP($B$1,Tabela7[#All],97+G$3,0)=0,"",HLOOKUP($B$1,Tabela7[#All],97+G$3,0))</f>
        <v/>
      </c>
      <c r="H42" s="84" t="str">
        <f>IF(HLOOKUP($B$1,Tabela7[#All],97+H$3,0)=0,"",HLOOKUP($B$1,Tabela7[#All],97+H$3,0))</f>
        <v/>
      </c>
      <c r="I42" s="84" t="str">
        <f>IF(HLOOKUP($B$1,Tabela7[#All],97+I$3,0)=0,"",HLOOKUP($B$1,Tabela7[#All],97+I$3,0))</f>
        <v/>
      </c>
      <c r="J42" s="84" t="str">
        <f>IF(HLOOKUP($B$1,Tabela7[#All],97+J$3,0)=0,"",HLOOKUP($B$1,Tabela7[#All],97+J$3,0))</f>
        <v/>
      </c>
      <c r="K42" s="84" t="str">
        <f>IF(HLOOKUP($B$1,Tabela7[#All],97+K$3,0)=0,"",HLOOKUP($B$1,Tabela7[#All],97+K$3,0))</f>
        <v/>
      </c>
      <c r="L42" s="84" t="str">
        <f>IF(HLOOKUP($B$1,Tabela7[#All],97+L$3,0)=0,"",HLOOKUP($B$1,Tabela7[#All],97+L$3,0))</f>
        <v/>
      </c>
      <c r="M42" s="84" t="str">
        <f>IF(HLOOKUP($B$1,Tabela7[#All],97+M$3,0)=0,"",HLOOKUP($B$1,Tabela7[#All],97+M$3,0))</f>
        <v/>
      </c>
      <c r="N42" s="85" t="str">
        <f>IF(HLOOKUP($B$1,Tabela7[#All],97+N$3,0)=0,"",HLOOKUP($B$1,Tabela7[#All],97+N$3,0))</f>
        <v/>
      </c>
      <c r="O42" s="102" t="str">
        <f t="shared" si="1"/>
        <v/>
      </c>
      <c r="P42" s="150"/>
      <c r="Q42" s="150"/>
      <c r="R42" s="166"/>
    </row>
  </sheetData>
  <mergeCells count="33">
    <mergeCell ref="R23:R26"/>
    <mergeCell ref="R27:R30"/>
    <mergeCell ref="R31:R34"/>
    <mergeCell ref="R35:R38"/>
    <mergeCell ref="R39:R42"/>
    <mergeCell ref="R5:R6"/>
    <mergeCell ref="R7:R10"/>
    <mergeCell ref="R11:R14"/>
    <mergeCell ref="R15:R18"/>
    <mergeCell ref="R19:R22"/>
    <mergeCell ref="P23:P26"/>
    <mergeCell ref="Q23:Q26"/>
    <mergeCell ref="P27:P30"/>
    <mergeCell ref="Q27:Q30"/>
    <mergeCell ref="P39:P42"/>
    <mergeCell ref="Q39:Q42"/>
    <mergeCell ref="P31:P34"/>
    <mergeCell ref="Q31:Q34"/>
    <mergeCell ref="P35:P38"/>
    <mergeCell ref="Q35:Q38"/>
    <mergeCell ref="P11:P14"/>
    <mergeCell ref="Q11:Q14"/>
    <mergeCell ref="P15:P18"/>
    <mergeCell ref="Q15:Q18"/>
    <mergeCell ref="P19:P22"/>
    <mergeCell ref="Q19:Q22"/>
    <mergeCell ref="Q5:Q6"/>
    <mergeCell ref="B1:I1"/>
    <mergeCell ref="D2:F2"/>
    <mergeCell ref="H2:J2"/>
    <mergeCell ref="P7:P10"/>
    <mergeCell ref="P5:P6"/>
    <mergeCell ref="Q7:Q10"/>
  </mergeCells>
  <phoneticPr fontId="4" type="noConversion"/>
  <pageMargins left="0.511811024" right="0.511811024" top="0.78740157499999996" bottom="0.78740157499999996" header="0.31496062000000002" footer="0.31496062000000002"/>
  <ignoredErrors>
    <ignoredError sqref="C7 D7:N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7903AE-B74D-4E9B-B6C6-6D970FEB75D3}">
          <x14:formula1>
            <xm:f>Prev!$B$3:$B$76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22CD-6596-4B21-956B-58064A42B216}">
  <dimension ref="A1"/>
  <sheetViews>
    <sheetView showGridLines="0" workbookViewId="0">
      <selection activeCell="N22" sqref="N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dimension ref="A1:G75"/>
  <sheetViews>
    <sheetView topLeftCell="A52" zoomScale="90" zoomScaleNormal="90" workbookViewId="0">
      <selection activeCell="F68" sqref="F68"/>
    </sheetView>
  </sheetViews>
  <sheetFormatPr defaultRowHeight="15" x14ac:dyDescent="0.25"/>
  <cols>
    <col min="1" max="1" width="7.7109375" style="13" bestFit="1" customWidth="1"/>
    <col min="2" max="2" width="40.5703125" style="13" bestFit="1" customWidth="1"/>
    <col min="3" max="3" width="19.42578125" style="13" bestFit="1" customWidth="1"/>
    <col min="4" max="4" width="18.85546875" style="13" bestFit="1" customWidth="1"/>
    <col min="5" max="5" width="23.5703125" style="13" customWidth="1"/>
    <col min="6" max="6" width="14.85546875" style="13" bestFit="1" customWidth="1"/>
    <col min="7" max="7" width="15.140625" style="13" bestFit="1" customWidth="1"/>
  </cols>
  <sheetData>
    <row r="1" spans="1:7" x14ac:dyDescent="0.25">
      <c r="A1" s="24" t="s">
        <v>385</v>
      </c>
      <c r="B1" s="25" t="s">
        <v>132</v>
      </c>
      <c r="C1" s="20" t="s">
        <v>380</v>
      </c>
      <c r="D1" s="20" t="s">
        <v>381</v>
      </c>
      <c r="E1" s="20" t="s">
        <v>382</v>
      </c>
      <c r="F1" s="20" t="s">
        <v>383</v>
      </c>
      <c r="G1" s="20" t="s">
        <v>384</v>
      </c>
    </row>
    <row r="2" spans="1:7" x14ac:dyDescent="0.25">
      <c r="A2" s="26">
        <v>1</v>
      </c>
      <c r="B2" s="22" t="s">
        <v>238</v>
      </c>
      <c r="C2" s="27">
        <v>14</v>
      </c>
      <c r="D2" s="27">
        <v>325</v>
      </c>
      <c r="E2" s="28">
        <f>Tabela14[[#This Row],[Pot.do módulo]]*Tabela14[[#This Row],[Nº de módulos ]]/1000</f>
        <v>4.55</v>
      </c>
      <c r="F2" s="28" t="s">
        <v>386</v>
      </c>
      <c r="G2" s="28" t="s">
        <v>386</v>
      </c>
    </row>
    <row r="3" spans="1:7" x14ac:dyDescent="0.25">
      <c r="A3" s="26">
        <v>2</v>
      </c>
      <c r="B3" s="22" t="s">
        <v>239</v>
      </c>
      <c r="C3" s="27">
        <v>11</v>
      </c>
      <c r="D3" s="27">
        <v>270</v>
      </c>
      <c r="E3" s="27">
        <f>Tabela14[[#This Row],[Pot.do módulo]]*Tabela14[[#This Row],[Nº de módulos ]]/1000</f>
        <v>2.97</v>
      </c>
      <c r="F3" s="28" t="s">
        <v>386</v>
      </c>
      <c r="G3" s="28" t="s">
        <v>386</v>
      </c>
    </row>
    <row r="4" spans="1:7" x14ac:dyDescent="0.25">
      <c r="A4" s="26">
        <v>3</v>
      </c>
      <c r="B4" s="22" t="s">
        <v>240</v>
      </c>
      <c r="C4" s="27">
        <v>7</v>
      </c>
      <c r="D4" s="27">
        <v>270</v>
      </c>
      <c r="E4" s="27">
        <f>Tabela14[[#This Row],[Pot.do módulo]]*Tabela14[[#This Row],[Nº de módulos ]]/1000</f>
        <v>1.89</v>
      </c>
      <c r="F4" s="28" t="s">
        <v>386</v>
      </c>
      <c r="G4" s="28" t="s">
        <v>386</v>
      </c>
    </row>
    <row r="5" spans="1:7" x14ac:dyDescent="0.25">
      <c r="A5" s="26">
        <v>4</v>
      </c>
      <c r="B5" s="22" t="s">
        <v>241</v>
      </c>
      <c r="C5" s="27">
        <v>10</v>
      </c>
      <c r="D5" s="27">
        <v>330</v>
      </c>
      <c r="E5" s="27">
        <f>Tabela14[[#This Row],[Pot.do módulo]]*Tabela14[[#This Row],[Nº de módulos ]]/1000</f>
        <v>3.3</v>
      </c>
      <c r="F5" s="27" t="s">
        <v>386</v>
      </c>
      <c r="G5" s="27" t="s">
        <v>386</v>
      </c>
    </row>
    <row r="6" spans="1:7" x14ac:dyDescent="0.25">
      <c r="A6" s="26">
        <v>5</v>
      </c>
      <c r="B6" s="22" t="s">
        <v>242</v>
      </c>
      <c r="C6" s="27">
        <v>24</v>
      </c>
      <c r="D6" s="27">
        <v>270</v>
      </c>
      <c r="E6" s="27">
        <f>Tabela14[[#This Row],[Pot.do módulo]]*Tabela14[[#This Row],[Nº de módulos ]]/1000</f>
        <v>6.48</v>
      </c>
      <c r="F6" s="28" t="s">
        <v>386</v>
      </c>
      <c r="G6" s="28" t="s">
        <v>386</v>
      </c>
    </row>
    <row r="7" spans="1:7" x14ac:dyDescent="0.25">
      <c r="A7" s="26">
        <v>6</v>
      </c>
      <c r="B7" s="22" t="s">
        <v>243</v>
      </c>
      <c r="C7" s="27">
        <v>11</v>
      </c>
      <c r="D7" s="27">
        <v>270</v>
      </c>
      <c r="E7" s="27">
        <f>Tabela14[[#This Row],[Pot.do módulo]]*Tabela14[[#This Row],[Nº de módulos ]]/1000</f>
        <v>2.97</v>
      </c>
      <c r="F7" s="27" t="s">
        <v>386</v>
      </c>
      <c r="G7" s="27" t="s">
        <v>386</v>
      </c>
    </row>
    <row r="8" spans="1:7" x14ac:dyDescent="0.25">
      <c r="A8" s="26">
        <v>7</v>
      </c>
      <c r="B8" s="22" t="s">
        <v>244</v>
      </c>
      <c r="C8" s="27">
        <v>48</v>
      </c>
      <c r="D8" s="27">
        <v>330</v>
      </c>
      <c r="E8" s="27">
        <f>Tabela14[[#This Row],[Pot.do módulo]]*Tabela14[[#This Row],[Nº de módulos ]]/1000</f>
        <v>15.84</v>
      </c>
      <c r="F8" s="27" t="s">
        <v>386</v>
      </c>
      <c r="G8" s="27" t="s">
        <v>386</v>
      </c>
    </row>
    <row r="9" spans="1:7" x14ac:dyDescent="0.25">
      <c r="A9" s="26">
        <v>8</v>
      </c>
      <c r="B9" s="22" t="s">
        <v>245</v>
      </c>
      <c r="C9" s="27">
        <v>10</v>
      </c>
      <c r="D9" s="27">
        <v>330</v>
      </c>
      <c r="E9" s="27">
        <f>Tabela14[[#This Row],[Pot.do módulo]]*Tabela14[[#This Row],[Nº de módulos ]]/1000</f>
        <v>3.3</v>
      </c>
      <c r="F9" s="27" t="s">
        <v>386</v>
      </c>
      <c r="G9" s="27" t="s">
        <v>386</v>
      </c>
    </row>
    <row r="10" spans="1:7" x14ac:dyDescent="0.25">
      <c r="A10" s="26">
        <v>9</v>
      </c>
      <c r="B10" s="22" t="s">
        <v>246</v>
      </c>
      <c r="C10" s="27">
        <v>186</v>
      </c>
      <c r="D10" s="27">
        <v>330</v>
      </c>
      <c r="E10" s="27">
        <f>Tabela14[[#This Row],[Pot.do módulo]]*Tabela14[[#This Row],[Nº de módulos ]]/1000</f>
        <v>61.38</v>
      </c>
      <c r="F10" s="28" t="s">
        <v>386</v>
      </c>
      <c r="G10" s="28" t="s">
        <v>386</v>
      </c>
    </row>
    <row r="11" spans="1:7" x14ac:dyDescent="0.25">
      <c r="A11" s="26">
        <v>10</v>
      </c>
      <c r="B11" s="22" t="s">
        <v>247</v>
      </c>
      <c r="C11" s="27">
        <v>18</v>
      </c>
      <c r="D11" s="27">
        <v>330</v>
      </c>
      <c r="E11" s="27">
        <f>Tabela14[[#This Row],[Pot.do módulo]]*Tabela14[[#This Row],[Nº de módulos ]]/1000</f>
        <v>5.94</v>
      </c>
      <c r="F11" s="27" t="s">
        <v>386</v>
      </c>
      <c r="G11" s="27" t="s">
        <v>386</v>
      </c>
    </row>
    <row r="12" spans="1:7" x14ac:dyDescent="0.25">
      <c r="A12" s="26">
        <v>11</v>
      </c>
      <c r="B12" s="22" t="s">
        <v>248</v>
      </c>
      <c r="C12" s="27">
        <v>19</v>
      </c>
      <c r="D12" s="27">
        <v>330</v>
      </c>
      <c r="E12" s="27">
        <f>Tabela14[[#This Row],[Pot.do módulo]]*Tabela14[[#This Row],[Nº de módulos ]]/1000</f>
        <v>6.27</v>
      </c>
      <c r="F12" s="27" t="s">
        <v>386</v>
      </c>
      <c r="G12" s="27" t="s">
        <v>386</v>
      </c>
    </row>
    <row r="13" spans="1:7" x14ac:dyDescent="0.25">
      <c r="A13" s="26">
        <v>12</v>
      </c>
      <c r="B13" s="22" t="s">
        <v>249</v>
      </c>
      <c r="C13" s="27">
        <v>14</v>
      </c>
      <c r="D13" s="27">
        <v>330</v>
      </c>
      <c r="E13" s="27">
        <f>Tabela14[[#This Row],[Pot.do módulo]]*Tabela14[[#This Row],[Nº de módulos ]]/1000</f>
        <v>4.62</v>
      </c>
      <c r="F13" s="27" t="s">
        <v>386</v>
      </c>
      <c r="G13" s="27" t="s">
        <v>386</v>
      </c>
    </row>
    <row r="14" spans="1:7" x14ac:dyDescent="0.25">
      <c r="A14" s="26">
        <v>13</v>
      </c>
      <c r="B14" s="22" t="s">
        <v>250</v>
      </c>
      <c r="C14" s="27">
        <v>80</v>
      </c>
      <c r="D14" s="27">
        <v>330</v>
      </c>
      <c r="E14" s="27">
        <f>Tabela14[[#This Row],[Pot.do módulo]]*Tabela14[[#This Row],[Nº de módulos ]]/1000</f>
        <v>26.4</v>
      </c>
      <c r="F14" s="28" t="s">
        <v>386</v>
      </c>
      <c r="G14" s="28" t="s">
        <v>386</v>
      </c>
    </row>
    <row r="15" spans="1:7" x14ac:dyDescent="0.25">
      <c r="A15" s="26">
        <v>14</v>
      </c>
      <c r="B15" s="22" t="s">
        <v>251</v>
      </c>
      <c r="C15" s="27">
        <v>38</v>
      </c>
      <c r="D15" s="27">
        <v>330</v>
      </c>
      <c r="E15" s="27">
        <f>Tabela14[[#This Row],[Pot.do módulo]]*Tabela14[[#This Row],[Nº de módulos ]]/1000</f>
        <v>12.54</v>
      </c>
      <c r="F15" s="27" t="s">
        <v>386</v>
      </c>
      <c r="G15" s="27" t="s">
        <v>386</v>
      </c>
    </row>
    <row r="16" spans="1:7" x14ac:dyDescent="0.25">
      <c r="A16" s="26">
        <v>15</v>
      </c>
      <c r="B16" s="22" t="s">
        <v>252</v>
      </c>
      <c r="C16" s="27">
        <v>12</v>
      </c>
      <c r="D16" s="27">
        <v>330</v>
      </c>
      <c r="E16" s="27">
        <f>Tabela14[[#This Row],[Pot.do módulo]]*Tabela14[[#This Row],[Nº de módulos ]]/1000</f>
        <v>3.96</v>
      </c>
      <c r="F16" s="28" t="s">
        <v>386</v>
      </c>
      <c r="G16" s="28" t="s">
        <v>386</v>
      </c>
    </row>
    <row r="17" spans="1:7" x14ac:dyDescent="0.25">
      <c r="A17" s="26">
        <v>16</v>
      </c>
      <c r="B17" s="22" t="s">
        <v>253</v>
      </c>
      <c r="C17" s="27">
        <v>180</v>
      </c>
      <c r="D17" s="27">
        <v>360</v>
      </c>
      <c r="E17" s="27">
        <f>Tabela14[[#This Row],[Pot.do módulo]]*Tabela14[[#This Row],[Nº de módulos ]]/1000</f>
        <v>64.8</v>
      </c>
      <c r="F17" s="27" t="s">
        <v>386</v>
      </c>
      <c r="G17" s="27" t="s">
        <v>386</v>
      </c>
    </row>
    <row r="18" spans="1:7" x14ac:dyDescent="0.25">
      <c r="A18" s="26">
        <v>17</v>
      </c>
      <c r="B18" s="22" t="s">
        <v>254</v>
      </c>
      <c r="C18" s="27">
        <v>18</v>
      </c>
      <c r="D18" s="27">
        <v>330</v>
      </c>
      <c r="E18" s="27">
        <f>Tabela14[[#This Row],[Pot.do módulo]]*Tabela14[[#This Row],[Nº de módulos ]]/1000</f>
        <v>5.94</v>
      </c>
      <c r="F18" s="27" t="s">
        <v>386</v>
      </c>
      <c r="G18" s="27" t="s">
        <v>386</v>
      </c>
    </row>
    <row r="19" spans="1:7" x14ac:dyDescent="0.25">
      <c r="A19" s="26">
        <v>18</v>
      </c>
      <c r="B19" s="22" t="s">
        <v>255</v>
      </c>
      <c r="C19" s="27">
        <v>80</v>
      </c>
      <c r="D19" s="27">
        <v>330</v>
      </c>
      <c r="E19" s="27">
        <f>Tabela14[[#This Row],[Pot.do módulo]]*Tabela14[[#This Row],[Nº de módulos ]]/1000</f>
        <v>26.4</v>
      </c>
      <c r="F19" s="28" t="s">
        <v>386</v>
      </c>
      <c r="G19" s="28" t="s">
        <v>386</v>
      </c>
    </row>
    <row r="20" spans="1:7" x14ac:dyDescent="0.25">
      <c r="A20" s="26">
        <v>19</v>
      </c>
      <c r="B20" s="22" t="s">
        <v>256</v>
      </c>
      <c r="C20" s="27">
        <v>12</v>
      </c>
      <c r="D20" s="27">
        <v>330</v>
      </c>
      <c r="E20" s="27">
        <f>Tabela14[[#This Row],[Pot.do módulo]]*Tabela14[[#This Row],[Nº de módulos ]]/1000</f>
        <v>3.96</v>
      </c>
      <c r="F20" s="27" t="s">
        <v>386</v>
      </c>
      <c r="G20" s="27" t="s">
        <v>386</v>
      </c>
    </row>
    <row r="21" spans="1:7" x14ac:dyDescent="0.25">
      <c r="A21" s="26">
        <v>20</v>
      </c>
      <c r="B21" s="22" t="s">
        <v>257</v>
      </c>
      <c r="C21" s="27">
        <v>10</v>
      </c>
      <c r="D21" s="27">
        <v>360</v>
      </c>
      <c r="E21" s="27">
        <f>Tabela14[[#This Row],[Pot.do módulo]]*Tabela14[[#This Row],[Nº de módulos ]]/1000</f>
        <v>3.6</v>
      </c>
      <c r="F21" s="28" t="s">
        <v>386</v>
      </c>
      <c r="G21" s="28" t="s">
        <v>386</v>
      </c>
    </row>
    <row r="22" spans="1:7" x14ac:dyDescent="0.25">
      <c r="A22" s="26">
        <v>21</v>
      </c>
      <c r="B22" s="22" t="s">
        <v>258</v>
      </c>
      <c r="C22" s="27">
        <v>30</v>
      </c>
      <c r="D22" s="27">
        <v>330</v>
      </c>
      <c r="E22" s="27">
        <f>Tabela14[[#This Row],[Pot.do módulo]]*Tabela14[[#This Row],[Nº de módulos ]]/1000</f>
        <v>9.9</v>
      </c>
      <c r="F22" s="27" t="s">
        <v>386</v>
      </c>
      <c r="G22" s="27" t="s">
        <v>386</v>
      </c>
    </row>
    <row r="23" spans="1:7" x14ac:dyDescent="0.25">
      <c r="A23" s="26">
        <v>22</v>
      </c>
      <c r="B23" s="22" t="s">
        <v>259</v>
      </c>
      <c r="C23" s="27">
        <v>18</v>
      </c>
      <c r="D23" s="27">
        <v>330</v>
      </c>
      <c r="E23" s="27">
        <f>Tabela14[[#This Row],[Pot.do módulo]]*Tabela14[[#This Row],[Nº de módulos ]]/1000</f>
        <v>5.94</v>
      </c>
      <c r="F23" s="28" t="s">
        <v>386</v>
      </c>
      <c r="G23" s="28" t="s">
        <v>386</v>
      </c>
    </row>
    <row r="24" spans="1:7" x14ac:dyDescent="0.25">
      <c r="A24" s="26">
        <v>23</v>
      </c>
      <c r="B24" s="22" t="s">
        <v>260</v>
      </c>
      <c r="C24" s="27">
        <v>28</v>
      </c>
      <c r="D24" s="27">
        <v>330</v>
      </c>
      <c r="E24" s="27">
        <f>Tabela14[[#This Row],[Pot.do módulo]]*Tabela14[[#This Row],[Nº de módulos ]]/1000</f>
        <v>9.24</v>
      </c>
      <c r="F24" s="27" t="s">
        <v>386</v>
      </c>
      <c r="G24" s="27" t="s">
        <v>386</v>
      </c>
    </row>
    <row r="25" spans="1:7" x14ac:dyDescent="0.25">
      <c r="A25" s="26">
        <v>24</v>
      </c>
      <c r="B25" s="22" t="s">
        <v>261</v>
      </c>
      <c r="C25" s="27">
        <v>80</v>
      </c>
      <c r="D25" s="27">
        <v>330</v>
      </c>
      <c r="E25" s="27">
        <f>Tabela14[[#This Row],[Pot.do módulo]]*Tabela14[[#This Row],[Nº de módulos ]]/1000</f>
        <v>26.4</v>
      </c>
      <c r="F25" s="28" t="s">
        <v>386</v>
      </c>
      <c r="G25" s="28" t="s">
        <v>386</v>
      </c>
    </row>
    <row r="26" spans="1:7" x14ac:dyDescent="0.25">
      <c r="A26" s="26">
        <v>25</v>
      </c>
      <c r="B26" s="22" t="s">
        <v>262</v>
      </c>
      <c r="C26" s="27">
        <v>28</v>
      </c>
      <c r="D26" s="27">
        <v>330</v>
      </c>
      <c r="E26" s="27">
        <f>Tabela14[[#This Row],[Pot.do módulo]]*Tabela14[[#This Row],[Nº de módulos ]]/1000</f>
        <v>9.24</v>
      </c>
      <c r="F26" s="27" t="s">
        <v>386</v>
      </c>
      <c r="G26" s="27" t="s">
        <v>386</v>
      </c>
    </row>
    <row r="27" spans="1:7" x14ac:dyDescent="0.25">
      <c r="A27" s="26">
        <v>26</v>
      </c>
      <c r="B27" s="22" t="s">
        <v>263</v>
      </c>
      <c r="C27" s="27">
        <v>50</v>
      </c>
      <c r="D27" s="27">
        <v>360</v>
      </c>
      <c r="E27" s="27">
        <f>Tabela14[[#This Row],[Pot.do módulo]]*Tabela14[[#This Row],[Nº de módulos ]]/1000</f>
        <v>18</v>
      </c>
      <c r="F27" s="28" t="s">
        <v>386</v>
      </c>
      <c r="G27" s="28" t="s">
        <v>386</v>
      </c>
    </row>
    <row r="28" spans="1:7" x14ac:dyDescent="0.25">
      <c r="A28" s="26">
        <v>27</v>
      </c>
      <c r="B28" s="22" t="s">
        <v>264</v>
      </c>
      <c r="C28" s="27">
        <v>108</v>
      </c>
      <c r="D28" s="27">
        <v>360</v>
      </c>
      <c r="E28" s="27">
        <f>Tabela14[[#This Row],[Pot.do módulo]]*Tabela14[[#This Row],[Nº de módulos ]]/1000</f>
        <v>38.880000000000003</v>
      </c>
      <c r="F28" s="27" t="s">
        <v>386</v>
      </c>
      <c r="G28" s="27" t="s">
        <v>386</v>
      </c>
    </row>
    <row r="29" spans="1:7" x14ac:dyDescent="0.25">
      <c r="A29" s="26">
        <v>28</v>
      </c>
      <c r="B29" s="22" t="s">
        <v>265</v>
      </c>
      <c r="C29" s="27">
        <v>60</v>
      </c>
      <c r="D29" s="27">
        <v>330</v>
      </c>
      <c r="E29" s="27">
        <f>Tabela14[[#This Row],[Pot.do módulo]]*Tabela14[[#This Row],[Nº de módulos ]]/1000</f>
        <v>19.8</v>
      </c>
      <c r="F29" s="28" t="s">
        <v>386</v>
      </c>
      <c r="G29" s="28" t="s">
        <v>386</v>
      </c>
    </row>
    <row r="30" spans="1:7" x14ac:dyDescent="0.25">
      <c r="A30" s="26">
        <v>29</v>
      </c>
      <c r="B30" s="22" t="s">
        <v>266</v>
      </c>
      <c r="C30" s="27">
        <v>152</v>
      </c>
      <c r="D30" s="27">
        <v>335</v>
      </c>
      <c r="E30" s="27">
        <f>Tabela14[[#This Row],[Pot.do módulo]]*Tabela14[[#This Row],[Nº de módulos ]]/1000</f>
        <v>50.92</v>
      </c>
      <c r="F30" s="27" t="s">
        <v>386</v>
      </c>
      <c r="G30" s="27" t="s">
        <v>386</v>
      </c>
    </row>
    <row r="31" spans="1:7" x14ac:dyDescent="0.25">
      <c r="A31" s="26">
        <v>30</v>
      </c>
      <c r="B31" s="22" t="s">
        <v>267</v>
      </c>
      <c r="C31" s="27">
        <v>10</v>
      </c>
      <c r="D31" s="27">
        <v>335</v>
      </c>
      <c r="E31" s="27">
        <f>Tabela14[[#This Row],[Pot.do módulo]]*Tabela14[[#This Row],[Nº de módulos ]]/1000</f>
        <v>3.35</v>
      </c>
      <c r="F31" s="28" t="s">
        <v>386</v>
      </c>
      <c r="G31" s="28" t="s">
        <v>386</v>
      </c>
    </row>
    <row r="32" spans="1:7" x14ac:dyDescent="0.25">
      <c r="A32" s="26">
        <v>31</v>
      </c>
      <c r="B32" s="22" t="s">
        <v>268</v>
      </c>
      <c r="C32" s="27">
        <v>34</v>
      </c>
      <c r="D32" s="27">
        <v>335</v>
      </c>
      <c r="E32" s="27">
        <f>Tabela14[[#This Row],[Pot.do módulo]]*Tabela14[[#This Row],[Nº de módulos ]]/1000</f>
        <v>11.39</v>
      </c>
      <c r="F32" s="27" t="s">
        <v>386</v>
      </c>
      <c r="G32" s="27" t="s">
        <v>386</v>
      </c>
    </row>
    <row r="33" spans="1:7" x14ac:dyDescent="0.25">
      <c r="A33" s="26">
        <v>32</v>
      </c>
      <c r="B33" s="22" t="s">
        <v>269</v>
      </c>
      <c r="C33" s="27">
        <v>20</v>
      </c>
      <c r="D33" s="27">
        <v>335</v>
      </c>
      <c r="E33" s="27">
        <f>Tabela14[[#This Row],[Pot.do módulo]]*Tabela14[[#This Row],[Nº de módulos ]]/1000</f>
        <v>6.7</v>
      </c>
      <c r="F33" s="28" t="s">
        <v>386</v>
      </c>
      <c r="G33" s="28" t="s">
        <v>386</v>
      </c>
    </row>
    <row r="34" spans="1:7" x14ac:dyDescent="0.25">
      <c r="A34" s="26">
        <v>33</v>
      </c>
      <c r="B34" s="22" t="s">
        <v>270</v>
      </c>
      <c r="C34" s="27">
        <v>28</v>
      </c>
      <c r="D34" s="27">
        <v>335</v>
      </c>
      <c r="E34" s="27">
        <f>Tabela14[[#This Row],[Pot.do módulo]]*Tabela14[[#This Row],[Nº de módulos ]]/1000</f>
        <v>9.3800000000000008</v>
      </c>
      <c r="F34" s="27" t="s">
        <v>386</v>
      </c>
      <c r="G34" s="27" t="s">
        <v>386</v>
      </c>
    </row>
    <row r="35" spans="1:7" x14ac:dyDescent="0.25">
      <c r="A35" s="26">
        <v>34</v>
      </c>
      <c r="B35" s="22" t="s">
        <v>271</v>
      </c>
      <c r="C35" s="27">
        <v>34</v>
      </c>
      <c r="D35" s="27">
        <v>335</v>
      </c>
      <c r="E35" s="27">
        <f>Tabela14[[#This Row],[Pot.do módulo]]*Tabela14[[#This Row],[Nº de módulos ]]/1000</f>
        <v>11.39</v>
      </c>
      <c r="F35" s="28" t="s">
        <v>386</v>
      </c>
      <c r="G35" s="28" t="s">
        <v>386</v>
      </c>
    </row>
    <row r="36" spans="1:7" x14ac:dyDescent="0.25">
      <c r="A36" s="26">
        <v>35</v>
      </c>
      <c r="B36" s="22" t="s">
        <v>272</v>
      </c>
      <c r="C36" s="27">
        <v>12</v>
      </c>
      <c r="D36" s="27">
        <v>335</v>
      </c>
      <c r="E36" s="27">
        <f>Tabela14[[#This Row],[Pot.do módulo]]*Tabela14[[#This Row],[Nº de módulos ]]/1000</f>
        <v>4.0199999999999996</v>
      </c>
      <c r="F36" s="27" t="s">
        <v>386</v>
      </c>
      <c r="G36" s="27" t="s">
        <v>386</v>
      </c>
    </row>
    <row r="37" spans="1:7" x14ac:dyDescent="0.25">
      <c r="A37" s="26">
        <v>36</v>
      </c>
      <c r="B37" s="22" t="s">
        <v>273</v>
      </c>
      <c r="C37" s="27">
        <v>12</v>
      </c>
      <c r="D37" s="27">
        <v>335</v>
      </c>
      <c r="E37" s="27">
        <f>Tabela14[[#This Row],[Pot.do módulo]]*Tabela14[[#This Row],[Nº de módulos ]]/1000</f>
        <v>4.0199999999999996</v>
      </c>
      <c r="F37" s="28" t="s">
        <v>386</v>
      </c>
      <c r="G37" s="28" t="s">
        <v>386</v>
      </c>
    </row>
    <row r="38" spans="1:7" x14ac:dyDescent="0.25">
      <c r="A38" s="26">
        <v>37</v>
      </c>
      <c r="B38" s="22" t="s">
        <v>274</v>
      </c>
      <c r="C38" s="27">
        <v>148</v>
      </c>
      <c r="D38" s="27">
        <v>365</v>
      </c>
      <c r="E38" s="27">
        <f>Tabela14[[#This Row],[Pot.do módulo]]*Tabela14[[#This Row],[Nº de módulos ]]/1000</f>
        <v>54.02</v>
      </c>
      <c r="F38" s="27" t="s">
        <v>386</v>
      </c>
      <c r="G38" s="27" t="s">
        <v>386</v>
      </c>
    </row>
    <row r="39" spans="1:7" x14ac:dyDescent="0.25">
      <c r="A39" s="26">
        <v>38</v>
      </c>
      <c r="B39" s="22" t="s">
        <v>275</v>
      </c>
      <c r="C39" s="27">
        <v>20</v>
      </c>
      <c r="D39" s="27">
        <v>340</v>
      </c>
      <c r="E39" s="27">
        <f>Tabela14[[#This Row],[Pot.do módulo]]*Tabela14[[#This Row],[Nº de módulos ]]/1000</f>
        <v>6.8</v>
      </c>
      <c r="F39" s="28" t="s">
        <v>386</v>
      </c>
      <c r="G39" s="28" t="s">
        <v>386</v>
      </c>
    </row>
    <row r="40" spans="1:7" x14ac:dyDescent="0.25">
      <c r="A40" s="26">
        <v>39</v>
      </c>
      <c r="B40" s="22" t="s">
        <v>276</v>
      </c>
      <c r="C40" s="27">
        <v>30</v>
      </c>
      <c r="D40" s="27">
        <v>340</v>
      </c>
      <c r="E40" s="27">
        <f>Tabela14[[#This Row],[Pot.do módulo]]*Tabela14[[#This Row],[Nº de módulos ]]/1000</f>
        <v>10.199999999999999</v>
      </c>
      <c r="F40" s="28" t="s">
        <v>386</v>
      </c>
      <c r="G40" s="28" t="s">
        <v>386</v>
      </c>
    </row>
    <row r="41" spans="1:7" x14ac:dyDescent="0.25">
      <c r="A41" s="26">
        <v>40</v>
      </c>
      <c r="B41" s="22" t="s">
        <v>277</v>
      </c>
      <c r="C41" s="27">
        <v>18</v>
      </c>
      <c r="D41" s="27">
        <v>340</v>
      </c>
      <c r="E41" s="27">
        <f>Tabela14[[#This Row],[Pot.do módulo]]*Tabela14[[#This Row],[Nº de módulos ]]/1000</f>
        <v>6.12</v>
      </c>
      <c r="F41" s="27" t="s">
        <v>386</v>
      </c>
      <c r="G41" s="27" t="s">
        <v>386</v>
      </c>
    </row>
    <row r="42" spans="1:7" x14ac:dyDescent="0.25">
      <c r="A42" s="26">
        <v>41</v>
      </c>
      <c r="B42" s="22" t="s">
        <v>278</v>
      </c>
      <c r="C42" s="27">
        <v>12</v>
      </c>
      <c r="D42" s="27">
        <v>335</v>
      </c>
      <c r="E42" s="27">
        <f>Tabela14[[#This Row],[Pot.do módulo]]*Tabela14[[#This Row],[Nº de módulos ]]/1000</f>
        <v>4.0199999999999996</v>
      </c>
      <c r="F42" s="28" t="s">
        <v>386</v>
      </c>
      <c r="G42" s="28" t="s">
        <v>386</v>
      </c>
    </row>
    <row r="43" spans="1:7" x14ac:dyDescent="0.25">
      <c r="A43" s="26">
        <v>42</v>
      </c>
      <c r="B43" s="22" t="s">
        <v>41</v>
      </c>
      <c r="C43" s="27">
        <v>200</v>
      </c>
      <c r="D43" s="27">
        <v>330</v>
      </c>
      <c r="E43" s="27">
        <f>Tabela14[[#This Row],[Pot.do módulo]]*Tabela14[[#This Row],[Nº de módulos ]]/1000</f>
        <v>66</v>
      </c>
      <c r="F43" s="27" t="s">
        <v>386</v>
      </c>
      <c r="G43" s="27" t="s">
        <v>386</v>
      </c>
    </row>
    <row r="44" spans="1:7" x14ac:dyDescent="0.25">
      <c r="A44" s="26">
        <v>43</v>
      </c>
      <c r="B44" s="22" t="s">
        <v>279</v>
      </c>
      <c r="C44" s="27">
        <v>18</v>
      </c>
      <c r="D44" s="27">
        <v>340</v>
      </c>
      <c r="E44" s="27">
        <f>Tabela14[[#This Row],[Pot.do módulo]]*Tabela14[[#This Row],[Nº de módulos ]]/1000</f>
        <v>6.12</v>
      </c>
      <c r="F44" s="28" t="s">
        <v>386</v>
      </c>
      <c r="G44" s="28" t="s">
        <v>386</v>
      </c>
    </row>
    <row r="45" spans="1:7" x14ac:dyDescent="0.25">
      <c r="A45" s="26">
        <v>44</v>
      </c>
      <c r="B45" s="22" t="s">
        <v>280</v>
      </c>
      <c r="C45" s="27">
        <v>76</v>
      </c>
      <c r="D45" s="27">
        <v>365</v>
      </c>
      <c r="E45" s="27">
        <f>Tabela14[[#This Row],[Pot.do módulo]]*Tabela14[[#This Row],[Nº de módulos ]]/1000</f>
        <v>27.74</v>
      </c>
      <c r="F45" s="27" t="s">
        <v>386</v>
      </c>
      <c r="G45" s="27" t="s">
        <v>386</v>
      </c>
    </row>
    <row r="46" spans="1:7" x14ac:dyDescent="0.25">
      <c r="A46" s="26">
        <v>45</v>
      </c>
      <c r="B46" s="22" t="s">
        <v>281</v>
      </c>
      <c r="C46" s="27">
        <v>36</v>
      </c>
      <c r="D46" s="27">
        <v>340</v>
      </c>
      <c r="E46" s="27">
        <f>Tabela14[[#This Row],[Pot.do módulo]]*Tabela14[[#This Row],[Nº de módulos ]]/1000</f>
        <v>12.24</v>
      </c>
      <c r="F46" s="28" t="s">
        <v>386</v>
      </c>
      <c r="G46" s="28" t="s">
        <v>386</v>
      </c>
    </row>
    <row r="47" spans="1:7" x14ac:dyDescent="0.25">
      <c r="A47" s="26">
        <v>46</v>
      </c>
      <c r="B47" s="22" t="s">
        <v>282</v>
      </c>
      <c r="C47" s="27">
        <v>14</v>
      </c>
      <c r="D47" s="27">
        <v>340</v>
      </c>
      <c r="E47" s="27">
        <f>Tabela14[[#This Row],[Pot.do módulo]]*Tabela14[[#This Row],[Nº de módulos ]]/1000</f>
        <v>4.76</v>
      </c>
      <c r="F47" s="27" t="s">
        <v>386</v>
      </c>
      <c r="G47" s="27" t="s">
        <v>386</v>
      </c>
    </row>
    <row r="48" spans="1:7" x14ac:dyDescent="0.25">
      <c r="A48" s="26">
        <v>47</v>
      </c>
      <c r="B48" s="22" t="s">
        <v>283</v>
      </c>
      <c r="C48" s="27">
        <v>10</v>
      </c>
      <c r="D48" s="27">
        <v>375</v>
      </c>
      <c r="E48" s="27">
        <f>Tabela14[[#This Row],[Pot.do módulo]]*Tabela14[[#This Row],[Nº de módulos ]]/1000</f>
        <v>3.75</v>
      </c>
      <c r="F48" s="29" t="s">
        <v>386</v>
      </c>
      <c r="G48" s="29" t="s">
        <v>386</v>
      </c>
    </row>
    <row r="49" spans="1:7" x14ac:dyDescent="0.25">
      <c r="A49" s="26">
        <v>48</v>
      </c>
      <c r="B49" s="22" t="s">
        <v>284</v>
      </c>
      <c r="C49" s="29">
        <v>150</v>
      </c>
      <c r="D49" s="29">
        <v>375</v>
      </c>
      <c r="E49" s="27">
        <f>Tabela14[[#This Row],[Pot.do módulo]]*Tabela14[[#This Row],[Nº de módulos ]]/1000</f>
        <v>56.25</v>
      </c>
      <c r="F49" s="27" t="s">
        <v>386</v>
      </c>
      <c r="G49" s="27" t="s">
        <v>386</v>
      </c>
    </row>
    <row r="50" spans="1:7" x14ac:dyDescent="0.25">
      <c r="A50" s="26">
        <v>49</v>
      </c>
      <c r="B50" s="22" t="s">
        <v>52</v>
      </c>
      <c r="C50" s="29">
        <v>130</v>
      </c>
      <c r="D50" s="29">
        <v>340</v>
      </c>
      <c r="E50" s="27">
        <f>Tabela14[[#This Row],[Pot.do módulo]]*Tabela14[[#This Row],[Nº de módulos ]]/1000</f>
        <v>44.2</v>
      </c>
      <c r="F50" s="28" t="s">
        <v>386</v>
      </c>
      <c r="G50" s="28" t="s">
        <v>386</v>
      </c>
    </row>
    <row r="51" spans="1:7" x14ac:dyDescent="0.25">
      <c r="A51" s="26">
        <v>50</v>
      </c>
      <c r="B51" s="22" t="s">
        <v>285</v>
      </c>
      <c r="C51" s="29">
        <v>9</v>
      </c>
      <c r="D51" s="29">
        <v>330</v>
      </c>
      <c r="E51" s="27">
        <f>Tabela14[[#This Row],[Pot.do módulo]]*Tabela14[[#This Row],[Nº de módulos ]]/1000</f>
        <v>2.97</v>
      </c>
      <c r="F51" s="27" t="s">
        <v>386</v>
      </c>
      <c r="G51" s="27" t="s">
        <v>386</v>
      </c>
    </row>
    <row r="52" spans="1:7" x14ac:dyDescent="0.25">
      <c r="A52" s="26">
        <v>51</v>
      </c>
      <c r="B52" s="22" t="s">
        <v>286</v>
      </c>
      <c r="C52" s="29">
        <v>24</v>
      </c>
      <c r="D52" s="29">
        <v>340</v>
      </c>
      <c r="E52" s="27">
        <f>Tabela14[[#This Row],[Pot.do módulo]]*Tabela14[[#This Row],[Nº de módulos ]]/1000</f>
        <v>8.16</v>
      </c>
      <c r="F52" s="28" t="s">
        <v>386</v>
      </c>
      <c r="G52" s="28" t="s">
        <v>386</v>
      </c>
    </row>
    <row r="53" spans="1:7" x14ac:dyDescent="0.25">
      <c r="A53" s="26">
        <v>52</v>
      </c>
      <c r="B53" s="22" t="s">
        <v>287</v>
      </c>
      <c r="C53" s="29">
        <v>20</v>
      </c>
      <c r="D53" s="29">
        <v>370</v>
      </c>
      <c r="E53" s="29">
        <f>Tabela14[[#This Row],[Pot.do módulo]]*Tabela14[[#This Row],[Nº de módulos ]]/1000</f>
        <v>7.4</v>
      </c>
      <c r="F53" s="27" t="s">
        <v>386</v>
      </c>
      <c r="G53" s="27" t="s">
        <v>386</v>
      </c>
    </row>
    <row r="54" spans="1:7" x14ac:dyDescent="0.25">
      <c r="A54" s="26">
        <v>53</v>
      </c>
      <c r="B54" s="22" t="s">
        <v>288</v>
      </c>
      <c r="C54" s="29">
        <v>11</v>
      </c>
      <c r="D54" s="29">
        <v>375</v>
      </c>
      <c r="E54" s="30">
        <f>Tabela14[[#This Row],[Pot.do módulo]]*Tabela14[[#This Row],[Nº de módulos ]]/1000</f>
        <v>4.125</v>
      </c>
      <c r="F54" s="29" t="s">
        <v>386</v>
      </c>
      <c r="G54" s="29" t="s">
        <v>386</v>
      </c>
    </row>
    <row r="55" spans="1:7" x14ac:dyDescent="0.25">
      <c r="A55" s="26">
        <v>54</v>
      </c>
      <c r="B55" s="22" t="s">
        <v>289</v>
      </c>
      <c r="C55" s="29">
        <v>12</v>
      </c>
      <c r="D55" s="29">
        <v>375</v>
      </c>
      <c r="E55" s="29">
        <f>Tabela14[[#This Row],[Pot.do módulo]]*Tabela14[[#This Row],[Nº de módulos ]]/1000</f>
        <v>4.5</v>
      </c>
      <c r="F55" s="29" t="s">
        <v>386</v>
      </c>
      <c r="G55" s="29" t="s">
        <v>386</v>
      </c>
    </row>
    <row r="56" spans="1:7" x14ac:dyDescent="0.25">
      <c r="A56" s="26">
        <v>55</v>
      </c>
      <c r="B56" s="22" t="s">
        <v>290</v>
      </c>
      <c r="C56" s="29">
        <v>14</v>
      </c>
      <c r="D56" s="29">
        <v>370</v>
      </c>
      <c r="E56" s="29">
        <f>Tabela14[[#This Row],[Pot.do módulo]]*Tabela14[[#This Row],[Nº de módulos ]]/1000</f>
        <v>5.18</v>
      </c>
      <c r="F56" s="29" t="s">
        <v>386</v>
      </c>
      <c r="G56" s="29" t="s">
        <v>386</v>
      </c>
    </row>
    <row r="57" spans="1:7" x14ac:dyDescent="0.25">
      <c r="A57" s="26">
        <v>56</v>
      </c>
      <c r="B57" s="22" t="s">
        <v>291</v>
      </c>
      <c r="C57" s="29">
        <v>16</v>
      </c>
      <c r="D57" s="29">
        <v>370</v>
      </c>
      <c r="E57" s="29">
        <f>Tabela14[[#This Row],[Pot.do módulo]]*Tabela14[[#This Row],[Nº de módulos ]]/1000</f>
        <v>5.92</v>
      </c>
      <c r="F57" s="29" t="s">
        <v>386</v>
      </c>
      <c r="G57" s="29" t="s">
        <v>386</v>
      </c>
    </row>
    <row r="58" spans="1:7" x14ac:dyDescent="0.25">
      <c r="A58" s="26">
        <v>57</v>
      </c>
      <c r="B58" s="22" t="s">
        <v>56</v>
      </c>
      <c r="C58" s="29">
        <v>26</v>
      </c>
      <c r="D58" s="29">
        <v>370</v>
      </c>
      <c r="E58" s="29">
        <f>Tabela14[[#This Row],[Pot.do módulo]]*Tabela14[[#This Row],[Nº de módulos ]]/1000</f>
        <v>9.6199999999999992</v>
      </c>
      <c r="F58" s="29" t="s">
        <v>386</v>
      </c>
      <c r="G58" s="29" t="s">
        <v>386</v>
      </c>
    </row>
    <row r="59" spans="1:7" x14ac:dyDescent="0.25">
      <c r="A59" s="26">
        <v>58</v>
      </c>
      <c r="B59" s="22" t="s">
        <v>292</v>
      </c>
      <c r="C59" s="29">
        <v>30</v>
      </c>
      <c r="D59" s="29">
        <v>370</v>
      </c>
      <c r="E59" s="29">
        <f>Tabela14[[#This Row],[Pot.do módulo]]*Tabela14[[#This Row],[Nº de módulos ]]/1000</f>
        <v>11.1</v>
      </c>
      <c r="F59" s="29" t="s">
        <v>386</v>
      </c>
      <c r="G59" s="29" t="s">
        <v>386</v>
      </c>
    </row>
    <row r="60" spans="1:7" x14ac:dyDescent="0.25">
      <c r="A60" s="26">
        <v>59</v>
      </c>
      <c r="B60" s="22" t="s">
        <v>293</v>
      </c>
      <c r="C60" s="29">
        <v>12</v>
      </c>
      <c r="D60" s="29">
        <v>370</v>
      </c>
      <c r="E60" s="27">
        <f>Tabela14[[#This Row],[Pot.do módulo]]*Tabela14[[#This Row],[Nº de módulos ]]/1000</f>
        <v>4.4400000000000004</v>
      </c>
      <c r="F60" s="27" t="s">
        <v>386</v>
      </c>
      <c r="G60" s="27" t="s">
        <v>386</v>
      </c>
    </row>
    <row r="61" spans="1:7" x14ac:dyDescent="0.25">
      <c r="A61" s="26">
        <v>60</v>
      </c>
      <c r="B61" s="22" t="s">
        <v>59</v>
      </c>
      <c r="C61" s="29">
        <v>14</v>
      </c>
      <c r="D61" s="29">
        <v>340</v>
      </c>
      <c r="E61" s="27">
        <f>Tabela14[[#This Row],[Pot.do módulo]]*Tabela14[[#This Row],[Nº de módulos ]]/1000</f>
        <v>4.76</v>
      </c>
      <c r="F61" s="27" t="s">
        <v>386</v>
      </c>
      <c r="G61" s="27" t="s">
        <v>386</v>
      </c>
    </row>
    <row r="62" spans="1:7" x14ac:dyDescent="0.25">
      <c r="A62" s="26">
        <v>61</v>
      </c>
      <c r="B62" s="22" t="s">
        <v>60</v>
      </c>
      <c r="C62" s="29">
        <v>14</v>
      </c>
      <c r="D62" s="29">
        <v>370</v>
      </c>
      <c r="E62" s="27">
        <f>Tabela14[[#This Row],[Pot.do módulo]]*Tabela14[[#This Row],[Nº de módulos ]]/1000</f>
        <v>5.18</v>
      </c>
      <c r="F62" s="27" t="s">
        <v>386</v>
      </c>
      <c r="G62" s="27" t="s">
        <v>386</v>
      </c>
    </row>
    <row r="63" spans="1:7" x14ac:dyDescent="0.25">
      <c r="A63" s="26">
        <v>62</v>
      </c>
      <c r="B63" s="22" t="s">
        <v>61</v>
      </c>
      <c r="C63" s="27">
        <v>8</v>
      </c>
      <c r="D63" s="27">
        <v>370</v>
      </c>
      <c r="E63" s="27">
        <f>Tabela14[[#This Row],[Pot.do módulo]]*Tabela14[[#This Row],[Nº de módulos ]]/1000</f>
        <v>2.96</v>
      </c>
      <c r="F63" s="27" t="s">
        <v>386</v>
      </c>
      <c r="G63" s="27" t="s">
        <v>386</v>
      </c>
    </row>
    <row r="64" spans="1:7" x14ac:dyDescent="0.25">
      <c r="A64" s="26">
        <v>63</v>
      </c>
      <c r="B64" s="22" t="s">
        <v>62</v>
      </c>
      <c r="C64" s="27">
        <v>120</v>
      </c>
      <c r="D64" s="27">
        <v>340</v>
      </c>
      <c r="E64" s="27">
        <f>Tabela14[[#This Row],[Pot.do módulo]]*Tabela14[[#This Row],[Nº de módulos ]]/1000</f>
        <v>40.799999999999997</v>
      </c>
      <c r="F64" s="27" t="s">
        <v>387</v>
      </c>
      <c r="G64" s="27" t="s">
        <v>386</v>
      </c>
    </row>
    <row r="65" spans="1:7" x14ac:dyDescent="0.25">
      <c r="A65" s="26">
        <v>64</v>
      </c>
      <c r="B65" s="22" t="s">
        <v>294</v>
      </c>
      <c r="C65" s="29">
        <v>288</v>
      </c>
      <c r="D65" s="29">
        <v>340</v>
      </c>
      <c r="E65" s="27">
        <f>Tabela14[[#This Row],[Pot.do módulo]]*Tabela14[[#This Row],[Nº de módulos ]]/1000</f>
        <v>97.92</v>
      </c>
      <c r="F65" s="27" t="s">
        <v>386</v>
      </c>
      <c r="G65" s="27" t="s">
        <v>386</v>
      </c>
    </row>
    <row r="66" spans="1:7" x14ac:dyDescent="0.25">
      <c r="A66" s="26">
        <v>65</v>
      </c>
      <c r="B66" s="23" t="s">
        <v>295</v>
      </c>
      <c r="C66" s="29">
        <v>20</v>
      </c>
      <c r="D66" s="29">
        <v>340</v>
      </c>
      <c r="E66" s="29">
        <f>Tabela14[[#This Row],[Pot.do módulo]]*Tabela14[[#This Row],[Nº de módulos ]]/1000</f>
        <v>6.8</v>
      </c>
      <c r="F66" s="27" t="s">
        <v>387</v>
      </c>
      <c r="G66" s="29" t="s">
        <v>386</v>
      </c>
    </row>
    <row r="67" spans="1:7" x14ac:dyDescent="0.25">
      <c r="A67" s="26">
        <v>66</v>
      </c>
      <c r="B67" s="23" t="s">
        <v>296</v>
      </c>
      <c r="C67" s="29">
        <v>98</v>
      </c>
      <c r="D67" s="29">
        <v>390</v>
      </c>
      <c r="E67" s="29">
        <f>Tabela14[[#This Row],[Pot.do módulo]]*Tabela14[[#This Row],[Nº de módulos ]]/1000</f>
        <v>38.22</v>
      </c>
      <c r="F67" s="27" t="s">
        <v>387</v>
      </c>
      <c r="G67" s="29" t="s">
        <v>386</v>
      </c>
    </row>
    <row r="68" spans="1:7" x14ac:dyDescent="0.25">
      <c r="A68" s="26">
        <v>67</v>
      </c>
      <c r="B68" s="23" t="s">
        <v>297</v>
      </c>
      <c r="C68" s="29">
        <v>12</v>
      </c>
      <c r="D68" s="29">
        <v>340</v>
      </c>
      <c r="E68" s="29">
        <f>Tabela14[[#This Row],[Pot.do módulo]]*Tabela14[[#This Row],[Nº de módulos ]]/1000</f>
        <v>4.08</v>
      </c>
      <c r="F68" s="27" t="s">
        <v>387</v>
      </c>
      <c r="G68" s="29" t="s">
        <v>386</v>
      </c>
    </row>
    <row r="69" spans="1:7" x14ac:dyDescent="0.25">
      <c r="A69" s="26">
        <v>68</v>
      </c>
      <c r="B69" s="23" t="s">
        <v>298</v>
      </c>
      <c r="C69" s="29">
        <v>36</v>
      </c>
      <c r="D69" s="29">
        <v>390</v>
      </c>
      <c r="E69" s="29">
        <f>Tabela14[[#This Row],[Pot.do módulo]]*Tabela14[[#This Row],[Nº de módulos ]]/1000</f>
        <v>14.04</v>
      </c>
      <c r="F69" s="27" t="s">
        <v>387</v>
      </c>
      <c r="G69" s="29" t="s">
        <v>386</v>
      </c>
    </row>
    <row r="70" spans="1:7" x14ac:dyDescent="0.25">
      <c r="A70" s="26">
        <v>69</v>
      </c>
      <c r="B70" s="23" t="s">
        <v>299</v>
      </c>
      <c r="C70" s="29">
        <v>14</v>
      </c>
      <c r="D70" s="29">
        <v>340</v>
      </c>
      <c r="E70" s="29">
        <f>Tabela14[[#This Row],[Pot.do módulo]]*Tabela14[[#This Row],[Nº de módulos ]]/1000</f>
        <v>4.76</v>
      </c>
      <c r="F70" s="27" t="s">
        <v>387</v>
      </c>
      <c r="G70" s="29" t="s">
        <v>386</v>
      </c>
    </row>
    <row r="71" spans="1:7" x14ac:dyDescent="0.25">
      <c r="A71" s="26">
        <v>70</v>
      </c>
      <c r="B71" s="23" t="s">
        <v>300</v>
      </c>
      <c r="C71" s="29">
        <v>32</v>
      </c>
      <c r="D71" s="29">
        <v>390</v>
      </c>
      <c r="E71" s="29">
        <f>Tabela14[[#This Row],[Pot.do módulo]]*Tabela14[[#This Row],[Nº de módulos ]]/1000</f>
        <v>12.48</v>
      </c>
      <c r="F71" s="27" t="s">
        <v>387</v>
      </c>
      <c r="G71" s="27" t="s">
        <v>386</v>
      </c>
    </row>
    <row r="72" spans="1:7" x14ac:dyDescent="0.25">
      <c r="A72" s="26">
        <v>71</v>
      </c>
      <c r="B72" s="23" t="s">
        <v>301</v>
      </c>
      <c r="C72" s="27">
        <v>16</v>
      </c>
      <c r="D72" s="27">
        <v>340</v>
      </c>
      <c r="E72" s="27">
        <f>Tabela14[[#This Row],[Pot.do módulo]]*Tabela14[[#This Row],[Nº de módulos ]]/1000</f>
        <v>5.44</v>
      </c>
      <c r="F72" s="27" t="s">
        <v>387</v>
      </c>
      <c r="G72" s="27" t="s">
        <v>386</v>
      </c>
    </row>
    <row r="73" spans="1:7" x14ac:dyDescent="0.25">
      <c r="A73" s="26">
        <v>72</v>
      </c>
      <c r="B73" s="23" t="s">
        <v>302</v>
      </c>
      <c r="C73" s="27">
        <v>14</v>
      </c>
      <c r="D73" s="27">
        <v>340</v>
      </c>
      <c r="E73" s="27">
        <f>Tabela14[[#This Row],[Pot.do módulo]]*Tabela14[[#This Row],[Nº de módulos ]]/1000</f>
        <v>4.76</v>
      </c>
      <c r="F73" s="27" t="s">
        <v>387</v>
      </c>
      <c r="G73" s="27" t="s">
        <v>386</v>
      </c>
    </row>
    <row r="74" spans="1:7" x14ac:dyDescent="0.25">
      <c r="A74" s="26">
        <v>73</v>
      </c>
      <c r="B74" s="23" t="s">
        <v>303</v>
      </c>
      <c r="C74" s="29">
        <v>9</v>
      </c>
      <c r="D74" s="29">
        <v>340</v>
      </c>
      <c r="E74" s="29">
        <f>Tabela14[[#This Row],[Pot.do módulo]]*Tabela14[[#This Row],[Nº de módulos ]]/1000</f>
        <v>3.06</v>
      </c>
      <c r="F74" s="27" t="s">
        <v>387</v>
      </c>
      <c r="G74" s="27" t="s">
        <v>386</v>
      </c>
    </row>
    <row r="75" spans="1:7" x14ac:dyDescent="0.25">
      <c r="A75" s="26">
        <v>74</v>
      </c>
      <c r="B75" s="23" t="s">
        <v>304</v>
      </c>
      <c r="C75" s="29">
        <v>22</v>
      </c>
      <c r="D75" s="29">
        <v>345</v>
      </c>
      <c r="E75" s="29">
        <f>Tabela14[[#This Row],[Pot.do módulo]]*Tabela14[[#This Row],[Nº de módulos ]]/1000</f>
        <v>7.59</v>
      </c>
      <c r="F75" s="27" t="s">
        <v>387</v>
      </c>
      <c r="G75" s="27" t="s">
        <v>386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dimension ref="A1:BW109"/>
  <sheetViews>
    <sheetView zoomScale="70" zoomScaleNormal="70" workbookViewId="0">
      <selection activeCell="B2" sqref="B2"/>
    </sheetView>
  </sheetViews>
  <sheetFormatPr defaultRowHeight="15" x14ac:dyDescent="0.25"/>
  <cols>
    <col min="1" max="1" width="12.5703125" style="12" bestFit="1" customWidth="1"/>
    <col min="2" max="2" width="25.28515625" bestFit="1" customWidth="1"/>
    <col min="3" max="3" width="25" bestFit="1" customWidth="1"/>
    <col min="4" max="4" width="22.140625" bestFit="1" customWidth="1"/>
    <col min="5" max="5" width="30.5703125" bestFit="1" customWidth="1"/>
    <col min="6" max="6" width="20.5703125" bestFit="1" customWidth="1"/>
    <col min="7" max="7" width="40" bestFit="1" customWidth="1"/>
    <col min="8" max="8" width="14.5703125" bestFit="1" customWidth="1"/>
    <col min="9" max="9" width="24" bestFit="1" customWidth="1"/>
    <col min="10" max="10" width="32.85546875" bestFit="1" customWidth="1"/>
    <col min="11" max="11" width="23.85546875" bestFit="1" customWidth="1"/>
    <col min="12" max="12" width="21.42578125" bestFit="1" customWidth="1"/>
    <col min="13" max="13" width="20.5703125" bestFit="1" customWidth="1"/>
    <col min="14" max="14" width="14.5703125" bestFit="1" customWidth="1"/>
    <col min="15" max="15" width="25.7109375" bestFit="1" customWidth="1"/>
    <col min="16" max="16" width="26.7109375" bestFit="1" customWidth="1"/>
    <col min="17" max="17" width="29.5703125" bestFit="1" customWidth="1"/>
    <col min="18" max="18" width="31" bestFit="1" customWidth="1"/>
    <col min="19" max="19" width="14.85546875" bestFit="1" customWidth="1"/>
    <col min="20" max="20" width="18.85546875" bestFit="1" customWidth="1"/>
    <col min="21" max="21" width="20.7109375" bestFit="1" customWidth="1"/>
    <col min="22" max="22" width="25.42578125" bestFit="1" customWidth="1"/>
    <col min="23" max="23" width="25.28515625" bestFit="1" customWidth="1"/>
    <col min="24" max="24" width="34" bestFit="1" customWidth="1"/>
    <col min="25" max="25" width="26.42578125" bestFit="1" customWidth="1"/>
    <col min="26" max="26" width="26.7109375" bestFit="1" customWidth="1"/>
    <col min="27" max="27" width="28.7109375" bestFit="1" customWidth="1"/>
    <col min="28" max="28" width="22.140625" bestFit="1" customWidth="1"/>
    <col min="29" max="29" width="20.140625" bestFit="1" customWidth="1"/>
    <col min="30" max="30" width="25" bestFit="1" customWidth="1"/>
    <col min="31" max="31" width="35.85546875" bestFit="1" customWidth="1"/>
    <col min="32" max="32" width="58.140625" bestFit="1" customWidth="1"/>
    <col min="33" max="33" width="31" bestFit="1" customWidth="1"/>
    <col min="34" max="34" width="36.42578125" bestFit="1" customWidth="1"/>
    <col min="35" max="35" width="32" bestFit="1" customWidth="1"/>
    <col min="36" max="36" width="36" bestFit="1" customWidth="1"/>
    <col min="37" max="37" width="18.7109375" bestFit="1" customWidth="1"/>
    <col min="38" max="38" width="25.42578125" bestFit="1" customWidth="1"/>
    <col min="39" max="39" width="26.42578125" bestFit="1" customWidth="1"/>
    <col min="40" max="40" width="45" bestFit="1" customWidth="1"/>
    <col min="41" max="41" width="30.7109375" bestFit="1" customWidth="1"/>
    <col min="42" max="42" width="34.28515625" bestFit="1" customWidth="1"/>
    <col min="43" max="43" width="15" bestFit="1" customWidth="1"/>
    <col min="44" max="44" width="24" bestFit="1" customWidth="1"/>
    <col min="45" max="45" width="40.140625" bestFit="1" customWidth="1"/>
    <col min="46" max="46" width="17.140625" bestFit="1" customWidth="1"/>
    <col min="47" max="47" width="28.140625" bestFit="1" customWidth="1"/>
    <col min="48" max="48" width="25.85546875" bestFit="1" customWidth="1"/>
    <col min="49" max="49" width="30.28515625" bestFit="1" customWidth="1"/>
    <col min="50" max="50" width="14.5703125" bestFit="1" customWidth="1"/>
    <col min="51" max="51" width="21.5703125" bestFit="1" customWidth="1"/>
    <col min="52" max="52" width="38.85546875" bestFit="1" customWidth="1"/>
    <col min="53" max="53" width="38.7109375" bestFit="1" customWidth="1"/>
    <col min="54" max="54" width="36.42578125" bestFit="1" customWidth="1"/>
    <col min="55" max="55" width="37.7109375" bestFit="1" customWidth="1"/>
    <col min="56" max="56" width="23.42578125" bestFit="1" customWidth="1"/>
    <col min="57" max="57" width="28.28515625" bestFit="1" customWidth="1"/>
    <col min="58" max="58" width="30" bestFit="1" customWidth="1"/>
    <col min="59" max="59" width="22.42578125" bestFit="1" customWidth="1"/>
    <col min="60" max="60" width="24.28515625" bestFit="1" customWidth="1"/>
    <col min="61" max="61" width="23" bestFit="1" customWidth="1"/>
    <col min="62" max="62" width="22.140625" bestFit="1" customWidth="1"/>
    <col min="63" max="63" width="26.42578125" bestFit="1" customWidth="1"/>
    <col min="64" max="64" width="24.42578125" bestFit="1" customWidth="1"/>
    <col min="65" max="65" width="33.85546875" bestFit="1" customWidth="1"/>
    <col min="66" max="66" width="35.42578125" bestFit="1" customWidth="1"/>
    <col min="67" max="67" width="26" bestFit="1" customWidth="1"/>
    <col min="68" max="68" width="46.28515625" bestFit="1" customWidth="1"/>
    <col min="69" max="69" width="34.28515625" bestFit="1" customWidth="1"/>
    <col min="70" max="70" width="27.28515625" bestFit="1" customWidth="1"/>
    <col min="71" max="72" width="32.140625" bestFit="1" customWidth="1"/>
    <col min="73" max="73" width="33.140625" bestFit="1" customWidth="1"/>
    <col min="74" max="74" width="35.42578125" bestFit="1" customWidth="1"/>
    <col min="75" max="75" width="32.5703125" bestFit="1" customWidth="1"/>
  </cols>
  <sheetData>
    <row r="1" spans="1:75" s="12" customFormat="1" x14ac:dyDescent="0.25">
      <c r="A1" s="3" t="s">
        <v>69</v>
      </c>
      <c r="B1" s="11" t="s">
        <v>238</v>
      </c>
      <c r="C1" s="11" t="s">
        <v>239</v>
      </c>
      <c r="D1" s="11" t="s">
        <v>240</v>
      </c>
      <c r="E1" s="11" t="s">
        <v>241</v>
      </c>
      <c r="F1" s="11" t="s">
        <v>242</v>
      </c>
      <c r="G1" s="11" t="s">
        <v>243</v>
      </c>
      <c r="H1" s="11" t="s">
        <v>244</v>
      </c>
      <c r="I1" s="11" t="s">
        <v>245</v>
      </c>
      <c r="J1" s="11" t="s">
        <v>246</v>
      </c>
      <c r="K1" s="11" t="s">
        <v>247</v>
      </c>
      <c r="L1" s="11" t="s">
        <v>248</v>
      </c>
      <c r="M1" s="11" t="s">
        <v>249</v>
      </c>
      <c r="N1" s="11" t="s">
        <v>250</v>
      </c>
      <c r="O1" s="11" t="s">
        <v>251</v>
      </c>
      <c r="P1" s="11" t="s">
        <v>252</v>
      </c>
      <c r="Q1" s="11" t="s">
        <v>253</v>
      </c>
      <c r="R1" s="11" t="s">
        <v>254</v>
      </c>
      <c r="S1" s="11" t="s">
        <v>255</v>
      </c>
      <c r="T1" s="11" t="s">
        <v>256</v>
      </c>
      <c r="U1" s="11" t="s">
        <v>257</v>
      </c>
      <c r="V1" s="11" t="s">
        <v>258</v>
      </c>
      <c r="W1" s="11" t="s">
        <v>259</v>
      </c>
      <c r="X1" s="11" t="s">
        <v>260</v>
      </c>
      <c r="Y1" s="11" t="s">
        <v>261</v>
      </c>
      <c r="Z1" s="11" t="s">
        <v>262</v>
      </c>
      <c r="AA1" s="11" t="s">
        <v>263</v>
      </c>
      <c r="AB1" s="11" t="s">
        <v>264</v>
      </c>
      <c r="AC1" s="11" t="s">
        <v>265</v>
      </c>
      <c r="AD1" s="11" t="s">
        <v>266</v>
      </c>
      <c r="AE1" s="11" t="s">
        <v>267</v>
      </c>
      <c r="AF1" s="11" t="s">
        <v>268</v>
      </c>
      <c r="AG1" s="11" t="s">
        <v>269</v>
      </c>
      <c r="AH1" s="11" t="s">
        <v>270</v>
      </c>
      <c r="AI1" s="11" t="s">
        <v>271</v>
      </c>
      <c r="AJ1" s="11" t="s">
        <v>272</v>
      </c>
      <c r="AK1" s="11" t="s">
        <v>273</v>
      </c>
      <c r="AL1" s="11" t="s">
        <v>274</v>
      </c>
      <c r="AM1" s="11" t="s">
        <v>275</v>
      </c>
      <c r="AN1" s="11" t="s">
        <v>276</v>
      </c>
      <c r="AO1" s="11" t="s">
        <v>277</v>
      </c>
      <c r="AP1" s="11" t="s">
        <v>278</v>
      </c>
      <c r="AQ1" s="11" t="s">
        <v>41</v>
      </c>
      <c r="AR1" s="11" t="s">
        <v>279</v>
      </c>
      <c r="AS1" s="11" t="s">
        <v>280</v>
      </c>
      <c r="AT1" s="11" t="s">
        <v>281</v>
      </c>
      <c r="AU1" s="11" t="s">
        <v>282</v>
      </c>
      <c r="AV1" s="11" t="s">
        <v>283</v>
      </c>
      <c r="AW1" s="11" t="s">
        <v>284</v>
      </c>
      <c r="AX1" s="11" t="s">
        <v>52</v>
      </c>
      <c r="AY1" s="11" t="s">
        <v>285</v>
      </c>
      <c r="AZ1" s="11" t="s">
        <v>286</v>
      </c>
      <c r="BA1" s="11" t="s">
        <v>287</v>
      </c>
      <c r="BB1" s="11" t="s">
        <v>288</v>
      </c>
      <c r="BC1" s="11" t="s">
        <v>289</v>
      </c>
      <c r="BD1" s="11" t="s">
        <v>290</v>
      </c>
      <c r="BE1" s="11" t="s">
        <v>291</v>
      </c>
      <c r="BF1" s="11" t="s">
        <v>56</v>
      </c>
      <c r="BG1" s="11" t="s">
        <v>292</v>
      </c>
      <c r="BH1" s="11" t="s">
        <v>293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294</v>
      </c>
      <c r="BN1" s="10" t="s">
        <v>295</v>
      </c>
      <c r="BO1" s="10" t="s">
        <v>296</v>
      </c>
      <c r="BP1" s="10" t="s">
        <v>297</v>
      </c>
      <c r="BQ1" s="10" t="s">
        <v>298</v>
      </c>
      <c r="BR1" s="10" t="s">
        <v>299</v>
      </c>
      <c r="BS1" s="10" t="s">
        <v>300</v>
      </c>
      <c r="BT1" s="10" t="s">
        <v>301</v>
      </c>
      <c r="BU1" s="10" t="s">
        <v>302</v>
      </c>
      <c r="BV1" s="10" t="s">
        <v>303</v>
      </c>
      <c r="BW1" s="10" t="s">
        <v>304</v>
      </c>
    </row>
    <row r="2" spans="1:75" x14ac:dyDescent="0.25">
      <c r="A2" s="70">
        <v>43101</v>
      </c>
      <c r="B2" s="72">
        <f>SUM(Tabela4[[#This Row],[Marlon Colovini - 01]:[Marlon Colovini - 02]])</f>
        <v>0</v>
      </c>
      <c r="C2" s="72">
        <f>Tabela4[[#This Row],[Mara Barichello]]</f>
        <v>0</v>
      </c>
      <c r="D2" s="72">
        <f>Tabela4[[#This Row],[Jandira Dutra]]</f>
        <v>0</v>
      </c>
      <c r="E2" s="72">
        <f>Tabela4[[#This Row],[Luiz Fernando Kruger]]</f>
        <v>0</v>
      </c>
      <c r="F2" s="72">
        <f>SUM(Tabela4[[#This Row],[Paulo Bohn - 01]:[Paulo Bohn - 04]])</f>
        <v>0</v>
      </c>
      <c r="G2" s="72">
        <f>Tabela4[[#This Row],[Analia (Clodoaldo Entre-Ijuis)]]</f>
        <v>0</v>
      </c>
      <c r="H2" s="72">
        <f>Tabela4[[#This Row],[Biroh]]</f>
        <v>0</v>
      </c>
      <c r="I2" s="72">
        <f>Tabela4[[#This Row],[Gelson Posser]]</f>
        <v>0</v>
      </c>
      <c r="J2" s="72">
        <f>Tabela4[[#This Row],[Supermercado Caryone]]</f>
        <v>0</v>
      </c>
      <c r="K2" s="72">
        <f>Tabela4[[#This Row],[Ernani Minetto]]</f>
        <v>0</v>
      </c>
      <c r="L2" s="72">
        <f>Tabela4[[#This Row],[Jair Moscon]]</f>
        <v>0</v>
      </c>
      <c r="M2" s="72">
        <f>SUM(Tabela4[[#This Row],[Fabio Milke - 01]:[Fabio Milke - 02]])</f>
        <v>0</v>
      </c>
      <c r="N2" s="72">
        <f>Tabela4[[#This Row],[Piaia]]</f>
        <v>0</v>
      </c>
      <c r="O2" s="72">
        <f>Tabela4[[#This Row],[Osmar Veronese]]</f>
        <v>0</v>
      </c>
      <c r="P2" s="72">
        <f>Tabela4[[#This Row],[ José Luiz Moraes]]</f>
        <v>0</v>
      </c>
      <c r="Q2" s="72">
        <f>Tabela4[[#This Row],[Supermercado Cripy]]</f>
        <v>0</v>
      </c>
      <c r="R2" s="72">
        <f>Tabela4[[#This Row],[Gláucio Lipski (Giruá)]]</f>
        <v>0</v>
      </c>
      <c r="S2" s="72">
        <f>Tabela4[[#This Row],[Contri]]</f>
        <v>0</v>
      </c>
      <c r="T2" s="72">
        <f>Tabela4[[#This Row],[Cleci Rubi]]</f>
        <v>0</v>
      </c>
      <c r="U2" s="72">
        <f>Tabela4[[#This Row],[Betine Rost]]</f>
        <v>0</v>
      </c>
      <c r="V2" s="72">
        <f>SUM(Tabela4[[#This Row],[Robinson Fetter - 01]:[Robinson Fetter - 03]])</f>
        <v>0</v>
      </c>
      <c r="W2" s="72">
        <f>Tabela4[[#This Row],[Fabio De Moura]]</f>
        <v>0</v>
      </c>
      <c r="X2" s="72">
        <f>Tabela4[[#This Row],[Rochele Santos Moraes]]</f>
        <v>0</v>
      </c>
      <c r="Y2" s="72">
        <f>Tabela4[[#This Row],[Auto Posto Kairã]]</f>
        <v>0</v>
      </c>
      <c r="Z2" s="72">
        <f>Tabela4[[#This Row],[Erno Schiefelbain]]</f>
        <v>0</v>
      </c>
      <c r="AA2" s="72">
        <f>Tabela4[[#This Row],[José Paulo Backes]]</f>
        <v>0</v>
      </c>
      <c r="AB2" s="72">
        <f>Tabela4[[#This Row],[Gelso Tofolo]]</f>
        <v>0</v>
      </c>
      <c r="AC2" s="72">
        <f>Tabela4[[#This Row],[Diamantino]]</f>
        <v>0</v>
      </c>
      <c r="AD2" s="72">
        <f>Tabela4[[#This Row],[Mercado Bueno]]</f>
        <v>0</v>
      </c>
      <c r="AE2" s="72">
        <f>Tabela4[[#This Row],[Daniela Donadel Massalai]]</f>
        <v>0</v>
      </c>
      <c r="AF2" s="72">
        <f>Tabela4[[#This Row],[Comercio De Moto Peças Irmãos Guarani Ltda]]</f>
        <v>0</v>
      </c>
      <c r="AG2" s="72">
        <f>Tabela4[[#This Row],[Mauricio Luis Lunardi]]</f>
        <v>0</v>
      </c>
      <c r="AH2" s="72">
        <f>Tabela4[[#This Row],[Rosa Maria Restle Radunz]]</f>
        <v>0</v>
      </c>
      <c r="AI2" s="72">
        <f>Tabela4[[#This Row],[Ivo Amaral De Oliveira]]</f>
        <v>0</v>
      </c>
      <c r="AJ2" s="72">
        <f>Tabela4[[#This Row],[Silvio Robert Lemos Avila]]</f>
        <v>0</v>
      </c>
      <c r="AK2" s="72">
        <f>Tabela4[[#This Row],[Eldo Rost]]</f>
        <v>0</v>
      </c>
      <c r="AL2" s="72">
        <f>SUM(Tabela4[[#This Row],[Padaria Avenida - 01]:[Padaria Avenida - 02]])</f>
        <v>0</v>
      </c>
      <c r="AM2" s="72">
        <f>Tabela4[[#This Row],[Cristiano Anshau]]</f>
        <v>0</v>
      </c>
      <c r="AN2" s="72">
        <f>Tabela4[[#This Row],[Luciana Claudete Meirelles Correa]]</f>
        <v>0</v>
      </c>
      <c r="AO2" s="72">
        <f>Tabela4[[#This Row],[Marcio Jose Siqueira]]</f>
        <v>0</v>
      </c>
      <c r="AP2" s="72">
        <f>Tabela4[[#This Row],[Marcos Rogerio Kessler]]</f>
        <v>0</v>
      </c>
      <c r="AQ2" s="72">
        <f>SUM(Tabela4[[#This Row],[AABB - 01]:[AABB - 02]])</f>
        <v>0</v>
      </c>
      <c r="AR2" s="72">
        <f>SUM(Tabela4[[#This Row],[Wanda Burkard - 01]:[Wanda Burkard - 02]])</f>
        <v>0</v>
      </c>
      <c r="AS2" s="72">
        <f>Tabela4[[#This Row],[Silvio Robert Lemos Avila Me]]</f>
        <v>0</v>
      </c>
      <c r="AT2" s="72">
        <f>Tabela4[[#This Row],[Carmelo]]</f>
        <v>0</v>
      </c>
      <c r="AU2" s="72">
        <f>Tabela4[[#This Row],[Antonio Dal Forno]]</f>
        <v>0</v>
      </c>
      <c r="AV2" s="72">
        <f>Tabela4[[#This Row],[Marisane Paulus]]</f>
        <v>0</v>
      </c>
      <c r="AW2" s="72">
        <f>Tabela4[[#This Row],[Segatto Ceretta Ltda]]</f>
        <v>0</v>
      </c>
      <c r="AX2" s="72">
        <f>SUM(Tabela4[[#This Row],[APAE - 01]:[APAE - 02]])</f>
        <v>0</v>
      </c>
      <c r="AY2" s="72">
        <f>Tabela4[[#This Row],[Cássio Burin]]</f>
        <v>0</v>
      </c>
      <c r="AZ2" s="72">
        <f>Tabela4[[#This Row],[Patrick Kristoschek Da Silva]]</f>
        <v>0</v>
      </c>
      <c r="BA2" s="72">
        <f>Tabela4[[#This Row],[Silvio Robert Ávila - (Valmir)]]</f>
        <v>0</v>
      </c>
      <c r="BB2" s="72">
        <f>Tabela4[[#This Row],[Zederson Jose Della Flora]]</f>
        <v>0</v>
      </c>
      <c r="BC2" s="72">
        <f>Tabela4[[#This Row],[Carlos Walmir Larsão Rolim]]</f>
        <v>0</v>
      </c>
      <c r="BD2" s="72">
        <f>Tabela4[[#This Row],[Danieli Missio]]</f>
        <v>0</v>
      </c>
      <c r="BE2" s="72">
        <f>Tabela4[[#This Row],[José Vasconcellos]]</f>
        <v>0</v>
      </c>
      <c r="BF2" s="72">
        <f>Tabela4[[#This Row],[Linho Lev Alimentos]]</f>
        <v>0</v>
      </c>
      <c r="BG2" s="72">
        <f>Tabela4[[#This Row],[Ernani Czapla]]</f>
        <v>0</v>
      </c>
      <c r="BH2" s="72">
        <f>Tabela4[[#This Row],[Valesca Da Luz]]</f>
        <v>0</v>
      </c>
      <c r="BI2" s="72">
        <f>Tabela4[[#This Row],[Olavo Mildner]]</f>
        <v>0</v>
      </c>
      <c r="BJ2" s="72">
        <f>Tabela4[[#This Row],[Dilnei Rohled]]</f>
        <v>0</v>
      </c>
      <c r="BK2" s="72">
        <f>Tabela4[[#This Row],[Shaiana Signorini]]</f>
        <v>0</v>
      </c>
      <c r="BL2" s="72">
        <f>Tabela4[[#This Row],[Fonse Atacado]]</f>
        <v>0</v>
      </c>
      <c r="BM2" s="72">
        <f>Tabela4[[#This Row],[Comercial de Alimentos]]</f>
        <v>0</v>
      </c>
      <c r="BN2" s="72">
        <f>Tabela4[[#This Row],[Ivone Kasburg Serralheria]]</f>
        <v>0</v>
      </c>
      <c r="BO2" s="72">
        <f>Tabela4[[#This Row],[Mercado Ceretta]]</f>
        <v>0</v>
      </c>
      <c r="BP2" s="72">
        <f>Tabela4[[#This Row],[Antonio Carlos Dos Santos Pereira]]</f>
        <v>0</v>
      </c>
      <c r="BQ2" s="72">
        <f>Tabela4[[#This Row],[Volnei Lemos Avila - Me]]</f>
        <v>0</v>
      </c>
      <c r="BR2" s="72">
        <f>Tabela4[[#This Row],[Silvana Meneghini]]</f>
        <v>0</v>
      </c>
      <c r="BS2" s="72">
        <f>Tabela4[[#This Row],[Eficaz Engenharia Ltda]]</f>
        <v>0</v>
      </c>
      <c r="BT2" s="72">
        <f>SUM(Tabela4[[#Headers],[Tania Regina Schmaltz - 01]:[Tania Regina Schmaltz - 02]])</f>
        <v>0</v>
      </c>
      <c r="BU2" s="72">
        <f>Tabela4[[#This Row],[Camila Ceretta Segatto]]</f>
        <v>0</v>
      </c>
      <c r="BV2" s="72">
        <f>Tabela4[[#This Row],[Vagner Ribas Dos Santos]]</f>
        <v>0</v>
      </c>
      <c r="BW2" s="72">
        <f>Tabela4[[#This Row],[Claudio Alfredo Konrat]]</f>
        <v>0</v>
      </c>
    </row>
    <row r="3" spans="1:75" x14ac:dyDescent="0.25">
      <c r="A3" s="70">
        <v>43132</v>
      </c>
      <c r="B3" s="72">
        <f>SUM(Tabela4[[#This Row],[Marlon Colovini - 01]:[Marlon Colovini - 02]])</f>
        <v>166.98000000000002</v>
      </c>
      <c r="C3" s="72">
        <f>Tabela4[[#This Row],[Mara Barichello]]</f>
        <v>35.64</v>
      </c>
      <c r="D3" s="72">
        <f>Tabela4[[#This Row],[Jandira Dutra]]</f>
        <v>27.63</v>
      </c>
      <c r="E3" s="72">
        <f>Tabela4[[#This Row],[Luiz Fernando Kruger]]</f>
        <v>0</v>
      </c>
      <c r="F3" s="72">
        <f>SUM(Tabela4[[#This Row],[Paulo Bohn - 01]:[Paulo Bohn - 04]])</f>
        <v>48.6</v>
      </c>
      <c r="G3" s="72">
        <f>Tabela4[[#This Row],[Analia (Clodoaldo Entre-Ijuis)]]</f>
        <v>0</v>
      </c>
      <c r="H3" s="72">
        <f>Tabela4[[#This Row],[Biroh]]</f>
        <v>0</v>
      </c>
      <c r="I3" s="72">
        <f>Tabela4[[#This Row],[Gelson Posser]]</f>
        <v>0</v>
      </c>
      <c r="J3" s="72">
        <f>Tabela4[[#This Row],[Supermercado Caryone]]</f>
        <v>0</v>
      </c>
      <c r="K3" s="72">
        <f>Tabela4[[#This Row],[Ernani Minetto]]</f>
        <v>0</v>
      </c>
      <c r="L3" s="72">
        <f>Tabela4[[#This Row],[Jair Moscon]]</f>
        <v>0</v>
      </c>
      <c r="M3" s="72">
        <f>SUM(Tabela4[[#This Row],[Fabio Milke - 01]:[Fabio Milke - 02]])</f>
        <v>0</v>
      </c>
      <c r="N3" s="72">
        <f>Tabela4[[#This Row],[Piaia]]</f>
        <v>0</v>
      </c>
      <c r="O3" s="72">
        <f>Tabela4[[#This Row],[Osmar Veronese]]</f>
        <v>0</v>
      </c>
      <c r="P3" s="72">
        <f>Tabela4[[#This Row],[ José Luiz Moraes]]</f>
        <v>0</v>
      </c>
      <c r="Q3" s="72">
        <f>Tabela4[[#This Row],[Supermercado Cripy]]</f>
        <v>0</v>
      </c>
      <c r="R3" s="72">
        <f>Tabela4[[#This Row],[Gláucio Lipski (Giruá)]]</f>
        <v>0</v>
      </c>
      <c r="S3" s="72">
        <f>Tabela4[[#This Row],[Contri]]</f>
        <v>0</v>
      </c>
      <c r="T3" s="72">
        <f>Tabela4[[#This Row],[Cleci Rubi]]</f>
        <v>0</v>
      </c>
      <c r="U3" s="72">
        <f>Tabela4[[#This Row],[Betine Rost]]</f>
        <v>0</v>
      </c>
      <c r="V3" s="72">
        <f>SUM(Tabela4[[#This Row],[Robinson Fetter - 01]:[Robinson Fetter - 03]])</f>
        <v>0</v>
      </c>
      <c r="W3" s="72">
        <f>Tabela4[[#This Row],[Fabio De Moura]]</f>
        <v>0</v>
      </c>
      <c r="X3" s="72">
        <f>Tabela4[[#This Row],[Rochele Santos Moraes]]</f>
        <v>0</v>
      </c>
      <c r="Y3" s="72">
        <f>Tabela4[[#This Row],[Auto Posto Kairã]]</f>
        <v>0</v>
      </c>
      <c r="Z3" s="72">
        <f>Tabela4[[#This Row],[Erno Schiefelbain]]</f>
        <v>0</v>
      </c>
      <c r="AA3" s="72">
        <f>Tabela4[[#This Row],[José Paulo Backes]]</f>
        <v>0</v>
      </c>
      <c r="AB3" s="72">
        <f>Tabela4[[#This Row],[Gelso Tofolo]]</f>
        <v>0</v>
      </c>
      <c r="AC3" s="72">
        <f>Tabela4[[#This Row],[Diamantino]]</f>
        <v>0</v>
      </c>
      <c r="AD3" s="72">
        <f>Tabela4[[#This Row],[Mercado Bueno]]</f>
        <v>0</v>
      </c>
      <c r="AE3" s="72">
        <f>Tabela4[[#This Row],[Daniela Donadel Massalai]]</f>
        <v>0</v>
      </c>
      <c r="AF3" s="72">
        <f>Tabela4[[#This Row],[Comercio De Moto Peças Irmãos Guarani Ltda]]</f>
        <v>0</v>
      </c>
      <c r="AG3" s="72">
        <f>Tabela4[[#This Row],[Mauricio Luis Lunardi]]</f>
        <v>0</v>
      </c>
      <c r="AH3" s="72">
        <f>Tabela4[[#This Row],[Rosa Maria Restle Radunz]]</f>
        <v>0</v>
      </c>
      <c r="AI3" s="72">
        <f>Tabela4[[#This Row],[Ivo Amaral De Oliveira]]</f>
        <v>0</v>
      </c>
      <c r="AJ3" s="72">
        <f>Tabela4[[#This Row],[Silvio Robert Lemos Avila]]</f>
        <v>0</v>
      </c>
      <c r="AK3" s="72">
        <f>Tabela4[[#This Row],[Eldo Rost]]</f>
        <v>0</v>
      </c>
      <c r="AL3" s="72">
        <f>SUM(Tabela4[[#This Row],[Padaria Avenida - 01]:[Padaria Avenida - 02]])</f>
        <v>0</v>
      </c>
      <c r="AM3" s="72">
        <f>Tabela4[[#This Row],[Cristiano Anshau]]</f>
        <v>0</v>
      </c>
      <c r="AN3" s="72">
        <f>Tabela4[[#This Row],[Luciana Claudete Meirelles Correa]]</f>
        <v>0</v>
      </c>
      <c r="AO3" s="72">
        <f>Tabela4[[#This Row],[Marcio Jose Siqueira]]</f>
        <v>0</v>
      </c>
      <c r="AP3" s="72">
        <f>Tabela4[[#This Row],[Marcos Rogerio Kessler]]</f>
        <v>0</v>
      </c>
      <c r="AQ3" s="72">
        <f>SUM(Tabela4[[#This Row],[AABB - 01]:[AABB - 02]])</f>
        <v>0</v>
      </c>
      <c r="AR3" s="72">
        <f>SUM(Tabela4[[#This Row],[Wanda Burkard - 01]:[Wanda Burkard - 02]])</f>
        <v>0</v>
      </c>
      <c r="AS3" s="72">
        <f>Tabela4[[#This Row],[Silvio Robert Lemos Avila Me]]</f>
        <v>0</v>
      </c>
      <c r="AT3" s="72">
        <f>Tabela4[[#This Row],[Carmelo]]</f>
        <v>0</v>
      </c>
      <c r="AU3" s="72">
        <f>Tabela4[[#This Row],[Antonio Dal Forno]]</f>
        <v>0</v>
      </c>
      <c r="AV3" s="72">
        <f>Tabela4[[#This Row],[Marisane Paulus]]</f>
        <v>0</v>
      </c>
      <c r="AW3" s="72">
        <f>Tabela4[[#This Row],[Segatto Ceretta Ltda]]</f>
        <v>0</v>
      </c>
      <c r="AX3" s="72">
        <f>SUM(Tabela4[[#This Row],[APAE - 01]:[APAE - 02]])</f>
        <v>0</v>
      </c>
      <c r="AY3" s="72">
        <f>Tabela4[[#This Row],[Cássio Burin]]</f>
        <v>0</v>
      </c>
      <c r="AZ3" s="72">
        <f>Tabela4[[#This Row],[Patrick Kristoschek Da Silva]]</f>
        <v>0</v>
      </c>
      <c r="BA3" s="72">
        <f>Tabela4[[#This Row],[Silvio Robert Ávila - (Valmir)]]</f>
        <v>0</v>
      </c>
      <c r="BB3" s="72">
        <f>Tabela4[[#This Row],[Zederson Jose Della Flora]]</f>
        <v>0</v>
      </c>
      <c r="BC3" s="72">
        <f>Tabela4[[#This Row],[Carlos Walmir Larsão Rolim]]</f>
        <v>0</v>
      </c>
      <c r="BD3" s="72">
        <f>Tabela4[[#This Row],[Danieli Missio]]</f>
        <v>0</v>
      </c>
      <c r="BE3" s="72">
        <f>Tabela4[[#This Row],[José Vasconcellos]]</f>
        <v>0</v>
      </c>
      <c r="BF3" s="72">
        <f>Tabela4[[#This Row],[Linho Lev Alimentos]]</f>
        <v>0</v>
      </c>
      <c r="BG3" s="72">
        <f>Tabela4[[#This Row],[Ernani Czapla]]</f>
        <v>0</v>
      </c>
      <c r="BH3" s="72">
        <f>Tabela4[[#This Row],[Valesca Da Luz]]</f>
        <v>0</v>
      </c>
      <c r="BI3" s="72">
        <f>Tabela4[[#This Row],[Olavo Mildner]]</f>
        <v>0</v>
      </c>
      <c r="BJ3" s="72">
        <f>Tabela4[[#This Row],[Dilnei Rohled]]</f>
        <v>0</v>
      </c>
      <c r="BK3" s="72">
        <f>Tabela4[[#This Row],[Shaiana Signorini]]</f>
        <v>0</v>
      </c>
      <c r="BL3" s="72">
        <f>Tabela4[[#This Row],[Fonse Atacado]]</f>
        <v>0</v>
      </c>
      <c r="BM3" s="72">
        <f>Tabela4[[#This Row],[Comercial de Alimentos]]</f>
        <v>0</v>
      </c>
      <c r="BN3" s="72">
        <f>Tabela4[[#This Row],[Ivone Kasburg Serralheria]]</f>
        <v>0</v>
      </c>
      <c r="BO3" s="72">
        <f>Tabela4[[#This Row],[Mercado Ceretta]]</f>
        <v>0</v>
      </c>
      <c r="BP3" s="72">
        <f>Tabela4[[#This Row],[Antonio Carlos Dos Santos Pereira]]</f>
        <v>0</v>
      </c>
      <c r="BQ3" s="72">
        <f>Tabela4[[#This Row],[Volnei Lemos Avila - Me]]</f>
        <v>0</v>
      </c>
      <c r="BR3" s="72">
        <f>Tabela4[[#This Row],[Silvana Meneghini]]</f>
        <v>0</v>
      </c>
      <c r="BS3" s="72">
        <f>Tabela4[[#This Row],[Eficaz Engenharia Ltda]]</f>
        <v>0</v>
      </c>
      <c r="BT3" s="72">
        <f>SUM(Tabela4[[#Headers],[Tania Regina Schmaltz - 01]:[Tania Regina Schmaltz - 02]])</f>
        <v>0</v>
      </c>
      <c r="BU3" s="72">
        <f>Tabela4[[#This Row],[Camila Ceretta Segatto]]</f>
        <v>0</v>
      </c>
      <c r="BV3" s="72">
        <f>Tabela4[[#This Row],[Vagner Ribas Dos Santos]]</f>
        <v>0</v>
      </c>
      <c r="BW3" s="72">
        <f>Tabela4[[#This Row],[Claudio Alfredo Konrat]]</f>
        <v>0</v>
      </c>
    </row>
    <row r="4" spans="1:75" x14ac:dyDescent="0.25">
      <c r="A4" s="70">
        <v>43160</v>
      </c>
      <c r="B4" s="72">
        <f>SUM(Tabela4[[#This Row],[Marlon Colovini - 01]:[Marlon Colovini - 02]])</f>
        <v>107.42000000000002</v>
      </c>
      <c r="C4" s="72">
        <f>Tabela4[[#This Row],[Mara Barichello]]</f>
        <v>38.49</v>
      </c>
      <c r="D4" s="72">
        <f>Tabela4[[#This Row],[Jandira Dutra]]</f>
        <v>31.71</v>
      </c>
      <c r="E4" s="72">
        <f>Tabela4[[#This Row],[Luiz Fernando Kruger]]</f>
        <v>48.73</v>
      </c>
      <c r="F4" s="72">
        <f>SUM(Tabela4[[#This Row],[Paulo Bohn - 01]:[Paulo Bohn - 04]])</f>
        <v>254.71</v>
      </c>
      <c r="G4" s="72">
        <f>Tabela4[[#This Row],[Analia (Clodoaldo Entre-Ijuis)]]</f>
        <v>0</v>
      </c>
      <c r="H4" s="72">
        <f>Tabela4[[#This Row],[Biroh]]</f>
        <v>0</v>
      </c>
      <c r="I4" s="72">
        <f>Tabela4[[#This Row],[Gelson Posser]]</f>
        <v>0</v>
      </c>
      <c r="J4" s="72">
        <f>Tabela4[[#This Row],[Supermercado Caryone]]</f>
        <v>0</v>
      </c>
      <c r="K4" s="72">
        <f>Tabela4[[#This Row],[Ernani Minetto]]</f>
        <v>0</v>
      </c>
      <c r="L4" s="72">
        <f>Tabela4[[#This Row],[Jair Moscon]]</f>
        <v>0</v>
      </c>
      <c r="M4" s="72">
        <f>SUM(Tabela4[[#This Row],[Fabio Milke - 01]:[Fabio Milke - 02]])</f>
        <v>0</v>
      </c>
      <c r="N4" s="72">
        <f>Tabela4[[#This Row],[Piaia]]</f>
        <v>0</v>
      </c>
      <c r="O4" s="72">
        <f>Tabela4[[#This Row],[Osmar Veronese]]</f>
        <v>0</v>
      </c>
      <c r="P4" s="72">
        <f>Tabela4[[#This Row],[ José Luiz Moraes]]</f>
        <v>0</v>
      </c>
      <c r="Q4" s="72">
        <f>Tabela4[[#This Row],[Supermercado Cripy]]</f>
        <v>0</v>
      </c>
      <c r="R4" s="72">
        <f>Tabela4[[#This Row],[Gláucio Lipski (Giruá)]]</f>
        <v>0</v>
      </c>
      <c r="S4" s="72">
        <f>Tabela4[[#This Row],[Contri]]</f>
        <v>0</v>
      </c>
      <c r="T4" s="72">
        <f>Tabela4[[#This Row],[Cleci Rubi]]</f>
        <v>0</v>
      </c>
      <c r="U4" s="72">
        <f>Tabela4[[#This Row],[Betine Rost]]</f>
        <v>0</v>
      </c>
      <c r="V4" s="72">
        <f>SUM(Tabela4[[#This Row],[Robinson Fetter - 01]:[Robinson Fetter - 03]])</f>
        <v>0</v>
      </c>
      <c r="W4" s="72">
        <f>Tabela4[[#This Row],[Fabio De Moura]]</f>
        <v>0</v>
      </c>
      <c r="X4" s="72">
        <f>Tabela4[[#This Row],[Rochele Santos Moraes]]</f>
        <v>0</v>
      </c>
      <c r="Y4" s="72">
        <f>Tabela4[[#This Row],[Auto Posto Kairã]]</f>
        <v>0</v>
      </c>
      <c r="Z4" s="72">
        <f>Tabela4[[#This Row],[Erno Schiefelbain]]</f>
        <v>0</v>
      </c>
      <c r="AA4" s="72">
        <f>Tabela4[[#This Row],[José Paulo Backes]]</f>
        <v>0</v>
      </c>
      <c r="AB4" s="72">
        <f>Tabela4[[#This Row],[Gelso Tofolo]]</f>
        <v>0</v>
      </c>
      <c r="AC4" s="72">
        <f>Tabela4[[#This Row],[Diamantino]]</f>
        <v>0</v>
      </c>
      <c r="AD4" s="72">
        <f>Tabela4[[#This Row],[Mercado Bueno]]</f>
        <v>0</v>
      </c>
      <c r="AE4" s="72">
        <f>Tabela4[[#This Row],[Daniela Donadel Massalai]]</f>
        <v>0</v>
      </c>
      <c r="AF4" s="72">
        <f>Tabela4[[#This Row],[Comercio De Moto Peças Irmãos Guarani Ltda]]</f>
        <v>0</v>
      </c>
      <c r="AG4" s="72">
        <f>Tabela4[[#This Row],[Mauricio Luis Lunardi]]</f>
        <v>0</v>
      </c>
      <c r="AH4" s="72">
        <f>Tabela4[[#This Row],[Rosa Maria Restle Radunz]]</f>
        <v>0</v>
      </c>
      <c r="AI4" s="72">
        <f>Tabela4[[#This Row],[Ivo Amaral De Oliveira]]</f>
        <v>0</v>
      </c>
      <c r="AJ4" s="72">
        <f>Tabela4[[#This Row],[Silvio Robert Lemos Avila]]</f>
        <v>0</v>
      </c>
      <c r="AK4" s="72">
        <f>Tabela4[[#This Row],[Eldo Rost]]</f>
        <v>0</v>
      </c>
      <c r="AL4" s="72">
        <f>SUM(Tabela4[[#This Row],[Padaria Avenida - 01]:[Padaria Avenida - 02]])</f>
        <v>0</v>
      </c>
      <c r="AM4" s="72">
        <f>Tabela4[[#This Row],[Cristiano Anshau]]</f>
        <v>0</v>
      </c>
      <c r="AN4" s="72">
        <f>Tabela4[[#This Row],[Luciana Claudete Meirelles Correa]]</f>
        <v>0</v>
      </c>
      <c r="AO4" s="72">
        <f>Tabela4[[#This Row],[Marcio Jose Siqueira]]</f>
        <v>0</v>
      </c>
      <c r="AP4" s="72">
        <f>Tabela4[[#This Row],[Marcos Rogerio Kessler]]</f>
        <v>0</v>
      </c>
      <c r="AQ4" s="72">
        <f>SUM(Tabela4[[#This Row],[AABB - 01]:[AABB - 02]])</f>
        <v>0</v>
      </c>
      <c r="AR4" s="72">
        <f>SUM(Tabela4[[#This Row],[Wanda Burkard - 01]:[Wanda Burkard - 02]])</f>
        <v>0</v>
      </c>
      <c r="AS4" s="72">
        <f>Tabela4[[#This Row],[Silvio Robert Lemos Avila Me]]</f>
        <v>0</v>
      </c>
      <c r="AT4" s="72">
        <f>Tabela4[[#This Row],[Carmelo]]</f>
        <v>0</v>
      </c>
      <c r="AU4" s="72">
        <f>Tabela4[[#This Row],[Antonio Dal Forno]]</f>
        <v>0</v>
      </c>
      <c r="AV4" s="72">
        <f>Tabela4[[#This Row],[Marisane Paulus]]</f>
        <v>0</v>
      </c>
      <c r="AW4" s="72">
        <f>Tabela4[[#This Row],[Segatto Ceretta Ltda]]</f>
        <v>0</v>
      </c>
      <c r="AX4" s="72">
        <f>SUM(Tabela4[[#This Row],[APAE - 01]:[APAE - 02]])</f>
        <v>0</v>
      </c>
      <c r="AY4" s="72">
        <f>Tabela4[[#This Row],[Cássio Burin]]</f>
        <v>0</v>
      </c>
      <c r="AZ4" s="72">
        <f>Tabela4[[#This Row],[Patrick Kristoschek Da Silva]]</f>
        <v>0</v>
      </c>
      <c r="BA4" s="72">
        <f>Tabela4[[#This Row],[Silvio Robert Ávila - (Valmir)]]</f>
        <v>0</v>
      </c>
      <c r="BB4" s="72">
        <f>Tabela4[[#This Row],[Zederson Jose Della Flora]]</f>
        <v>0</v>
      </c>
      <c r="BC4" s="72">
        <f>Tabela4[[#This Row],[Carlos Walmir Larsão Rolim]]</f>
        <v>0</v>
      </c>
      <c r="BD4" s="72">
        <f>Tabela4[[#This Row],[Danieli Missio]]</f>
        <v>0</v>
      </c>
      <c r="BE4" s="72">
        <f>Tabela4[[#This Row],[José Vasconcellos]]</f>
        <v>0</v>
      </c>
      <c r="BF4" s="72">
        <f>Tabela4[[#This Row],[Linho Lev Alimentos]]</f>
        <v>0</v>
      </c>
      <c r="BG4" s="72">
        <f>Tabela4[[#This Row],[Ernani Czapla]]</f>
        <v>0</v>
      </c>
      <c r="BH4" s="72">
        <f>Tabela4[[#This Row],[Valesca Da Luz]]</f>
        <v>0</v>
      </c>
      <c r="BI4" s="72">
        <f>Tabela4[[#This Row],[Olavo Mildner]]</f>
        <v>0</v>
      </c>
      <c r="BJ4" s="72">
        <f>Tabela4[[#This Row],[Dilnei Rohled]]</f>
        <v>0</v>
      </c>
      <c r="BK4" s="72">
        <f>Tabela4[[#This Row],[Shaiana Signorini]]</f>
        <v>0</v>
      </c>
      <c r="BL4" s="72">
        <f>Tabela4[[#This Row],[Fonse Atacado]]</f>
        <v>0</v>
      </c>
      <c r="BM4" s="72">
        <f>Tabela4[[#This Row],[Comercial de Alimentos]]</f>
        <v>0</v>
      </c>
      <c r="BN4" s="72">
        <f>Tabela4[[#This Row],[Ivone Kasburg Serralheria]]</f>
        <v>0</v>
      </c>
      <c r="BO4" s="72">
        <f>Tabela4[[#This Row],[Mercado Ceretta]]</f>
        <v>0</v>
      </c>
      <c r="BP4" s="72">
        <f>Tabela4[[#This Row],[Antonio Carlos Dos Santos Pereira]]</f>
        <v>0</v>
      </c>
      <c r="BQ4" s="72">
        <f>Tabela4[[#This Row],[Volnei Lemos Avila - Me]]</f>
        <v>0</v>
      </c>
      <c r="BR4" s="72">
        <f>Tabela4[[#This Row],[Silvana Meneghini]]</f>
        <v>0</v>
      </c>
      <c r="BS4" s="72">
        <f>Tabela4[[#This Row],[Eficaz Engenharia Ltda]]</f>
        <v>0</v>
      </c>
      <c r="BT4" s="72">
        <f>SUM(Tabela4[[#Headers],[Tania Regina Schmaltz - 01]:[Tania Regina Schmaltz - 02]])</f>
        <v>0</v>
      </c>
      <c r="BU4" s="72">
        <f>Tabela4[[#This Row],[Camila Ceretta Segatto]]</f>
        <v>0</v>
      </c>
      <c r="BV4" s="72">
        <f>Tabela4[[#This Row],[Vagner Ribas Dos Santos]]</f>
        <v>0</v>
      </c>
      <c r="BW4" s="72">
        <f>Tabela4[[#This Row],[Claudio Alfredo Konrat]]</f>
        <v>0</v>
      </c>
    </row>
    <row r="5" spans="1:75" x14ac:dyDescent="0.25">
      <c r="A5" s="70">
        <v>43191</v>
      </c>
      <c r="B5" s="72">
        <f>SUM(Tabela4[[#This Row],[Marlon Colovini - 01]:[Marlon Colovini - 02]])</f>
        <v>91.34</v>
      </c>
      <c r="C5" s="72">
        <f>Tabela4[[#This Row],[Mara Barichello]]</f>
        <v>35.21</v>
      </c>
      <c r="D5" s="72">
        <f>Tabela4[[#This Row],[Jandira Dutra]]</f>
        <v>41.62</v>
      </c>
      <c r="E5" s="72">
        <f>Tabela4[[#This Row],[Luiz Fernando Kruger]]</f>
        <v>65.08</v>
      </c>
      <c r="F5" s="72">
        <f>SUM(Tabela4[[#This Row],[Paulo Bohn - 01]:[Paulo Bohn - 04]])</f>
        <v>240.31</v>
      </c>
      <c r="G5" s="72">
        <f>Tabela4[[#This Row],[Analia (Clodoaldo Entre-Ijuis)]]</f>
        <v>53.24</v>
      </c>
      <c r="H5" s="72">
        <f>Tabela4[[#This Row],[Biroh]]</f>
        <v>0</v>
      </c>
      <c r="I5" s="72">
        <f>Tabela4[[#This Row],[Gelson Posser]]</f>
        <v>0</v>
      </c>
      <c r="J5" s="72">
        <f>Tabela4[[#This Row],[Supermercado Caryone]]</f>
        <v>0</v>
      </c>
      <c r="K5" s="72">
        <f>Tabela4[[#This Row],[Ernani Minetto]]</f>
        <v>0</v>
      </c>
      <c r="L5" s="72">
        <f>Tabela4[[#This Row],[Jair Moscon]]</f>
        <v>0</v>
      </c>
      <c r="M5" s="72">
        <f>SUM(Tabela4[[#This Row],[Fabio Milke - 01]:[Fabio Milke - 02]])</f>
        <v>0</v>
      </c>
      <c r="N5" s="72">
        <f>Tabela4[[#This Row],[Piaia]]</f>
        <v>0</v>
      </c>
      <c r="O5" s="72">
        <f>Tabela4[[#This Row],[Osmar Veronese]]</f>
        <v>0</v>
      </c>
      <c r="P5" s="72">
        <f>Tabela4[[#This Row],[ José Luiz Moraes]]</f>
        <v>0</v>
      </c>
      <c r="Q5" s="72">
        <f>Tabela4[[#This Row],[Supermercado Cripy]]</f>
        <v>0</v>
      </c>
      <c r="R5" s="72">
        <f>Tabela4[[#This Row],[Gláucio Lipski (Giruá)]]</f>
        <v>0</v>
      </c>
      <c r="S5" s="72">
        <f>Tabela4[[#This Row],[Contri]]</f>
        <v>0</v>
      </c>
      <c r="T5" s="72">
        <f>Tabela4[[#This Row],[Cleci Rubi]]</f>
        <v>0</v>
      </c>
      <c r="U5" s="72">
        <f>Tabela4[[#This Row],[Betine Rost]]</f>
        <v>0</v>
      </c>
      <c r="V5" s="72">
        <f>SUM(Tabela4[[#This Row],[Robinson Fetter - 01]:[Robinson Fetter - 03]])</f>
        <v>0</v>
      </c>
      <c r="W5" s="72">
        <f>Tabela4[[#This Row],[Fabio De Moura]]</f>
        <v>0</v>
      </c>
      <c r="X5" s="72">
        <f>Tabela4[[#This Row],[Rochele Santos Moraes]]</f>
        <v>0</v>
      </c>
      <c r="Y5" s="72">
        <f>Tabela4[[#This Row],[Auto Posto Kairã]]</f>
        <v>0</v>
      </c>
      <c r="Z5" s="72">
        <f>Tabela4[[#This Row],[Erno Schiefelbain]]</f>
        <v>0</v>
      </c>
      <c r="AA5" s="72">
        <f>Tabela4[[#This Row],[José Paulo Backes]]</f>
        <v>0</v>
      </c>
      <c r="AB5" s="72">
        <f>Tabela4[[#This Row],[Gelso Tofolo]]</f>
        <v>0</v>
      </c>
      <c r="AC5" s="72">
        <f>Tabela4[[#This Row],[Diamantino]]</f>
        <v>0</v>
      </c>
      <c r="AD5" s="72">
        <f>Tabela4[[#This Row],[Mercado Bueno]]</f>
        <v>0</v>
      </c>
      <c r="AE5" s="72">
        <f>Tabela4[[#This Row],[Daniela Donadel Massalai]]</f>
        <v>0</v>
      </c>
      <c r="AF5" s="72">
        <f>Tabela4[[#This Row],[Comercio De Moto Peças Irmãos Guarani Ltda]]</f>
        <v>0</v>
      </c>
      <c r="AG5" s="72">
        <f>Tabela4[[#This Row],[Mauricio Luis Lunardi]]</f>
        <v>0</v>
      </c>
      <c r="AH5" s="72">
        <f>Tabela4[[#This Row],[Rosa Maria Restle Radunz]]</f>
        <v>0</v>
      </c>
      <c r="AI5" s="72">
        <f>Tabela4[[#This Row],[Ivo Amaral De Oliveira]]</f>
        <v>0</v>
      </c>
      <c r="AJ5" s="72">
        <f>Tabela4[[#This Row],[Silvio Robert Lemos Avila]]</f>
        <v>0</v>
      </c>
      <c r="AK5" s="72">
        <f>Tabela4[[#This Row],[Eldo Rost]]</f>
        <v>0</v>
      </c>
      <c r="AL5" s="72">
        <f>SUM(Tabela4[[#This Row],[Padaria Avenida - 01]:[Padaria Avenida - 02]])</f>
        <v>0</v>
      </c>
      <c r="AM5" s="72">
        <f>Tabela4[[#This Row],[Cristiano Anshau]]</f>
        <v>0</v>
      </c>
      <c r="AN5" s="72">
        <f>Tabela4[[#This Row],[Luciana Claudete Meirelles Correa]]</f>
        <v>0</v>
      </c>
      <c r="AO5" s="72">
        <f>Tabela4[[#This Row],[Marcio Jose Siqueira]]</f>
        <v>0</v>
      </c>
      <c r="AP5" s="72">
        <f>Tabela4[[#This Row],[Marcos Rogerio Kessler]]</f>
        <v>0</v>
      </c>
      <c r="AQ5" s="72">
        <f>SUM(Tabela4[[#This Row],[AABB - 01]:[AABB - 02]])</f>
        <v>0</v>
      </c>
      <c r="AR5" s="72">
        <f>SUM(Tabela4[[#This Row],[Wanda Burkard - 01]:[Wanda Burkard - 02]])</f>
        <v>0</v>
      </c>
      <c r="AS5" s="72">
        <f>Tabela4[[#This Row],[Silvio Robert Lemos Avila Me]]</f>
        <v>0</v>
      </c>
      <c r="AT5" s="72">
        <f>Tabela4[[#This Row],[Carmelo]]</f>
        <v>0</v>
      </c>
      <c r="AU5" s="72">
        <f>Tabela4[[#This Row],[Antonio Dal Forno]]</f>
        <v>0</v>
      </c>
      <c r="AV5" s="72">
        <f>Tabela4[[#This Row],[Marisane Paulus]]</f>
        <v>0</v>
      </c>
      <c r="AW5" s="72">
        <f>Tabela4[[#This Row],[Segatto Ceretta Ltda]]</f>
        <v>0</v>
      </c>
      <c r="AX5" s="72">
        <f>SUM(Tabela4[[#This Row],[APAE - 01]:[APAE - 02]])</f>
        <v>0</v>
      </c>
      <c r="AY5" s="72">
        <f>Tabela4[[#This Row],[Cássio Burin]]</f>
        <v>0</v>
      </c>
      <c r="AZ5" s="72">
        <f>Tabela4[[#This Row],[Patrick Kristoschek Da Silva]]</f>
        <v>0</v>
      </c>
      <c r="BA5" s="72">
        <f>Tabela4[[#This Row],[Silvio Robert Ávila - (Valmir)]]</f>
        <v>0</v>
      </c>
      <c r="BB5" s="72">
        <f>Tabela4[[#This Row],[Zederson Jose Della Flora]]</f>
        <v>0</v>
      </c>
      <c r="BC5" s="72">
        <f>Tabela4[[#This Row],[Carlos Walmir Larsão Rolim]]</f>
        <v>0</v>
      </c>
      <c r="BD5" s="72">
        <f>Tabela4[[#This Row],[Danieli Missio]]</f>
        <v>0</v>
      </c>
      <c r="BE5" s="72">
        <f>Tabela4[[#This Row],[José Vasconcellos]]</f>
        <v>0</v>
      </c>
      <c r="BF5" s="72">
        <f>Tabela4[[#This Row],[Linho Lev Alimentos]]</f>
        <v>0</v>
      </c>
      <c r="BG5" s="72">
        <f>Tabela4[[#This Row],[Ernani Czapla]]</f>
        <v>0</v>
      </c>
      <c r="BH5" s="72">
        <f>Tabela4[[#This Row],[Valesca Da Luz]]</f>
        <v>0</v>
      </c>
      <c r="BI5" s="72">
        <f>Tabela4[[#This Row],[Olavo Mildner]]</f>
        <v>0</v>
      </c>
      <c r="BJ5" s="72">
        <f>Tabela4[[#This Row],[Dilnei Rohled]]</f>
        <v>0</v>
      </c>
      <c r="BK5" s="72">
        <f>Tabela4[[#This Row],[Shaiana Signorini]]</f>
        <v>0</v>
      </c>
      <c r="BL5" s="72">
        <f>Tabela4[[#This Row],[Fonse Atacado]]</f>
        <v>0</v>
      </c>
      <c r="BM5" s="72">
        <f>Tabela4[[#This Row],[Comercial de Alimentos]]</f>
        <v>0</v>
      </c>
      <c r="BN5" s="72">
        <f>Tabela4[[#This Row],[Ivone Kasburg Serralheria]]</f>
        <v>0</v>
      </c>
      <c r="BO5" s="72">
        <f>Tabela4[[#This Row],[Mercado Ceretta]]</f>
        <v>0</v>
      </c>
      <c r="BP5" s="72">
        <f>Tabela4[[#This Row],[Antonio Carlos Dos Santos Pereira]]</f>
        <v>0</v>
      </c>
      <c r="BQ5" s="72">
        <f>Tabela4[[#This Row],[Volnei Lemos Avila - Me]]</f>
        <v>0</v>
      </c>
      <c r="BR5" s="72">
        <f>Tabela4[[#This Row],[Silvana Meneghini]]</f>
        <v>0</v>
      </c>
      <c r="BS5" s="72">
        <f>Tabela4[[#This Row],[Eficaz Engenharia Ltda]]</f>
        <v>0</v>
      </c>
      <c r="BT5" s="72">
        <f>SUM(Tabela4[[#Headers],[Tania Regina Schmaltz - 01]:[Tania Regina Schmaltz - 02]])</f>
        <v>0</v>
      </c>
      <c r="BU5" s="72">
        <f>Tabela4[[#This Row],[Camila Ceretta Segatto]]</f>
        <v>0</v>
      </c>
      <c r="BV5" s="72">
        <f>Tabela4[[#This Row],[Vagner Ribas Dos Santos]]</f>
        <v>0</v>
      </c>
      <c r="BW5" s="72">
        <f>Tabela4[[#This Row],[Claudio Alfredo Konrat]]</f>
        <v>0</v>
      </c>
    </row>
    <row r="6" spans="1:75" x14ac:dyDescent="0.25">
      <c r="A6" s="70">
        <v>43221</v>
      </c>
      <c r="B6" s="72">
        <f>SUM(Tabela4[[#This Row],[Marlon Colovini - 01]:[Marlon Colovini - 02]])</f>
        <v>103.36</v>
      </c>
      <c r="C6" s="72">
        <f>Tabela4[[#This Row],[Mara Barichello]]</f>
        <v>64.36</v>
      </c>
      <c r="D6" s="72">
        <f>Tabela4[[#This Row],[Jandira Dutra]]</f>
        <v>106.9</v>
      </c>
      <c r="E6" s="72">
        <f>Tabela4[[#This Row],[Luiz Fernando Kruger]]</f>
        <v>127</v>
      </c>
      <c r="F6" s="72">
        <f>SUM(Tabela4[[#This Row],[Paulo Bohn - 01]:[Paulo Bohn - 04]])</f>
        <v>329.14</v>
      </c>
      <c r="G6" s="72">
        <f>Tabela4[[#This Row],[Analia (Clodoaldo Entre-Ijuis)]]</f>
        <v>44.64</v>
      </c>
      <c r="H6" s="72">
        <f>Tabela4[[#This Row],[Biroh]]</f>
        <v>459.37</v>
      </c>
      <c r="I6" s="72">
        <f>Tabela4[[#This Row],[Gelson Posser]]</f>
        <v>0</v>
      </c>
      <c r="J6" s="72">
        <f>Tabela4[[#This Row],[Supermercado Caryone]]</f>
        <v>0</v>
      </c>
      <c r="K6" s="72">
        <f>Tabela4[[#This Row],[Ernani Minetto]]</f>
        <v>0</v>
      </c>
      <c r="L6" s="72">
        <f>Tabela4[[#This Row],[Jair Moscon]]</f>
        <v>0</v>
      </c>
      <c r="M6" s="72">
        <f>SUM(Tabela4[[#This Row],[Fabio Milke - 01]:[Fabio Milke - 02]])</f>
        <v>0</v>
      </c>
      <c r="N6" s="72">
        <f>Tabela4[[#This Row],[Piaia]]</f>
        <v>0</v>
      </c>
      <c r="O6" s="72">
        <f>Tabela4[[#This Row],[Osmar Veronese]]</f>
        <v>0</v>
      </c>
      <c r="P6" s="72">
        <f>Tabela4[[#This Row],[ José Luiz Moraes]]</f>
        <v>0</v>
      </c>
      <c r="Q6" s="72">
        <f>Tabela4[[#This Row],[Supermercado Cripy]]</f>
        <v>0</v>
      </c>
      <c r="R6" s="72">
        <f>Tabela4[[#This Row],[Gláucio Lipski (Giruá)]]</f>
        <v>0</v>
      </c>
      <c r="S6" s="72">
        <f>Tabela4[[#This Row],[Contri]]</f>
        <v>0</v>
      </c>
      <c r="T6" s="72">
        <f>Tabela4[[#This Row],[Cleci Rubi]]</f>
        <v>0</v>
      </c>
      <c r="U6" s="72">
        <f>Tabela4[[#This Row],[Betine Rost]]</f>
        <v>0</v>
      </c>
      <c r="V6" s="72">
        <f>SUM(Tabela4[[#This Row],[Robinson Fetter - 01]:[Robinson Fetter - 03]])</f>
        <v>0</v>
      </c>
      <c r="W6" s="72">
        <f>Tabela4[[#This Row],[Fabio De Moura]]</f>
        <v>0</v>
      </c>
      <c r="X6" s="72">
        <f>Tabela4[[#This Row],[Rochele Santos Moraes]]</f>
        <v>0</v>
      </c>
      <c r="Y6" s="72">
        <f>Tabela4[[#This Row],[Auto Posto Kairã]]</f>
        <v>0</v>
      </c>
      <c r="Z6" s="72">
        <f>Tabela4[[#This Row],[Erno Schiefelbain]]</f>
        <v>0</v>
      </c>
      <c r="AA6" s="72">
        <f>Tabela4[[#This Row],[José Paulo Backes]]</f>
        <v>0</v>
      </c>
      <c r="AB6" s="72">
        <f>Tabela4[[#This Row],[Gelso Tofolo]]</f>
        <v>0</v>
      </c>
      <c r="AC6" s="72">
        <f>Tabela4[[#This Row],[Diamantino]]</f>
        <v>0</v>
      </c>
      <c r="AD6" s="72">
        <f>Tabela4[[#This Row],[Mercado Bueno]]</f>
        <v>0</v>
      </c>
      <c r="AE6" s="72">
        <f>Tabela4[[#This Row],[Daniela Donadel Massalai]]</f>
        <v>0</v>
      </c>
      <c r="AF6" s="72">
        <f>Tabela4[[#This Row],[Comercio De Moto Peças Irmãos Guarani Ltda]]</f>
        <v>0</v>
      </c>
      <c r="AG6" s="72">
        <f>Tabela4[[#This Row],[Mauricio Luis Lunardi]]</f>
        <v>0</v>
      </c>
      <c r="AH6" s="72">
        <f>Tabela4[[#This Row],[Rosa Maria Restle Radunz]]</f>
        <v>0</v>
      </c>
      <c r="AI6" s="72">
        <f>Tabela4[[#This Row],[Ivo Amaral De Oliveira]]</f>
        <v>0</v>
      </c>
      <c r="AJ6" s="72">
        <f>Tabela4[[#This Row],[Silvio Robert Lemos Avila]]</f>
        <v>0</v>
      </c>
      <c r="AK6" s="72">
        <f>Tabela4[[#This Row],[Eldo Rost]]</f>
        <v>0</v>
      </c>
      <c r="AL6" s="72">
        <f>SUM(Tabela4[[#This Row],[Padaria Avenida - 01]:[Padaria Avenida - 02]])</f>
        <v>0</v>
      </c>
      <c r="AM6" s="72">
        <f>Tabela4[[#This Row],[Cristiano Anshau]]</f>
        <v>0</v>
      </c>
      <c r="AN6" s="72">
        <f>Tabela4[[#This Row],[Luciana Claudete Meirelles Correa]]</f>
        <v>0</v>
      </c>
      <c r="AO6" s="72">
        <f>Tabela4[[#This Row],[Marcio Jose Siqueira]]</f>
        <v>0</v>
      </c>
      <c r="AP6" s="72">
        <f>Tabela4[[#This Row],[Marcos Rogerio Kessler]]</f>
        <v>0</v>
      </c>
      <c r="AQ6" s="72">
        <f>SUM(Tabela4[[#This Row],[AABB - 01]:[AABB - 02]])</f>
        <v>0</v>
      </c>
      <c r="AR6" s="72">
        <f>SUM(Tabela4[[#This Row],[Wanda Burkard - 01]:[Wanda Burkard - 02]])</f>
        <v>0</v>
      </c>
      <c r="AS6" s="72">
        <f>Tabela4[[#This Row],[Silvio Robert Lemos Avila Me]]</f>
        <v>0</v>
      </c>
      <c r="AT6" s="72">
        <f>Tabela4[[#This Row],[Carmelo]]</f>
        <v>0</v>
      </c>
      <c r="AU6" s="72">
        <f>Tabela4[[#This Row],[Antonio Dal Forno]]</f>
        <v>0</v>
      </c>
      <c r="AV6" s="72">
        <f>Tabela4[[#This Row],[Marisane Paulus]]</f>
        <v>0</v>
      </c>
      <c r="AW6" s="72">
        <f>Tabela4[[#This Row],[Segatto Ceretta Ltda]]</f>
        <v>0</v>
      </c>
      <c r="AX6" s="72">
        <f>SUM(Tabela4[[#This Row],[APAE - 01]:[APAE - 02]])</f>
        <v>0</v>
      </c>
      <c r="AY6" s="72">
        <f>Tabela4[[#This Row],[Cássio Burin]]</f>
        <v>0</v>
      </c>
      <c r="AZ6" s="72">
        <f>Tabela4[[#This Row],[Patrick Kristoschek Da Silva]]</f>
        <v>0</v>
      </c>
      <c r="BA6" s="72">
        <f>Tabela4[[#This Row],[Silvio Robert Ávila - (Valmir)]]</f>
        <v>0</v>
      </c>
      <c r="BB6" s="72">
        <f>Tabela4[[#This Row],[Zederson Jose Della Flora]]</f>
        <v>0</v>
      </c>
      <c r="BC6" s="72">
        <f>Tabela4[[#This Row],[Carlos Walmir Larsão Rolim]]</f>
        <v>0</v>
      </c>
      <c r="BD6" s="72">
        <f>Tabela4[[#This Row],[Danieli Missio]]</f>
        <v>0</v>
      </c>
      <c r="BE6" s="72">
        <f>Tabela4[[#This Row],[José Vasconcellos]]</f>
        <v>0</v>
      </c>
      <c r="BF6" s="72">
        <f>Tabela4[[#This Row],[Linho Lev Alimentos]]</f>
        <v>0</v>
      </c>
      <c r="BG6" s="72">
        <f>Tabela4[[#This Row],[Ernani Czapla]]</f>
        <v>0</v>
      </c>
      <c r="BH6" s="72">
        <f>Tabela4[[#This Row],[Valesca Da Luz]]</f>
        <v>0</v>
      </c>
      <c r="BI6" s="72">
        <f>Tabela4[[#This Row],[Olavo Mildner]]</f>
        <v>0</v>
      </c>
      <c r="BJ6" s="72">
        <f>Tabela4[[#This Row],[Dilnei Rohled]]</f>
        <v>0</v>
      </c>
      <c r="BK6" s="72">
        <f>Tabela4[[#This Row],[Shaiana Signorini]]</f>
        <v>0</v>
      </c>
      <c r="BL6" s="72">
        <f>Tabela4[[#This Row],[Fonse Atacado]]</f>
        <v>0</v>
      </c>
      <c r="BM6" s="72">
        <f>Tabela4[[#This Row],[Comercial de Alimentos]]</f>
        <v>0</v>
      </c>
      <c r="BN6" s="72">
        <f>Tabela4[[#This Row],[Ivone Kasburg Serralheria]]</f>
        <v>0</v>
      </c>
      <c r="BO6" s="72">
        <f>Tabela4[[#This Row],[Mercado Ceretta]]</f>
        <v>0</v>
      </c>
      <c r="BP6" s="72">
        <f>Tabela4[[#This Row],[Antonio Carlos Dos Santos Pereira]]</f>
        <v>0</v>
      </c>
      <c r="BQ6" s="72">
        <f>Tabela4[[#This Row],[Volnei Lemos Avila - Me]]</f>
        <v>0</v>
      </c>
      <c r="BR6" s="72">
        <f>Tabela4[[#This Row],[Silvana Meneghini]]</f>
        <v>0</v>
      </c>
      <c r="BS6" s="72">
        <f>Tabela4[[#This Row],[Eficaz Engenharia Ltda]]</f>
        <v>0</v>
      </c>
      <c r="BT6" s="72">
        <f>SUM(Tabela4[[#Headers],[Tania Regina Schmaltz - 01]:[Tania Regina Schmaltz - 02]])</f>
        <v>0</v>
      </c>
      <c r="BU6" s="72">
        <f>Tabela4[[#This Row],[Camila Ceretta Segatto]]</f>
        <v>0</v>
      </c>
      <c r="BV6" s="72">
        <f>Tabela4[[#This Row],[Vagner Ribas Dos Santos]]</f>
        <v>0</v>
      </c>
      <c r="BW6" s="72">
        <f>Tabela4[[#This Row],[Claudio Alfredo Konrat]]</f>
        <v>0</v>
      </c>
    </row>
    <row r="7" spans="1:75" x14ac:dyDescent="0.25">
      <c r="A7" s="70">
        <v>43252</v>
      </c>
      <c r="B7" s="72">
        <f>SUM(Tabela4[[#This Row],[Marlon Colovini - 01]:[Marlon Colovini - 02]])</f>
        <v>147.27000000000001</v>
      </c>
      <c r="C7" s="72">
        <f>Tabela4[[#This Row],[Mara Barichello]]</f>
        <v>68.3</v>
      </c>
      <c r="D7" s="72">
        <f>Tabela4[[#This Row],[Jandira Dutra]]</f>
        <v>97.41</v>
      </c>
      <c r="E7" s="72">
        <f>Tabela4[[#This Row],[Luiz Fernando Kruger]]</f>
        <v>146.86000000000001</v>
      </c>
      <c r="F7" s="72">
        <f>SUM(Tabela4[[#This Row],[Paulo Bohn - 01]:[Paulo Bohn - 04]])</f>
        <v>297.89999999999998</v>
      </c>
      <c r="G7" s="72">
        <f>Tabela4[[#This Row],[Analia (Clodoaldo Entre-Ijuis)]]</f>
        <v>0</v>
      </c>
      <c r="H7" s="72">
        <f>Tabela4[[#This Row],[Biroh]]</f>
        <v>752.53</v>
      </c>
      <c r="I7" s="72">
        <f>Tabela4[[#This Row],[Gelson Posser]]</f>
        <v>0</v>
      </c>
      <c r="J7" s="72">
        <f>Tabela4[[#This Row],[Supermercado Caryone]]</f>
        <v>0</v>
      </c>
      <c r="K7" s="72">
        <f>Tabela4[[#This Row],[Ernani Minetto]]</f>
        <v>0</v>
      </c>
      <c r="L7" s="72">
        <f>Tabela4[[#This Row],[Jair Moscon]]</f>
        <v>0</v>
      </c>
      <c r="M7" s="72">
        <f>SUM(Tabela4[[#This Row],[Fabio Milke - 01]:[Fabio Milke - 02]])</f>
        <v>0</v>
      </c>
      <c r="N7" s="72">
        <f>Tabela4[[#This Row],[Piaia]]</f>
        <v>0</v>
      </c>
      <c r="O7" s="72">
        <f>Tabela4[[#This Row],[Osmar Veronese]]</f>
        <v>0</v>
      </c>
      <c r="P7" s="72">
        <f>Tabela4[[#This Row],[ José Luiz Moraes]]</f>
        <v>0</v>
      </c>
      <c r="Q7" s="72">
        <f>Tabela4[[#This Row],[Supermercado Cripy]]</f>
        <v>0</v>
      </c>
      <c r="R7" s="72">
        <f>Tabela4[[#This Row],[Gláucio Lipski (Giruá)]]</f>
        <v>0</v>
      </c>
      <c r="S7" s="72">
        <f>Tabela4[[#This Row],[Contri]]</f>
        <v>0</v>
      </c>
      <c r="T7" s="72">
        <f>Tabela4[[#This Row],[Cleci Rubi]]</f>
        <v>0</v>
      </c>
      <c r="U7" s="72">
        <f>Tabela4[[#This Row],[Betine Rost]]</f>
        <v>0</v>
      </c>
      <c r="V7" s="72">
        <f>SUM(Tabela4[[#This Row],[Robinson Fetter - 01]:[Robinson Fetter - 03]])</f>
        <v>0</v>
      </c>
      <c r="W7" s="72">
        <f>Tabela4[[#This Row],[Fabio De Moura]]</f>
        <v>0</v>
      </c>
      <c r="X7" s="72">
        <f>Tabela4[[#This Row],[Rochele Santos Moraes]]</f>
        <v>0</v>
      </c>
      <c r="Y7" s="72">
        <f>Tabela4[[#This Row],[Auto Posto Kairã]]</f>
        <v>0</v>
      </c>
      <c r="Z7" s="72">
        <f>Tabela4[[#This Row],[Erno Schiefelbain]]</f>
        <v>0</v>
      </c>
      <c r="AA7" s="72">
        <f>Tabela4[[#This Row],[José Paulo Backes]]</f>
        <v>0</v>
      </c>
      <c r="AB7" s="72">
        <f>Tabela4[[#This Row],[Gelso Tofolo]]</f>
        <v>0</v>
      </c>
      <c r="AC7" s="72">
        <f>Tabela4[[#This Row],[Diamantino]]</f>
        <v>0</v>
      </c>
      <c r="AD7" s="72">
        <f>Tabela4[[#This Row],[Mercado Bueno]]</f>
        <v>0</v>
      </c>
      <c r="AE7" s="72">
        <f>Tabela4[[#This Row],[Daniela Donadel Massalai]]</f>
        <v>0</v>
      </c>
      <c r="AF7" s="72">
        <f>Tabela4[[#This Row],[Comercio De Moto Peças Irmãos Guarani Ltda]]</f>
        <v>0</v>
      </c>
      <c r="AG7" s="72">
        <f>Tabela4[[#This Row],[Mauricio Luis Lunardi]]</f>
        <v>0</v>
      </c>
      <c r="AH7" s="72">
        <f>Tabela4[[#This Row],[Rosa Maria Restle Radunz]]</f>
        <v>0</v>
      </c>
      <c r="AI7" s="72">
        <f>Tabela4[[#This Row],[Ivo Amaral De Oliveira]]</f>
        <v>0</v>
      </c>
      <c r="AJ7" s="72">
        <f>Tabela4[[#This Row],[Silvio Robert Lemos Avila]]</f>
        <v>0</v>
      </c>
      <c r="AK7" s="72">
        <f>Tabela4[[#This Row],[Eldo Rost]]</f>
        <v>0</v>
      </c>
      <c r="AL7" s="72">
        <f>SUM(Tabela4[[#This Row],[Padaria Avenida - 01]:[Padaria Avenida - 02]])</f>
        <v>0</v>
      </c>
      <c r="AM7" s="72">
        <f>Tabela4[[#This Row],[Cristiano Anshau]]</f>
        <v>0</v>
      </c>
      <c r="AN7" s="72">
        <f>Tabela4[[#This Row],[Luciana Claudete Meirelles Correa]]</f>
        <v>0</v>
      </c>
      <c r="AO7" s="72">
        <f>Tabela4[[#This Row],[Marcio Jose Siqueira]]</f>
        <v>0</v>
      </c>
      <c r="AP7" s="72">
        <f>Tabela4[[#This Row],[Marcos Rogerio Kessler]]</f>
        <v>0</v>
      </c>
      <c r="AQ7" s="72">
        <f>SUM(Tabela4[[#This Row],[AABB - 01]:[AABB - 02]])</f>
        <v>0</v>
      </c>
      <c r="AR7" s="72">
        <f>SUM(Tabela4[[#This Row],[Wanda Burkard - 01]:[Wanda Burkard - 02]])</f>
        <v>0</v>
      </c>
      <c r="AS7" s="72">
        <f>Tabela4[[#This Row],[Silvio Robert Lemos Avila Me]]</f>
        <v>0</v>
      </c>
      <c r="AT7" s="72">
        <f>Tabela4[[#This Row],[Carmelo]]</f>
        <v>0</v>
      </c>
      <c r="AU7" s="72">
        <f>Tabela4[[#This Row],[Antonio Dal Forno]]</f>
        <v>0</v>
      </c>
      <c r="AV7" s="72">
        <f>Tabela4[[#This Row],[Marisane Paulus]]</f>
        <v>0</v>
      </c>
      <c r="AW7" s="72">
        <f>Tabela4[[#This Row],[Segatto Ceretta Ltda]]</f>
        <v>0</v>
      </c>
      <c r="AX7" s="72">
        <f>SUM(Tabela4[[#This Row],[APAE - 01]:[APAE - 02]])</f>
        <v>0</v>
      </c>
      <c r="AY7" s="72">
        <f>Tabela4[[#This Row],[Cássio Burin]]</f>
        <v>0</v>
      </c>
      <c r="AZ7" s="72">
        <f>Tabela4[[#This Row],[Patrick Kristoschek Da Silva]]</f>
        <v>0</v>
      </c>
      <c r="BA7" s="72">
        <f>Tabela4[[#This Row],[Silvio Robert Ávila - (Valmir)]]</f>
        <v>0</v>
      </c>
      <c r="BB7" s="72">
        <f>Tabela4[[#This Row],[Zederson Jose Della Flora]]</f>
        <v>0</v>
      </c>
      <c r="BC7" s="72">
        <f>Tabela4[[#This Row],[Carlos Walmir Larsão Rolim]]</f>
        <v>0</v>
      </c>
      <c r="BD7" s="72">
        <f>Tabela4[[#This Row],[Danieli Missio]]</f>
        <v>0</v>
      </c>
      <c r="BE7" s="72">
        <f>Tabela4[[#This Row],[José Vasconcellos]]</f>
        <v>0</v>
      </c>
      <c r="BF7" s="72">
        <f>Tabela4[[#This Row],[Linho Lev Alimentos]]</f>
        <v>0</v>
      </c>
      <c r="BG7" s="72">
        <f>Tabela4[[#This Row],[Ernani Czapla]]</f>
        <v>0</v>
      </c>
      <c r="BH7" s="72">
        <f>Tabela4[[#This Row],[Valesca Da Luz]]</f>
        <v>0</v>
      </c>
      <c r="BI7" s="72">
        <f>Tabela4[[#This Row],[Olavo Mildner]]</f>
        <v>0</v>
      </c>
      <c r="BJ7" s="72">
        <f>Tabela4[[#This Row],[Dilnei Rohled]]</f>
        <v>0</v>
      </c>
      <c r="BK7" s="72">
        <f>Tabela4[[#This Row],[Shaiana Signorini]]</f>
        <v>0</v>
      </c>
      <c r="BL7" s="72">
        <f>Tabela4[[#This Row],[Fonse Atacado]]</f>
        <v>0</v>
      </c>
      <c r="BM7" s="72">
        <f>Tabela4[[#This Row],[Comercial de Alimentos]]</f>
        <v>0</v>
      </c>
      <c r="BN7" s="72">
        <f>Tabela4[[#This Row],[Ivone Kasburg Serralheria]]</f>
        <v>0</v>
      </c>
      <c r="BO7" s="72">
        <f>Tabela4[[#This Row],[Mercado Ceretta]]</f>
        <v>0</v>
      </c>
      <c r="BP7" s="72">
        <f>Tabela4[[#This Row],[Antonio Carlos Dos Santos Pereira]]</f>
        <v>0</v>
      </c>
      <c r="BQ7" s="72">
        <f>Tabela4[[#This Row],[Volnei Lemos Avila - Me]]</f>
        <v>0</v>
      </c>
      <c r="BR7" s="72">
        <f>Tabela4[[#This Row],[Silvana Meneghini]]</f>
        <v>0</v>
      </c>
      <c r="BS7" s="72">
        <f>Tabela4[[#This Row],[Eficaz Engenharia Ltda]]</f>
        <v>0</v>
      </c>
      <c r="BT7" s="72">
        <f>SUM(Tabela4[[#Headers],[Tania Regina Schmaltz - 01]:[Tania Regina Schmaltz - 02]])</f>
        <v>0</v>
      </c>
      <c r="BU7" s="72">
        <f>Tabela4[[#This Row],[Camila Ceretta Segatto]]</f>
        <v>0</v>
      </c>
      <c r="BV7" s="72">
        <f>Tabela4[[#This Row],[Vagner Ribas Dos Santos]]</f>
        <v>0</v>
      </c>
      <c r="BW7" s="72">
        <f>Tabela4[[#This Row],[Claudio Alfredo Konrat]]</f>
        <v>0</v>
      </c>
    </row>
    <row r="8" spans="1:75" x14ac:dyDescent="0.25">
      <c r="A8" s="70">
        <v>43282</v>
      </c>
      <c r="B8" s="72">
        <f>SUM(Tabela4[[#This Row],[Marlon Colovini - 01]:[Marlon Colovini - 02]])</f>
        <v>302.08999999999997</v>
      </c>
      <c r="C8" s="72">
        <f>Tabela4[[#This Row],[Mara Barichello]]</f>
        <v>78.89</v>
      </c>
      <c r="D8" s="72">
        <f>Tabela4[[#This Row],[Jandira Dutra]]</f>
        <v>91.23</v>
      </c>
      <c r="E8" s="72">
        <f>Tabela4[[#This Row],[Luiz Fernando Kruger]]</f>
        <v>272.91000000000003</v>
      </c>
      <c r="F8" s="72">
        <f>SUM(Tabela4[[#This Row],[Paulo Bohn - 01]:[Paulo Bohn - 04]])</f>
        <v>407.21999999999997</v>
      </c>
      <c r="G8" s="72">
        <f>Tabela4[[#This Row],[Analia (Clodoaldo Entre-Ijuis)]]</f>
        <v>88.04</v>
      </c>
      <c r="H8" s="72">
        <f>Tabela4[[#This Row],[Biroh]]</f>
        <v>752.53</v>
      </c>
      <c r="I8" s="72">
        <f>Tabela4[[#This Row],[Gelson Posser]]</f>
        <v>213.12</v>
      </c>
      <c r="J8" s="72">
        <f>Tabela4[[#This Row],[Supermercado Caryone]]</f>
        <v>1695.57</v>
      </c>
      <c r="K8" s="72">
        <f>Tabela4[[#This Row],[Ernani Minetto]]</f>
        <v>773.14</v>
      </c>
      <c r="L8" s="72">
        <f>Tabela4[[#This Row],[Jair Moscon]]</f>
        <v>70.17</v>
      </c>
      <c r="M8" s="72">
        <f>SUM(Tabela4[[#This Row],[Fabio Milke - 01]:[Fabio Milke - 02]])</f>
        <v>732.92000000000007</v>
      </c>
      <c r="N8" s="72">
        <f>Tabela4[[#This Row],[Piaia]]</f>
        <v>0</v>
      </c>
      <c r="O8" s="72">
        <f>Tabela4[[#This Row],[Osmar Veronese]]</f>
        <v>0</v>
      </c>
      <c r="P8" s="72">
        <f>Tabela4[[#This Row],[ José Luiz Moraes]]</f>
        <v>0</v>
      </c>
      <c r="Q8" s="72">
        <f>Tabela4[[#This Row],[Supermercado Cripy]]</f>
        <v>1695.57</v>
      </c>
      <c r="R8" s="72">
        <f>Tabela4[[#This Row],[Gláucio Lipski (Giruá)]]</f>
        <v>0</v>
      </c>
      <c r="S8" s="72">
        <f>Tabela4[[#This Row],[Contri]]</f>
        <v>0</v>
      </c>
      <c r="T8" s="72">
        <f>Tabela4[[#This Row],[Cleci Rubi]]</f>
        <v>0</v>
      </c>
      <c r="U8" s="72">
        <f>Tabela4[[#This Row],[Betine Rost]]</f>
        <v>0</v>
      </c>
      <c r="V8" s="72">
        <f>SUM(Tabela4[[#This Row],[Robinson Fetter - 01]:[Robinson Fetter - 03]])</f>
        <v>0</v>
      </c>
      <c r="W8" s="72">
        <f>Tabela4[[#This Row],[Fabio De Moura]]</f>
        <v>0</v>
      </c>
      <c r="X8" s="72">
        <f>Tabela4[[#This Row],[Rochele Santos Moraes]]</f>
        <v>0</v>
      </c>
      <c r="Y8" s="72">
        <f>Tabela4[[#This Row],[Auto Posto Kairã]]</f>
        <v>0</v>
      </c>
      <c r="Z8" s="72">
        <f>Tabela4[[#This Row],[Erno Schiefelbain]]</f>
        <v>0</v>
      </c>
      <c r="AA8" s="72">
        <f>Tabela4[[#This Row],[José Paulo Backes]]</f>
        <v>0</v>
      </c>
      <c r="AB8" s="72">
        <f>Tabela4[[#This Row],[Gelso Tofolo]]</f>
        <v>0</v>
      </c>
      <c r="AC8" s="72">
        <f>Tabela4[[#This Row],[Diamantino]]</f>
        <v>0</v>
      </c>
      <c r="AD8" s="72">
        <f>Tabela4[[#This Row],[Mercado Bueno]]</f>
        <v>0</v>
      </c>
      <c r="AE8" s="72">
        <f>Tabela4[[#This Row],[Daniela Donadel Massalai]]</f>
        <v>0</v>
      </c>
      <c r="AF8" s="72">
        <f>Tabela4[[#This Row],[Comercio De Moto Peças Irmãos Guarani Ltda]]</f>
        <v>0</v>
      </c>
      <c r="AG8" s="72">
        <f>Tabela4[[#This Row],[Mauricio Luis Lunardi]]</f>
        <v>0</v>
      </c>
      <c r="AH8" s="72">
        <f>Tabela4[[#This Row],[Rosa Maria Restle Radunz]]</f>
        <v>0</v>
      </c>
      <c r="AI8" s="72">
        <f>Tabela4[[#This Row],[Ivo Amaral De Oliveira]]</f>
        <v>0</v>
      </c>
      <c r="AJ8" s="72">
        <f>Tabela4[[#This Row],[Silvio Robert Lemos Avila]]</f>
        <v>0</v>
      </c>
      <c r="AK8" s="72">
        <f>Tabela4[[#This Row],[Eldo Rost]]</f>
        <v>0</v>
      </c>
      <c r="AL8" s="72">
        <f>SUM(Tabela4[[#This Row],[Padaria Avenida - 01]:[Padaria Avenida - 02]])</f>
        <v>0</v>
      </c>
      <c r="AM8" s="72">
        <f>Tabela4[[#This Row],[Cristiano Anshau]]</f>
        <v>0</v>
      </c>
      <c r="AN8" s="72">
        <f>Tabela4[[#This Row],[Luciana Claudete Meirelles Correa]]</f>
        <v>0</v>
      </c>
      <c r="AO8" s="72">
        <f>Tabela4[[#This Row],[Marcio Jose Siqueira]]</f>
        <v>0</v>
      </c>
      <c r="AP8" s="72">
        <f>Tabela4[[#This Row],[Marcos Rogerio Kessler]]</f>
        <v>0</v>
      </c>
      <c r="AQ8" s="72">
        <f>SUM(Tabela4[[#This Row],[AABB - 01]:[AABB - 02]])</f>
        <v>0</v>
      </c>
      <c r="AR8" s="72">
        <f>SUM(Tabela4[[#This Row],[Wanda Burkard - 01]:[Wanda Burkard - 02]])</f>
        <v>0</v>
      </c>
      <c r="AS8" s="72">
        <f>Tabela4[[#This Row],[Silvio Robert Lemos Avila Me]]</f>
        <v>0</v>
      </c>
      <c r="AT8" s="72">
        <f>Tabela4[[#This Row],[Carmelo]]</f>
        <v>0</v>
      </c>
      <c r="AU8" s="72">
        <f>Tabela4[[#This Row],[Antonio Dal Forno]]</f>
        <v>0</v>
      </c>
      <c r="AV8" s="72">
        <f>Tabela4[[#This Row],[Marisane Paulus]]</f>
        <v>0</v>
      </c>
      <c r="AW8" s="72">
        <f>Tabela4[[#This Row],[Segatto Ceretta Ltda]]</f>
        <v>0</v>
      </c>
      <c r="AX8" s="72">
        <f>SUM(Tabela4[[#This Row],[APAE - 01]:[APAE - 02]])</f>
        <v>0</v>
      </c>
      <c r="AY8" s="72">
        <f>Tabela4[[#This Row],[Cássio Burin]]</f>
        <v>0</v>
      </c>
      <c r="AZ8" s="72">
        <f>Tabela4[[#This Row],[Patrick Kristoschek Da Silva]]</f>
        <v>0</v>
      </c>
      <c r="BA8" s="72">
        <f>Tabela4[[#This Row],[Silvio Robert Ávila - (Valmir)]]</f>
        <v>0</v>
      </c>
      <c r="BB8" s="72">
        <f>Tabela4[[#This Row],[Zederson Jose Della Flora]]</f>
        <v>0</v>
      </c>
      <c r="BC8" s="72">
        <f>Tabela4[[#This Row],[Carlos Walmir Larsão Rolim]]</f>
        <v>0</v>
      </c>
      <c r="BD8" s="72">
        <f>Tabela4[[#This Row],[Danieli Missio]]</f>
        <v>0</v>
      </c>
      <c r="BE8" s="72">
        <f>Tabela4[[#This Row],[José Vasconcellos]]</f>
        <v>0</v>
      </c>
      <c r="BF8" s="72">
        <f>Tabela4[[#This Row],[Linho Lev Alimentos]]</f>
        <v>0</v>
      </c>
      <c r="BG8" s="72">
        <f>Tabela4[[#This Row],[Ernani Czapla]]</f>
        <v>0</v>
      </c>
      <c r="BH8" s="72">
        <f>Tabela4[[#This Row],[Valesca Da Luz]]</f>
        <v>0</v>
      </c>
      <c r="BI8" s="72">
        <f>Tabela4[[#This Row],[Olavo Mildner]]</f>
        <v>0</v>
      </c>
      <c r="BJ8" s="72">
        <f>Tabela4[[#This Row],[Dilnei Rohled]]</f>
        <v>0</v>
      </c>
      <c r="BK8" s="72">
        <f>Tabela4[[#This Row],[Shaiana Signorini]]</f>
        <v>0</v>
      </c>
      <c r="BL8" s="72">
        <f>Tabela4[[#This Row],[Fonse Atacado]]</f>
        <v>0</v>
      </c>
      <c r="BM8" s="72">
        <f>Tabela4[[#This Row],[Comercial de Alimentos]]</f>
        <v>0</v>
      </c>
      <c r="BN8" s="72">
        <f>Tabela4[[#This Row],[Ivone Kasburg Serralheria]]</f>
        <v>0</v>
      </c>
      <c r="BO8" s="72">
        <f>Tabela4[[#This Row],[Mercado Ceretta]]</f>
        <v>0</v>
      </c>
      <c r="BP8" s="72">
        <f>Tabela4[[#This Row],[Antonio Carlos Dos Santos Pereira]]</f>
        <v>0</v>
      </c>
      <c r="BQ8" s="72">
        <f>Tabela4[[#This Row],[Volnei Lemos Avila - Me]]</f>
        <v>0</v>
      </c>
      <c r="BR8" s="72">
        <f>Tabela4[[#This Row],[Silvana Meneghini]]</f>
        <v>0</v>
      </c>
      <c r="BS8" s="72">
        <f>Tabela4[[#This Row],[Eficaz Engenharia Ltda]]</f>
        <v>0</v>
      </c>
      <c r="BT8" s="72">
        <f>SUM(Tabela4[[#Headers],[Tania Regina Schmaltz - 01]:[Tania Regina Schmaltz - 02]])</f>
        <v>0</v>
      </c>
      <c r="BU8" s="72">
        <f>Tabela4[[#This Row],[Camila Ceretta Segatto]]</f>
        <v>0</v>
      </c>
      <c r="BV8" s="72">
        <f>Tabela4[[#This Row],[Vagner Ribas Dos Santos]]</f>
        <v>0</v>
      </c>
      <c r="BW8" s="72">
        <f>Tabela4[[#This Row],[Claudio Alfredo Konrat]]</f>
        <v>0</v>
      </c>
    </row>
    <row r="9" spans="1:75" x14ac:dyDescent="0.25">
      <c r="A9" s="70">
        <v>43313</v>
      </c>
      <c r="B9" s="72">
        <f>SUM(Tabela4[[#This Row],[Marlon Colovini - 01]:[Marlon Colovini - 02]])</f>
        <v>179.55</v>
      </c>
      <c r="C9" s="72">
        <f>Tabela4[[#This Row],[Mara Barichello]]</f>
        <v>52.21</v>
      </c>
      <c r="D9" s="72">
        <f>Tabela4[[#This Row],[Jandira Dutra]]</f>
        <v>104.33</v>
      </c>
      <c r="E9" s="72">
        <f>Tabela4[[#This Row],[Luiz Fernando Kruger]]</f>
        <v>153.49</v>
      </c>
      <c r="F9" s="72">
        <f>SUM(Tabela4[[#This Row],[Paulo Bohn - 01]:[Paulo Bohn - 04]])</f>
        <v>322.61</v>
      </c>
      <c r="G9" s="72">
        <f>Tabela4[[#This Row],[Analia (Clodoaldo Entre-Ijuis)]]</f>
        <v>49.96</v>
      </c>
      <c r="H9" s="72">
        <f>Tabela4[[#This Row],[Biroh]]</f>
        <v>802.1</v>
      </c>
      <c r="I9" s="72">
        <f>Tabela4[[#This Row],[Gelson Posser]]</f>
        <v>131.11000000000001</v>
      </c>
      <c r="J9" s="72">
        <f>Tabela4[[#This Row],[Supermercado Caryone]]</f>
        <v>1184.04</v>
      </c>
      <c r="K9" s="72">
        <f>Tabela4[[#This Row],[Ernani Minetto]]</f>
        <v>591.35</v>
      </c>
      <c r="L9" s="72">
        <f>Tabela4[[#This Row],[Jair Moscon]]</f>
        <v>72.290000000000006</v>
      </c>
      <c r="M9" s="72">
        <f>SUM(Tabela4[[#This Row],[Fabio Milke - 01]:[Fabio Milke - 02]])</f>
        <v>601.46</v>
      </c>
      <c r="N9" s="72">
        <f>Tabela4[[#This Row],[Piaia]]</f>
        <v>689.93</v>
      </c>
      <c r="O9" s="72">
        <f>Tabela4[[#This Row],[Osmar Veronese]]</f>
        <v>0</v>
      </c>
      <c r="P9" s="72">
        <f>Tabela4[[#This Row],[ José Luiz Moraes]]</f>
        <v>0</v>
      </c>
      <c r="Q9" s="72">
        <f>Tabela4[[#This Row],[Supermercado Cripy]]</f>
        <v>1184.04</v>
      </c>
      <c r="R9" s="72">
        <f>Tabela4[[#This Row],[Gláucio Lipski (Giruá)]]</f>
        <v>0</v>
      </c>
      <c r="S9" s="72">
        <f>Tabela4[[#This Row],[Contri]]</f>
        <v>2468.12</v>
      </c>
      <c r="T9" s="72">
        <f>Tabela4[[#This Row],[Cleci Rubi]]</f>
        <v>0</v>
      </c>
      <c r="U9" s="72">
        <f>Tabela4[[#This Row],[Betine Rost]]</f>
        <v>0</v>
      </c>
      <c r="V9" s="72">
        <f>SUM(Tabela4[[#This Row],[Robinson Fetter - 01]:[Robinson Fetter - 03]])</f>
        <v>0</v>
      </c>
      <c r="W9" s="72">
        <f>Tabela4[[#This Row],[Fabio De Moura]]</f>
        <v>0</v>
      </c>
      <c r="X9" s="72">
        <f>Tabela4[[#This Row],[Rochele Santos Moraes]]</f>
        <v>0</v>
      </c>
      <c r="Y9" s="72">
        <f>Tabela4[[#This Row],[Auto Posto Kairã]]</f>
        <v>0</v>
      </c>
      <c r="Z9" s="72">
        <f>Tabela4[[#This Row],[Erno Schiefelbain]]</f>
        <v>0</v>
      </c>
      <c r="AA9" s="72">
        <f>Tabela4[[#This Row],[José Paulo Backes]]</f>
        <v>0</v>
      </c>
      <c r="AB9" s="72">
        <f>Tabela4[[#This Row],[Gelso Tofolo]]</f>
        <v>0</v>
      </c>
      <c r="AC9" s="72">
        <f>Tabela4[[#This Row],[Diamantino]]</f>
        <v>0</v>
      </c>
      <c r="AD9" s="72">
        <f>Tabela4[[#This Row],[Mercado Bueno]]</f>
        <v>0</v>
      </c>
      <c r="AE9" s="72">
        <f>Tabela4[[#This Row],[Daniela Donadel Massalai]]</f>
        <v>0</v>
      </c>
      <c r="AF9" s="72">
        <f>Tabela4[[#This Row],[Comercio De Moto Peças Irmãos Guarani Ltda]]</f>
        <v>0</v>
      </c>
      <c r="AG9" s="72">
        <f>Tabela4[[#This Row],[Mauricio Luis Lunardi]]</f>
        <v>0</v>
      </c>
      <c r="AH9" s="72">
        <f>Tabela4[[#This Row],[Rosa Maria Restle Radunz]]</f>
        <v>0</v>
      </c>
      <c r="AI9" s="72">
        <f>Tabela4[[#This Row],[Ivo Amaral De Oliveira]]</f>
        <v>0</v>
      </c>
      <c r="AJ9" s="72">
        <f>Tabela4[[#This Row],[Silvio Robert Lemos Avila]]</f>
        <v>0</v>
      </c>
      <c r="AK9" s="72">
        <f>Tabela4[[#This Row],[Eldo Rost]]</f>
        <v>0</v>
      </c>
      <c r="AL9" s="72">
        <f>SUM(Tabela4[[#This Row],[Padaria Avenida - 01]:[Padaria Avenida - 02]])</f>
        <v>0</v>
      </c>
      <c r="AM9" s="72">
        <f>Tabela4[[#This Row],[Cristiano Anshau]]</f>
        <v>0</v>
      </c>
      <c r="AN9" s="72">
        <f>Tabela4[[#This Row],[Luciana Claudete Meirelles Correa]]</f>
        <v>0</v>
      </c>
      <c r="AO9" s="72">
        <f>Tabela4[[#This Row],[Marcio Jose Siqueira]]</f>
        <v>0</v>
      </c>
      <c r="AP9" s="72">
        <f>Tabela4[[#This Row],[Marcos Rogerio Kessler]]</f>
        <v>0</v>
      </c>
      <c r="AQ9" s="72">
        <f>SUM(Tabela4[[#This Row],[AABB - 01]:[AABB - 02]])</f>
        <v>0</v>
      </c>
      <c r="AR9" s="72">
        <f>SUM(Tabela4[[#This Row],[Wanda Burkard - 01]:[Wanda Burkard - 02]])</f>
        <v>0</v>
      </c>
      <c r="AS9" s="72">
        <f>Tabela4[[#This Row],[Silvio Robert Lemos Avila Me]]</f>
        <v>0</v>
      </c>
      <c r="AT9" s="72">
        <f>Tabela4[[#This Row],[Carmelo]]</f>
        <v>0</v>
      </c>
      <c r="AU9" s="72">
        <f>Tabela4[[#This Row],[Antonio Dal Forno]]</f>
        <v>0</v>
      </c>
      <c r="AV9" s="72">
        <f>Tabela4[[#This Row],[Marisane Paulus]]</f>
        <v>0</v>
      </c>
      <c r="AW9" s="72">
        <f>Tabela4[[#This Row],[Segatto Ceretta Ltda]]</f>
        <v>0</v>
      </c>
      <c r="AX9" s="72">
        <f>SUM(Tabela4[[#This Row],[APAE - 01]:[APAE - 02]])</f>
        <v>0</v>
      </c>
      <c r="AY9" s="72">
        <f>Tabela4[[#This Row],[Cássio Burin]]</f>
        <v>0</v>
      </c>
      <c r="AZ9" s="72">
        <f>Tabela4[[#This Row],[Patrick Kristoschek Da Silva]]</f>
        <v>0</v>
      </c>
      <c r="BA9" s="72">
        <f>Tabela4[[#This Row],[Silvio Robert Ávila - (Valmir)]]</f>
        <v>0</v>
      </c>
      <c r="BB9" s="72">
        <f>Tabela4[[#This Row],[Zederson Jose Della Flora]]</f>
        <v>0</v>
      </c>
      <c r="BC9" s="72">
        <f>Tabela4[[#This Row],[Carlos Walmir Larsão Rolim]]</f>
        <v>0</v>
      </c>
      <c r="BD9" s="72">
        <f>Tabela4[[#This Row],[Danieli Missio]]</f>
        <v>0</v>
      </c>
      <c r="BE9" s="72">
        <f>Tabela4[[#This Row],[José Vasconcellos]]</f>
        <v>0</v>
      </c>
      <c r="BF9" s="72">
        <f>Tabela4[[#This Row],[Linho Lev Alimentos]]</f>
        <v>0</v>
      </c>
      <c r="BG9" s="72">
        <f>Tabela4[[#This Row],[Ernani Czapla]]</f>
        <v>0</v>
      </c>
      <c r="BH9" s="72">
        <f>Tabela4[[#This Row],[Valesca Da Luz]]</f>
        <v>0</v>
      </c>
      <c r="BI9" s="72">
        <f>Tabela4[[#This Row],[Olavo Mildner]]</f>
        <v>0</v>
      </c>
      <c r="BJ9" s="72">
        <f>Tabela4[[#This Row],[Dilnei Rohled]]</f>
        <v>0</v>
      </c>
      <c r="BK9" s="72">
        <f>Tabela4[[#This Row],[Shaiana Signorini]]</f>
        <v>0</v>
      </c>
      <c r="BL9" s="72">
        <f>Tabela4[[#This Row],[Fonse Atacado]]</f>
        <v>0</v>
      </c>
      <c r="BM9" s="72">
        <f>Tabela4[[#This Row],[Comercial de Alimentos]]</f>
        <v>0</v>
      </c>
      <c r="BN9" s="72">
        <f>Tabela4[[#This Row],[Ivone Kasburg Serralheria]]</f>
        <v>0</v>
      </c>
      <c r="BO9" s="72">
        <f>Tabela4[[#This Row],[Mercado Ceretta]]</f>
        <v>0</v>
      </c>
      <c r="BP9" s="72">
        <f>Tabela4[[#This Row],[Antonio Carlos Dos Santos Pereira]]</f>
        <v>0</v>
      </c>
      <c r="BQ9" s="72">
        <f>Tabela4[[#This Row],[Volnei Lemos Avila - Me]]</f>
        <v>0</v>
      </c>
      <c r="BR9" s="72">
        <f>Tabela4[[#This Row],[Silvana Meneghini]]</f>
        <v>0</v>
      </c>
      <c r="BS9" s="72">
        <f>Tabela4[[#This Row],[Eficaz Engenharia Ltda]]</f>
        <v>0</v>
      </c>
      <c r="BT9" s="72">
        <f>SUM(Tabela4[[#Headers],[Tania Regina Schmaltz - 01]:[Tania Regina Schmaltz - 02]])</f>
        <v>0</v>
      </c>
      <c r="BU9" s="72">
        <f>Tabela4[[#This Row],[Camila Ceretta Segatto]]</f>
        <v>0</v>
      </c>
      <c r="BV9" s="72">
        <f>Tabela4[[#This Row],[Vagner Ribas Dos Santos]]</f>
        <v>0</v>
      </c>
      <c r="BW9" s="72">
        <f>Tabela4[[#This Row],[Claudio Alfredo Konrat]]</f>
        <v>0</v>
      </c>
    </row>
    <row r="10" spans="1:75" x14ac:dyDescent="0.25">
      <c r="A10" s="70">
        <v>43344</v>
      </c>
      <c r="B10" s="72">
        <f>SUM(Tabela4[[#This Row],[Marlon Colovini - 01]:[Marlon Colovini - 02]])</f>
        <v>214.15</v>
      </c>
      <c r="C10" s="72">
        <f>Tabela4[[#This Row],[Mara Barichello]]</f>
        <v>54.44</v>
      </c>
      <c r="D10" s="72">
        <f>Tabela4[[#This Row],[Jandira Dutra]]</f>
        <v>99.83</v>
      </c>
      <c r="E10" s="72">
        <f>Tabela4[[#This Row],[Luiz Fernando Kruger]]</f>
        <v>138.19999999999999</v>
      </c>
      <c r="F10" s="72">
        <f>SUM(Tabela4[[#This Row],[Paulo Bohn - 01]:[Paulo Bohn - 04]])</f>
        <v>365.54</v>
      </c>
      <c r="G10" s="72">
        <f>Tabela4[[#This Row],[Analia (Clodoaldo Entre-Ijuis)]]</f>
        <v>49.43</v>
      </c>
      <c r="H10" s="72">
        <f>Tabela4[[#This Row],[Biroh]]</f>
        <v>757.88</v>
      </c>
      <c r="I10" s="72">
        <f>Tabela4[[#This Row],[Gelson Posser]]</f>
        <v>71.739999999999995</v>
      </c>
      <c r="J10" s="72">
        <f>Tabela4[[#This Row],[Supermercado Caryone]]</f>
        <v>533.78</v>
      </c>
      <c r="K10" s="72">
        <f>Tabela4[[#This Row],[Ernani Minetto]]</f>
        <v>415.86</v>
      </c>
      <c r="L10" s="72">
        <f>Tabela4[[#This Row],[Jair Moscon]]</f>
        <v>70.59</v>
      </c>
      <c r="M10" s="72">
        <f>SUM(Tabela4[[#This Row],[Fabio Milke - 01]:[Fabio Milke - 02]])</f>
        <v>424.90999999999997</v>
      </c>
      <c r="N10" s="72">
        <f>Tabela4[[#This Row],[Piaia]]</f>
        <v>202.81</v>
      </c>
      <c r="O10" s="72">
        <f>Tabela4[[#This Row],[Osmar Veronese]]</f>
        <v>757.78</v>
      </c>
      <c r="P10" s="72">
        <f>Tabela4[[#This Row],[ José Luiz Moraes]]</f>
        <v>0</v>
      </c>
      <c r="Q10" s="72">
        <f>Tabela4[[#This Row],[Supermercado Cripy]]</f>
        <v>533.78</v>
      </c>
      <c r="R10" s="72">
        <f>Tabela4[[#This Row],[Gláucio Lipski (Giruá)]]</f>
        <v>0</v>
      </c>
      <c r="S10" s="72">
        <f>Tabela4[[#This Row],[Contri]]</f>
        <v>1058.8599999999999</v>
      </c>
      <c r="T10" s="72">
        <f>Tabela4[[#This Row],[Cleci Rubi]]</f>
        <v>0</v>
      </c>
      <c r="U10" s="72">
        <f>Tabela4[[#This Row],[Betine Rost]]</f>
        <v>0</v>
      </c>
      <c r="V10" s="72">
        <f>SUM(Tabela4[[#This Row],[Robinson Fetter - 01]:[Robinson Fetter - 03]])</f>
        <v>0</v>
      </c>
      <c r="W10" s="72">
        <f>Tabela4[[#This Row],[Fabio De Moura]]</f>
        <v>0</v>
      </c>
      <c r="X10" s="72">
        <f>Tabela4[[#This Row],[Rochele Santos Moraes]]</f>
        <v>0</v>
      </c>
      <c r="Y10" s="72">
        <f>Tabela4[[#This Row],[Auto Posto Kairã]]</f>
        <v>0</v>
      </c>
      <c r="Z10" s="72">
        <f>Tabela4[[#This Row],[Erno Schiefelbain]]</f>
        <v>0</v>
      </c>
      <c r="AA10" s="72">
        <f>Tabela4[[#This Row],[José Paulo Backes]]</f>
        <v>0</v>
      </c>
      <c r="AB10" s="72">
        <f>Tabela4[[#This Row],[Gelso Tofolo]]</f>
        <v>0</v>
      </c>
      <c r="AC10" s="72">
        <f>Tabela4[[#This Row],[Diamantino]]</f>
        <v>0</v>
      </c>
      <c r="AD10" s="72">
        <f>Tabela4[[#This Row],[Mercado Bueno]]</f>
        <v>0</v>
      </c>
      <c r="AE10" s="72">
        <f>Tabela4[[#This Row],[Daniela Donadel Massalai]]</f>
        <v>0</v>
      </c>
      <c r="AF10" s="72">
        <f>Tabela4[[#This Row],[Comercio De Moto Peças Irmãos Guarani Ltda]]</f>
        <v>0</v>
      </c>
      <c r="AG10" s="72">
        <f>Tabela4[[#This Row],[Mauricio Luis Lunardi]]</f>
        <v>0</v>
      </c>
      <c r="AH10" s="72">
        <f>Tabela4[[#This Row],[Rosa Maria Restle Radunz]]</f>
        <v>0</v>
      </c>
      <c r="AI10" s="72">
        <f>Tabela4[[#This Row],[Ivo Amaral De Oliveira]]</f>
        <v>0</v>
      </c>
      <c r="AJ10" s="72">
        <f>Tabela4[[#This Row],[Silvio Robert Lemos Avila]]</f>
        <v>0</v>
      </c>
      <c r="AK10" s="72">
        <f>Tabela4[[#This Row],[Eldo Rost]]</f>
        <v>0</v>
      </c>
      <c r="AL10" s="72">
        <f>SUM(Tabela4[[#This Row],[Padaria Avenida - 01]:[Padaria Avenida - 02]])</f>
        <v>0</v>
      </c>
      <c r="AM10" s="72">
        <f>Tabela4[[#This Row],[Cristiano Anshau]]</f>
        <v>0</v>
      </c>
      <c r="AN10" s="72">
        <f>Tabela4[[#This Row],[Luciana Claudete Meirelles Correa]]</f>
        <v>0</v>
      </c>
      <c r="AO10" s="72">
        <f>Tabela4[[#This Row],[Marcio Jose Siqueira]]</f>
        <v>0</v>
      </c>
      <c r="AP10" s="72">
        <f>Tabela4[[#This Row],[Marcos Rogerio Kessler]]</f>
        <v>0</v>
      </c>
      <c r="AQ10" s="72">
        <f>SUM(Tabela4[[#This Row],[AABB - 01]:[AABB - 02]])</f>
        <v>0</v>
      </c>
      <c r="AR10" s="72">
        <f>SUM(Tabela4[[#This Row],[Wanda Burkard - 01]:[Wanda Burkard - 02]])</f>
        <v>0</v>
      </c>
      <c r="AS10" s="72">
        <f>Tabela4[[#This Row],[Silvio Robert Lemos Avila Me]]</f>
        <v>0</v>
      </c>
      <c r="AT10" s="72">
        <f>Tabela4[[#This Row],[Carmelo]]</f>
        <v>0</v>
      </c>
      <c r="AU10" s="72">
        <f>Tabela4[[#This Row],[Antonio Dal Forno]]</f>
        <v>0</v>
      </c>
      <c r="AV10" s="72">
        <f>Tabela4[[#This Row],[Marisane Paulus]]</f>
        <v>0</v>
      </c>
      <c r="AW10" s="72">
        <f>Tabela4[[#This Row],[Segatto Ceretta Ltda]]</f>
        <v>0</v>
      </c>
      <c r="AX10" s="72">
        <f>SUM(Tabela4[[#This Row],[APAE - 01]:[APAE - 02]])</f>
        <v>0</v>
      </c>
      <c r="AY10" s="72">
        <f>Tabela4[[#This Row],[Cássio Burin]]</f>
        <v>0</v>
      </c>
      <c r="AZ10" s="72">
        <f>Tabela4[[#This Row],[Patrick Kristoschek Da Silva]]</f>
        <v>0</v>
      </c>
      <c r="BA10" s="72">
        <f>Tabela4[[#This Row],[Silvio Robert Ávila - (Valmir)]]</f>
        <v>0</v>
      </c>
      <c r="BB10" s="72">
        <f>Tabela4[[#This Row],[Zederson Jose Della Flora]]</f>
        <v>0</v>
      </c>
      <c r="BC10" s="72">
        <f>Tabela4[[#This Row],[Carlos Walmir Larsão Rolim]]</f>
        <v>0</v>
      </c>
      <c r="BD10" s="72">
        <f>Tabela4[[#This Row],[Danieli Missio]]</f>
        <v>0</v>
      </c>
      <c r="BE10" s="72">
        <f>Tabela4[[#This Row],[José Vasconcellos]]</f>
        <v>0</v>
      </c>
      <c r="BF10" s="72">
        <f>Tabela4[[#This Row],[Linho Lev Alimentos]]</f>
        <v>0</v>
      </c>
      <c r="BG10" s="72">
        <f>Tabela4[[#This Row],[Ernani Czapla]]</f>
        <v>0</v>
      </c>
      <c r="BH10" s="72">
        <f>Tabela4[[#This Row],[Valesca Da Luz]]</f>
        <v>0</v>
      </c>
      <c r="BI10" s="72">
        <f>Tabela4[[#This Row],[Olavo Mildner]]</f>
        <v>0</v>
      </c>
      <c r="BJ10" s="72">
        <f>Tabela4[[#This Row],[Dilnei Rohled]]</f>
        <v>0</v>
      </c>
      <c r="BK10" s="72">
        <f>Tabela4[[#This Row],[Shaiana Signorini]]</f>
        <v>0</v>
      </c>
      <c r="BL10" s="72">
        <f>Tabela4[[#This Row],[Fonse Atacado]]</f>
        <v>0</v>
      </c>
      <c r="BM10" s="72">
        <f>Tabela4[[#This Row],[Comercial de Alimentos]]</f>
        <v>0</v>
      </c>
      <c r="BN10" s="72">
        <f>Tabela4[[#This Row],[Ivone Kasburg Serralheria]]</f>
        <v>0</v>
      </c>
      <c r="BO10" s="72">
        <f>Tabela4[[#This Row],[Mercado Ceretta]]</f>
        <v>0</v>
      </c>
      <c r="BP10" s="72">
        <f>Tabela4[[#This Row],[Antonio Carlos Dos Santos Pereira]]</f>
        <v>0</v>
      </c>
      <c r="BQ10" s="72">
        <f>Tabela4[[#This Row],[Volnei Lemos Avila - Me]]</f>
        <v>0</v>
      </c>
      <c r="BR10" s="72">
        <f>Tabela4[[#This Row],[Silvana Meneghini]]</f>
        <v>0</v>
      </c>
      <c r="BS10" s="72">
        <f>Tabela4[[#This Row],[Eficaz Engenharia Ltda]]</f>
        <v>0</v>
      </c>
      <c r="BT10" s="72">
        <f>SUM(Tabela4[[#Headers],[Tania Regina Schmaltz - 01]:[Tania Regina Schmaltz - 02]])</f>
        <v>0</v>
      </c>
      <c r="BU10" s="72">
        <f>Tabela4[[#This Row],[Camila Ceretta Segatto]]</f>
        <v>0</v>
      </c>
      <c r="BV10" s="72">
        <f>Tabela4[[#This Row],[Vagner Ribas Dos Santos]]</f>
        <v>0</v>
      </c>
      <c r="BW10" s="72">
        <f>Tabela4[[#This Row],[Claudio Alfredo Konrat]]</f>
        <v>0</v>
      </c>
    </row>
    <row r="11" spans="1:75" x14ac:dyDescent="0.25">
      <c r="A11" s="70">
        <v>43374</v>
      </c>
      <c r="B11" s="72">
        <f>SUM(Tabela4[[#This Row],[Marlon Colovini - 01]:[Marlon Colovini - 02]])</f>
        <v>147.69999999999999</v>
      </c>
      <c r="C11" s="72">
        <f>Tabela4[[#This Row],[Mara Barichello]]</f>
        <v>51.94</v>
      </c>
      <c r="D11" s="72">
        <f>Tabela4[[#This Row],[Jandira Dutra]]</f>
        <v>90.59</v>
      </c>
      <c r="E11" s="72">
        <f>Tabela4[[#This Row],[Luiz Fernando Kruger]]</f>
        <v>85.4</v>
      </c>
      <c r="F11" s="72">
        <f>SUM(Tabela4[[#This Row],[Paulo Bohn - 01]:[Paulo Bohn - 04]])</f>
        <v>238.85</v>
      </c>
      <c r="G11" s="72">
        <f>Tabela4[[#This Row],[Analia (Clodoaldo Entre-Ijuis)]]</f>
        <v>51.96</v>
      </c>
      <c r="H11" s="72">
        <f>Tabela4[[#This Row],[Biroh]]</f>
        <v>298.63</v>
      </c>
      <c r="I11" s="72">
        <f>Tabela4[[#This Row],[Gelson Posser]]</f>
        <v>69.260000000000005</v>
      </c>
      <c r="J11" s="72">
        <f>Tabela4[[#This Row],[Supermercado Caryone]]</f>
        <v>573.61</v>
      </c>
      <c r="K11" s="72">
        <f>Tabela4[[#This Row],[Ernani Minetto]]</f>
        <v>397.77</v>
      </c>
      <c r="L11" s="72">
        <f>Tabela4[[#This Row],[Jair Moscon]]</f>
        <v>48.7</v>
      </c>
      <c r="M11" s="72">
        <f>SUM(Tabela4[[#This Row],[Fabio Milke - 01]:[Fabio Milke - 02]])</f>
        <v>400.64</v>
      </c>
      <c r="N11" s="72">
        <f>Tabela4[[#This Row],[Piaia]]</f>
        <v>624.03</v>
      </c>
      <c r="O11" s="72">
        <f>Tabela4[[#This Row],[Osmar Veronese]]</f>
        <v>207.93</v>
      </c>
      <c r="P11" s="72">
        <f>Tabela4[[#This Row],[ José Luiz Moraes]]</f>
        <v>116.35</v>
      </c>
      <c r="Q11" s="72">
        <f>Tabela4[[#This Row],[Supermercado Cripy]]</f>
        <v>573.61</v>
      </c>
      <c r="R11" s="72">
        <f>Tabela4[[#This Row],[Gláucio Lipski (Giruá)]]</f>
        <v>0</v>
      </c>
      <c r="S11" s="72">
        <f>Tabela4[[#This Row],[Contri]]</f>
        <v>909.16</v>
      </c>
      <c r="T11" s="72">
        <f>Tabela4[[#This Row],[Cleci Rubi]]</f>
        <v>0</v>
      </c>
      <c r="U11" s="72">
        <f>Tabela4[[#This Row],[Betine Rost]]</f>
        <v>0</v>
      </c>
      <c r="V11" s="72">
        <f>SUM(Tabela4[[#This Row],[Robinson Fetter - 01]:[Robinson Fetter - 03]])</f>
        <v>0</v>
      </c>
      <c r="W11" s="72">
        <f>Tabela4[[#This Row],[Fabio De Moura]]</f>
        <v>0</v>
      </c>
      <c r="X11" s="72">
        <f>Tabela4[[#This Row],[Rochele Santos Moraes]]</f>
        <v>0</v>
      </c>
      <c r="Y11" s="72">
        <f>Tabela4[[#This Row],[Auto Posto Kairã]]</f>
        <v>0</v>
      </c>
      <c r="Z11" s="72">
        <f>Tabela4[[#This Row],[Erno Schiefelbain]]</f>
        <v>0</v>
      </c>
      <c r="AA11" s="72">
        <f>Tabela4[[#This Row],[José Paulo Backes]]</f>
        <v>0</v>
      </c>
      <c r="AB11" s="72">
        <f>Tabela4[[#This Row],[Gelso Tofolo]]</f>
        <v>0</v>
      </c>
      <c r="AC11" s="72">
        <f>Tabela4[[#This Row],[Diamantino]]</f>
        <v>0</v>
      </c>
      <c r="AD11" s="72">
        <f>Tabela4[[#This Row],[Mercado Bueno]]</f>
        <v>0</v>
      </c>
      <c r="AE11" s="72">
        <f>Tabela4[[#This Row],[Daniela Donadel Massalai]]</f>
        <v>0</v>
      </c>
      <c r="AF11" s="72">
        <f>Tabela4[[#This Row],[Comercio De Moto Peças Irmãos Guarani Ltda]]</f>
        <v>0</v>
      </c>
      <c r="AG11" s="72">
        <f>Tabela4[[#This Row],[Mauricio Luis Lunardi]]</f>
        <v>0</v>
      </c>
      <c r="AH11" s="72">
        <f>Tabela4[[#This Row],[Rosa Maria Restle Radunz]]</f>
        <v>0</v>
      </c>
      <c r="AI11" s="72">
        <f>Tabela4[[#This Row],[Ivo Amaral De Oliveira]]</f>
        <v>0</v>
      </c>
      <c r="AJ11" s="72">
        <f>Tabela4[[#This Row],[Silvio Robert Lemos Avila]]</f>
        <v>0</v>
      </c>
      <c r="AK11" s="72">
        <f>Tabela4[[#This Row],[Eldo Rost]]</f>
        <v>0</v>
      </c>
      <c r="AL11" s="72">
        <f>SUM(Tabela4[[#This Row],[Padaria Avenida - 01]:[Padaria Avenida - 02]])</f>
        <v>0</v>
      </c>
      <c r="AM11" s="72">
        <f>Tabela4[[#This Row],[Cristiano Anshau]]</f>
        <v>0</v>
      </c>
      <c r="AN11" s="72">
        <f>Tabela4[[#This Row],[Luciana Claudete Meirelles Correa]]</f>
        <v>0</v>
      </c>
      <c r="AO11" s="72">
        <f>Tabela4[[#This Row],[Marcio Jose Siqueira]]</f>
        <v>0</v>
      </c>
      <c r="AP11" s="72">
        <f>Tabela4[[#This Row],[Marcos Rogerio Kessler]]</f>
        <v>0</v>
      </c>
      <c r="AQ11" s="72">
        <f>SUM(Tabela4[[#This Row],[AABB - 01]:[AABB - 02]])</f>
        <v>0</v>
      </c>
      <c r="AR11" s="72">
        <f>SUM(Tabela4[[#This Row],[Wanda Burkard - 01]:[Wanda Burkard - 02]])</f>
        <v>0</v>
      </c>
      <c r="AS11" s="72">
        <f>Tabela4[[#This Row],[Silvio Robert Lemos Avila Me]]</f>
        <v>0</v>
      </c>
      <c r="AT11" s="72">
        <f>Tabela4[[#This Row],[Carmelo]]</f>
        <v>0</v>
      </c>
      <c r="AU11" s="72">
        <f>Tabela4[[#This Row],[Antonio Dal Forno]]</f>
        <v>0</v>
      </c>
      <c r="AV11" s="72">
        <f>Tabela4[[#This Row],[Marisane Paulus]]</f>
        <v>0</v>
      </c>
      <c r="AW11" s="72">
        <f>Tabela4[[#This Row],[Segatto Ceretta Ltda]]</f>
        <v>0</v>
      </c>
      <c r="AX11" s="72">
        <f>SUM(Tabela4[[#This Row],[APAE - 01]:[APAE - 02]])</f>
        <v>0</v>
      </c>
      <c r="AY11" s="72">
        <f>Tabela4[[#This Row],[Cássio Burin]]</f>
        <v>0</v>
      </c>
      <c r="AZ11" s="72">
        <f>Tabela4[[#This Row],[Patrick Kristoschek Da Silva]]</f>
        <v>0</v>
      </c>
      <c r="BA11" s="72">
        <f>Tabela4[[#This Row],[Silvio Robert Ávila - (Valmir)]]</f>
        <v>0</v>
      </c>
      <c r="BB11" s="72">
        <f>Tabela4[[#This Row],[Zederson Jose Della Flora]]</f>
        <v>0</v>
      </c>
      <c r="BC11" s="72">
        <f>Tabela4[[#This Row],[Carlos Walmir Larsão Rolim]]</f>
        <v>0</v>
      </c>
      <c r="BD11" s="72">
        <f>Tabela4[[#This Row],[Danieli Missio]]</f>
        <v>0</v>
      </c>
      <c r="BE11" s="72">
        <f>Tabela4[[#This Row],[José Vasconcellos]]</f>
        <v>0</v>
      </c>
      <c r="BF11" s="72">
        <f>Tabela4[[#This Row],[Linho Lev Alimentos]]</f>
        <v>0</v>
      </c>
      <c r="BG11" s="72">
        <f>Tabela4[[#This Row],[Ernani Czapla]]</f>
        <v>0</v>
      </c>
      <c r="BH11" s="72">
        <f>Tabela4[[#This Row],[Valesca Da Luz]]</f>
        <v>0</v>
      </c>
      <c r="BI11" s="72">
        <f>Tabela4[[#This Row],[Olavo Mildner]]</f>
        <v>0</v>
      </c>
      <c r="BJ11" s="72">
        <f>Tabela4[[#This Row],[Dilnei Rohled]]</f>
        <v>0</v>
      </c>
      <c r="BK11" s="72">
        <f>Tabela4[[#This Row],[Shaiana Signorini]]</f>
        <v>0</v>
      </c>
      <c r="BL11" s="72">
        <f>Tabela4[[#This Row],[Fonse Atacado]]</f>
        <v>0</v>
      </c>
      <c r="BM11" s="72">
        <f>Tabela4[[#This Row],[Comercial de Alimentos]]</f>
        <v>0</v>
      </c>
      <c r="BN11" s="72">
        <f>Tabela4[[#This Row],[Ivone Kasburg Serralheria]]</f>
        <v>0</v>
      </c>
      <c r="BO11" s="72">
        <f>Tabela4[[#This Row],[Mercado Ceretta]]</f>
        <v>0</v>
      </c>
      <c r="BP11" s="72">
        <f>Tabela4[[#This Row],[Antonio Carlos Dos Santos Pereira]]</f>
        <v>0</v>
      </c>
      <c r="BQ11" s="72">
        <f>Tabela4[[#This Row],[Volnei Lemos Avila - Me]]</f>
        <v>0</v>
      </c>
      <c r="BR11" s="72">
        <f>Tabela4[[#This Row],[Silvana Meneghini]]</f>
        <v>0</v>
      </c>
      <c r="BS11" s="72">
        <f>Tabela4[[#This Row],[Eficaz Engenharia Ltda]]</f>
        <v>0</v>
      </c>
      <c r="BT11" s="72">
        <f>SUM(Tabela4[[#Headers],[Tania Regina Schmaltz - 01]:[Tania Regina Schmaltz - 02]])</f>
        <v>0</v>
      </c>
      <c r="BU11" s="72">
        <f>Tabela4[[#This Row],[Camila Ceretta Segatto]]</f>
        <v>0</v>
      </c>
      <c r="BV11" s="72">
        <f>Tabela4[[#This Row],[Vagner Ribas Dos Santos]]</f>
        <v>0</v>
      </c>
      <c r="BW11" s="72">
        <f>Tabela4[[#This Row],[Claudio Alfredo Konrat]]</f>
        <v>0</v>
      </c>
    </row>
    <row r="12" spans="1:75" x14ac:dyDescent="0.25">
      <c r="A12" s="70">
        <v>43405</v>
      </c>
      <c r="B12" s="72">
        <f>SUM(Tabela4[[#This Row],[Marlon Colovini - 01]:[Marlon Colovini - 02]])</f>
        <v>142.03</v>
      </c>
      <c r="C12" s="72">
        <f>Tabela4[[#This Row],[Mara Barichello]]</f>
        <v>52.32</v>
      </c>
      <c r="D12" s="72">
        <f>Tabela4[[#This Row],[Jandira Dutra]]</f>
        <v>76.959999999999994</v>
      </c>
      <c r="E12" s="72">
        <f>Tabela4[[#This Row],[Luiz Fernando Kruger]]</f>
        <v>89.25</v>
      </c>
      <c r="F12" s="72">
        <f>SUM(Tabela4[[#This Row],[Paulo Bohn - 01]:[Paulo Bohn - 04]])</f>
        <v>283.40999999999997</v>
      </c>
      <c r="G12" s="72">
        <f>Tabela4[[#This Row],[Analia (Clodoaldo Entre-Ijuis)]]</f>
        <v>56.27</v>
      </c>
      <c r="H12" s="72">
        <f>Tabela4[[#This Row],[Biroh]]</f>
        <v>408.18</v>
      </c>
      <c r="I12" s="72">
        <f>Tabela4[[#This Row],[Gelson Posser]]</f>
        <v>80.19</v>
      </c>
      <c r="J12" s="72">
        <f>Tabela4[[#This Row],[Supermercado Caryone]]</f>
        <v>863.44</v>
      </c>
      <c r="K12" s="72">
        <f>Tabela4[[#This Row],[Ernani Minetto]]</f>
        <v>179.31</v>
      </c>
      <c r="L12" s="72">
        <f>Tabela4[[#This Row],[Jair Moscon]]</f>
        <v>98</v>
      </c>
      <c r="M12" s="72">
        <f>SUM(Tabela4[[#This Row],[Fabio Milke - 01]:[Fabio Milke - 02]])</f>
        <v>385.52000000000004</v>
      </c>
      <c r="N12" s="72">
        <f>Tabela4[[#This Row],[Piaia]]</f>
        <v>208.88</v>
      </c>
      <c r="O12" s="72">
        <f>Tabela4[[#This Row],[Osmar Veronese]]</f>
        <v>197.85</v>
      </c>
      <c r="P12" s="72">
        <f>Tabela4[[#This Row],[ José Luiz Moraes]]</f>
        <v>151.97</v>
      </c>
      <c r="Q12" s="72">
        <f>Tabela4[[#This Row],[Supermercado Cripy]]</f>
        <v>863.44</v>
      </c>
      <c r="R12" s="72">
        <f>Tabela4[[#This Row],[Gláucio Lipski (Giruá)]]</f>
        <v>157.56</v>
      </c>
      <c r="S12" s="72">
        <f>Tabela4[[#This Row],[Contri]]</f>
        <v>967.07</v>
      </c>
      <c r="T12" s="72">
        <f>Tabela4[[#This Row],[Cleci Rubi]]</f>
        <v>62.67</v>
      </c>
      <c r="U12" s="72">
        <f>Tabela4[[#This Row],[Betine Rost]]</f>
        <v>350.61</v>
      </c>
      <c r="V12" s="72">
        <f>SUM(Tabela4[[#This Row],[Robinson Fetter - 01]:[Robinson Fetter - 03]])</f>
        <v>1095.23</v>
      </c>
      <c r="W12" s="72">
        <f>Tabela4[[#This Row],[Fabio De Moura]]</f>
        <v>0</v>
      </c>
      <c r="X12" s="72">
        <f>Tabela4[[#This Row],[Rochele Santos Moraes]]</f>
        <v>0</v>
      </c>
      <c r="Y12" s="72">
        <f>Tabela4[[#This Row],[Auto Posto Kairã]]</f>
        <v>0</v>
      </c>
      <c r="Z12" s="72">
        <f>Tabela4[[#This Row],[Erno Schiefelbain]]</f>
        <v>249.48</v>
      </c>
      <c r="AA12" s="72">
        <f>Tabela4[[#This Row],[José Paulo Backes]]</f>
        <v>549.20000000000005</v>
      </c>
      <c r="AB12" s="72">
        <f>Tabela4[[#This Row],[Gelso Tofolo]]</f>
        <v>0</v>
      </c>
      <c r="AC12" s="72">
        <f>Tabela4[[#This Row],[Diamantino]]</f>
        <v>0</v>
      </c>
      <c r="AD12" s="72">
        <f>Tabela4[[#This Row],[Mercado Bueno]]</f>
        <v>0</v>
      </c>
      <c r="AE12" s="72">
        <f>Tabela4[[#This Row],[Daniela Donadel Massalai]]</f>
        <v>0</v>
      </c>
      <c r="AF12" s="72">
        <f>Tabela4[[#This Row],[Comercio De Moto Peças Irmãos Guarani Ltda]]</f>
        <v>0</v>
      </c>
      <c r="AG12" s="72">
        <f>Tabela4[[#This Row],[Mauricio Luis Lunardi]]</f>
        <v>0</v>
      </c>
      <c r="AH12" s="72">
        <f>Tabela4[[#This Row],[Rosa Maria Restle Radunz]]</f>
        <v>0</v>
      </c>
      <c r="AI12" s="72">
        <f>Tabela4[[#This Row],[Ivo Amaral De Oliveira]]</f>
        <v>0</v>
      </c>
      <c r="AJ12" s="72">
        <f>Tabela4[[#This Row],[Silvio Robert Lemos Avila]]</f>
        <v>0</v>
      </c>
      <c r="AK12" s="72">
        <f>Tabela4[[#This Row],[Eldo Rost]]</f>
        <v>0</v>
      </c>
      <c r="AL12" s="72">
        <f>SUM(Tabela4[[#This Row],[Padaria Avenida - 01]:[Padaria Avenida - 02]])</f>
        <v>0</v>
      </c>
      <c r="AM12" s="72">
        <f>Tabela4[[#This Row],[Cristiano Anshau]]</f>
        <v>0</v>
      </c>
      <c r="AN12" s="72">
        <f>Tabela4[[#This Row],[Luciana Claudete Meirelles Correa]]</f>
        <v>0</v>
      </c>
      <c r="AO12" s="72">
        <f>Tabela4[[#This Row],[Marcio Jose Siqueira]]</f>
        <v>0</v>
      </c>
      <c r="AP12" s="72">
        <f>Tabela4[[#This Row],[Marcos Rogerio Kessler]]</f>
        <v>0</v>
      </c>
      <c r="AQ12" s="72">
        <f>SUM(Tabela4[[#This Row],[AABB - 01]:[AABB - 02]])</f>
        <v>0</v>
      </c>
      <c r="AR12" s="72">
        <f>SUM(Tabela4[[#This Row],[Wanda Burkard - 01]:[Wanda Burkard - 02]])</f>
        <v>0</v>
      </c>
      <c r="AS12" s="72">
        <f>Tabela4[[#This Row],[Silvio Robert Lemos Avila Me]]</f>
        <v>0</v>
      </c>
      <c r="AT12" s="72">
        <f>Tabela4[[#This Row],[Carmelo]]</f>
        <v>0</v>
      </c>
      <c r="AU12" s="72">
        <f>Tabela4[[#This Row],[Antonio Dal Forno]]</f>
        <v>0</v>
      </c>
      <c r="AV12" s="72">
        <f>Tabela4[[#This Row],[Marisane Paulus]]</f>
        <v>0</v>
      </c>
      <c r="AW12" s="72">
        <f>Tabela4[[#This Row],[Segatto Ceretta Ltda]]</f>
        <v>0</v>
      </c>
      <c r="AX12" s="72">
        <f>SUM(Tabela4[[#This Row],[APAE - 01]:[APAE - 02]])</f>
        <v>0</v>
      </c>
      <c r="AY12" s="72">
        <f>Tabela4[[#This Row],[Cássio Burin]]</f>
        <v>0</v>
      </c>
      <c r="AZ12" s="72">
        <f>Tabela4[[#This Row],[Patrick Kristoschek Da Silva]]</f>
        <v>0</v>
      </c>
      <c r="BA12" s="72">
        <f>Tabela4[[#This Row],[Silvio Robert Ávila - (Valmir)]]</f>
        <v>0</v>
      </c>
      <c r="BB12" s="72">
        <f>Tabela4[[#This Row],[Zederson Jose Della Flora]]</f>
        <v>0</v>
      </c>
      <c r="BC12" s="72">
        <f>Tabela4[[#This Row],[Carlos Walmir Larsão Rolim]]</f>
        <v>0</v>
      </c>
      <c r="BD12" s="72">
        <f>Tabela4[[#This Row],[Danieli Missio]]</f>
        <v>0</v>
      </c>
      <c r="BE12" s="72">
        <f>Tabela4[[#This Row],[José Vasconcellos]]</f>
        <v>0</v>
      </c>
      <c r="BF12" s="72">
        <f>Tabela4[[#This Row],[Linho Lev Alimentos]]</f>
        <v>0</v>
      </c>
      <c r="BG12" s="72">
        <f>Tabela4[[#This Row],[Ernani Czapla]]</f>
        <v>0</v>
      </c>
      <c r="BH12" s="72">
        <f>Tabela4[[#This Row],[Valesca Da Luz]]</f>
        <v>0</v>
      </c>
      <c r="BI12" s="72">
        <f>Tabela4[[#This Row],[Olavo Mildner]]</f>
        <v>0</v>
      </c>
      <c r="BJ12" s="72">
        <f>Tabela4[[#This Row],[Dilnei Rohled]]</f>
        <v>0</v>
      </c>
      <c r="BK12" s="72">
        <f>Tabela4[[#This Row],[Shaiana Signorini]]</f>
        <v>0</v>
      </c>
      <c r="BL12" s="72">
        <f>Tabela4[[#This Row],[Fonse Atacado]]</f>
        <v>0</v>
      </c>
      <c r="BM12" s="72">
        <f>Tabela4[[#This Row],[Comercial de Alimentos]]</f>
        <v>0</v>
      </c>
      <c r="BN12" s="72">
        <f>Tabela4[[#This Row],[Ivone Kasburg Serralheria]]</f>
        <v>0</v>
      </c>
      <c r="BO12" s="72">
        <f>Tabela4[[#This Row],[Mercado Ceretta]]</f>
        <v>0</v>
      </c>
      <c r="BP12" s="72">
        <f>Tabela4[[#This Row],[Antonio Carlos Dos Santos Pereira]]</f>
        <v>0</v>
      </c>
      <c r="BQ12" s="72">
        <f>Tabela4[[#This Row],[Volnei Lemos Avila - Me]]</f>
        <v>0</v>
      </c>
      <c r="BR12" s="72">
        <f>Tabela4[[#This Row],[Silvana Meneghini]]</f>
        <v>0</v>
      </c>
      <c r="BS12" s="72">
        <f>Tabela4[[#This Row],[Eficaz Engenharia Ltda]]</f>
        <v>0</v>
      </c>
      <c r="BT12" s="72">
        <f>SUM(Tabela4[[#Headers],[Tania Regina Schmaltz - 01]:[Tania Regina Schmaltz - 02]])</f>
        <v>0</v>
      </c>
      <c r="BU12" s="72">
        <f>Tabela4[[#This Row],[Camila Ceretta Segatto]]</f>
        <v>0</v>
      </c>
      <c r="BV12" s="72">
        <f>Tabela4[[#This Row],[Vagner Ribas Dos Santos]]</f>
        <v>0</v>
      </c>
      <c r="BW12" s="72">
        <f>Tabela4[[#This Row],[Claudio Alfredo Konrat]]</f>
        <v>0</v>
      </c>
    </row>
    <row r="13" spans="1:75" x14ac:dyDescent="0.25">
      <c r="A13" s="70">
        <v>43435</v>
      </c>
      <c r="B13" s="72">
        <f>SUM(Tabela4[[#This Row],[Marlon Colovini - 01]:[Marlon Colovini - 02]])</f>
        <v>126.94999999999999</v>
      </c>
      <c r="C13" s="72">
        <f>Tabela4[[#This Row],[Mara Barichello]]</f>
        <v>55.39</v>
      </c>
      <c r="D13" s="72">
        <f>Tabela4[[#This Row],[Jandira Dutra]]</f>
        <v>50.37</v>
      </c>
      <c r="E13" s="72">
        <f>Tabela4[[#This Row],[Luiz Fernando Kruger]]</f>
        <v>79.91</v>
      </c>
      <c r="F13" s="72">
        <f>SUM(Tabela4[[#This Row],[Paulo Bohn - 01]:[Paulo Bohn - 04]])</f>
        <v>267.55</v>
      </c>
      <c r="G13" s="72">
        <f>Tabela4[[#This Row],[Analia (Clodoaldo Entre-Ijuis)]]</f>
        <v>53.22</v>
      </c>
      <c r="H13" s="72">
        <f>Tabela4[[#This Row],[Biroh]]</f>
        <v>410.72</v>
      </c>
      <c r="I13" s="72">
        <f>Tabela4[[#This Row],[Gelson Posser]]</f>
        <v>69.34</v>
      </c>
      <c r="J13" s="72">
        <f>Tabela4[[#This Row],[Supermercado Caryone]]</f>
        <v>656.97</v>
      </c>
      <c r="K13" s="72">
        <f>Tabela4[[#This Row],[Ernani Minetto]]</f>
        <v>432.47</v>
      </c>
      <c r="L13" s="72">
        <f>Tabela4[[#This Row],[Jair Moscon]]</f>
        <v>92.05</v>
      </c>
      <c r="M13" s="72">
        <f>SUM(Tabela4[[#This Row],[Fabio Milke - 01]:[Fabio Milke - 02]])</f>
        <v>273.21000000000004</v>
      </c>
      <c r="N13" s="72">
        <f>Tabela4[[#This Row],[Piaia]]</f>
        <v>201.99</v>
      </c>
      <c r="O13" s="72">
        <f>Tabela4[[#This Row],[Osmar Veronese]]</f>
        <v>190</v>
      </c>
      <c r="P13" s="72">
        <f>Tabela4[[#This Row],[ José Luiz Moraes]]</f>
        <v>157.69</v>
      </c>
      <c r="Q13" s="72">
        <f>Tabela4[[#This Row],[Supermercado Cripy]]</f>
        <v>656.97</v>
      </c>
      <c r="R13" s="72">
        <f>Tabela4[[#This Row],[Gláucio Lipski (Giruá)]]</f>
        <v>140.59</v>
      </c>
      <c r="S13" s="72">
        <f>Tabela4[[#This Row],[Contri]]</f>
        <v>0</v>
      </c>
      <c r="T13" s="72">
        <f>Tabela4[[#This Row],[Cleci Rubi]]</f>
        <v>59.54</v>
      </c>
      <c r="U13" s="72">
        <f>Tabela4[[#This Row],[Betine Rost]]</f>
        <v>139.72</v>
      </c>
      <c r="V13" s="72">
        <f>SUM(Tabela4[[#This Row],[Robinson Fetter - 01]:[Robinson Fetter - 03]])</f>
        <v>881.77</v>
      </c>
      <c r="W13" s="72">
        <f>Tabela4[[#This Row],[Fabio De Moura]]</f>
        <v>97.45</v>
      </c>
      <c r="X13" s="72">
        <f>Tabela4[[#This Row],[Rochele Santos Moraes]]</f>
        <v>393.81</v>
      </c>
      <c r="Y13" s="72">
        <f>Tabela4[[#This Row],[Auto Posto Kairã]]</f>
        <v>1065.8</v>
      </c>
      <c r="Z13" s="72">
        <f>Tabela4[[#This Row],[Erno Schiefelbain]]</f>
        <v>30.33</v>
      </c>
      <c r="AA13" s="72">
        <f>Tabela4[[#This Row],[José Paulo Backes]]</f>
        <v>640.04999999999995</v>
      </c>
      <c r="AB13" s="72">
        <f>Tabela4[[#This Row],[Gelso Tofolo]]</f>
        <v>467.26</v>
      </c>
      <c r="AC13" s="72">
        <f>Tabela4[[#This Row],[Diamantino]]</f>
        <v>0</v>
      </c>
      <c r="AD13" s="72">
        <f>Tabela4[[#This Row],[Mercado Bueno]]</f>
        <v>0</v>
      </c>
      <c r="AE13" s="72">
        <f>Tabela4[[#This Row],[Daniela Donadel Massalai]]</f>
        <v>0</v>
      </c>
      <c r="AF13" s="72">
        <f>Tabela4[[#This Row],[Comercio De Moto Peças Irmãos Guarani Ltda]]</f>
        <v>0</v>
      </c>
      <c r="AG13" s="72">
        <f>Tabela4[[#This Row],[Mauricio Luis Lunardi]]</f>
        <v>0</v>
      </c>
      <c r="AH13" s="72">
        <f>Tabela4[[#This Row],[Rosa Maria Restle Radunz]]</f>
        <v>0</v>
      </c>
      <c r="AI13" s="72">
        <f>Tabela4[[#This Row],[Ivo Amaral De Oliveira]]</f>
        <v>0</v>
      </c>
      <c r="AJ13" s="72">
        <f>Tabela4[[#This Row],[Silvio Robert Lemos Avila]]</f>
        <v>0</v>
      </c>
      <c r="AK13" s="72">
        <f>Tabela4[[#This Row],[Eldo Rost]]</f>
        <v>0</v>
      </c>
      <c r="AL13" s="72">
        <f>SUM(Tabela4[[#This Row],[Padaria Avenida - 01]:[Padaria Avenida - 02]])</f>
        <v>0</v>
      </c>
      <c r="AM13" s="72">
        <f>Tabela4[[#This Row],[Cristiano Anshau]]</f>
        <v>0</v>
      </c>
      <c r="AN13" s="72">
        <f>Tabela4[[#This Row],[Luciana Claudete Meirelles Correa]]</f>
        <v>0</v>
      </c>
      <c r="AO13" s="72">
        <f>Tabela4[[#This Row],[Marcio Jose Siqueira]]</f>
        <v>0</v>
      </c>
      <c r="AP13" s="72">
        <f>Tabela4[[#This Row],[Marcos Rogerio Kessler]]</f>
        <v>0</v>
      </c>
      <c r="AQ13" s="72">
        <f>SUM(Tabela4[[#This Row],[AABB - 01]:[AABB - 02]])</f>
        <v>0</v>
      </c>
      <c r="AR13" s="72">
        <f>SUM(Tabela4[[#This Row],[Wanda Burkard - 01]:[Wanda Burkard - 02]])</f>
        <v>0</v>
      </c>
      <c r="AS13" s="72">
        <f>Tabela4[[#This Row],[Silvio Robert Lemos Avila Me]]</f>
        <v>0</v>
      </c>
      <c r="AT13" s="72">
        <f>Tabela4[[#This Row],[Carmelo]]</f>
        <v>0</v>
      </c>
      <c r="AU13" s="72">
        <f>Tabela4[[#This Row],[Antonio Dal Forno]]</f>
        <v>0</v>
      </c>
      <c r="AV13" s="72">
        <f>Tabela4[[#This Row],[Marisane Paulus]]</f>
        <v>0</v>
      </c>
      <c r="AW13" s="72">
        <f>Tabela4[[#This Row],[Segatto Ceretta Ltda]]</f>
        <v>0</v>
      </c>
      <c r="AX13" s="72">
        <f>SUM(Tabela4[[#This Row],[APAE - 01]:[APAE - 02]])</f>
        <v>0</v>
      </c>
      <c r="AY13" s="72">
        <f>Tabela4[[#This Row],[Cássio Burin]]</f>
        <v>62.31</v>
      </c>
      <c r="AZ13" s="72">
        <f>Tabela4[[#This Row],[Patrick Kristoschek Da Silva]]</f>
        <v>0</v>
      </c>
      <c r="BA13" s="72">
        <f>Tabela4[[#This Row],[Silvio Robert Ávila - (Valmir)]]</f>
        <v>0</v>
      </c>
      <c r="BB13" s="72">
        <f>Tabela4[[#This Row],[Zederson Jose Della Flora]]</f>
        <v>0</v>
      </c>
      <c r="BC13" s="72">
        <f>Tabela4[[#This Row],[Carlos Walmir Larsão Rolim]]</f>
        <v>0</v>
      </c>
      <c r="BD13" s="72">
        <f>Tabela4[[#This Row],[Danieli Missio]]</f>
        <v>0</v>
      </c>
      <c r="BE13" s="72">
        <f>Tabela4[[#This Row],[José Vasconcellos]]</f>
        <v>0</v>
      </c>
      <c r="BF13" s="72">
        <f>Tabela4[[#This Row],[Linho Lev Alimentos]]</f>
        <v>0</v>
      </c>
      <c r="BG13" s="72">
        <f>Tabela4[[#This Row],[Ernani Czapla]]</f>
        <v>0</v>
      </c>
      <c r="BH13" s="72">
        <f>Tabela4[[#This Row],[Valesca Da Luz]]</f>
        <v>0</v>
      </c>
      <c r="BI13" s="72">
        <f>Tabela4[[#This Row],[Olavo Mildner]]</f>
        <v>0</v>
      </c>
      <c r="BJ13" s="72">
        <f>Tabela4[[#This Row],[Dilnei Rohled]]</f>
        <v>0</v>
      </c>
      <c r="BK13" s="72">
        <f>Tabela4[[#This Row],[Shaiana Signorini]]</f>
        <v>0</v>
      </c>
      <c r="BL13" s="72">
        <f>Tabela4[[#This Row],[Fonse Atacado]]</f>
        <v>0</v>
      </c>
      <c r="BM13" s="72">
        <f>Tabela4[[#This Row],[Comercial de Alimentos]]</f>
        <v>0</v>
      </c>
      <c r="BN13" s="72">
        <f>Tabela4[[#This Row],[Ivone Kasburg Serralheria]]</f>
        <v>0</v>
      </c>
      <c r="BO13" s="72">
        <f>Tabela4[[#This Row],[Mercado Ceretta]]</f>
        <v>0</v>
      </c>
      <c r="BP13" s="72">
        <f>Tabela4[[#This Row],[Antonio Carlos Dos Santos Pereira]]</f>
        <v>0</v>
      </c>
      <c r="BQ13" s="72">
        <f>Tabela4[[#This Row],[Volnei Lemos Avila - Me]]</f>
        <v>0</v>
      </c>
      <c r="BR13" s="72">
        <f>Tabela4[[#This Row],[Silvana Meneghini]]</f>
        <v>0</v>
      </c>
      <c r="BS13" s="72">
        <f>Tabela4[[#This Row],[Eficaz Engenharia Ltda]]</f>
        <v>0</v>
      </c>
      <c r="BT13" s="72">
        <f>SUM(Tabela4[[#Headers],[Tania Regina Schmaltz - 01]:[Tania Regina Schmaltz - 02]])</f>
        <v>0</v>
      </c>
      <c r="BU13" s="72">
        <f>Tabela4[[#This Row],[Camila Ceretta Segatto]]</f>
        <v>0</v>
      </c>
      <c r="BV13" s="72">
        <f>Tabela4[[#This Row],[Vagner Ribas Dos Santos]]</f>
        <v>0</v>
      </c>
      <c r="BW13" s="72">
        <f>Tabela4[[#This Row],[Claudio Alfredo Konrat]]</f>
        <v>0</v>
      </c>
    </row>
    <row r="14" spans="1:75" x14ac:dyDescent="0.25">
      <c r="A14" s="70">
        <v>43466</v>
      </c>
      <c r="B14" s="72">
        <f>SUM(Tabela4[[#This Row],[Marlon Colovini - 01]:[Marlon Colovini - 02]])</f>
        <v>181.28</v>
      </c>
      <c r="C14" s="72">
        <f>Tabela4[[#This Row],[Mara Barichello]]</f>
        <v>247.76</v>
      </c>
      <c r="D14" s="72">
        <f>Tabela4[[#This Row],[Jandira Dutra]]</f>
        <v>107.67</v>
      </c>
      <c r="E14" s="72">
        <f>Tabela4[[#This Row],[Luiz Fernando Kruger]]</f>
        <v>155.28</v>
      </c>
      <c r="F14" s="72">
        <f>SUM(Tabela4[[#This Row],[Paulo Bohn - 01]:[Paulo Bohn - 04]])</f>
        <v>384.56</v>
      </c>
      <c r="G14" s="72">
        <f>Tabela4[[#This Row],[Analia (Clodoaldo Entre-Ijuis)]]</f>
        <v>98.14</v>
      </c>
      <c r="H14" s="72">
        <f>Tabela4[[#This Row],[Biroh]]</f>
        <v>452.68</v>
      </c>
      <c r="I14" s="72">
        <f>Tabela4[[#This Row],[Gelson Posser]]</f>
        <v>170.65</v>
      </c>
      <c r="J14" s="72">
        <f>Tabela4[[#This Row],[Supermercado Caryone]]</f>
        <v>515.54999999999995</v>
      </c>
      <c r="K14" s="72">
        <f>Tabela4[[#This Row],[Ernani Minetto]]</f>
        <v>430.79</v>
      </c>
      <c r="L14" s="72">
        <f>Tabela4[[#This Row],[Jair Moscon]]</f>
        <v>135.66999999999999</v>
      </c>
      <c r="M14" s="72">
        <f>SUM(Tabela4[[#This Row],[Fabio Milke - 01]:[Fabio Milke - 02]])</f>
        <v>516.98</v>
      </c>
      <c r="N14" s="72">
        <f>Tabela4[[#This Row],[Piaia]]</f>
        <v>201.17</v>
      </c>
      <c r="O14" s="72">
        <f>Tabela4[[#This Row],[Osmar Veronese]]</f>
        <v>186.46</v>
      </c>
      <c r="P14" s="72">
        <f>Tabela4[[#This Row],[ José Luiz Moraes]]</f>
        <v>221.24</v>
      </c>
      <c r="Q14" s="72">
        <f>Tabela4[[#This Row],[Supermercado Cripy]]</f>
        <v>515.54999999999995</v>
      </c>
      <c r="R14" s="72">
        <f>Tabela4[[#This Row],[Gláucio Lipski (Giruá)]]</f>
        <v>167.38</v>
      </c>
      <c r="S14" s="72">
        <f>Tabela4[[#This Row],[Contri]]</f>
        <v>955.92</v>
      </c>
      <c r="T14" s="72">
        <f>Tabela4[[#This Row],[Cleci Rubi]]</f>
        <v>60.46</v>
      </c>
      <c r="U14" s="72">
        <f>Tabela4[[#This Row],[Betine Rost]]</f>
        <v>138.03</v>
      </c>
      <c r="V14" s="72">
        <f>SUM(Tabela4[[#This Row],[Robinson Fetter - 01]:[Robinson Fetter - 03]])</f>
        <v>303.12</v>
      </c>
      <c r="W14" s="72">
        <f>Tabela4[[#This Row],[Fabio De Moura]]</f>
        <v>118.86</v>
      </c>
      <c r="X14" s="72">
        <f>Tabela4[[#This Row],[Rochele Santos Moraes]]</f>
        <v>147.18</v>
      </c>
      <c r="Y14" s="72">
        <f>Tabela4[[#This Row],[Auto Posto Kairã]]</f>
        <v>348.58</v>
      </c>
      <c r="Z14" s="72">
        <f>Tabela4[[#This Row],[Erno Schiefelbain]]</f>
        <v>27.19</v>
      </c>
      <c r="AA14" s="72">
        <f>Tabela4[[#This Row],[José Paulo Backes]]</f>
        <v>64.17</v>
      </c>
      <c r="AB14" s="72">
        <f>Tabela4[[#This Row],[Gelso Tofolo]]</f>
        <v>485.4</v>
      </c>
      <c r="AC14" s="72">
        <f>Tabela4[[#This Row],[Diamantino]]</f>
        <v>0</v>
      </c>
      <c r="AD14" s="72">
        <f>Tabela4[[#This Row],[Mercado Bueno]]</f>
        <v>4547.55</v>
      </c>
      <c r="AE14" s="72">
        <f>Tabela4[[#This Row],[Daniela Donadel Massalai]]</f>
        <v>0</v>
      </c>
      <c r="AF14" s="72">
        <f>Tabela4[[#This Row],[Comercio De Moto Peças Irmãos Guarani Ltda]]</f>
        <v>0</v>
      </c>
      <c r="AG14" s="72">
        <f>Tabela4[[#This Row],[Mauricio Luis Lunardi]]</f>
        <v>0</v>
      </c>
      <c r="AH14" s="72">
        <f>Tabela4[[#This Row],[Rosa Maria Restle Radunz]]</f>
        <v>0</v>
      </c>
      <c r="AI14" s="72">
        <f>Tabela4[[#This Row],[Ivo Amaral De Oliveira]]</f>
        <v>0</v>
      </c>
      <c r="AJ14" s="72">
        <f>Tabela4[[#This Row],[Silvio Robert Lemos Avila]]</f>
        <v>0</v>
      </c>
      <c r="AK14" s="72">
        <f>Tabela4[[#This Row],[Eldo Rost]]</f>
        <v>0</v>
      </c>
      <c r="AL14" s="72">
        <f>SUM(Tabela4[[#This Row],[Padaria Avenida - 01]:[Padaria Avenida - 02]])</f>
        <v>0</v>
      </c>
      <c r="AM14" s="72">
        <f>Tabela4[[#This Row],[Cristiano Anshau]]</f>
        <v>0</v>
      </c>
      <c r="AN14" s="72">
        <f>Tabela4[[#This Row],[Luciana Claudete Meirelles Correa]]</f>
        <v>0</v>
      </c>
      <c r="AO14" s="72">
        <f>Tabela4[[#This Row],[Marcio Jose Siqueira]]</f>
        <v>0</v>
      </c>
      <c r="AP14" s="72">
        <f>Tabela4[[#This Row],[Marcos Rogerio Kessler]]</f>
        <v>0</v>
      </c>
      <c r="AQ14" s="72">
        <f>SUM(Tabela4[[#This Row],[AABB - 01]:[AABB - 02]])</f>
        <v>0</v>
      </c>
      <c r="AR14" s="72">
        <f>SUM(Tabela4[[#This Row],[Wanda Burkard - 01]:[Wanda Burkard - 02]])</f>
        <v>0</v>
      </c>
      <c r="AS14" s="72">
        <f>Tabela4[[#This Row],[Silvio Robert Lemos Avila Me]]</f>
        <v>0</v>
      </c>
      <c r="AT14" s="72">
        <f>Tabela4[[#This Row],[Carmelo]]</f>
        <v>0</v>
      </c>
      <c r="AU14" s="72">
        <f>Tabela4[[#This Row],[Antonio Dal Forno]]</f>
        <v>0</v>
      </c>
      <c r="AV14" s="72">
        <f>Tabela4[[#This Row],[Marisane Paulus]]</f>
        <v>0</v>
      </c>
      <c r="AW14" s="72">
        <f>Tabela4[[#This Row],[Segatto Ceretta Ltda]]</f>
        <v>0</v>
      </c>
      <c r="AX14" s="72">
        <f>SUM(Tabela4[[#This Row],[APAE - 01]:[APAE - 02]])</f>
        <v>0</v>
      </c>
      <c r="AY14" s="72">
        <f>Tabela4[[#This Row],[Cássio Burin]]</f>
        <v>161.46</v>
      </c>
      <c r="AZ14" s="72">
        <f>Tabela4[[#This Row],[Patrick Kristoschek Da Silva]]</f>
        <v>0</v>
      </c>
      <c r="BA14" s="72">
        <f>Tabela4[[#This Row],[Silvio Robert Ávila - (Valmir)]]</f>
        <v>0</v>
      </c>
      <c r="BB14" s="72">
        <f>Tabela4[[#This Row],[Zederson Jose Della Flora]]</f>
        <v>0</v>
      </c>
      <c r="BC14" s="72">
        <f>Tabela4[[#This Row],[Carlos Walmir Larsão Rolim]]</f>
        <v>0</v>
      </c>
      <c r="BD14" s="72">
        <f>Tabela4[[#This Row],[Danieli Missio]]</f>
        <v>0</v>
      </c>
      <c r="BE14" s="72">
        <f>Tabela4[[#This Row],[José Vasconcellos]]</f>
        <v>0</v>
      </c>
      <c r="BF14" s="72">
        <f>Tabela4[[#This Row],[Linho Lev Alimentos]]</f>
        <v>0</v>
      </c>
      <c r="BG14" s="72">
        <f>Tabela4[[#This Row],[Ernani Czapla]]</f>
        <v>0</v>
      </c>
      <c r="BH14" s="72">
        <f>Tabela4[[#This Row],[Valesca Da Luz]]</f>
        <v>0</v>
      </c>
      <c r="BI14" s="72">
        <f>Tabela4[[#This Row],[Olavo Mildner]]</f>
        <v>0</v>
      </c>
      <c r="BJ14" s="72">
        <f>Tabela4[[#This Row],[Dilnei Rohled]]</f>
        <v>0</v>
      </c>
      <c r="BK14" s="72">
        <f>Tabela4[[#This Row],[Shaiana Signorini]]</f>
        <v>0</v>
      </c>
      <c r="BL14" s="72">
        <f>Tabela4[[#This Row],[Fonse Atacado]]</f>
        <v>0</v>
      </c>
      <c r="BM14" s="72">
        <f>Tabela4[[#This Row],[Comercial de Alimentos]]</f>
        <v>0</v>
      </c>
      <c r="BN14" s="72">
        <f>Tabela4[[#This Row],[Ivone Kasburg Serralheria]]</f>
        <v>0</v>
      </c>
      <c r="BO14" s="72">
        <f>Tabela4[[#This Row],[Mercado Ceretta]]</f>
        <v>0</v>
      </c>
      <c r="BP14" s="72">
        <f>Tabela4[[#This Row],[Antonio Carlos Dos Santos Pereira]]</f>
        <v>0</v>
      </c>
      <c r="BQ14" s="72">
        <f>Tabela4[[#This Row],[Volnei Lemos Avila - Me]]</f>
        <v>0</v>
      </c>
      <c r="BR14" s="72">
        <f>Tabela4[[#This Row],[Silvana Meneghini]]</f>
        <v>0</v>
      </c>
      <c r="BS14" s="72">
        <f>Tabela4[[#This Row],[Eficaz Engenharia Ltda]]</f>
        <v>0</v>
      </c>
      <c r="BT14" s="72">
        <f>SUM(Tabela4[[#Headers],[Tania Regina Schmaltz - 01]:[Tania Regina Schmaltz - 02]])</f>
        <v>0</v>
      </c>
      <c r="BU14" s="72">
        <f>Tabela4[[#This Row],[Camila Ceretta Segatto]]</f>
        <v>0</v>
      </c>
      <c r="BV14" s="72">
        <f>Tabela4[[#This Row],[Vagner Ribas Dos Santos]]</f>
        <v>0</v>
      </c>
      <c r="BW14" s="72">
        <f>Tabela4[[#This Row],[Claudio Alfredo Konrat]]</f>
        <v>0</v>
      </c>
    </row>
    <row r="15" spans="1:75" x14ac:dyDescent="0.25">
      <c r="A15" s="70">
        <v>43497</v>
      </c>
      <c r="B15" s="72">
        <f>SUM(Tabela4[[#This Row],[Marlon Colovini - 01]:[Marlon Colovini - 02]])</f>
        <v>187.48</v>
      </c>
      <c r="C15" s="72">
        <f>Tabela4[[#This Row],[Mara Barichello]]</f>
        <v>136.76</v>
      </c>
      <c r="D15" s="72">
        <f>Tabela4[[#This Row],[Jandira Dutra]]</f>
        <v>103.1</v>
      </c>
      <c r="E15" s="72">
        <f>Tabela4[[#This Row],[Luiz Fernando Kruger]]</f>
        <v>175.43</v>
      </c>
      <c r="F15" s="72">
        <f>SUM(Tabela4[[#This Row],[Paulo Bohn - 01]:[Paulo Bohn - 04]])</f>
        <v>531.5</v>
      </c>
      <c r="G15" s="72">
        <f>Tabela4[[#This Row],[Analia (Clodoaldo Entre-Ijuis)]]</f>
        <v>197.12</v>
      </c>
      <c r="H15" s="72">
        <f>Tabela4[[#This Row],[Biroh]]</f>
        <v>1043.33</v>
      </c>
      <c r="I15" s="72">
        <f>Tabela4[[#This Row],[Gelson Posser]]</f>
        <v>232.67</v>
      </c>
      <c r="J15" s="72">
        <f>Tabela4[[#This Row],[Supermercado Caryone]]</f>
        <v>3099.95</v>
      </c>
      <c r="K15" s="72">
        <f>Tabela4[[#This Row],[Ernani Minetto]]</f>
        <v>308.20999999999998</v>
      </c>
      <c r="L15" s="72">
        <f>Tabela4[[#This Row],[Jair Moscon]]</f>
        <v>168.67</v>
      </c>
      <c r="M15" s="72">
        <f>SUM(Tabela4[[#This Row],[Fabio Milke - 01]:[Fabio Milke - 02]])</f>
        <v>490.33000000000004</v>
      </c>
      <c r="N15" s="72">
        <f>Tabela4[[#This Row],[Piaia]]</f>
        <v>289.08</v>
      </c>
      <c r="O15" s="72">
        <f>Tabela4[[#This Row],[Osmar Veronese]]</f>
        <v>160.79</v>
      </c>
      <c r="P15" s="72">
        <f>Tabela4[[#This Row],[ José Luiz Moraes]]</f>
        <v>191.48</v>
      </c>
      <c r="Q15" s="72">
        <f>Tabela4[[#This Row],[Supermercado Cripy]]</f>
        <v>3099.95</v>
      </c>
      <c r="R15" s="72">
        <f>Tabela4[[#This Row],[Gláucio Lipski (Giruá)]]</f>
        <v>165.51</v>
      </c>
      <c r="S15" s="72">
        <f>Tabela4[[#This Row],[Contri]]</f>
        <v>869.77</v>
      </c>
      <c r="T15" s="72">
        <f>Tabela4[[#This Row],[Cleci Rubi]]</f>
        <v>59.43</v>
      </c>
      <c r="U15" s="72">
        <f>Tabela4[[#This Row],[Betine Rost]]</f>
        <v>142.85</v>
      </c>
      <c r="V15" s="72">
        <f>SUM(Tabela4[[#This Row],[Robinson Fetter - 01]:[Robinson Fetter - 03]])</f>
        <v>438.9</v>
      </c>
      <c r="W15" s="72">
        <f>Tabela4[[#This Row],[Fabio De Moura]]</f>
        <v>140.13</v>
      </c>
      <c r="X15" s="72">
        <f>Tabela4[[#This Row],[Rochele Santos Moraes]]</f>
        <v>130.77000000000001</v>
      </c>
      <c r="Y15" s="72">
        <f>Tabela4[[#This Row],[Auto Posto Kairã]]</f>
        <v>368.66</v>
      </c>
      <c r="Z15" s="72">
        <f>Tabela4[[#This Row],[Erno Schiefelbain]]</f>
        <v>25.68</v>
      </c>
      <c r="AA15" s="72">
        <f>Tabela4[[#This Row],[José Paulo Backes]]</f>
        <v>46.85</v>
      </c>
      <c r="AB15" s="72">
        <f>Tabela4[[#This Row],[Gelso Tofolo]]</f>
        <v>478.59</v>
      </c>
      <c r="AC15" s="72">
        <f>Tabela4[[#This Row],[Diamantino]]</f>
        <v>471.55</v>
      </c>
      <c r="AD15" s="72">
        <f>Tabela4[[#This Row],[Mercado Bueno]]</f>
        <v>4271.25</v>
      </c>
      <c r="AE15" s="72">
        <f>Tabela4[[#This Row],[Daniela Donadel Massalai]]</f>
        <v>0</v>
      </c>
      <c r="AF15" s="72">
        <f>Tabela4[[#This Row],[Comercio De Moto Peças Irmãos Guarani Ltda]]</f>
        <v>0</v>
      </c>
      <c r="AG15" s="72">
        <f>Tabela4[[#This Row],[Mauricio Luis Lunardi]]</f>
        <v>0</v>
      </c>
      <c r="AH15" s="72">
        <f>Tabela4[[#This Row],[Rosa Maria Restle Radunz]]</f>
        <v>0</v>
      </c>
      <c r="AI15" s="72">
        <f>Tabela4[[#This Row],[Ivo Amaral De Oliveira]]</f>
        <v>0</v>
      </c>
      <c r="AJ15" s="72">
        <f>Tabela4[[#This Row],[Silvio Robert Lemos Avila]]</f>
        <v>0</v>
      </c>
      <c r="AK15" s="72">
        <f>Tabela4[[#This Row],[Eldo Rost]]</f>
        <v>0</v>
      </c>
      <c r="AL15" s="72">
        <f>SUM(Tabela4[[#This Row],[Padaria Avenida - 01]:[Padaria Avenida - 02]])</f>
        <v>0</v>
      </c>
      <c r="AM15" s="72">
        <f>Tabela4[[#This Row],[Cristiano Anshau]]</f>
        <v>0</v>
      </c>
      <c r="AN15" s="72">
        <f>Tabela4[[#This Row],[Luciana Claudete Meirelles Correa]]</f>
        <v>0</v>
      </c>
      <c r="AO15" s="72">
        <f>Tabela4[[#This Row],[Marcio Jose Siqueira]]</f>
        <v>0</v>
      </c>
      <c r="AP15" s="72">
        <f>Tabela4[[#This Row],[Marcos Rogerio Kessler]]</f>
        <v>0</v>
      </c>
      <c r="AQ15" s="72">
        <f>SUM(Tabela4[[#This Row],[AABB - 01]:[AABB - 02]])</f>
        <v>0</v>
      </c>
      <c r="AR15" s="72">
        <f>SUM(Tabela4[[#This Row],[Wanda Burkard - 01]:[Wanda Burkard - 02]])</f>
        <v>0</v>
      </c>
      <c r="AS15" s="72">
        <f>Tabela4[[#This Row],[Silvio Robert Lemos Avila Me]]</f>
        <v>0</v>
      </c>
      <c r="AT15" s="72">
        <f>Tabela4[[#This Row],[Carmelo]]</f>
        <v>0</v>
      </c>
      <c r="AU15" s="72">
        <f>Tabela4[[#This Row],[Antonio Dal Forno]]</f>
        <v>0</v>
      </c>
      <c r="AV15" s="72">
        <f>Tabela4[[#This Row],[Marisane Paulus]]</f>
        <v>0</v>
      </c>
      <c r="AW15" s="72">
        <f>Tabela4[[#This Row],[Segatto Ceretta Ltda]]</f>
        <v>0</v>
      </c>
      <c r="AX15" s="72">
        <f>SUM(Tabela4[[#This Row],[APAE - 01]:[APAE - 02]])</f>
        <v>0</v>
      </c>
      <c r="AY15" s="72">
        <f>Tabela4[[#This Row],[Cássio Burin]]</f>
        <v>80.59</v>
      </c>
      <c r="AZ15" s="72">
        <f>Tabela4[[#This Row],[Patrick Kristoschek Da Silva]]</f>
        <v>0</v>
      </c>
      <c r="BA15" s="72">
        <f>Tabela4[[#This Row],[Silvio Robert Ávila - (Valmir)]]</f>
        <v>0</v>
      </c>
      <c r="BB15" s="72">
        <f>Tabela4[[#This Row],[Zederson Jose Della Flora]]</f>
        <v>0</v>
      </c>
      <c r="BC15" s="72">
        <f>Tabela4[[#This Row],[Carlos Walmir Larsão Rolim]]</f>
        <v>0</v>
      </c>
      <c r="BD15" s="72">
        <f>Tabela4[[#This Row],[Danieli Missio]]</f>
        <v>0</v>
      </c>
      <c r="BE15" s="72">
        <f>Tabela4[[#This Row],[José Vasconcellos]]</f>
        <v>0</v>
      </c>
      <c r="BF15" s="72">
        <f>Tabela4[[#This Row],[Linho Lev Alimentos]]</f>
        <v>0</v>
      </c>
      <c r="BG15" s="72">
        <f>Tabela4[[#This Row],[Ernani Czapla]]</f>
        <v>0</v>
      </c>
      <c r="BH15" s="72">
        <f>Tabela4[[#This Row],[Valesca Da Luz]]</f>
        <v>0</v>
      </c>
      <c r="BI15" s="72">
        <f>Tabela4[[#This Row],[Olavo Mildner]]</f>
        <v>0</v>
      </c>
      <c r="BJ15" s="72">
        <f>Tabela4[[#This Row],[Dilnei Rohled]]</f>
        <v>0</v>
      </c>
      <c r="BK15" s="72">
        <f>Tabela4[[#This Row],[Shaiana Signorini]]</f>
        <v>0</v>
      </c>
      <c r="BL15" s="72">
        <f>Tabela4[[#This Row],[Fonse Atacado]]</f>
        <v>0</v>
      </c>
      <c r="BM15" s="72">
        <f>Tabela4[[#This Row],[Comercial de Alimentos]]</f>
        <v>0</v>
      </c>
      <c r="BN15" s="72">
        <f>Tabela4[[#This Row],[Ivone Kasburg Serralheria]]</f>
        <v>0</v>
      </c>
      <c r="BO15" s="72">
        <f>Tabela4[[#This Row],[Mercado Ceretta]]</f>
        <v>0</v>
      </c>
      <c r="BP15" s="72">
        <f>Tabela4[[#This Row],[Antonio Carlos Dos Santos Pereira]]</f>
        <v>0</v>
      </c>
      <c r="BQ15" s="72">
        <f>Tabela4[[#This Row],[Volnei Lemos Avila - Me]]</f>
        <v>0</v>
      </c>
      <c r="BR15" s="72">
        <f>Tabela4[[#This Row],[Silvana Meneghini]]</f>
        <v>0</v>
      </c>
      <c r="BS15" s="72">
        <f>Tabela4[[#This Row],[Eficaz Engenharia Ltda]]</f>
        <v>0</v>
      </c>
      <c r="BT15" s="72">
        <f>SUM(Tabela4[[#Headers],[Tania Regina Schmaltz - 01]:[Tania Regina Schmaltz - 02]])</f>
        <v>0</v>
      </c>
      <c r="BU15" s="72">
        <f>Tabela4[[#This Row],[Camila Ceretta Segatto]]</f>
        <v>0</v>
      </c>
      <c r="BV15" s="72">
        <f>Tabela4[[#This Row],[Vagner Ribas Dos Santos]]</f>
        <v>0</v>
      </c>
      <c r="BW15" s="72">
        <f>Tabela4[[#This Row],[Claudio Alfredo Konrat]]</f>
        <v>0</v>
      </c>
    </row>
    <row r="16" spans="1:75" x14ac:dyDescent="0.25">
      <c r="A16" s="70">
        <v>43525</v>
      </c>
      <c r="B16" s="72">
        <f>SUM(Tabela4[[#This Row],[Marlon Colovini - 01]:[Marlon Colovini - 02]])</f>
        <v>127.2</v>
      </c>
      <c r="C16" s="72">
        <f>Tabela4[[#This Row],[Mara Barichello]]</f>
        <v>0</v>
      </c>
      <c r="D16" s="72">
        <f>Tabela4[[#This Row],[Jandira Dutra]]</f>
        <v>92.15</v>
      </c>
      <c r="E16" s="72">
        <f>Tabela4[[#This Row],[Luiz Fernando Kruger]]</f>
        <v>91.09</v>
      </c>
      <c r="F16" s="72">
        <f>SUM(Tabela4[[#This Row],[Paulo Bohn - 01]:[Paulo Bohn - 04]])</f>
        <v>368.19</v>
      </c>
      <c r="G16" s="72">
        <f>Tabela4[[#This Row],[Analia (Clodoaldo Entre-Ijuis)]]</f>
        <v>56.54</v>
      </c>
      <c r="H16" s="72">
        <f>Tabela4[[#This Row],[Biroh]]</f>
        <v>689.51</v>
      </c>
      <c r="I16" s="72">
        <f>Tabela4[[#This Row],[Gelson Posser]]</f>
        <v>66.31</v>
      </c>
      <c r="J16" s="72">
        <f>Tabela4[[#This Row],[Supermercado Caryone]]</f>
        <v>1541.27</v>
      </c>
      <c r="K16" s="72">
        <f>Tabela4[[#This Row],[Ernani Minetto]]</f>
        <v>331.34</v>
      </c>
      <c r="L16" s="72">
        <f>Tabela4[[#This Row],[Jair Moscon]]</f>
        <v>169.87</v>
      </c>
      <c r="M16" s="72">
        <f>SUM(Tabela4[[#This Row],[Fabio Milke - 01]:[Fabio Milke - 02]])</f>
        <v>429.46999999999997</v>
      </c>
      <c r="N16" s="72">
        <f>Tabela4[[#This Row],[Piaia]]</f>
        <v>839.73</v>
      </c>
      <c r="O16" s="72">
        <f>Tabela4[[#This Row],[Osmar Veronese]]</f>
        <v>205.66</v>
      </c>
      <c r="P16" s="72">
        <f>Tabela4[[#This Row],[ José Luiz Moraes]]</f>
        <v>134.91</v>
      </c>
      <c r="Q16" s="72">
        <f>Tabela4[[#This Row],[Supermercado Cripy]]</f>
        <v>1541.27</v>
      </c>
      <c r="R16" s="72">
        <f>Tabela4[[#This Row],[Gláucio Lipski (Giruá)]]</f>
        <v>147.76</v>
      </c>
      <c r="S16" s="72">
        <f>Tabela4[[#This Row],[Contri]]</f>
        <v>962.03</v>
      </c>
      <c r="T16" s="72">
        <f>Tabela4[[#This Row],[Cleci Rubi]]</f>
        <v>63.38</v>
      </c>
      <c r="U16" s="72">
        <f>Tabela4[[#This Row],[Betine Rost]]</f>
        <v>137.61000000000001</v>
      </c>
      <c r="V16" s="72">
        <f>SUM(Tabela4[[#This Row],[Robinson Fetter - 01]:[Robinson Fetter - 03]])</f>
        <v>209.13</v>
      </c>
      <c r="W16" s="72">
        <f>Tabela4[[#This Row],[Fabio De Moura]]</f>
        <v>132.35</v>
      </c>
      <c r="X16" s="72">
        <f>Tabela4[[#This Row],[Rochele Santos Moraes]]</f>
        <v>155</v>
      </c>
      <c r="Y16" s="72">
        <f>Tabela4[[#This Row],[Auto Posto Kairã]]</f>
        <v>335.2</v>
      </c>
      <c r="Z16" s="72">
        <f>Tabela4[[#This Row],[Erno Schiefelbain]]</f>
        <v>25.44</v>
      </c>
      <c r="AA16" s="72">
        <f>Tabela4[[#This Row],[José Paulo Backes]]</f>
        <v>60.13</v>
      </c>
      <c r="AB16" s="72">
        <f>Tabela4[[#This Row],[Gelso Tofolo]]</f>
        <v>510.46</v>
      </c>
      <c r="AC16" s="72">
        <f>Tabela4[[#This Row],[Diamantino]]</f>
        <v>482.97</v>
      </c>
      <c r="AD16" s="72">
        <f>Tabela4[[#This Row],[Mercado Bueno]]</f>
        <v>0</v>
      </c>
      <c r="AE16" s="72">
        <f>Tabela4[[#This Row],[Daniela Donadel Massalai]]</f>
        <v>141.16999999999999</v>
      </c>
      <c r="AF16" s="72">
        <f>Tabela4[[#This Row],[Comercio De Moto Peças Irmãos Guarani Ltda]]</f>
        <v>942.56</v>
      </c>
      <c r="AG16" s="72">
        <f>Tabela4[[#This Row],[Mauricio Luis Lunardi]]</f>
        <v>209.8</v>
      </c>
      <c r="AH16" s="72">
        <f>Tabela4[[#This Row],[Rosa Maria Restle Radunz]]</f>
        <v>46.06</v>
      </c>
      <c r="AI16" s="72">
        <f>Tabela4[[#This Row],[Ivo Amaral De Oliveira]]</f>
        <v>0</v>
      </c>
      <c r="AJ16" s="72">
        <f>Tabela4[[#This Row],[Silvio Robert Lemos Avila]]</f>
        <v>165.89</v>
      </c>
      <c r="AK16" s="72">
        <f>Tabela4[[#This Row],[Eldo Rost]]</f>
        <v>0</v>
      </c>
      <c r="AL16" s="72">
        <f>SUM(Tabela4[[#This Row],[Padaria Avenida - 01]:[Padaria Avenida - 02]])</f>
        <v>0</v>
      </c>
      <c r="AM16" s="72">
        <f>Tabela4[[#This Row],[Cristiano Anshau]]</f>
        <v>0</v>
      </c>
      <c r="AN16" s="72">
        <f>Tabela4[[#This Row],[Luciana Claudete Meirelles Correa]]</f>
        <v>0</v>
      </c>
      <c r="AO16" s="72">
        <f>Tabela4[[#This Row],[Marcio Jose Siqueira]]</f>
        <v>0</v>
      </c>
      <c r="AP16" s="72">
        <f>Tabela4[[#This Row],[Marcos Rogerio Kessler]]</f>
        <v>0</v>
      </c>
      <c r="AQ16" s="72">
        <f>SUM(Tabela4[[#This Row],[AABB - 01]:[AABB - 02]])</f>
        <v>0</v>
      </c>
      <c r="AR16" s="72">
        <f>SUM(Tabela4[[#This Row],[Wanda Burkard - 01]:[Wanda Burkard - 02]])</f>
        <v>0</v>
      </c>
      <c r="AS16" s="72">
        <f>Tabela4[[#This Row],[Silvio Robert Lemos Avila Me]]</f>
        <v>0</v>
      </c>
      <c r="AT16" s="72">
        <f>Tabela4[[#This Row],[Carmelo]]</f>
        <v>0</v>
      </c>
      <c r="AU16" s="72">
        <f>Tabela4[[#This Row],[Antonio Dal Forno]]</f>
        <v>0</v>
      </c>
      <c r="AV16" s="72">
        <f>Tabela4[[#This Row],[Marisane Paulus]]</f>
        <v>0</v>
      </c>
      <c r="AW16" s="72">
        <f>Tabela4[[#This Row],[Segatto Ceretta Ltda]]</f>
        <v>0</v>
      </c>
      <c r="AX16" s="72">
        <f>SUM(Tabela4[[#This Row],[APAE - 01]:[APAE - 02]])</f>
        <v>0</v>
      </c>
      <c r="AY16" s="72">
        <f>Tabela4[[#This Row],[Cássio Burin]]</f>
        <v>68.94</v>
      </c>
      <c r="AZ16" s="72">
        <f>Tabela4[[#This Row],[Patrick Kristoschek Da Silva]]</f>
        <v>0</v>
      </c>
      <c r="BA16" s="72">
        <f>Tabela4[[#This Row],[Silvio Robert Ávila - (Valmir)]]</f>
        <v>0</v>
      </c>
      <c r="BB16" s="72">
        <f>Tabela4[[#This Row],[Zederson Jose Della Flora]]</f>
        <v>0</v>
      </c>
      <c r="BC16" s="72">
        <f>Tabela4[[#This Row],[Carlos Walmir Larsão Rolim]]</f>
        <v>0</v>
      </c>
      <c r="BD16" s="72">
        <f>Tabela4[[#This Row],[Danieli Missio]]</f>
        <v>0</v>
      </c>
      <c r="BE16" s="72">
        <f>Tabela4[[#This Row],[José Vasconcellos]]</f>
        <v>0</v>
      </c>
      <c r="BF16" s="72">
        <f>Tabela4[[#This Row],[Linho Lev Alimentos]]</f>
        <v>0</v>
      </c>
      <c r="BG16" s="72">
        <f>Tabela4[[#This Row],[Ernani Czapla]]</f>
        <v>0</v>
      </c>
      <c r="BH16" s="72">
        <f>Tabela4[[#This Row],[Valesca Da Luz]]</f>
        <v>0</v>
      </c>
      <c r="BI16" s="72">
        <f>Tabela4[[#This Row],[Olavo Mildner]]</f>
        <v>0</v>
      </c>
      <c r="BJ16" s="72">
        <f>Tabela4[[#This Row],[Dilnei Rohled]]</f>
        <v>0</v>
      </c>
      <c r="BK16" s="72">
        <f>Tabela4[[#This Row],[Shaiana Signorini]]</f>
        <v>0</v>
      </c>
      <c r="BL16" s="72">
        <f>Tabela4[[#This Row],[Fonse Atacado]]</f>
        <v>0</v>
      </c>
      <c r="BM16" s="72">
        <f>Tabela4[[#This Row],[Comercial de Alimentos]]</f>
        <v>0</v>
      </c>
      <c r="BN16" s="72">
        <f>Tabela4[[#This Row],[Ivone Kasburg Serralheria]]</f>
        <v>0</v>
      </c>
      <c r="BO16" s="72">
        <f>Tabela4[[#This Row],[Mercado Ceretta]]</f>
        <v>0</v>
      </c>
      <c r="BP16" s="72">
        <f>Tabela4[[#This Row],[Antonio Carlos Dos Santos Pereira]]</f>
        <v>0</v>
      </c>
      <c r="BQ16" s="72">
        <f>Tabela4[[#This Row],[Volnei Lemos Avila - Me]]</f>
        <v>0</v>
      </c>
      <c r="BR16" s="72">
        <f>Tabela4[[#This Row],[Silvana Meneghini]]</f>
        <v>0</v>
      </c>
      <c r="BS16" s="72">
        <f>Tabela4[[#This Row],[Eficaz Engenharia Ltda]]</f>
        <v>0</v>
      </c>
      <c r="BT16" s="72">
        <f>SUM(Tabela4[[#Headers],[Tania Regina Schmaltz - 01]:[Tania Regina Schmaltz - 02]])</f>
        <v>0</v>
      </c>
      <c r="BU16" s="72">
        <f>Tabela4[[#This Row],[Camila Ceretta Segatto]]</f>
        <v>0</v>
      </c>
      <c r="BV16" s="72">
        <f>Tabela4[[#This Row],[Vagner Ribas Dos Santos]]</f>
        <v>0</v>
      </c>
      <c r="BW16" s="72">
        <f>Tabela4[[#This Row],[Claudio Alfredo Konrat]]</f>
        <v>0</v>
      </c>
    </row>
    <row r="17" spans="1:75" x14ac:dyDescent="0.25">
      <c r="A17" s="70">
        <v>43556</v>
      </c>
      <c r="B17" s="72">
        <f>SUM(Tabela4[[#This Row],[Marlon Colovini - 01]:[Marlon Colovini - 02]])</f>
        <v>123.10000000000001</v>
      </c>
      <c r="C17" s="72">
        <f>Tabela4[[#This Row],[Mara Barichello]]</f>
        <v>135.93</v>
      </c>
      <c r="D17" s="72">
        <f>Tabela4[[#This Row],[Jandira Dutra]]</f>
        <v>75.84</v>
      </c>
      <c r="E17" s="72">
        <f>Tabela4[[#This Row],[Luiz Fernando Kruger]]</f>
        <v>71.42</v>
      </c>
      <c r="F17" s="72">
        <f>SUM(Tabela4[[#This Row],[Paulo Bohn - 01]:[Paulo Bohn - 04]])</f>
        <v>391.28999999999996</v>
      </c>
      <c r="G17" s="72">
        <f>Tabela4[[#This Row],[Analia (Clodoaldo Entre-Ijuis)]]</f>
        <v>53.17</v>
      </c>
      <c r="H17" s="72">
        <f>Tabela4[[#This Row],[Biroh]]</f>
        <v>686.69</v>
      </c>
      <c r="I17" s="72">
        <f>Tabela4[[#This Row],[Gelson Posser]]</f>
        <v>61.34</v>
      </c>
      <c r="J17" s="72">
        <f>Tabela4[[#This Row],[Supermercado Caryone]]</f>
        <v>1040.69</v>
      </c>
      <c r="K17" s="72">
        <f>Tabela4[[#This Row],[Ernani Minetto]]</f>
        <v>198.18</v>
      </c>
      <c r="L17" s="72">
        <f>Tabela4[[#This Row],[Jair Moscon]]</f>
        <v>177.91</v>
      </c>
      <c r="M17" s="72">
        <f>SUM(Tabela4[[#This Row],[Fabio Milke - 01]:[Fabio Milke - 02]])</f>
        <v>274.52</v>
      </c>
      <c r="N17" s="72">
        <f>Tabela4[[#This Row],[Piaia]]</f>
        <v>669.85</v>
      </c>
      <c r="O17" s="72">
        <f>Tabela4[[#This Row],[Osmar Veronese]]</f>
        <v>189.63</v>
      </c>
      <c r="P17" s="72">
        <f>Tabela4[[#This Row],[ José Luiz Moraes]]</f>
        <v>157.93</v>
      </c>
      <c r="Q17" s="72">
        <f>Tabela4[[#This Row],[Supermercado Cripy]]</f>
        <v>1040.69</v>
      </c>
      <c r="R17" s="72">
        <f>Tabela4[[#This Row],[Gláucio Lipski (Giruá)]]</f>
        <v>135.01</v>
      </c>
      <c r="S17" s="72">
        <f>Tabela4[[#This Row],[Contri]]</f>
        <v>853.25</v>
      </c>
      <c r="T17" s="72">
        <f>Tabela4[[#This Row],[Cleci Rubi]]</f>
        <v>59.24</v>
      </c>
      <c r="U17" s="72">
        <f>Tabela4[[#This Row],[Betine Rost]]</f>
        <v>118.53</v>
      </c>
      <c r="V17" s="72">
        <f>SUM(Tabela4[[#This Row],[Robinson Fetter - 01]:[Robinson Fetter - 03]])</f>
        <v>342.24</v>
      </c>
      <c r="W17" s="72">
        <f>Tabela4[[#This Row],[Fabio De Moura]]</f>
        <v>79.66</v>
      </c>
      <c r="X17" s="72">
        <f>Tabela4[[#This Row],[Rochele Santos Moraes]]</f>
        <v>154.43</v>
      </c>
      <c r="Y17" s="72">
        <f>Tabela4[[#This Row],[Auto Posto Kairã]]</f>
        <v>500.24</v>
      </c>
      <c r="Z17" s="72">
        <f>Tabela4[[#This Row],[Erno Schiefelbain]]</f>
        <v>25.44</v>
      </c>
      <c r="AA17" s="72">
        <f>Tabela4[[#This Row],[José Paulo Backes]]</f>
        <v>46.36</v>
      </c>
      <c r="AB17" s="72">
        <f>Tabela4[[#This Row],[Gelso Tofolo]]</f>
        <v>568.97</v>
      </c>
      <c r="AC17" s="72">
        <f>Tabela4[[#This Row],[Diamantino]]</f>
        <v>405.97</v>
      </c>
      <c r="AD17" s="72">
        <f>Tabela4[[#This Row],[Mercado Bueno]]</f>
        <v>0</v>
      </c>
      <c r="AE17" s="72">
        <f>Tabela4[[#This Row],[Daniela Donadel Massalai]]</f>
        <v>64.319999999999993</v>
      </c>
      <c r="AF17" s="72">
        <f>Tabela4[[#This Row],[Comercio De Moto Peças Irmãos Guarani Ltda]]</f>
        <v>243.37</v>
      </c>
      <c r="AG17" s="72">
        <f>Tabela4[[#This Row],[Mauricio Luis Lunardi]]</f>
        <v>184.77</v>
      </c>
      <c r="AH17" s="72">
        <f>Tabela4[[#This Row],[Rosa Maria Restle Radunz]]</f>
        <v>0</v>
      </c>
      <c r="AI17" s="72">
        <f>Tabela4[[#This Row],[Ivo Amaral De Oliveira]]</f>
        <v>209.57</v>
      </c>
      <c r="AJ17" s="72">
        <f>Tabela4[[#This Row],[Silvio Robert Lemos Avila]]</f>
        <v>136.58000000000001</v>
      </c>
      <c r="AK17" s="72">
        <f>Tabela4[[#This Row],[Eldo Rost]]</f>
        <v>279.85000000000002</v>
      </c>
      <c r="AL17" s="72">
        <f>SUM(Tabela4[[#This Row],[Padaria Avenida - 01]:[Padaria Avenida - 02]])</f>
        <v>5550.8</v>
      </c>
      <c r="AM17" s="72">
        <f>Tabela4[[#This Row],[Cristiano Anshau]]</f>
        <v>381.44</v>
      </c>
      <c r="AN17" s="72">
        <f>Tabela4[[#This Row],[Luciana Claudete Meirelles Correa]]</f>
        <v>571.26</v>
      </c>
      <c r="AO17" s="72">
        <f>Tabela4[[#This Row],[Marcio Jose Siqueira]]</f>
        <v>440.93</v>
      </c>
      <c r="AP17" s="72">
        <f>Tabela4[[#This Row],[Marcos Rogerio Kessler]]</f>
        <v>59.24</v>
      </c>
      <c r="AQ17" s="72">
        <f>SUM(Tabela4[[#This Row],[AABB - 01]:[AABB - 02]])</f>
        <v>4700.43</v>
      </c>
      <c r="AR17" s="72">
        <f>SUM(Tabela4[[#This Row],[Wanda Burkard - 01]:[Wanda Burkard - 02]])</f>
        <v>0</v>
      </c>
      <c r="AS17" s="72">
        <f>Tabela4[[#This Row],[Silvio Robert Lemos Avila Me]]</f>
        <v>0</v>
      </c>
      <c r="AT17" s="72">
        <f>Tabela4[[#This Row],[Carmelo]]</f>
        <v>0</v>
      </c>
      <c r="AU17" s="72">
        <f>Tabela4[[#This Row],[Antonio Dal Forno]]</f>
        <v>0</v>
      </c>
      <c r="AV17" s="72">
        <f>Tabela4[[#This Row],[Marisane Paulus]]</f>
        <v>0</v>
      </c>
      <c r="AW17" s="72">
        <f>Tabela4[[#This Row],[Segatto Ceretta Ltda]]</f>
        <v>0</v>
      </c>
      <c r="AX17" s="72">
        <f>SUM(Tabela4[[#This Row],[APAE - 01]:[APAE - 02]])</f>
        <v>0</v>
      </c>
      <c r="AY17" s="72">
        <f>Tabela4[[#This Row],[Cássio Burin]]</f>
        <v>57.7</v>
      </c>
      <c r="AZ17" s="72">
        <f>Tabela4[[#This Row],[Patrick Kristoschek Da Silva]]</f>
        <v>0</v>
      </c>
      <c r="BA17" s="72">
        <f>Tabela4[[#This Row],[Silvio Robert Ávila - (Valmir)]]</f>
        <v>0</v>
      </c>
      <c r="BB17" s="72">
        <f>Tabela4[[#This Row],[Zederson Jose Della Flora]]</f>
        <v>0</v>
      </c>
      <c r="BC17" s="72">
        <f>Tabela4[[#This Row],[Carlos Walmir Larsão Rolim]]</f>
        <v>0</v>
      </c>
      <c r="BD17" s="72">
        <f>Tabela4[[#This Row],[Danieli Missio]]</f>
        <v>0</v>
      </c>
      <c r="BE17" s="72">
        <f>Tabela4[[#This Row],[José Vasconcellos]]</f>
        <v>0</v>
      </c>
      <c r="BF17" s="72">
        <f>Tabela4[[#This Row],[Linho Lev Alimentos]]</f>
        <v>0</v>
      </c>
      <c r="BG17" s="72">
        <f>Tabela4[[#This Row],[Ernani Czapla]]</f>
        <v>0</v>
      </c>
      <c r="BH17" s="72">
        <f>Tabela4[[#This Row],[Valesca Da Luz]]</f>
        <v>0</v>
      </c>
      <c r="BI17" s="72">
        <f>Tabela4[[#This Row],[Olavo Mildner]]</f>
        <v>0</v>
      </c>
      <c r="BJ17" s="72">
        <f>Tabela4[[#This Row],[Dilnei Rohled]]</f>
        <v>0</v>
      </c>
      <c r="BK17" s="72">
        <f>Tabela4[[#This Row],[Shaiana Signorini]]</f>
        <v>0</v>
      </c>
      <c r="BL17" s="72">
        <f>Tabela4[[#This Row],[Fonse Atacado]]</f>
        <v>0</v>
      </c>
      <c r="BM17" s="72">
        <f>Tabela4[[#This Row],[Comercial de Alimentos]]</f>
        <v>0</v>
      </c>
      <c r="BN17" s="72">
        <f>Tabela4[[#This Row],[Ivone Kasburg Serralheria]]</f>
        <v>0</v>
      </c>
      <c r="BO17" s="72">
        <f>Tabela4[[#This Row],[Mercado Ceretta]]</f>
        <v>0</v>
      </c>
      <c r="BP17" s="72">
        <f>Tabela4[[#This Row],[Antonio Carlos Dos Santos Pereira]]</f>
        <v>0</v>
      </c>
      <c r="BQ17" s="72">
        <f>Tabela4[[#This Row],[Volnei Lemos Avila - Me]]</f>
        <v>0</v>
      </c>
      <c r="BR17" s="72">
        <f>Tabela4[[#This Row],[Silvana Meneghini]]</f>
        <v>0</v>
      </c>
      <c r="BS17" s="72">
        <f>Tabela4[[#This Row],[Eficaz Engenharia Ltda]]</f>
        <v>0</v>
      </c>
      <c r="BT17" s="72">
        <f>SUM(Tabela4[[#Headers],[Tania Regina Schmaltz - 01]:[Tania Regina Schmaltz - 02]])</f>
        <v>0</v>
      </c>
      <c r="BU17" s="72">
        <f>Tabela4[[#This Row],[Camila Ceretta Segatto]]</f>
        <v>0</v>
      </c>
      <c r="BV17" s="72">
        <f>Tabela4[[#This Row],[Vagner Ribas Dos Santos]]</f>
        <v>0</v>
      </c>
      <c r="BW17" s="72">
        <f>Tabela4[[#This Row],[Claudio Alfredo Konrat]]</f>
        <v>0</v>
      </c>
    </row>
    <row r="18" spans="1:75" x14ac:dyDescent="0.25">
      <c r="A18" s="70">
        <v>43586</v>
      </c>
      <c r="B18" s="72">
        <f>SUM(Tabela4[[#This Row],[Marlon Colovini - 01]:[Marlon Colovini - 02]])</f>
        <v>111.73</v>
      </c>
      <c r="C18" s="72">
        <f>Tabela4[[#This Row],[Mara Barichello]]</f>
        <v>150.79</v>
      </c>
      <c r="D18" s="72">
        <f>Tabela4[[#This Row],[Jandira Dutra]]</f>
        <v>119.82</v>
      </c>
      <c r="E18" s="72">
        <f>Tabela4[[#This Row],[Luiz Fernando Kruger]]</f>
        <v>231.68</v>
      </c>
      <c r="F18" s="72">
        <f>SUM(Tabela4[[#This Row],[Paulo Bohn - 01]:[Paulo Bohn - 04]])</f>
        <v>478.77</v>
      </c>
      <c r="G18" s="72">
        <f>Tabela4[[#This Row],[Analia (Clodoaldo Entre-Ijuis)]]</f>
        <v>56.26</v>
      </c>
      <c r="H18" s="72">
        <f>Tabela4[[#This Row],[Biroh]]</f>
        <v>959.5</v>
      </c>
      <c r="I18" s="72">
        <f>Tabela4[[#This Row],[Gelson Posser]]</f>
        <v>79.98</v>
      </c>
      <c r="J18" s="72">
        <f>Tabela4[[#This Row],[Supermercado Caryone]]</f>
        <v>2664.35</v>
      </c>
      <c r="K18" s="72">
        <f>Tabela4[[#This Row],[Ernani Minetto]]</f>
        <v>721.28</v>
      </c>
      <c r="L18" s="72">
        <f>Tabela4[[#This Row],[Jair Moscon]]</f>
        <v>188.85</v>
      </c>
      <c r="M18" s="72">
        <f>SUM(Tabela4[[#This Row],[Fabio Milke - 01]:[Fabio Milke - 02]])</f>
        <v>349.47</v>
      </c>
      <c r="N18" s="72">
        <f>Tabela4[[#This Row],[Piaia]]</f>
        <v>1264.3900000000001</v>
      </c>
      <c r="O18" s="72">
        <f>Tabela4[[#This Row],[Osmar Veronese]]</f>
        <v>223.14</v>
      </c>
      <c r="P18" s="72">
        <f>Tabela4[[#This Row],[ José Luiz Moraes]]</f>
        <v>157.93</v>
      </c>
      <c r="Q18" s="72">
        <f>Tabela4[[#This Row],[Supermercado Cripy]]</f>
        <v>2664.35</v>
      </c>
      <c r="R18" s="72">
        <f>Tabela4[[#This Row],[Gláucio Lipski (Giruá)]]</f>
        <v>148.47999999999999</v>
      </c>
      <c r="S18" s="72">
        <f>Tabela4[[#This Row],[Contri]]</f>
        <v>959.48</v>
      </c>
      <c r="T18" s="72">
        <f>Tabela4[[#This Row],[Cleci Rubi]]</f>
        <v>66.680000000000007</v>
      </c>
      <c r="U18" s="72">
        <f>Tabela4[[#This Row],[Betine Rost]]</f>
        <v>126.93</v>
      </c>
      <c r="V18" s="72">
        <f>SUM(Tabela4[[#This Row],[Robinson Fetter - 01]:[Robinson Fetter - 03]])</f>
        <v>779.08999999999992</v>
      </c>
      <c r="W18" s="72">
        <f>Tabela4[[#This Row],[Fabio De Moura]]</f>
        <v>100.79</v>
      </c>
      <c r="X18" s="72">
        <f>Tabela4[[#This Row],[Rochele Santos Moraes]]</f>
        <v>222.41</v>
      </c>
      <c r="Y18" s="72">
        <f>Tabela4[[#This Row],[Auto Posto Kairã]]</f>
        <v>1326.65</v>
      </c>
      <c r="Z18" s="72">
        <f>Tabela4[[#This Row],[Erno Schiefelbain]]</f>
        <v>25.46</v>
      </c>
      <c r="AA18" s="72">
        <f>Tabela4[[#This Row],[José Paulo Backes]]</f>
        <v>46.4</v>
      </c>
      <c r="AB18" s="72">
        <f>Tabela4[[#This Row],[Gelso Tofolo]]</f>
        <v>1687.61</v>
      </c>
      <c r="AC18" s="72">
        <f>Tabela4[[#This Row],[Diamantino]]</f>
        <v>829.38</v>
      </c>
      <c r="AD18" s="72">
        <f>Tabela4[[#This Row],[Mercado Bueno]]</f>
        <v>555.70000000000005</v>
      </c>
      <c r="AE18" s="72">
        <f>Tabela4[[#This Row],[Daniela Donadel Massalai]]</f>
        <v>70.72</v>
      </c>
      <c r="AF18" s="72">
        <f>Tabela4[[#This Row],[Comercio De Moto Peças Irmãos Guarani Ltda]]</f>
        <v>388.98</v>
      </c>
      <c r="AG18" s="72">
        <f>Tabela4[[#This Row],[Mauricio Luis Lunardi]]</f>
        <v>182.19</v>
      </c>
      <c r="AH18" s="72">
        <f>Tabela4[[#This Row],[Rosa Maria Restle Radunz]]</f>
        <v>64.12</v>
      </c>
      <c r="AI18" s="72">
        <f>Tabela4[[#This Row],[Ivo Amaral De Oliveira]]</f>
        <v>288.8</v>
      </c>
      <c r="AJ18" s="72">
        <f>Tabela4[[#This Row],[Silvio Robert Lemos Avila]]</f>
        <v>157.43</v>
      </c>
      <c r="AK18" s="72">
        <f>Tabela4[[#This Row],[Eldo Rost]]</f>
        <v>114.68</v>
      </c>
      <c r="AL18" s="72">
        <f>SUM(Tabela4[[#This Row],[Padaria Avenida - 01]:[Padaria Avenida - 02]])</f>
        <v>4381.1100000000006</v>
      </c>
      <c r="AM18" s="72">
        <f>Tabela4[[#This Row],[Cristiano Anshau]]</f>
        <v>159.97999999999999</v>
      </c>
      <c r="AN18" s="72">
        <f>Tabela4[[#This Row],[Luciana Claudete Meirelles Correa]]</f>
        <v>714.35</v>
      </c>
      <c r="AO18" s="72">
        <f>Tabela4[[#This Row],[Marcio Jose Siqueira]]</f>
        <v>490.85</v>
      </c>
      <c r="AP18" s="72">
        <f>Tabela4[[#This Row],[Marcos Rogerio Kessler]]</f>
        <v>62.79</v>
      </c>
      <c r="AQ18" s="72">
        <f>SUM(Tabela4[[#This Row],[AABB - 01]:[AABB - 02]])</f>
        <v>1334.33</v>
      </c>
      <c r="AR18" s="72">
        <f>SUM(Tabela4[[#This Row],[Wanda Burkard - 01]:[Wanda Burkard - 02]])</f>
        <v>425.68</v>
      </c>
      <c r="AS18" s="72">
        <f>Tabela4[[#This Row],[Silvio Robert Lemos Avila Me]]</f>
        <v>0</v>
      </c>
      <c r="AT18" s="72">
        <f>Tabela4[[#This Row],[Carmelo]]</f>
        <v>0</v>
      </c>
      <c r="AU18" s="72">
        <f>Tabela4[[#This Row],[Antonio Dal Forno]]</f>
        <v>0</v>
      </c>
      <c r="AV18" s="72">
        <f>Tabela4[[#This Row],[Marisane Paulus]]</f>
        <v>0</v>
      </c>
      <c r="AW18" s="72">
        <f>Tabela4[[#This Row],[Segatto Ceretta Ltda]]</f>
        <v>0</v>
      </c>
      <c r="AX18" s="72">
        <f>SUM(Tabela4[[#This Row],[APAE - 01]:[APAE - 02]])</f>
        <v>0</v>
      </c>
      <c r="AY18" s="72">
        <f>Tabela4[[#This Row],[Cássio Burin]]</f>
        <v>58.85</v>
      </c>
      <c r="AZ18" s="72">
        <f>Tabela4[[#This Row],[Patrick Kristoschek Da Silva]]</f>
        <v>0</v>
      </c>
      <c r="BA18" s="72">
        <f>Tabela4[[#This Row],[Silvio Robert Ávila - (Valmir)]]</f>
        <v>0</v>
      </c>
      <c r="BB18" s="72">
        <f>Tabela4[[#This Row],[Zederson Jose Della Flora]]</f>
        <v>0</v>
      </c>
      <c r="BC18" s="72">
        <f>Tabela4[[#This Row],[Carlos Walmir Larsão Rolim]]</f>
        <v>0</v>
      </c>
      <c r="BD18" s="72">
        <f>Tabela4[[#This Row],[Danieli Missio]]</f>
        <v>0</v>
      </c>
      <c r="BE18" s="72">
        <f>Tabela4[[#This Row],[José Vasconcellos]]</f>
        <v>0</v>
      </c>
      <c r="BF18" s="72">
        <f>Tabela4[[#This Row],[Linho Lev Alimentos]]</f>
        <v>0</v>
      </c>
      <c r="BG18" s="72">
        <f>Tabela4[[#This Row],[Ernani Czapla]]</f>
        <v>0</v>
      </c>
      <c r="BH18" s="72">
        <f>Tabela4[[#This Row],[Valesca Da Luz]]</f>
        <v>0</v>
      </c>
      <c r="BI18" s="72">
        <f>Tabela4[[#This Row],[Olavo Mildner]]</f>
        <v>0</v>
      </c>
      <c r="BJ18" s="72">
        <f>Tabela4[[#This Row],[Dilnei Rohled]]</f>
        <v>0</v>
      </c>
      <c r="BK18" s="72">
        <f>Tabela4[[#This Row],[Shaiana Signorini]]</f>
        <v>0</v>
      </c>
      <c r="BL18" s="72">
        <f>Tabela4[[#This Row],[Fonse Atacado]]</f>
        <v>0</v>
      </c>
      <c r="BM18" s="72">
        <f>Tabela4[[#This Row],[Comercial de Alimentos]]</f>
        <v>0</v>
      </c>
      <c r="BN18" s="72">
        <f>Tabela4[[#This Row],[Ivone Kasburg Serralheria]]</f>
        <v>0</v>
      </c>
      <c r="BO18" s="72">
        <f>Tabela4[[#This Row],[Mercado Ceretta]]</f>
        <v>0</v>
      </c>
      <c r="BP18" s="72">
        <f>Tabela4[[#This Row],[Antonio Carlos Dos Santos Pereira]]</f>
        <v>0</v>
      </c>
      <c r="BQ18" s="72">
        <f>Tabela4[[#This Row],[Volnei Lemos Avila - Me]]</f>
        <v>0</v>
      </c>
      <c r="BR18" s="72">
        <f>Tabela4[[#This Row],[Silvana Meneghini]]</f>
        <v>0</v>
      </c>
      <c r="BS18" s="72">
        <f>Tabela4[[#This Row],[Eficaz Engenharia Ltda]]</f>
        <v>0</v>
      </c>
      <c r="BT18" s="72">
        <f>SUM(Tabela4[[#Headers],[Tania Regina Schmaltz - 01]:[Tania Regina Schmaltz - 02]])</f>
        <v>0</v>
      </c>
      <c r="BU18" s="72">
        <f>Tabela4[[#This Row],[Camila Ceretta Segatto]]</f>
        <v>0</v>
      </c>
      <c r="BV18" s="72">
        <f>Tabela4[[#This Row],[Vagner Ribas Dos Santos]]</f>
        <v>0</v>
      </c>
      <c r="BW18" s="72">
        <f>Tabela4[[#This Row],[Claudio Alfredo Konrat]]</f>
        <v>0</v>
      </c>
    </row>
    <row r="19" spans="1:75" x14ac:dyDescent="0.25">
      <c r="A19" s="70">
        <v>43617</v>
      </c>
      <c r="B19" s="72">
        <f>SUM(Tabela4[[#This Row],[Marlon Colovini - 01]:[Marlon Colovini - 02]])</f>
        <v>65.37</v>
      </c>
      <c r="C19" s="72">
        <f>Tabela4[[#This Row],[Mara Barichello]]</f>
        <v>122.69</v>
      </c>
      <c r="D19" s="72">
        <f>Tabela4[[#This Row],[Jandira Dutra]]</f>
        <v>110.22</v>
      </c>
      <c r="E19" s="72">
        <f>Tabela4[[#This Row],[Luiz Fernando Kruger]]</f>
        <v>221.84</v>
      </c>
      <c r="F19" s="72">
        <f>SUM(Tabela4[[#This Row],[Paulo Bohn - 01]:[Paulo Bohn - 04]])</f>
        <v>390.19000000000005</v>
      </c>
      <c r="G19" s="72">
        <f>Tabela4[[#This Row],[Analia (Clodoaldo Entre-Ijuis)]]</f>
        <v>50.2</v>
      </c>
      <c r="H19" s="72">
        <f>Tabela4[[#This Row],[Biroh]]</f>
        <v>784.14</v>
      </c>
      <c r="I19" s="72">
        <f>Tabela4[[#This Row],[Gelson Posser]]</f>
        <v>153.91999999999999</v>
      </c>
      <c r="J19" s="72">
        <f>Tabela4[[#This Row],[Supermercado Caryone]]</f>
        <v>1800.58</v>
      </c>
      <c r="K19" s="72">
        <f>Tabela4[[#This Row],[Ernani Minetto]]</f>
        <v>499.89</v>
      </c>
      <c r="L19" s="72">
        <f>Tabela4[[#This Row],[Jair Moscon]]</f>
        <v>250.27</v>
      </c>
      <c r="M19" s="72">
        <f>SUM(Tabela4[[#This Row],[Fabio Milke - 01]:[Fabio Milke - 02]])</f>
        <v>460.53</v>
      </c>
      <c r="N19" s="72">
        <f>Tabela4[[#This Row],[Piaia]]</f>
        <v>1482.16</v>
      </c>
      <c r="O19" s="72">
        <f>Tabela4[[#This Row],[Osmar Veronese]]</f>
        <v>222.18</v>
      </c>
      <c r="P19" s="72">
        <f>Tabela4[[#This Row],[ José Luiz Moraes]]</f>
        <v>85.45</v>
      </c>
      <c r="Q19" s="72">
        <f>Tabela4[[#This Row],[Supermercado Cripy]]</f>
        <v>1800.58</v>
      </c>
      <c r="R19" s="72">
        <f>Tabela4[[#This Row],[Gláucio Lipski (Giruá)]]</f>
        <v>165.69</v>
      </c>
      <c r="S19" s="72">
        <f>Tabela4[[#This Row],[Contri]]</f>
        <v>1139.05</v>
      </c>
      <c r="T19" s="72">
        <f>Tabela4[[#This Row],[Cleci Rubi]]</f>
        <v>65.37</v>
      </c>
      <c r="U19" s="72">
        <f>Tabela4[[#This Row],[Betine Rost]]</f>
        <v>123.25</v>
      </c>
      <c r="V19" s="72">
        <f>SUM(Tabela4[[#This Row],[Robinson Fetter - 01]:[Robinson Fetter - 03]])</f>
        <v>434.09000000000003</v>
      </c>
      <c r="W19" s="72">
        <f>Tabela4[[#This Row],[Fabio De Moura]]</f>
        <v>95.51</v>
      </c>
      <c r="X19" s="72">
        <f>Tabela4[[#This Row],[Rochele Santos Moraes]]</f>
        <v>108.67</v>
      </c>
      <c r="Y19" s="72">
        <f>Tabela4[[#This Row],[Auto Posto Kairã]]</f>
        <v>952.56</v>
      </c>
      <c r="Z19" s="72">
        <f>Tabela4[[#This Row],[Erno Schiefelbain]]</f>
        <v>26.37</v>
      </c>
      <c r="AA19" s="72">
        <f>Tabela4[[#This Row],[José Paulo Backes]]</f>
        <v>48.22</v>
      </c>
      <c r="AB19" s="72">
        <f>Tabela4[[#This Row],[Gelso Tofolo]]</f>
        <v>1712.38</v>
      </c>
      <c r="AC19" s="72">
        <f>Tabela4[[#This Row],[Diamantino]]</f>
        <v>774.02</v>
      </c>
      <c r="AD19" s="72">
        <f>Tabela4[[#This Row],[Mercado Bueno]]</f>
        <v>456.97</v>
      </c>
      <c r="AE19" s="72">
        <f>Tabela4[[#This Row],[Daniela Donadel Massalai]]</f>
        <v>59.76</v>
      </c>
      <c r="AF19" s="72">
        <f>Tabela4[[#This Row],[Comercio De Moto Peças Irmãos Guarani Ltda]]</f>
        <v>143.13999999999999</v>
      </c>
      <c r="AG19" s="72">
        <f>Tabela4[[#This Row],[Mauricio Luis Lunardi]]</f>
        <v>277.95</v>
      </c>
      <c r="AH19" s="72">
        <f>Tabela4[[#This Row],[Rosa Maria Restle Radunz]]</f>
        <v>0</v>
      </c>
      <c r="AI19" s="72">
        <f>Tabela4[[#This Row],[Ivo Amaral De Oliveira]]</f>
        <v>352.83</v>
      </c>
      <c r="AJ19" s="72">
        <f>Tabela4[[#This Row],[Silvio Robert Lemos Avila]]</f>
        <v>110.29</v>
      </c>
      <c r="AK19" s="72">
        <f>Tabela4[[#This Row],[Eldo Rost]]</f>
        <v>108.9</v>
      </c>
      <c r="AL19" s="72">
        <f>SUM(Tabela4[[#This Row],[Padaria Avenida - 01]:[Padaria Avenida - 02]])</f>
        <v>3140.48</v>
      </c>
      <c r="AM19" s="72">
        <f>Tabela4[[#This Row],[Cristiano Anshau]]</f>
        <v>183.72</v>
      </c>
      <c r="AN19" s="72">
        <f>Tabela4[[#This Row],[Luciana Claudete Meirelles Correa]]</f>
        <v>157.59</v>
      </c>
      <c r="AO19" s="72">
        <f>Tabela4[[#This Row],[Marcio Jose Siqueira]]</f>
        <v>267.51</v>
      </c>
      <c r="AP19" s="72">
        <f>Tabela4[[#This Row],[Marcos Rogerio Kessler]]</f>
        <v>55.08</v>
      </c>
      <c r="AQ19" s="72">
        <f>SUM(Tabela4[[#This Row],[AABB - 01]:[AABB - 02]])</f>
        <v>1957.54</v>
      </c>
      <c r="AR19" s="72">
        <f>SUM(Tabela4[[#This Row],[Wanda Burkard - 01]:[Wanda Burkard - 02]])</f>
        <v>262.31</v>
      </c>
      <c r="AS19" s="72">
        <f>Tabela4[[#This Row],[Silvio Robert Lemos Avila Me]]</f>
        <v>2766.04</v>
      </c>
      <c r="AT19" s="72">
        <f>Tabela4[[#This Row],[Carmelo]]</f>
        <v>780.65</v>
      </c>
      <c r="AU19" s="72">
        <f>Tabela4[[#This Row],[Antonio Dal Forno]]</f>
        <v>227.13</v>
      </c>
      <c r="AV19" s="72">
        <f>Tabela4[[#This Row],[Marisane Paulus]]</f>
        <v>0</v>
      </c>
      <c r="AW19" s="72">
        <f>Tabela4[[#This Row],[Segatto Ceretta Ltda]]</f>
        <v>0</v>
      </c>
      <c r="AX19" s="72">
        <f>SUM(Tabela4[[#This Row],[APAE - 01]:[APAE - 02]])</f>
        <v>2225.13</v>
      </c>
      <c r="AY19" s="72">
        <f>Tabela4[[#This Row],[Cássio Burin]]</f>
        <v>0</v>
      </c>
      <c r="AZ19" s="72">
        <f>Tabela4[[#This Row],[Patrick Kristoschek Da Silva]]</f>
        <v>0</v>
      </c>
      <c r="BA19" s="72">
        <f>Tabela4[[#This Row],[Silvio Robert Ávila - (Valmir)]]</f>
        <v>0</v>
      </c>
      <c r="BB19" s="72">
        <f>Tabela4[[#This Row],[Zederson Jose Della Flora]]</f>
        <v>0</v>
      </c>
      <c r="BC19" s="72">
        <f>Tabela4[[#This Row],[Carlos Walmir Larsão Rolim]]</f>
        <v>0</v>
      </c>
      <c r="BD19" s="72">
        <f>Tabela4[[#This Row],[Danieli Missio]]</f>
        <v>0</v>
      </c>
      <c r="BE19" s="72">
        <f>Tabela4[[#This Row],[José Vasconcellos]]</f>
        <v>0</v>
      </c>
      <c r="BF19" s="72">
        <f>Tabela4[[#This Row],[Linho Lev Alimentos]]</f>
        <v>0</v>
      </c>
      <c r="BG19" s="72">
        <f>Tabela4[[#This Row],[Ernani Czapla]]</f>
        <v>0</v>
      </c>
      <c r="BH19" s="72">
        <f>Tabela4[[#This Row],[Valesca Da Luz]]</f>
        <v>0</v>
      </c>
      <c r="BI19" s="72">
        <f>Tabela4[[#This Row],[Olavo Mildner]]</f>
        <v>0</v>
      </c>
      <c r="BJ19" s="72">
        <f>Tabela4[[#This Row],[Dilnei Rohled]]</f>
        <v>0</v>
      </c>
      <c r="BK19" s="72">
        <f>Tabela4[[#This Row],[Shaiana Signorini]]</f>
        <v>0</v>
      </c>
      <c r="BL19" s="72">
        <f>Tabela4[[#This Row],[Fonse Atacado]]</f>
        <v>0</v>
      </c>
      <c r="BM19" s="72">
        <f>Tabela4[[#This Row],[Comercial de Alimentos]]</f>
        <v>0</v>
      </c>
      <c r="BN19" s="72">
        <f>Tabela4[[#This Row],[Ivone Kasburg Serralheria]]</f>
        <v>0</v>
      </c>
      <c r="BO19" s="72">
        <f>Tabela4[[#This Row],[Mercado Ceretta]]</f>
        <v>0</v>
      </c>
      <c r="BP19" s="72">
        <f>Tabela4[[#This Row],[Antonio Carlos Dos Santos Pereira]]</f>
        <v>0</v>
      </c>
      <c r="BQ19" s="72">
        <f>Tabela4[[#This Row],[Volnei Lemos Avila - Me]]</f>
        <v>0</v>
      </c>
      <c r="BR19" s="72">
        <f>Tabela4[[#This Row],[Silvana Meneghini]]</f>
        <v>0</v>
      </c>
      <c r="BS19" s="72">
        <f>Tabela4[[#This Row],[Eficaz Engenharia Ltda]]</f>
        <v>0</v>
      </c>
      <c r="BT19" s="72">
        <f>SUM(Tabela4[[#Headers],[Tania Regina Schmaltz - 01]:[Tania Regina Schmaltz - 02]])</f>
        <v>0</v>
      </c>
      <c r="BU19" s="72">
        <f>Tabela4[[#This Row],[Camila Ceretta Segatto]]</f>
        <v>0</v>
      </c>
      <c r="BV19" s="72">
        <f>Tabela4[[#This Row],[Vagner Ribas Dos Santos]]</f>
        <v>0</v>
      </c>
      <c r="BW19" s="72">
        <f>Tabela4[[#This Row],[Claudio Alfredo Konrat]]</f>
        <v>0</v>
      </c>
    </row>
    <row r="20" spans="1:75" x14ac:dyDescent="0.25">
      <c r="A20" s="70">
        <v>43647</v>
      </c>
      <c r="B20" s="72">
        <f>SUM(Tabela4[[#This Row],[Marlon Colovini - 01]:[Marlon Colovini - 02]])</f>
        <v>163.71</v>
      </c>
      <c r="C20" s="72">
        <f>Tabela4[[#This Row],[Mara Barichello]]</f>
        <v>111.22</v>
      </c>
      <c r="D20" s="72">
        <f>Tabela4[[#This Row],[Jandira Dutra]]</f>
        <v>113.58</v>
      </c>
      <c r="E20" s="72">
        <f>Tabela4[[#This Row],[Luiz Fernando Kruger]]</f>
        <v>156.16999999999999</v>
      </c>
      <c r="F20" s="72">
        <f>SUM(Tabela4[[#This Row],[Paulo Bohn - 01]:[Paulo Bohn - 04]])</f>
        <v>438.34</v>
      </c>
      <c r="G20" s="72">
        <f>Tabela4[[#This Row],[Analia (Clodoaldo Entre-Ijuis)]]</f>
        <v>56.38</v>
      </c>
      <c r="H20" s="72">
        <f>Tabela4[[#This Row],[Biroh]]</f>
        <v>638.42999999999995</v>
      </c>
      <c r="I20" s="72">
        <f>Tabela4[[#This Row],[Gelson Posser]]</f>
        <v>111.41</v>
      </c>
      <c r="J20" s="72">
        <f>Tabela4[[#This Row],[Supermercado Caryone]]</f>
        <v>957</v>
      </c>
      <c r="K20" s="72">
        <f>Tabela4[[#This Row],[Ernani Minetto]]</f>
        <v>542.03</v>
      </c>
      <c r="L20" s="72">
        <f>Tabela4[[#This Row],[Jair Moscon]]</f>
        <v>15.42</v>
      </c>
      <c r="M20" s="72">
        <f>SUM(Tabela4[[#This Row],[Fabio Milke - 01]:[Fabio Milke - 02]])</f>
        <v>536.26</v>
      </c>
      <c r="N20" s="72">
        <f>Tabela4[[#This Row],[Piaia]]</f>
        <v>841.95</v>
      </c>
      <c r="O20" s="72">
        <f>Tabela4[[#This Row],[Osmar Veronese]]</f>
        <v>290.70999999999998</v>
      </c>
      <c r="P20" s="72">
        <f>Tabela4[[#This Row],[ José Luiz Moraes]]</f>
        <v>163.09</v>
      </c>
      <c r="Q20" s="72">
        <f>Tabela4[[#This Row],[Supermercado Cripy]]</f>
        <v>957</v>
      </c>
      <c r="R20" s="72">
        <f>Tabela4[[#This Row],[Gláucio Lipski (Giruá)]]</f>
        <v>158.66999999999999</v>
      </c>
      <c r="S20" s="72">
        <f>Tabela4[[#This Row],[Contri]]</f>
        <v>1415.87</v>
      </c>
      <c r="T20" s="72">
        <f>Tabela4[[#This Row],[Cleci Rubi]]</f>
        <v>67.89</v>
      </c>
      <c r="U20" s="72">
        <f>Tabela4[[#This Row],[Betine Rost]]</f>
        <v>127.92</v>
      </c>
      <c r="V20" s="72">
        <f>SUM(Tabela4[[#This Row],[Robinson Fetter - 01]:[Robinson Fetter - 03]])</f>
        <v>327.89</v>
      </c>
      <c r="W20" s="72">
        <f>Tabela4[[#This Row],[Fabio De Moura]]</f>
        <v>128.08000000000001</v>
      </c>
      <c r="X20" s="72">
        <f>Tabela4[[#This Row],[Rochele Santos Moraes]]</f>
        <v>177.37</v>
      </c>
      <c r="Y20" s="72">
        <f>Tabela4[[#This Row],[Auto Posto Kairã]]</f>
        <v>953.94</v>
      </c>
      <c r="Z20" s="72">
        <f>Tabela4[[#This Row],[Erno Schiefelbain]]</f>
        <v>25.78</v>
      </c>
      <c r="AA20" s="72">
        <f>Tabela4[[#This Row],[José Paulo Backes]]</f>
        <v>152.71</v>
      </c>
      <c r="AB20" s="72">
        <f>Tabela4[[#This Row],[Gelso Tofolo]]</f>
        <v>1469.49</v>
      </c>
      <c r="AC20" s="72">
        <f>Tabela4[[#This Row],[Diamantino]]</f>
        <v>528.67999999999995</v>
      </c>
      <c r="AD20" s="72">
        <f>Tabela4[[#This Row],[Mercado Bueno]]</f>
        <v>482.41</v>
      </c>
      <c r="AE20" s="72">
        <f>Tabela4[[#This Row],[Daniela Donadel Massalai]]</f>
        <v>131.91999999999999</v>
      </c>
      <c r="AF20" s="72">
        <f>Tabela4[[#This Row],[Comercio De Moto Peças Irmãos Guarani Ltda]]</f>
        <v>150.82</v>
      </c>
      <c r="AG20" s="72">
        <f>Tabela4[[#This Row],[Mauricio Luis Lunardi]]</f>
        <v>298.99</v>
      </c>
      <c r="AH20" s="72">
        <f>Tabela4[[#This Row],[Rosa Maria Restle Radunz]]</f>
        <v>97.03</v>
      </c>
      <c r="AI20" s="72">
        <f>Tabela4[[#This Row],[Ivo Amaral De Oliveira]]</f>
        <v>235.88</v>
      </c>
      <c r="AJ20" s="72">
        <f>Tabela4[[#This Row],[Silvio Robert Lemos Avila]]</f>
        <v>123.72</v>
      </c>
      <c r="AK20" s="72">
        <f>Tabela4[[#This Row],[Eldo Rost]]</f>
        <v>108.83</v>
      </c>
      <c r="AL20" s="72">
        <f>SUM(Tabela4[[#This Row],[Padaria Avenida - 01]:[Padaria Avenida - 02]])</f>
        <v>2414.9300000000003</v>
      </c>
      <c r="AM20" s="72">
        <f>Tabela4[[#This Row],[Cristiano Anshau]]</f>
        <v>382.62</v>
      </c>
      <c r="AN20" s="72">
        <f>Tabela4[[#This Row],[Luciana Claudete Meirelles Correa]]</f>
        <v>377.3</v>
      </c>
      <c r="AO20" s="72">
        <f>Tabela4[[#This Row],[Marcio Jose Siqueira]]</f>
        <v>200.43</v>
      </c>
      <c r="AP20" s="72">
        <f>Tabela4[[#This Row],[Marcos Rogerio Kessler]]</f>
        <v>55.37</v>
      </c>
      <c r="AQ20" s="72">
        <f>SUM(Tabela4[[#This Row],[AABB - 01]:[AABB - 02]])</f>
        <v>3063.9700000000003</v>
      </c>
      <c r="AR20" s="72">
        <f>SUM(Tabela4[[#This Row],[Wanda Burkard - 01]:[Wanda Burkard - 02]])</f>
        <v>248.85000000000002</v>
      </c>
      <c r="AS20" s="72">
        <f>Tabela4[[#This Row],[Silvio Robert Lemos Avila Me]]</f>
        <v>484.31</v>
      </c>
      <c r="AT20" s="72">
        <f>Tabela4[[#This Row],[Carmelo]]</f>
        <v>647.87</v>
      </c>
      <c r="AU20" s="72">
        <f>Tabela4[[#This Row],[Antonio Dal Forno]]</f>
        <v>111.12</v>
      </c>
      <c r="AV20" s="72">
        <f>Tabela4[[#This Row],[Marisane Paulus]]</f>
        <v>0</v>
      </c>
      <c r="AW20" s="72">
        <f>Tabela4[[#This Row],[Segatto Ceretta Ltda]]</f>
        <v>0</v>
      </c>
      <c r="AX20" s="72">
        <f>SUM(Tabela4[[#This Row],[APAE - 01]:[APAE - 02]])</f>
        <v>466.92</v>
      </c>
      <c r="AY20" s="72">
        <f>Tabela4[[#This Row],[Cássio Burin]]</f>
        <v>0</v>
      </c>
      <c r="AZ20" s="72">
        <f>Tabela4[[#This Row],[Patrick Kristoschek Da Silva]]</f>
        <v>0</v>
      </c>
      <c r="BA20" s="72">
        <f>Tabela4[[#This Row],[Silvio Robert Ávila - (Valmir)]]</f>
        <v>0</v>
      </c>
      <c r="BB20" s="72">
        <f>Tabela4[[#This Row],[Zederson Jose Della Flora]]</f>
        <v>0</v>
      </c>
      <c r="BC20" s="72">
        <f>Tabela4[[#This Row],[Carlos Walmir Larsão Rolim]]</f>
        <v>0</v>
      </c>
      <c r="BD20" s="72">
        <f>Tabela4[[#This Row],[Danieli Missio]]</f>
        <v>0</v>
      </c>
      <c r="BE20" s="72">
        <f>Tabela4[[#This Row],[José Vasconcellos]]</f>
        <v>0</v>
      </c>
      <c r="BF20" s="72">
        <f>Tabela4[[#This Row],[Linho Lev Alimentos]]</f>
        <v>0</v>
      </c>
      <c r="BG20" s="72">
        <f>Tabela4[[#This Row],[Ernani Czapla]]</f>
        <v>0</v>
      </c>
      <c r="BH20" s="72">
        <f>Tabela4[[#This Row],[Valesca Da Luz]]</f>
        <v>0</v>
      </c>
      <c r="BI20" s="72">
        <f>Tabela4[[#This Row],[Olavo Mildner]]</f>
        <v>0</v>
      </c>
      <c r="BJ20" s="72">
        <f>Tabela4[[#This Row],[Dilnei Rohled]]</f>
        <v>0</v>
      </c>
      <c r="BK20" s="72">
        <f>Tabela4[[#This Row],[Shaiana Signorini]]</f>
        <v>0</v>
      </c>
      <c r="BL20" s="72">
        <f>Tabela4[[#This Row],[Fonse Atacado]]</f>
        <v>0</v>
      </c>
      <c r="BM20" s="72">
        <f>Tabela4[[#This Row],[Comercial de Alimentos]]</f>
        <v>0</v>
      </c>
      <c r="BN20" s="72">
        <f>Tabela4[[#This Row],[Ivone Kasburg Serralheria]]</f>
        <v>0</v>
      </c>
      <c r="BO20" s="72">
        <f>Tabela4[[#This Row],[Mercado Ceretta]]</f>
        <v>0</v>
      </c>
      <c r="BP20" s="72">
        <f>Tabela4[[#This Row],[Antonio Carlos Dos Santos Pereira]]</f>
        <v>0</v>
      </c>
      <c r="BQ20" s="72">
        <f>Tabela4[[#This Row],[Volnei Lemos Avila - Me]]</f>
        <v>0</v>
      </c>
      <c r="BR20" s="72">
        <f>Tabela4[[#This Row],[Silvana Meneghini]]</f>
        <v>0</v>
      </c>
      <c r="BS20" s="72">
        <f>Tabela4[[#This Row],[Eficaz Engenharia Ltda]]</f>
        <v>0</v>
      </c>
      <c r="BT20" s="72">
        <f>SUM(Tabela4[[#Headers],[Tania Regina Schmaltz - 01]:[Tania Regina Schmaltz - 02]])</f>
        <v>0</v>
      </c>
      <c r="BU20" s="72">
        <f>Tabela4[[#This Row],[Camila Ceretta Segatto]]</f>
        <v>0</v>
      </c>
      <c r="BV20" s="72">
        <f>Tabela4[[#This Row],[Vagner Ribas Dos Santos]]</f>
        <v>0</v>
      </c>
      <c r="BW20" s="72">
        <f>Tabela4[[#This Row],[Claudio Alfredo Konrat]]</f>
        <v>0</v>
      </c>
    </row>
    <row r="21" spans="1:75" x14ac:dyDescent="0.25">
      <c r="A21" s="70">
        <v>43678</v>
      </c>
      <c r="B21" s="72">
        <f>SUM(Tabela4[[#This Row],[Marlon Colovini - 01]:[Marlon Colovini - 02]])</f>
        <v>156.43</v>
      </c>
      <c r="C21" s="72">
        <f>Tabela4[[#This Row],[Mara Barichello]]</f>
        <v>52.45</v>
      </c>
      <c r="D21" s="72">
        <f>Tabela4[[#This Row],[Jandira Dutra]]</f>
        <v>99.27</v>
      </c>
      <c r="E21" s="72">
        <f>Tabela4[[#This Row],[Luiz Fernando Kruger]]</f>
        <v>188.77</v>
      </c>
      <c r="F21" s="72">
        <f>SUM(Tabela4[[#This Row],[Paulo Bohn - 01]:[Paulo Bohn - 04]])</f>
        <v>462.32</v>
      </c>
      <c r="G21" s="72">
        <f>Tabela4[[#This Row],[Analia (Clodoaldo Entre-Ijuis)]]</f>
        <v>58.29</v>
      </c>
      <c r="H21" s="72">
        <f>Tabela4[[#This Row],[Biroh]]</f>
        <v>897.41</v>
      </c>
      <c r="I21" s="72">
        <f>Tabela4[[#This Row],[Gelson Posser]]</f>
        <v>99.67</v>
      </c>
      <c r="J21" s="72">
        <f>Tabela4[[#This Row],[Supermercado Caryone]]</f>
        <v>1463.63</v>
      </c>
      <c r="K21" s="72">
        <f>Tabela4[[#This Row],[Ernani Minetto]]</f>
        <v>585.32000000000005</v>
      </c>
      <c r="L21" s="72">
        <f>Tabela4[[#This Row],[Jair Moscon]]</f>
        <v>199.38</v>
      </c>
      <c r="M21" s="72">
        <f>SUM(Tabela4[[#This Row],[Fabio Milke - 01]:[Fabio Milke - 02]])</f>
        <v>471.65</v>
      </c>
      <c r="N21" s="72">
        <f>Tabela4[[#This Row],[Piaia]]</f>
        <v>997.11</v>
      </c>
      <c r="O21" s="72">
        <f>Tabela4[[#This Row],[Osmar Veronese]]</f>
        <v>237.99</v>
      </c>
      <c r="P21" s="72">
        <f>Tabela4[[#This Row],[ José Luiz Moraes]]</f>
        <v>151.91999999999999</v>
      </c>
      <c r="Q21" s="72">
        <f>Tabela4[[#This Row],[Supermercado Cripy]]</f>
        <v>1952.13</v>
      </c>
      <c r="R21" s="72">
        <f>Tabela4[[#This Row],[Gláucio Lipski (Giruá)]]</f>
        <v>195.65</v>
      </c>
      <c r="S21" s="72">
        <f>Tabela4[[#This Row],[Contri]]</f>
        <v>1488.34</v>
      </c>
      <c r="T21" s="72">
        <f>Tabela4[[#This Row],[Cleci Rubi]]</f>
        <v>67.23</v>
      </c>
      <c r="U21" s="72">
        <f>Tabela4[[#This Row],[Betine Rost]]</f>
        <v>148.41</v>
      </c>
      <c r="V21" s="72">
        <f>SUM(Tabela4[[#This Row],[Robinson Fetter - 01]:[Robinson Fetter - 03]])</f>
        <v>297.52</v>
      </c>
      <c r="W21" s="72">
        <f>Tabela4[[#This Row],[Fabio De Moura]]</f>
        <v>125.75</v>
      </c>
      <c r="X21" s="72">
        <f>Tabela4[[#This Row],[Rochele Santos Moraes]]</f>
        <v>232.56</v>
      </c>
      <c r="Y21" s="72">
        <f>Tabela4[[#This Row],[Auto Posto Kairã]]</f>
        <v>880.11</v>
      </c>
      <c r="Z21" s="72">
        <f>Tabela4[[#This Row],[Erno Schiefelbain]]</f>
        <v>26.82</v>
      </c>
      <c r="AA21" s="72">
        <f>Tabela4[[#This Row],[José Paulo Backes]]</f>
        <v>219.19</v>
      </c>
      <c r="AB21" s="72">
        <f>Tabela4[[#This Row],[Gelso Tofolo]]</f>
        <v>1279.33</v>
      </c>
      <c r="AC21" s="72">
        <f>Tabela4[[#This Row],[Diamantino]]</f>
        <v>511.21</v>
      </c>
      <c r="AD21" s="72">
        <f>Tabela4[[#This Row],[Mercado Bueno]]</f>
        <v>464.98</v>
      </c>
      <c r="AE21" s="72">
        <f>Tabela4[[#This Row],[Daniela Donadel Massalai]]</f>
        <v>63.56</v>
      </c>
      <c r="AF21" s="72">
        <f>Tabela4[[#This Row],[Comercio De Moto Peças Irmãos Guarani Ltda]]</f>
        <v>168.23</v>
      </c>
      <c r="AG21" s="72">
        <f>Tabela4[[#This Row],[Mauricio Luis Lunardi]]</f>
        <v>274.32</v>
      </c>
      <c r="AH21" s="72">
        <f>Tabela4[[#This Row],[Rosa Maria Restle Radunz]]</f>
        <v>267.79000000000002</v>
      </c>
      <c r="AI21" s="72">
        <f>Tabela4[[#This Row],[Ivo Amaral De Oliveira]]</f>
        <v>210.11</v>
      </c>
      <c r="AJ21" s="72">
        <f>Tabela4[[#This Row],[Silvio Robert Lemos Avila]]</f>
        <v>140.81</v>
      </c>
      <c r="AK21" s="72">
        <f>Tabela4[[#This Row],[Eldo Rost]]</f>
        <v>126.03</v>
      </c>
      <c r="AL21" s="72">
        <f>SUM(Tabela4[[#This Row],[Padaria Avenida - 01]:[Padaria Avenida - 02]])</f>
        <v>2466.9899999999998</v>
      </c>
      <c r="AM21" s="72">
        <f>Tabela4[[#This Row],[Cristiano Anshau]]</f>
        <v>243.23</v>
      </c>
      <c r="AN21" s="72">
        <f>Tabela4[[#This Row],[Luciana Claudete Meirelles Correa]]</f>
        <v>504.77</v>
      </c>
      <c r="AO21" s="72">
        <f>Tabela4[[#This Row],[Marcio Jose Siqueira]]</f>
        <v>303.43</v>
      </c>
      <c r="AP21" s="72">
        <f>Tabela4[[#This Row],[Marcos Rogerio Kessler]]</f>
        <v>66.010000000000005</v>
      </c>
      <c r="AQ21" s="72">
        <f>SUM(Tabela4[[#This Row],[AABB - 01]:[AABB - 02]])</f>
        <v>1023.0600000000001</v>
      </c>
      <c r="AR21" s="72">
        <f>SUM(Tabela4[[#This Row],[Wanda Burkard - 01]:[Wanda Burkard - 02]])</f>
        <v>173.78</v>
      </c>
      <c r="AS21" s="72">
        <f>Tabela4[[#This Row],[Silvio Robert Lemos Avila Me]]</f>
        <v>564.39</v>
      </c>
      <c r="AT21" s="72">
        <f>Tabela4[[#This Row],[Carmelo]]</f>
        <v>0</v>
      </c>
      <c r="AU21" s="72">
        <f>Tabela4[[#This Row],[Antonio Dal Forno]]</f>
        <v>76.349999999999994</v>
      </c>
      <c r="AV21" s="72">
        <f>Tabela4[[#This Row],[Marisane Paulus]]</f>
        <v>88.63</v>
      </c>
      <c r="AW21" s="72">
        <f>Tabela4[[#This Row],[Segatto Ceretta Ltda]]</f>
        <v>0</v>
      </c>
      <c r="AX21" s="72">
        <f>SUM(Tabela4[[#This Row],[APAE - 01]:[APAE - 02]])</f>
        <v>514.97</v>
      </c>
      <c r="AY21" s="72">
        <f>Tabela4[[#This Row],[Cássio Burin]]</f>
        <v>0</v>
      </c>
      <c r="AZ21" s="72">
        <f>Tabela4[[#This Row],[Patrick Kristoschek Da Silva]]</f>
        <v>0</v>
      </c>
      <c r="BA21" s="72">
        <f>Tabela4[[#This Row],[Silvio Robert Ávila - (Valmir)]]</f>
        <v>0</v>
      </c>
      <c r="BB21" s="72">
        <f>Tabela4[[#This Row],[Zederson Jose Della Flora]]</f>
        <v>0</v>
      </c>
      <c r="BC21" s="72">
        <f>Tabela4[[#This Row],[Carlos Walmir Larsão Rolim]]</f>
        <v>0</v>
      </c>
      <c r="BD21" s="72">
        <f>Tabela4[[#This Row],[Danieli Missio]]</f>
        <v>0</v>
      </c>
      <c r="BE21" s="72">
        <f>Tabela4[[#This Row],[José Vasconcellos]]</f>
        <v>0</v>
      </c>
      <c r="BF21" s="72">
        <f>Tabela4[[#This Row],[Linho Lev Alimentos]]</f>
        <v>0</v>
      </c>
      <c r="BG21" s="72">
        <f>Tabela4[[#This Row],[Ernani Czapla]]</f>
        <v>0</v>
      </c>
      <c r="BH21" s="72">
        <f>Tabela4[[#This Row],[Valesca Da Luz]]</f>
        <v>0</v>
      </c>
      <c r="BI21" s="72">
        <f>Tabela4[[#This Row],[Olavo Mildner]]</f>
        <v>0</v>
      </c>
      <c r="BJ21" s="72">
        <f>Tabela4[[#This Row],[Dilnei Rohled]]</f>
        <v>0</v>
      </c>
      <c r="BK21" s="72">
        <f>Tabela4[[#This Row],[Shaiana Signorini]]</f>
        <v>0</v>
      </c>
      <c r="BL21" s="72">
        <f>Tabela4[[#This Row],[Fonse Atacado]]</f>
        <v>0</v>
      </c>
      <c r="BM21" s="72">
        <f>Tabela4[[#This Row],[Comercial de Alimentos]]</f>
        <v>0</v>
      </c>
      <c r="BN21" s="72">
        <f>Tabela4[[#This Row],[Ivone Kasburg Serralheria]]</f>
        <v>0</v>
      </c>
      <c r="BO21" s="72">
        <f>Tabela4[[#This Row],[Mercado Ceretta]]</f>
        <v>0</v>
      </c>
      <c r="BP21" s="72">
        <f>Tabela4[[#This Row],[Antonio Carlos Dos Santos Pereira]]</f>
        <v>0</v>
      </c>
      <c r="BQ21" s="72">
        <f>Tabela4[[#This Row],[Volnei Lemos Avila - Me]]</f>
        <v>0</v>
      </c>
      <c r="BR21" s="72">
        <f>Tabela4[[#This Row],[Silvana Meneghini]]</f>
        <v>0</v>
      </c>
      <c r="BS21" s="72">
        <f>Tabela4[[#This Row],[Eficaz Engenharia Ltda]]</f>
        <v>0</v>
      </c>
      <c r="BT21" s="72">
        <f>SUM(Tabela4[[#Headers],[Tania Regina Schmaltz - 01]:[Tania Regina Schmaltz - 02]])</f>
        <v>0</v>
      </c>
      <c r="BU21" s="72">
        <f>Tabela4[[#This Row],[Camila Ceretta Segatto]]</f>
        <v>0</v>
      </c>
      <c r="BV21" s="72">
        <f>Tabela4[[#This Row],[Vagner Ribas Dos Santos]]</f>
        <v>0</v>
      </c>
      <c r="BW21" s="72">
        <f>Tabela4[[#This Row],[Claudio Alfredo Konrat]]</f>
        <v>0</v>
      </c>
    </row>
    <row r="22" spans="1:75" x14ac:dyDescent="0.25">
      <c r="A22" s="70">
        <v>43709</v>
      </c>
      <c r="B22" s="72">
        <f>SUM(Tabela4[[#This Row],[Marlon Colovini - 01]:[Marlon Colovini - 02]])</f>
        <v>135.97</v>
      </c>
      <c r="C22" s="72">
        <f>Tabela4[[#This Row],[Mara Barichello]]</f>
        <v>54.13</v>
      </c>
      <c r="D22" s="72">
        <f>Tabela4[[#This Row],[Jandira Dutra]]</f>
        <v>67.739999999999995</v>
      </c>
      <c r="E22" s="72">
        <f>Tabela4[[#This Row],[Luiz Fernando Kruger]]</f>
        <v>117.13</v>
      </c>
      <c r="F22" s="72">
        <f>SUM(Tabela4[[#This Row],[Paulo Bohn - 01]:[Paulo Bohn - 04]])</f>
        <v>316.67</v>
      </c>
      <c r="G22" s="72">
        <f>Tabela4[[#This Row],[Analia (Clodoaldo Entre-Ijuis)]]</f>
        <v>58.16</v>
      </c>
      <c r="H22" s="72">
        <f>Tabela4[[#This Row],[Biroh]]</f>
        <v>0</v>
      </c>
      <c r="I22" s="72">
        <f>Tabela4[[#This Row],[Gelson Posser]]</f>
        <v>72.12</v>
      </c>
      <c r="J22" s="72">
        <f>Tabela4[[#This Row],[Supermercado Caryone]]</f>
        <v>572.11</v>
      </c>
      <c r="K22" s="72">
        <f>Tabela4[[#This Row],[Ernani Minetto]]</f>
        <v>284.62</v>
      </c>
      <c r="L22" s="72">
        <f>Tabela4[[#This Row],[Jair Moscon]]</f>
        <v>188.61</v>
      </c>
      <c r="M22" s="72">
        <f>SUM(Tabela4[[#This Row],[Fabio Milke - 01]:[Fabio Milke - 02]])</f>
        <v>366.69</v>
      </c>
      <c r="N22" s="72">
        <f>Tabela4[[#This Row],[Piaia]]</f>
        <v>186.52</v>
      </c>
      <c r="O22" s="72">
        <f>Tabela4[[#This Row],[Osmar Veronese]]</f>
        <v>434.24</v>
      </c>
      <c r="P22" s="72">
        <f>Tabela4[[#This Row],[ José Luiz Moraes]]</f>
        <v>161.57</v>
      </c>
      <c r="Q22" s="72">
        <f>Tabela4[[#This Row],[Supermercado Cripy]]</f>
        <v>851.77</v>
      </c>
      <c r="R22" s="72">
        <f>Tabela4[[#This Row],[Gláucio Lipski (Giruá)]]</f>
        <v>0</v>
      </c>
      <c r="S22" s="72">
        <f>Tabela4[[#This Row],[Contri]]</f>
        <v>0</v>
      </c>
      <c r="T22" s="72">
        <f>Tabela4[[#This Row],[Cleci Rubi]]</f>
        <v>73.47</v>
      </c>
      <c r="U22" s="72">
        <f>Tabela4[[#This Row],[Betine Rost]]</f>
        <v>138.76</v>
      </c>
      <c r="V22" s="72">
        <f>SUM(Tabela4[[#This Row],[Robinson Fetter - 01]:[Robinson Fetter - 03]])</f>
        <v>281.79999999999995</v>
      </c>
      <c r="W22" s="72">
        <f>Tabela4[[#This Row],[Fabio De Moura]]</f>
        <v>132.49</v>
      </c>
      <c r="X22" s="72">
        <f>Tabela4[[#This Row],[Rochele Santos Moraes]]</f>
        <v>635.03</v>
      </c>
      <c r="Y22" s="72">
        <f>Tabela4[[#This Row],[Auto Posto Kairã]]</f>
        <v>349.05</v>
      </c>
      <c r="Z22" s="72">
        <f>Tabela4[[#This Row],[Erno Schiefelbain]]</f>
        <v>0</v>
      </c>
      <c r="AA22" s="72">
        <f>Tabela4[[#This Row],[José Paulo Backes]]</f>
        <v>0</v>
      </c>
      <c r="AB22" s="72">
        <f>Tabela4[[#This Row],[Gelso Tofolo]]</f>
        <v>449.72</v>
      </c>
      <c r="AC22" s="72">
        <f>Tabela4[[#This Row],[Diamantino]]</f>
        <v>210.48</v>
      </c>
      <c r="AD22" s="72">
        <f>Tabela4[[#This Row],[Mercado Bueno]]</f>
        <v>435.58</v>
      </c>
      <c r="AE22" s="72">
        <f>Tabela4[[#This Row],[Daniela Donadel Massalai]]</f>
        <v>69.84</v>
      </c>
      <c r="AF22" s="72">
        <f>Tabela4[[#This Row],[Comercio De Moto Peças Irmãos Guarani Ltda]]</f>
        <v>161.81</v>
      </c>
      <c r="AG22" s="72">
        <f>Tabela4[[#This Row],[Mauricio Luis Lunardi]]</f>
        <v>221.34</v>
      </c>
      <c r="AH22" s="72">
        <f>Tabela4[[#This Row],[Rosa Maria Restle Radunz]]</f>
        <v>267.79000000000002</v>
      </c>
      <c r="AI22" s="72">
        <f>Tabela4[[#This Row],[Ivo Amaral De Oliveira]]</f>
        <v>206</v>
      </c>
      <c r="AJ22" s="72">
        <f>Tabela4[[#This Row],[Silvio Robert Lemos Avila]]</f>
        <v>139.18</v>
      </c>
      <c r="AK22" s="72">
        <f>Tabela4[[#This Row],[Eldo Rost]]</f>
        <v>116.38</v>
      </c>
      <c r="AL22" s="72">
        <f>SUM(Tabela4[[#This Row],[Padaria Avenida - 01]:[Padaria Avenida - 02]])</f>
        <v>1630.3400000000001</v>
      </c>
      <c r="AM22" s="72">
        <f>Tabela4[[#This Row],[Cristiano Anshau]]</f>
        <v>177.99</v>
      </c>
      <c r="AN22" s="72">
        <f>Tabela4[[#This Row],[Luciana Claudete Meirelles Correa]]</f>
        <v>216.93</v>
      </c>
      <c r="AO22" s="72">
        <f>Tabela4[[#This Row],[Marcio Jose Siqueira]]</f>
        <v>169.78</v>
      </c>
      <c r="AP22" s="72">
        <f>Tabela4[[#This Row],[Marcos Rogerio Kessler]]</f>
        <v>58.45</v>
      </c>
      <c r="AQ22" s="72">
        <f>SUM(Tabela4[[#This Row],[AABB - 01]:[AABB - 02]])</f>
        <v>1063.4000000000001</v>
      </c>
      <c r="AR22" s="72">
        <f>SUM(Tabela4[[#This Row],[Wanda Burkard - 01]:[Wanda Burkard - 02]])</f>
        <v>0</v>
      </c>
      <c r="AS22" s="72">
        <f>Tabela4[[#This Row],[Silvio Robert Lemos Avila Me]]</f>
        <v>698.52</v>
      </c>
      <c r="AT22" s="72">
        <f>Tabela4[[#This Row],[Carmelo]]</f>
        <v>235.36</v>
      </c>
      <c r="AU22" s="72">
        <f>Tabela4[[#This Row],[Antonio Dal Forno]]</f>
        <v>73.13</v>
      </c>
      <c r="AV22" s="72">
        <f>Tabela4[[#This Row],[Marisane Paulus]]</f>
        <v>88.16</v>
      </c>
      <c r="AW22" s="72">
        <f>Tabela4[[#This Row],[Segatto Ceretta Ltda]]</f>
        <v>501.16</v>
      </c>
      <c r="AX22" s="72">
        <f>SUM(Tabela4[[#This Row],[APAE - 01]:[APAE - 02]])</f>
        <v>456.54999999999995</v>
      </c>
      <c r="AY22" s="72">
        <f>Tabela4[[#This Row],[Cássio Burin]]</f>
        <v>0</v>
      </c>
      <c r="AZ22" s="72">
        <f>Tabela4[[#This Row],[Patrick Kristoschek Da Silva]]</f>
        <v>0</v>
      </c>
      <c r="BA22" s="72">
        <f>Tabela4[[#This Row],[Silvio Robert Ávila - (Valmir)]]</f>
        <v>184.08</v>
      </c>
      <c r="BB22" s="72">
        <f>Tabela4[[#This Row],[Zederson Jose Della Flora]]</f>
        <v>0</v>
      </c>
      <c r="BC22" s="72">
        <f>Tabela4[[#This Row],[Carlos Walmir Larsão Rolim]]</f>
        <v>76.239999999999995</v>
      </c>
      <c r="BD22" s="72">
        <f>Tabela4[[#This Row],[Danieli Missio]]</f>
        <v>0</v>
      </c>
      <c r="BE22" s="72">
        <f>Tabela4[[#This Row],[José Vasconcellos]]</f>
        <v>0</v>
      </c>
      <c r="BF22" s="72">
        <f>Tabela4[[#This Row],[Linho Lev Alimentos]]</f>
        <v>0</v>
      </c>
      <c r="BG22" s="72">
        <f>Tabela4[[#This Row],[Ernani Czapla]]</f>
        <v>0</v>
      </c>
      <c r="BH22" s="72">
        <f>Tabela4[[#This Row],[Valesca Da Luz]]</f>
        <v>0</v>
      </c>
      <c r="BI22" s="72">
        <f>Tabela4[[#This Row],[Olavo Mildner]]</f>
        <v>0</v>
      </c>
      <c r="BJ22" s="72">
        <f>Tabela4[[#This Row],[Dilnei Rohled]]</f>
        <v>0</v>
      </c>
      <c r="BK22" s="72">
        <f>Tabela4[[#This Row],[Shaiana Signorini]]</f>
        <v>0</v>
      </c>
      <c r="BL22" s="72">
        <f>Tabela4[[#This Row],[Fonse Atacado]]</f>
        <v>0</v>
      </c>
      <c r="BM22" s="72">
        <f>Tabela4[[#This Row],[Comercial de Alimentos]]</f>
        <v>0</v>
      </c>
      <c r="BN22" s="72">
        <f>Tabela4[[#This Row],[Ivone Kasburg Serralheria]]</f>
        <v>0</v>
      </c>
      <c r="BO22" s="72">
        <f>Tabela4[[#This Row],[Mercado Ceretta]]</f>
        <v>0</v>
      </c>
      <c r="BP22" s="72">
        <f>Tabela4[[#This Row],[Antonio Carlos Dos Santos Pereira]]</f>
        <v>0</v>
      </c>
      <c r="BQ22" s="72">
        <f>Tabela4[[#This Row],[Volnei Lemos Avila - Me]]</f>
        <v>0</v>
      </c>
      <c r="BR22" s="72">
        <f>Tabela4[[#This Row],[Silvana Meneghini]]</f>
        <v>0</v>
      </c>
      <c r="BS22" s="72">
        <f>Tabela4[[#This Row],[Eficaz Engenharia Ltda]]</f>
        <v>0</v>
      </c>
      <c r="BT22" s="72">
        <f>SUM(Tabela4[[#Headers],[Tania Regina Schmaltz - 01]:[Tania Regina Schmaltz - 02]])</f>
        <v>0</v>
      </c>
      <c r="BU22" s="72">
        <f>Tabela4[[#This Row],[Camila Ceretta Segatto]]</f>
        <v>0</v>
      </c>
      <c r="BV22" s="72">
        <f>Tabela4[[#This Row],[Vagner Ribas Dos Santos]]</f>
        <v>0</v>
      </c>
      <c r="BW22" s="72">
        <f>Tabela4[[#This Row],[Claudio Alfredo Konrat]]</f>
        <v>0</v>
      </c>
    </row>
    <row r="23" spans="1:75" x14ac:dyDescent="0.25">
      <c r="A23" s="70">
        <v>43739</v>
      </c>
      <c r="B23" s="72">
        <f>SUM(Tabela4[[#This Row],[Marlon Colovini - 01]:[Marlon Colovini - 02]])</f>
        <v>139.27000000000001</v>
      </c>
      <c r="C23" s="72">
        <f>Tabela4[[#This Row],[Mara Barichello]]</f>
        <v>54.14</v>
      </c>
      <c r="D23" s="72">
        <f>Tabela4[[#This Row],[Jandira Dutra]]</f>
        <v>53.3</v>
      </c>
      <c r="E23" s="72">
        <f>Tabela4[[#This Row],[Luiz Fernando Kruger]]</f>
        <v>165.11</v>
      </c>
      <c r="F23" s="72">
        <f>SUM(Tabela4[[#This Row],[Paulo Bohn - 01]:[Paulo Bohn - 04]])</f>
        <v>395.03999999999996</v>
      </c>
      <c r="G23" s="72">
        <f>Tabela4[[#This Row],[Analia (Clodoaldo Entre-Ijuis)]]</f>
        <v>62.9</v>
      </c>
      <c r="H23" s="72">
        <f>Tabela4[[#This Row],[Biroh]]</f>
        <v>457.93</v>
      </c>
      <c r="I23" s="72">
        <f>Tabela4[[#This Row],[Gelson Posser]]</f>
        <v>78.12</v>
      </c>
      <c r="J23" s="72">
        <f>Tabela4[[#This Row],[Supermercado Caryone]]</f>
        <v>717.28</v>
      </c>
      <c r="K23" s="72">
        <f>Tabela4[[#This Row],[Ernani Minetto]]</f>
        <v>560.15</v>
      </c>
      <c r="L23" s="72">
        <f>Tabela4[[#This Row],[Jair Moscon]]</f>
        <v>193.37</v>
      </c>
      <c r="M23" s="72">
        <f>SUM(Tabela4[[#This Row],[Fabio Milke - 01]:[Fabio Milke - 02]])</f>
        <v>369.38</v>
      </c>
      <c r="N23" s="72">
        <f>Tabela4[[#This Row],[Piaia]]</f>
        <v>286.64999999999998</v>
      </c>
      <c r="O23" s="72">
        <f>Tabela4[[#This Row],[Osmar Veronese]]</f>
        <v>216.15</v>
      </c>
      <c r="P23" s="72">
        <f>Tabela4[[#This Row],[ José Luiz Moraes]]</f>
        <v>110.51</v>
      </c>
      <c r="Q23" s="72">
        <f>Tabela4[[#This Row],[Supermercado Cripy]]</f>
        <v>1253.73</v>
      </c>
      <c r="R23" s="72">
        <f>Tabela4[[#This Row],[Gláucio Lipski (Giruá)]]</f>
        <v>0</v>
      </c>
      <c r="S23" s="72">
        <f>Tabela4[[#This Row],[Contri]]</f>
        <v>0</v>
      </c>
      <c r="T23" s="72">
        <f>Tabela4[[#This Row],[Cleci Rubi]]</f>
        <v>73.41</v>
      </c>
      <c r="U23" s="72">
        <f>Tabela4[[#This Row],[Betine Rost]]</f>
        <v>142.49</v>
      </c>
      <c r="V23" s="72">
        <f>SUM(Tabela4[[#This Row],[Robinson Fetter - 01]:[Robinson Fetter - 03]])</f>
        <v>661.01</v>
      </c>
      <c r="W23" s="72">
        <f>Tabela4[[#This Row],[Fabio De Moura]]</f>
        <v>95.84</v>
      </c>
      <c r="X23" s="72">
        <f>Tabela4[[#This Row],[Rochele Santos Moraes]]</f>
        <v>241.56</v>
      </c>
      <c r="Y23" s="72">
        <f>Tabela4[[#This Row],[Auto Posto Kairã]]</f>
        <v>438.56</v>
      </c>
      <c r="Z23" s="72">
        <f>Tabela4[[#This Row],[Erno Schiefelbain]]</f>
        <v>0</v>
      </c>
      <c r="AA23" s="72">
        <f>Tabela4[[#This Row],[José Paulo Backes]]</f>
        <v>0</v>
      </c>
      <c r="AB23" s="72">
        <f>Tabela4[[#This Row],[Gelso Tofolo]]</f>
        <v>508.99</v>
      </c>
      <c r="AC23" s="72">
        <f>Tabela4[[#This Row],[Diamantino]]</f>
        <v>323.66000000000003</v>
      </c>
      <c r="AD23" s="72">
        <f>Tabela4[[#This Row],[Mercado Bueno]]</f>
        <v>549.17999999999995</v>
      </c>
      <c r="AE23" s="72">
        <f>Tabela4[[#This Row],[Daniela Donadel Massalai]]</f>
        <v>76.23</v>
      </c>
      <c r="AF23" s="72">
        <f>Tabela4[[#This Row],[Comercio De Moto Peças Irmãos Guarani Ltda]]</f>
        <v>194.85</v>
      </c>
      <c r="AG23" s="72">
        <f>Tabela4[[#This Row],[Mauricio Luis Lunardi]]</f>
        <v>200.61</v>
      </c>
      <c r="AH23" s="72">
        <f>Tabela4[[#This Row],[Rosa Maria Restle Radunz]]</f>
        <v>0</v>
      </c>
      <c r="AI23" s="72">
        <f>Tabela4[[#This Row],[Ivo Amaral De Oliveira]]</f>
        <v>232.31</v>
      </c>
      <c r="AJ23" s="72">
        <f>Tabela4[[#This Row],[Silvio Robert Lemos Avila]]</f>
        <v>137.04</v>
      </c>
      <c r="AK23" s="72">
        <f>Tabela4[[#This Row],[Eldo Rost]]</f>
        <v>117.49</v>
      </c>
      <c r="AL23" s="72">
        <f>SUM(Tabela4[[#This Row],[Padaria Avenida - 01]:[Padaria Avenida - 02]])</f>
        <v>1663.13</v>
      </c>
      <c r="AM23" s="72">
        <f>Tabela4[[#This Row],[Cristiano Anshau]]</f>
        <v>159.9</v>
      </c>
      <c r="AN23" s="72">
        <f>Tabela4[[#This Row],[Luciana Claudete Meirelles Correa]]</f>
        <v>200.55</v>
      </c>
      <c r="AO23" s="72">
        <f>Tabela4[[#This Row],[Marcio Jose Siqueira]]</f>
        <v>165.3</v>
      </c>
      <c r="AP23" s="72">
        <f>Tabela4[[#This Row],[Marcos Rogerio Kessler]]</f>
        <v>55.29</v>
      </c>
      <c r="AQ23" s="72">
        <f>SUM(Tabela4[[#This Row],[AABB - 01]:[AABB - 02]])</f>
        <v>1215.4099999999999</v>
      </c>
      <c r="AR23" s="72">
        <f>SUM(Tabela4[[#This Row],[Wanda Burkard - 01]:[Wanda Burkard - 02]])</f>
        <v>0</v>
      </c>
      <c r="AS23" s="72">
        <f>Tabela4[[#This Row],[Silvio Robert Lemos Avila Me]]</f>
        <v>909.94</v>
      </c>
      <c r="AT23" s="72">
        <f>Tabela4[[#This Row],[Carmelo]]</f>
        <v>250.77</v>
      </c>
      <c r="AU23" s="72">
        <f>Tabela4[[#This Row],[Antonio Dal Forno]]</f>
        <v>76.319999999999993</v>
      </c>
      <c r="AV23" s="72">
        <f>Tabela4[[#This Row],[Marisane Paulus]]</f>
        <v>91.39</v>
      </c>
      <c r="AW23" s="72">
        <f>Tabela4[[#This Row],[Segatto Ceretta Ltda]]</f>
        <v>563.92999999999995</v>
      </c>
      <c r="AX23" s="72">
        <f>SUM(Tabela4[[#This Row],[APAE - 01]:[APAE - 02]])</f>
        <v>520.38</v>
      </c>
      <c r="AY23" s="72">
        <f>Tabela4[[#This Row],[Cássio Burin]]</f>
        <v>0</v>
      </c>
      <c r="AZ23" s="72">
        <f>Tabela4[[#This Row],[Patrick Kristoschek Da Silva]]</f>
        <v>141.84</v>
      </c>
      <c r="BA23" s="72">
        <f>Tabela4[[#This Row],[Silvio Robert Ávila - (Valmir)]]</f>
        <v>171.53</v>
      </c>
      <c r="BB23" s="72">
        <f>Tabela4[[#This Row],[Zederson Jose Della Flora]]</f>
        <v>0</v>
      </c>
      <c r="BC23" s="72">
        <f>Tabela4[[#This Row],[Carlos Walmir Larsão Rolim]]</f>
        <v>86.36</v>
      </c>
      <c r="BD23" s="72">
        <f>Tabela4[[#This Row],[Danieli Missio]]</f>
        <v>79.209999999999994</v>
      </c>
      <c r="BE23" s="72">
        <f>Tabela4[[#This Row],[José Vasconcellos]]</f>
        <v>110.86</v>
      </c>
      <c r="BF23" s="72">
        <f>Tabela4[[#This Row],[Linho Lev Alimentos]]</f>
        <v>120.77</v>
      </c>
      <c r="BG23" s="72">
        <f>Tabela4[[#This Row],[Ernani Czapla]]</f>
        <v>0</v>
      </c>
      <c r="BH23" s="72">
        <f>Tabela4[[#This Row],[Valesca Da Luz]]</f>
        <v>0</v>
      </c>
      <c r="BI23" s="72">
        <f>Tabela4[[#This Row],[Olavo Mildner]]</f>
        <v>0</v>
      </c>
      <c r="BJ23" s="72">
        <f>Tabela4[[#This Row],[Dilnei Rohled]]</f>
        <v>0</v>
      </c>
      <c r="BK23" s="72">
        <f>Tabela4[[#This Row],[Shaiana Signorini]]</f>
        <v>0</v>
      </c>
      <c r="BL23" s="72">
        <f>Tabela4[[#This Row],[Fonse Atacado]]</f>
        <v>0</v>
      </c>
      <c r="BM23" s="72">
        <f>Tabela4[[#This Row],[Comercial de Alimentos]]</f>
        <v>0</v>
      </c>
      <c r="BN23" s="72">
        <f>Tabela4[[#This Row],[Ivone Kasburg Serralheria]]</f>
        <v>0</v>
      </c>
      <c r="BO23" s="72">
        <f>Tabela4[[#This Row],[Mercado Ceretta]]</f>
        <v>0</v>
      </c>
      <c r="BP23" s="72">
        <f>Tabela4[[#This Row],[Antonio Carlos Dos Santos Pereira]]</f>
        <v>0</v>
      </c>
      <c r="BQ23" s="72">
        <f>Tabela4[[#This Row],[Volnei Lemos Avila - Me]]</f>
        <v>0</v>
      </c>
      <c r="BR23" s="72">
        <f>Tabela4[[#This Row],[Silvana Meneghini]]</f>
        <v>0</v>
      </c>
      <c r="BS23" s="72">
        <f>Tabela4[[#This Row],[Eficaz Engenharia Ltda]]</f>
        <v>0</v>
      </c>
      <c r="BT23" s="72">
        <f>SUM(Tabela4[[#Headers],[Tania Regina Schmaltz - 01]:[Tania Regina Schmaltz - 02]])</f>
        <v>0</v>
      </c>
      <c r="BU23" s="72">
        <f>Tabela4[[#This Row],[Camila Ceretta Segatto]]</f>
        <v>0</v>
      </c>
      <c r="BV23" s="72">
        <f>Tabela4[[#This Row],[Vagner Ribas Dos Santos]]</f>
        <v>0</v>
      </c>
      <c r="BW23" s="72">
        <f>Tabela4[[#This Row],[Claudio Alfredo Konrat]]</f>
        <v>0</v>
      </c>
    </row>
    <row r="24" spans="1:75" x14ac:dyDescent="0.25">
      <c r="A24" s="70">
        <v>43770</v>
      </c>
      <c r="B24" s="72">
        <f>SUM(Tabela4[[#This Row],[Marlon Colovini - 01]:[Marlon Colovini - 02]])</f>
        <v>0</v>
      </c>
      <c r="C24" s="72">
        <f>Tabela4[[#This Row],[Mara Barichello]]</f>
        <v>0</v>
      </c>
      <c r="D24" s="72">
        <f>Tabela4[[#This Row],[Jandira Dutra]]</f>
        <v>0</v>
      </c>
      <c r="E24" s="72">
        <f>Tabela4[[#This Row],[Luiz Fernando Kruger]]</f>
        <v>0</v>
      </c>
      <c r="F24" s="72">
        <f>SUM(Tabela4[[#This Row],[Paulo Bohn - 01]:[Paulo Bohn - 04]])</f>
        <v>0</v>
      </c>
      <c r="G24" s="72">
        <f>Tabela4[[#This Row],[Analia (Clodoaldo Entre-Ijuis)]]</f>
        <v>0</v>
      </c>
      <c r="H24" s="72">
        <f>Tabela4[[#This Row],[Biroh]]</f>
        <v>0</v>
      </c>
      <c r="I24" s="72">
        <f>Tabela4[[#This Row],[Gelson Posser]]</f>
        <v>0</v>
      </c>
      <c r="J24" s="72">
        <f>Tabela4[[#This Row],[Supermercado Caryone]]</f>
        <v>0</v>
      </c>
      <c r="K24" s="72">
        <f>Tabela4[[#This Row],[Ernani Minetto]]</f>
        <v>0</v>
      </c>
      <c r="L24" s="72">
        <f>Tabela4[[#This Row],[Jair Moscon]]</f>
        <v>0</v>
      </c>
      <c r="M24" s="72">
        <f>SUM(Tabela4[[#This Row],[Fabio Milke - 01]:[Fabio Milke - 02]])</f>
        <v>0</v>
      </c>
      <c r="N24" s="72">
        <f>Tabela4[[#This Row],[Piaia]]</f>
        <v>0</v>
      </c>
      <c r="O24" s="72">
        <f>Tabela4[[#This Row],[Osmar Veronese]]</f>
        <v>0</v>
      </c>
      <c r="P24" s="72">
        <f>Tabela4[[#This Row],[ José Luiz Moraes]]</f>
        <v>0</v>
      </c>
      <c r="Q24" s="72">
        <f>Tabela4[[#This Row],[Supermercado Cripy]]</f>
        <v>0</v>
      </c>
      <c r="R24" s="72">
        <f>Tabela4[[#This Row],[Gláucio Lipski (Giruá)]]</f>
        <v>0</v>
      </c>
      <c r="S24" s="72">
        <f>Tabela4[[#This Row],[Contri]]</f>
        <v>0</v>
      </c>
      <c r="T24" s="72">
        <f>Tabela4[[#This Row],[Cleci Rubi]]</f>
        <v>0</v>
      </c>
      <c r="U24" s="72">
        <f>Tabela4[[#This Row],[Betine Rost]]</f>
        <v>0</v>
      </c>
      <c r="V24" s="72">
        <f>SUM(Tabela4[[#This Row],[Robinson Fetter - 01]:[Robinson Fetter - 03]])</f>
        <v>0</v>
      </c>
      <c r="W24" s="72">
        <f>Tabela4[[#This Row],[Fabio De Moura]]</f>
        <v>0</v>
      </c>
      <c r="X24" s="72">
        <f>Tabela4[[#This Row],[Rochele Santos Moraes]]</f>
        <v>0</v>
      </c>
      <c r="Y24" s="72">
        <f>Tabela4[[#This Row],[Auto Posto Kairã]]</f>
        <v>0</v>
      </c>
      <c r="Z24" s="72">
        <f>Tabela4[[#This Row],[Erno Schiefelbain]]</f>
        <v>0</v>
      </c>
      <c r="AA24" s="72">
        <f>Tabela4[[#This Row],[José Paulo Backes]]</f>
        <v>0</v>
      </c>
      <c r="AB24" s="72">
        <f>Tabela4[[#This Row],[Gelso Tofolo]]</f>
        <v>0</v>
      </c>
      <c r="AC24" s="72">
        <f>Tabela4[[#This Row],[Diamantino]]</f>
        <v>0</v>
      </c>
      <c r="AD24" s="72">
        <f>Tabela4[[#This Row],[Mercado Bueno]]</f>
        <v>0</v>
      </c>
      <c r="AE24" s="72">
        <f>Tabela4[[#This Row],[Daniela Donadel Massalai]]</f>
        <v>0</v>
      </c>
      <c r="AF24" s="72">
        <f>Tabela4[[#This Row],[Comercio De Moto Peças Irmãos Guarani Ltda]]</f>
        <v>0</v>
      </c>
      <c r="AG24" s="72">
        <f>Tabela4[[#This Row],[Mauricio Luis Lunardi]]</f>
        <v>0</v>
      </c>
      <c r="AH24" s="72">
        <f>Tabela4[[#This Row],[Rosa Maria Restle Radunz]]</f>
        <v>0</v>
      </c>
      <c r="AI24" s="72">
        <f>Tabela4[[#This Row],[Ivo Amaral De Oliveira]]</f>
        <v>0</v>
      </c>
      <c r="AJ24" s="72">
        <f>Tabela4[[#This Row],[Silvio Robert Lemos Avila]]</f>
        <v>0</v>
      </c>
      <c r="AK24" s="72">
        <f>Tabela4[[#This Row],[Eldo Rost]]</f>
        <v>0</v>
      </c>
      <c r="AL24" s="72">
        <f>SUM(Tabela4[[#This Row],[Padaria Avenida - 01]:[Padaria Avenida - 02]])</f>
        <v>0</v>
      </c>
      <c r="AM24" s="72">
        <f>Tabela4[[#This Row],[Cristiano Anshau]]</f>
        <v>0</v>
      </c>
      <c r="AN24" s="72">
        <f>Tabela4[[#This Row],[Luciana Claudete Meirelles Correa]]</f>
        <v>0</v>
      </c>
      <c r="AO24" s="72">
        <f>Tabela4[[#This Row],[Marcio Jose Siqueira]]</f>
        <v>0</v>
      </c>
      <c r="AP24" s="72">
        <f>Tabela4[[#This Row],[Marcos Rogerio Kessler]]</f>
        <v>0</v>
      </c>
      <c r="AQ24" s="72">
        <f>SUM(Tabela4[[#This Row],[AABB - 01]:[AABB - 02]])</f>
        <v>0</v>
      </c>
      <c r="AR24" s="72">
        <f>SUM(Tabela4[[#This Row],[Wanda Burkard - 01]:[Wanda Burkard - 02]])</f>
        <v>0</v>
      </c>
      <c r="AS24" s="72">
        <f>Tabela4[[#This Row],[Silvio Robert Lemos Avila Me]]</f>
        <v>0</v>
      </c>
      <c r="AT24" s="72">
        <f>Tabela4[[#This Row],[Carmelo]]</f>
        <v>0</v>
      </c>
      <c r="AU24" s="72">
        <f>Tabela4[[#This Row],[Antonio Dal Forno]]</f>
        <v>0</v>
      </c>
      <c r="AV24" s="72">
        <f>Tabela4[[#This Row],[Marisane Paulus]]</f>
        <v>0</v>
      </c>
      <c r="AW24" s="72">
        <f>Tabela4[[#This Row],[Segatto Ceretta Ltda]]</f>
        <v>0</v>
      </c>
      <c r="AX24" s="72">
        <f>SUM(Tabela4[[#This Row],[APAE - 01]:[APAE - 02]])</f>
        <v>0</v>
      </c>
      <c r="AY24" s="72">
        <f>Tabela4[[#This Row],[Cássio Burin]]</f>
        <v>0</v>
      </c>
      <c r="AZ24" s="72">
        <f>Tabela4[[#This Row],[Patrick Kristoschek Da Silva]]</f>
        <v>0</v>
      </c>
      <c r="BA24" s="72">
        <f>Tabela4[[#This Row],[Silvio Robert Ávila - (Valmir)]]</f>
        <v>0</v>
      </c>
      <c r="BB24" s="72">
        <f>Tabela4[[#This Row],[Zederson Jose Della Flora]]</f>
        <v>0</v>
      </c>
      <c r="BC24" s="72">
        <f>Tabela4[[#This Row],[Carlos Walmir Larsão Rolim]]</f>
        <v>0</v>
      </c>
      <c r="BD24" s="72">
        <f>Tabela4[[#This Row],[Danieli Missio]]</f>
        <v>0</v>
      </c>
      <c r="BE24" s="72">
        <f>Tabela4[[#This Row],[José Vasconcellos]]</f>
        <v>0</v>
      </c>
      <c r="BF24" s="72">
        <f>Tabela4[[#This Row],[Linho Lev Alimentos]]</f>
        <v>0</v>
      </c>
      <c r="BG24" s="72">
        <f>Tabela4[[#This Row],[Ernani Czapla]]</f>
        <v>0</v>
      </c>
      <c r="BH24" s="72">
        <f>Tabela4[[#This Row],[Valesca Da Luz]]</f>
        <v>0</v>
      </c>
      <c r="BI24" s="72">
        <f>Tabela4[[#This Row],[Olavo Mildner]]</f>
        <v>0</v>
      </c>
      <c r="BJ24" s="72">
        <f>Tabela4[[#This Row],[Dilnei Rohled]]</f>
        <v>0</v>
      </c>
      <c r="BK24" s="72">
        <f>Tabela4[[#This Row],[Shaiana Signorini]]</f>
        <v>0</v>
      </c>
      <c r="BL24" s="72">
        <f>Tabela4[[#This Row],[Fonse Atacado]]</f>
        <v>0</v>
      </c>
      <c r="BM24" s="72">
        <f>Tabela4[[#This Row],[Comercial de Alimentos]]</f>
        <v>0</v>
      </c>
      <c r="BN24" s="72">
        <f>Tabela4[[#This Row],[Ivone Kasburg Serralheria]]</f>
        <v>0</v>
      </c>
      <c r="BO24" s="72">
        <f>Tabela4[[#This Row],[Mercado Ceretta]]</f>
        <v>0</v>
      </c>
      <c r="BP24" s="72">
        <f>Tabela4[[#This Row],[Antonio Carlos Dos Santos Pereira]]</f>
        <v>0</v>
      </c>
      <c r="BQ24" s="72">
        <f>Tabela4[[#This Row],[Volnei Lemos Avila - Me]]</f>
        <v>0</v>
      </c>
      <c r="BR24" s="72">
        <f>Tabela4[[#This Row],[Silvana Meneghini]]</f>
        <v>0</v>
      </c>
      <c r="BS24" s="72">
        <f>Tabela4[[#This Row],[Eficaz Engenharia Ltda]]</f>
        <v>0</v>
      </c>
      <c r="BT24" s="72">
        <f>SUM(Tabela4[[#Headers],[Tania Regina Schmaltz - 01]:[Tania Regina Schmaltz - 02]])</f>
        <v>0</v>
      </c>
      <c r="BU24" s="72">
        <f>Tabela4[[#This Row],[Camila Ceretta Segatto]]</f>
        <v>0</v>
      </c>
      <c r="BV24" s="72">
        <f>Tabela4[[#This Row],[Vagner Ribas Dos Santos]]</f>
        <v>0</v>
      </c>
      <c r="BW24" s="72">
        <f>Tabela4[[#This Row],[Claudio Alfredo Konrat]]</f>
        <v>0</v>
      </c>
    </row>
    <row r="25" spans="1:75" x14ac:dyDescent="0.25">
      <c r="A25" s="70">
        <v>43800</v>
      </c>
      <c r="B25" s="72">
        <f>SUM(Tabela4[[#This Row],[Marlon Colovini - 01]:[Marlon Colovini - 02]])</f>
        <v>0</v>
      </c>
      <c r="C25" s="72">
        <f>Tabela4[[#This Row],[Mara Barichello]]</f>
        <v>0</v>
      </c>
      <c r="D25" s="72">
        <f>Tabela4[[#This Row],[Jandira Dutra]]</f>
        <v>0</v>
      </c>
      <c r="E25" s="72">
        <f>Tabela4[[#This Row],[Luiz Fernando Kruger]]</f>
        <v>0</v>
      </c>
      <c r="F25" s="72">
        <f>SUM(Tabela4[[#This Row],[Paulo Bohn - 01]:[Paulo Bohn - 04]])</f>
        <v>0</v>
      </c>
      <c r="G25" s="72">
        <f>Tabela4[[#This Row],[Analia (Clodoaldo Entre-Ijuis)]]</f>
        <v>0</v>
      </c>
      <c r="H25" s="72">
        <f>Tabela4[[#This Row],[Biroh]]</f>
        <v>0</v>
      </c>
      <c r="I25" s="72">
        <f>Tabela4[[#This Row],[Gelson Posser]]</f>
        <v>0</v>
      </c>
      <c r="J25" s="72">
        <f>Tabela4[[#This Row],[Supermercado Caryone]]</f>
        <v>0</v>
      </c>
      <c r="K25" s="72">
        <f>Tabela4[[#This Row],[Ernani Minetto]]</f>
        <v>0</v>
      </c>
      <c r="L25" s="72">
        <f>Tabela4[[#This Row],[Jair Moscon]]</f>
        <v>0</v>
      </c>
      <c r="M25" s="72">
        <f>SUM(Tabela4[[#This Row],[Fabio Milke - 01]:[Fabio Milke - 02]])</f>
        <v>0</v>
      </c>
      <c r="N25" s="72">
        <f>Tabela4[[#This Row],[Piaia]]</f>
        <v>0</v>
      </c>
      <c r="O25" s="72">
        <f>Tabela4[[#This Row],[Osmar Veronese]]</f>
        <v>0</v>
      </c>
      <c r="P25" s="72">
        <f>Tabela4[[#This Row],[ José Luiz Moraes]]</f>
        <v>0</v>
      </c>
      <c r="Q25" s="72">
        <f>Tabela4[[#This Row],[Supermercado Cripy]]</f>
        <v>0</v>
      </c>
      <c r="R25" s="72">
        <f>Tabela4[[#This Row],[Gláucio Lipski (Giruá)]]</f>
        <v>0</v>
      </c>
      <c r="S25" s="72">
        <f>Tabela4[[#This Row],[Contri]]</f>
        <v>0</v>
      </c>
      <c r="T25" s="72">
        <f>Tabela4[[#This Row],[Cleci Rubi]]</f>
        <v>0</v>
      </c>
      <c r="U25" s="72">
        <f>Tabela4[[#This Row],[Betine Rost]]</f>
        <v>0</v>
      </c>
      <c r="V25" s="72">
        <f>SUM(Tabela4[[#This Row],[Robinson Fetter - 01]:[Robinson Fetter - 03]])</f>
        <v>0</v>
      </c>
      <c r="W25" s="72">
        <f>Tabela4[[#This Row],[Fabio De Moura]]</f>
        <v>0</v>
      </c>
      <c r="X25" s="72">
        <f>Tabela4[[#This Row],[Rochele Santos Moraes]]</f>
        <v>0</v>
      </c>
      <c r="Y25" s="72">
        <f>Tabela4[[#This Row],[Auto Posto Kairã]]</f>
        <v>0</v>
      </c>
      <c r="Z25" s="72">
        <f>Tabela4[[#This Row],[Erno Schiefelbain]]</f>
        <v>0</v>
      </c>
      <c r="AA25" s="72">
        <f>Tabela4[[#This Row],[José Paulo Backes]]</f>
        <v>0</v>
      </c>
      <c r="AB25" s="72">
        <f>Tabela4[[#This Row],[Gelso Tofolo]]</f>
        <v>0</v>
      </c>
      <c r="AC25" s="72">
        <f>Tabela4[[#This Row],[Diamantino]]</f>
        <v>0</v>
      </c>
      <c r="AD25" s="72">
        <f>Tabela4[[#This Row],[Mercado Bueno]]</f>
        <v>0</v>
      </c>
      <c r="AE25" s="72">
        <f>Tabela4[[#This Row],[Daniela Donadel Massalai]]</f>
        <v>0</v>
      </c>
      <c r="AF25" s="72">
        <f>Tabela4[[#This Row],[Comercio De Moto Peças Irmãos Guarani Ltda]]</f>
        <v>0</v>
      </c>
      <c r="AG25" s="72">
        <f>Tabela4[[#This Row],[Mauricio Luis Lunardi]]</f>
        <v>0</v>
      </c>
      <c r="AH25" s="72">
        <f>Tabela4[[#This Row],[Rosa Maria Restle Radunz]]</f>
        <v>0</v>
      </c>
      <c r="AI25" s="72">
        <f>Tabela4[[#This Row],[Ivo Amaral De Oliveira]]</f>
        <v>0</v>
      </c>
      <c r="AJ25" s="72">
        <f>Tabela4[[#This Row],[Silvio Robert Lemos Avila]]</f>
        <v>0</v>
      </c>
      <c r="AK25" s="72">
        <f>Tabela4[[#This Row],[Eldo Rost]]</f>
        <v>0</v>
      </c>
      <c r="AL25" s="72">
        <f>SUM(Tabela4[[#This Row],[Padaria Avenida - 01]:[Padaria Avenida - 02]])</f>
        <v>0</v>
      </c>
      <c r="AM25" s="72">
        <f>Tabela4[[#This Row],[Cristiano Anshau]]</f>
        <v>0</v>
      </c>
      <c r="AN25" s="72">
        <f>Tabela4[[#This Row],[Luciana Claudete Meirelles Correa]]</f>
        <v>0</v>
      </c>
      <c r="AO25" s="72">
        <f>Tabela4[[#This Row],[Marcio Jose Siqueira]]</f>
        <v>0</v>
      </c>
      <c r="AP25" s="72">
        <f>Tabela4[[#This Row],[Marcos Rogerio Kessler]]</f>
        <v>0</v>
      </c>
      <c r="AQ25" s="72">
        <f>SUM(Tabela4[[#This Row],[AABB - 01]:[AABB - 02]])</f>
        <v>0</v>
      </c>
      <c r="AR25" s="72">
        <f>SUM(Tabela4[[#This Row],[Wanda Burkard - 01]:[Wanda Burkard - 02]])</f>
        <v>0</v>
      </c>
      <c r="AS25" s="72">
        <f>Tabela4[[#This Row],[Silvio Robert Lemos Avila Me]]</f>
        <v>0</v>
      </c>
      <c r="AT25" s="72">
        <f>Tabela4[[#This Row],[Carmelo]]</f>
        <v>0</v>
      </c>
      <c r="AU25" s="72">
        <f>Tabela4[[#This Row],[Antonio Dal Forno]]</f>
        <v>0</v>
      </c>
      <c r="AV25" s="72">
        <f>Tabela4[[#This Row],[Marisane Paulus]]</f>
        <v>0</v>
      </c>
      <c r="AW25" s="72">
        <f>Tabela4[[#This Row],[Segatto Ceretta Ltda]]</f>
        <v>0</v>
      </c>
      <c r="AX25" s="72">
        <f>SUM(Tabela4[[#This Row],[APAE - 01]:[APAE - 02]])</f>
        <v>0</v>
      </c>
      <c r="AY25" s="72">
        <f>Tabela4[[#This Row],[Cássio Burin]]</f>
        <v>0</v>
      </c>
      <c r="AZ25" s="72">
        <f>Tabela4[[#This Row],[Patrick Kristoschek Da Silva]]</f>
        <v>0</v>
      </c>
      <c r="BA25" s="72">
        <f>Tabela4[[#This Row],[Silvio Robert Ávila - (Valmir)]]</f>
        <v>0</v>
      </c>
      <c r="BB25" s="72">
        <f>Tabela4[[#This Row],[Zederson Jose Della Flora]]</f>
        <v>0</v>
      </c>
      <c r="BC25" s="72">
        <f>Tabela4[[#This Row],[Carlos Walmir Larsão Rolim]]</f>
        <v>0</v>
      </c>
      <c r="BD25" s="72">
        <f>Tabela4[[#This Row],[Danieli Missio]]</f>
        <v>0</v>
      </c>
      <c r="BE25" s="72">
        <f>Tabela4[[#This Row],[José Vasconcellos]]</f>
        <v>0</v>
      </c>
      <c r="BF25" s="72">
        <f>Tabela4[[#This Row],[Linho Lev Alimentos]]</f>
        <v>0</v>
      </c>
      <c r="BG25" s="72">
        <f>Tabela4[[#This Row],[Ernani Czapla]]</f>
        <v>0</v>
      </c>
      <c r="BH25" s="72">
        <f>Tabela4[[#This Row],[Valesca Da Luz]]</f>
        <v>0</v>
      </c>
      <c r="BI25" s="72">
        <f>Tabela4[[#This Row],[Olavo Mildner]]</f>
        <v>0</v>
      </c>
      <c r="BJ25" s="72">
        <f>Tabela4[[#This Row],[Dilnei Rohled]]</f>
        <v>0</v>
      </c>
      <c r="BK25" s="72">
        <f>Tabela4[[#This Row],[Shaiana Signorini]]</f>
        <v>0</v>
      </c>
      <c r="BL25" s="72">
        <f>Tabela4[[#This Row],[Fonse Atacado]]</f>
        <v>0</v>
      </c>
      <c r="BM25" s="72">
        <f>Tabela4[[#This Row],[Comercial de Alimentos]]</f>
        <v>0</v>
      </c>
      <c r="BN25" s="72">
        <f>Tabela4[[#This Row],[Ivone Kasburg Serralheria]]</f>
        <v>0</v>
      </c>
      <c r="BO25" s="72">
        <f>Tabela4[[#This Row],[Mercado Ceretta]]</f>
        <v>0</v>
      </c>
      <c r="BP25" s="72">
        <f>Tabela4[[#This Row],[Antonio Carlos Dos Santos Pereira]]</f>
        <v>0</v>
      </c>
      <c r="BQ25" s="72">
        <f>Tabela4[[#This Row],[Volnei Lemos Avila - Me]]</f>
        <v>0</v>
      </c>
      <c r="BR25" s="72">
        <f>Tabela4[[#This Row],[Silvana Meneghini]]</f>
        <v>0</v>
      </c>
      <c r="BS25" s="72">
        <f>Tabela4[[#This Row],[Eficaz Engenharia Ltda]]</f>
        <v>0</v>
      </c>
      <c r="BT25" s="72">
        <f>SUM(Tabela4[[#Headers],[Tania Regina Schmaltz - 01]:[Tania Regina Schmaltz - 02]])</f>
        <v>0</v>
      </c>
      <c r="BU25" s="72">
        <f>Tabela4[[#This Row],[Camila Ceretta Segatto]]</f>
        <v>0</v>
      </c>
      <c r="BV25" s="72">
        <f>Tabela4[[#This Row],[Vagner Ribas Dos Santos]]</f>
        <v>0</v>
      </c>
      <c r="BW25" s="72">
        <f>Tabela4[[#This Row],[Claudio Alfredo Konrat]]</f>
        <v>0</v>
      </c>
    </row>
    <row r="26" spans="1:75" x14ac:dyDescent="0.25">
      <c r="A26" s="70">
        <v>43831</v>
      </c>
      <c r="B26" s="72">
        <f>SUM(Tabela4[[#This Row],[Marlon Colovini - 01]:[Marlon Colovini - 02]])</f>
        <v>0</v>
      </c>
      <c r="C26" s="72">
        <f>Tabela4[[#This Row],[Mara Barichello]]</f>
        <v>0</v>
      </c>
      <c r="D26" s="72">
        <f>Tabela4[[#This Row],[Jandira Dutra]]</f>
        <v>0</v>
      </c>
      <c r="E26" s="72">
        <f>Tabela4[[#This Row],[Luiz Fernando Kruger]]</f>
        <v>0</v>
      </c>
      <c r="F26" s="72">
        <f>SUM(Tabela4[[#This Row],[Paulo Bohn - 01]:[Paulo Bohn - 04]])</f>
        <v>0</v>
      </c>
      <c r="G26" s="72">
        <f>Tabela4[[#This Row],[Analia (Clodoaldo Entre-Ijuis)]]</f>
        <v>0</v>
      </c>
      <c r="H26" s="72">
        <f>Tabela4[[#This Row],[Biroh]]</f>
        <v>0</v>
      </c>
      <c r="I26" s="72">
        <f>Tabela4[[#This Row],[Gelson Posser]]</f>
        <v>0</v>
      </c>
      <c r="J26" s="72">
        <f>Tabela4[[#This Row],[Supermercado Caryone]]</f>
        <v>0</v>
      </c>
      <c r="K26" s="72">
        <f>Tabela4[[#This Row],[Ernani Minetto]]</f>
        <v>0</v>
      </c>
      <c r="L26" s="72">
        <f>Tabela4[[#This Row],[Jair Moscon]]</f>
        <v>0</v>
      </c>
      <c r="M26" s="72">
        <f>SUM(Tabela4[[#This Row],[Fabio Milke - 01]:[Fabio Milke - 02]])</f>
        <v>0</v>
      </c>
      <c r="N26" s="72">
        <f>Tabela4[[#This Row],[Piaia]]</f>
        <v>0</v>
      </c>
      <c r="O26" s="72">
        <f>Tabela4[[#This Row],[Osmar Veronese]]</f>
        <v>0</v>
      </c>
      <c r="P26" s="72">
        <f>Tabela4[[#This Row],[ José Luiz Moraes]]</f>
        <v>0</v>
      </c>
      <c r="Q26" s="72">
        <f>Tabela4[[#This Row],[Supermercado Cripy]]</f>
        <v>0</v>
      </c>
      <c r="R26" s="72">
        <f>Tabela4[[#This Row],[Gláucio Lipski (Giruá)]]</f>
        <v>0</v>
      </c>
      <c r="S26" s="72">
        <f>Tabela4[[#This Row],[Contri]]</f>
        <v>0</v>
      </c>
      <c r="T26" s="72">
        <f>Tabela4[[#This Row],[Cleci Rubi]]</f>
        <v>0</v>
      </c>
      <c r="U26" s="72">
        <f>Tabela4[[#This Row],[Betine Rost]]</f>
        <v>0</v>
      </c>
      <c r="V26" s="72">
        <f>SUM(Tabela4[[#This Row],[Robinson Fetter - 01]:[Robinson Fetter - 03]])</f>
        <v>0</v>
      </c>
      <c r="W26" s="72">
        <f>Tabela4[[#This Row],[Fabio De Moura]]</f>
        <v>0</v>
      </c>
      <c r="X26" s="72">
        <f>Tabela4[[#This Row],[Rochele Santos Moraes]]</f>
        <v>0</v>
      </c>
      <c r="Y26" s="72">
        <f>Tabela4[[#This Row],[Auto Posto Kairã]]</f>
        <v>0</v>
      </c>
      <c r="Z26" s="72">
        <f>Tabela4[[#This Row],[Erno Schiefelbain]]</f>
        <v>0</v>
      </c>
      <c r="AA26" s="72">
        <f>Tabela4[[#This Row],[José Paulo Backes]]</f>
        <v>0</v>
      </c>
      <c r="AB26" s="72">
        <f>Tabela4[[#This Row],[Gelso Tofolo]]</f>
        <v>0</v>
      </c>
      <c r="AC26" s="72">
        <f>Tabela4[[#This Row],[Diamantino]]</f>
        <v>0</v>
      </c>
      <c r="AD26" s="72">
        <f>Tabela4[[#This Row],[Mercado Bueno]]</f>
        <v>0</v>
      </c>
      <c r="AE26" s="72">
        <f>Tabela4[[#This Row],[Daniela Donadel Massalai]]</f>
        <v>0</v>
      </c>
      <c r="AF26" s="72">
        <f>Tabela4[[#This Row],[Comercio De Moto Peças Irmãos Guarani Ltda]]</f>
        <v>0</v>
      </c>
      <c r="AG26" s="72">
        <f>Tabela4[[#This Row],[Mauricio Luis Lunardi]]</f>
        <v>0</v>
      </c>
      <c r="AH26" s="72">
        <f>Tabela4[[#This Row],[Rosa Maria Restle Radunz]]</f>
        <v>0</v>
      </c>
      <c r="AI26" s="72">
        <f>Tabela4[[#This Row],[Ivo Amaral De Oliveira]]</f>
        <v>0</v>
      </c>
      <c r="AJ26" s="72">
        <f>Tabela4[[#This Row],[Silvio Robert Lemos Avila]]</f>
        <v>0</v>
      </c>
      <c r="AK26" s="72">
        <f>Tabela4[[#This Row],[Eldo Rost]]</f>
        <v>0</v>
      </c>
      <c r="AL26" s="72">
        <f>SUM(Tabela4[[#This Row],[Padaria Avenida - 01]:[Padaria Avenida - 02]])</f>
        <v>0</v>
      </c>
      <c r="AM26" s="72">
        <f>Tabela4[[#This Row],[Cristiano Anshau]]</f>
        <v>0</v>
      </c>
      <c r="AN26" s="72">
        <f>Tabela4[[#This Row],[Luciana Claudete Meirelles Correa]]</f>
        <v>0</v>
      </c>
      <c r="AO26" s="72">
        <f>Tabela4[[#This Row],[Marcio Jose Siqueira]]</f>
        <v>0</v>
      </c>
      <c r="AP26" s="72">
        <f>Tabela4[[#This Row],[Marcos Rogerio Kessler]]</f>
        <v>0</v>
      </c>
      <c r="AQ26" s="72">
        <f>SUM(Tabela4[[#This Row],[AABB - 01]:[AABB - 02]])</f>
        <v>0</v>
      </c>
      <c r="AR26" s="72">
        <f>SUM(Tabela4[[#This Row],[Wanda Burkard - 01]:[Wanda Burkard - 02]])</f>
        <v>0</v>
      </c>
      <c r="AS26" s="72">
        <f>Tabela4[[#This Row],[Silvio Robert Lemos Avila Me]]</f>
        <v>0</v>
      </c>
      <c r="AT26" s="72">
        <f>Tabela4[[#This Row],[Carmelo]]</f>
        <v>0</v>
      </c>
      <c r="AU26" s="72">
        <f>Tabela4[[#This Row],[Antonio Dal Forno]]</f>
        <v>0</v>
      </c>
      <c r="AV26" s="72">
        <f>Tabela4[[#This Row],[Marisane Paulus]]</f>
        <v>0</v>
      </c>
      <c r="AW26" s="72">
        <f>Tabela4[[#This Row],[Segatto Ceretta Ltda]]</f>
        <v>0</v>
      </c>
      <c r="AX26" s="72">
        <f>SUM(Tabela4[[#This Row],[APAE - 01]:[APAE - 02]])</f>
        <v>0</v>
      </c>
      <c r="AY26" s="72">
        <f>Tabela4[[#This Row],[Cássio Burin]]</f>
        <v>0</v>
      </c>
      <c r="AZ26" s="72">
        <f>Tabela4[[#This Row],[Patrick Kristoschek Da Silva]]</f>
        <v>0</v>
      </c>
      <c r="BA26" s="72">
        <f>Tabela4[[#This Row],[Silvio Robert Ávila - (Valmir)]]</f>
        <v>0</v>
      </c>
      <c r="BB26" s="72">
        <f>Tabela4[[#This Row],[Zederson Jose Della Flora]]</f>
        <v>0</v>
      </c>
      <c r="BC26" s="72">
        <f>Tabela4[[#This Row],[Carlos Walmir Larsão Rolim]]</f>
        <v>0</v>
      </c>
      <c r="BD26" s="72">
        <f>Tabela4[[#This Row],[Danieli Missio]]</f>
        <v>0</v>
      </c>
      <c r="BE26" s="72">
        <f>Tabela4[[#This Row],[José Vasconcellos]]</f>
        <v>0</v>
      </c>
      <c r="BF26" s="72">
        <f>Tabela4[[#This Row],[Linho Lev Alimentos]]</f>
        <v>0</v>
      </c>
      <c r="BG26" s="72">
        <f>Tabela4[[#This Row],[Ernani Czapla]]</f>
        <v>0</v>
      </c>
      <c r="BH26" s="72">
        <f>Tabela4[[#This Row],[Valesca Da Luz]]</f>
        <v>0</v>
      </c>
      <c r="BI26" s="72">
        <f>Tabela4[[#This Row],[Olavo Mildner]]</f>
        <v>0</v>
      </c>
      <c r="BJ26" s="72">
        <f>Tabela4[[#This Row],[Dilnei Rohled]]</f>
        <v>0</v>
      </c>
      <c r="BK26" s="72">
        <f>Tabela4[[#This Row],[Shaiana Signorini]]</f>
        <v>0</v>
      </c>
      <c r="BL26" s="72">
        <f>Tabela4[[#This Row],[Fonse Atacado]]</f>
        <v>0</v>
      </c>
      <c r="BM26" s="72">
        <f>Tabela4[[#This Row],[Comercial de Alimentos]]</f>
        <v>0</v>
      </c>
      <c r="BN26" s="72">
        <f>Tabela4[[#This Row],[Ivone Kasburg Serralheria]]</f>
        <v>0</v>
      </c>
      <c r="BO26" s="72">
        <f>Tabela4[[#This Row],[Mercado Ceretta]]</f>
        <v>0</v>
      </c>
      <c r="BP26" s="72">
        <f>Tabela4[[#This Row],[Antonio Carlos Dos Santos Pereira]]</f>
        <v>0</v>
      </c>
      <c r="BQ26" s="72">
        <f>Tabela4[[#This Row],[Volnei Lemos Avila - Me]]</f>
        <v>0</v>
      </c>
      <c r="BR26" s="72">
        <f>Tabela4[[#This Row],[Silvana Meneghini]]</f>
        <v>0</v>
      </c>
      <c r="BS26" s="72">
        <f>Tabela4[[#This Row],[Eficaz Engenharia Ltda]]</f>
        <v>0</v>
      </c>
      <c r="BT26" s="72">
        <f>SUM(Tabela4[[#Headers],[Tania Regina Schmaltz - 01]:[Tania Regina Schmaltz - 02]])</f>
        <v>0</v>
      </c>
      <c r="BU26" s="72">
        <f>Tabela4[[#This Row],[Camila Ceretta Segatto]]</f>
        <v>0</v>
      </c>
      <c r="BV26" s="72">
        <f>Tabela4[[#This Row],[Vagner Ribas Dos Santos]]</f>
        <v>0</v>
      </c>
      <c r="BW26" s="72">
        <f>Tabela4[[#This Row],[Claudio Alfredo Konrat]]</f>
        <v>0</v>
      </c>
    </row>
    <row r="27" spans="1:75" x14ac:dyDescent="0.25">
      <c r="A27" s="70">
        <v>43862</v>
      </c>
      <c r="B27" s="72">
        <f>SUM(Tabela4[[#This Row],[Marlon Colovini - 01]:[Marlon Colovini - 02]])</f>
        <v>0</v>
      </c>
      <c r="C27" s="72">
        <f>Tabela4[[#This Row],[Mara Barichello]]</f>
        <v>0</v>
      </c>
      <c r="D27" s="72">
        <f>Tabela4[[#This Row],[Jandira Dutra]]</f>
        <v>0</v>
      </c>
      <c r="E27" s="72">
        <f>Tabela4[[#This Row],[Luiz Fernando Kruger]]</f>
        <v>0</v>
      </c>
      <c r="F27" s="72">
        <f>SUM(Tabela4[[#This Row],[Paulo Bohn - 01]:[Paulo Bohn - 04]])</f>
        <v>0</v>
      </c>
      <c r="G27" s="72">
        <f>Tabela4[[#This Row],[Analia (Clodoaldo Entre-Ijuis)]]</f>
        <v>0</v>
      </c>
      <c r="H27" s="72">
        <f>Tabela4[[#This Row],[Biroh]]</f>
        <v>0</v>
      </c>
      <c r="I27" s="72">
        <f>Tabela4[[#This Row],[Gelson Posser]]</f>
        <v>0</v>
      </c>
      <c r="J27" s="72">
        <f>Tabela4[[#This Row],[Supermercado Caryone]]</f>
        <v>0</v>
      </c>
      <c r="K27" s="72">
        <f>Tabela4[[#This Row],[Ernani Minetto]]</f>
        <v>0</v>
      </c>
      <c r="L27" s="72">
        <f>Tabela4[[#This Row],[Jair Moscon]]</f>
        <v>0</v>
      </c>
      <c r="M27" s="72">
        <f>SUM(Tabela4[[#This Row],[Fabio Milke - 01]:[Fabio Milke - 02]])</f>
        <v>0</v>
      </c>
      <c r="N27" s="72">
        <f>Tabela4[[#This Row],[Piaia]]</f>
        <v>0</v>
      </c>
      <c r="O27" s="72">
        <f>Tabela4[[#This Row],[Osmar Veronese]]</f>
        <v>0</v>
      </c>
      <c r="P27" s="72">
        <f>Tabela4[[#This Row],[ José Luiz Moraes]]</f>
        <v>0</v>
      </c>
      <c r="Q27" s="72">
        <f>Tabela4[[#This Row],[Supermercado Cripy]]</f>
        <v>0</v>
      </c>
      <c r="R27" s="72">
        <f>Tabela4[[#This Row],[Gláucio Lipski (Giruá)]]</f>
        <v>0</v>
      </c>
      <c r="S27" s="72">
        <f>Tabela4[[#This Row],[Contri]]</f>
        <v>0</v>
      </c>
      <c r="T27" s="72">
        <f>Tabela4[[#This Row],[Cleci Rubi]]</f>
        <v>0</v>
      </c>
      <c r="U27" s="72">
        <f>Tabela4[[#This Row],[Betine Rost]]</f>
        <v>0</v>
      </c>
      <c r="V27" s="72">
        <f>SUM(Tabela4[[#This Row],[Robinson Fetter - 01]:[Robinson Fetter - 03]])</f>
        <v>0</v>
      </c>
      <c r="W27" s="72">
        <f>Tabela4[[#This Row],[Fabio De Moura]]</f>
        <v>0</v>
      </c>
      <c r="X27" s="72">
        <f>Tabela4[[#This Row],[Rochele Santos Moraes]]</f>
        <v>0</v>
      </c>
      <c r="Y27" s="72">
        <f>Tabela4[[#This Row],[Auto Posto Kairã]]</f>
        <v>0</v>
      </c>
      <c r="Z27" s="72">
        <f>Tabela4[[#This Row],[Erno Schiefelbain]]</f>
        <v>0</v>
      </c>
      <c r="AA27" s="72">
        <f>Tabela4[[#This Row],[José Paulo Backes]]</f>
        <v>0</v>
      </c>
      <c r="AB27" s="72">
        <f>Tabela4[[#This Row],[Gelso Tofolo]]</f>
        <v>0</v>
      </c>
      <c r="AC27" s="72">
        <f>Tabela4[[#This Row],[Diamantino]]</f>
        <v>0</v>
      </c>
      <c r="AD27" s="72">
        <f>Tabela4[[#This Row],[Mercado Bueno]]</f>
        <v>0</v>
      </c>
      <c r="AE27" s="72">
        <f>Tabela4[[#This Row],[Daniela Donadel Massalai]]</f>
        <v>0</v>
      </c>
      <c r="AF27" s="72">
        <f>Tabela4[[#This Row],[Comercio De Moto Peças Irmãos Guarani Ltda]]</f>
        <v>0</v>
      </c>
      <c r="AG27" s="72">
        <f>Tabela4[[#This Row],[Mauricio Luis Lunardi]]</f>
        <v>0</v>
      </c>
      <c r="AH27" s="72">
        <f>Tabela4[[#This Row],[Rosa Maria Restle Radunz]]</f>
        <v>0</v>
      </c>
      <c r="AI27" s="72">
        <f>Tabela4[[#This Row],[Ivo Amaral De Oliveira]]</f>
        <v>0</v>
      </c>
      <c r="AJ27" s="72">
        <f>Tabela4[[#This Row],[Silvio Robert Lemos Avila]]</f>
        <v>0</v>
      </c>
      <c r="AK27" s="72">
        <f>Tabela4[[#This Row],[Eldo Rost]]</f>
        <v>0</v>
      </c>
      <c r="AL27" s="72">
        <f>SUM(Tabela4[[#This Row],[Padaria Avenida - 01]:[Padaria Avenida - 02]])</f>
        <v>0</v>
      </c>
      <c r="AM27" s="72">
        <f>Tabela4[[#This Row],[Cristiano Anshau]]</f>
        <v>0</v>
      </c>
      <c r="AN27" s="72">
        <f>Tabela4[[#This Row],[Luciana Claudete Meirelles Correa]]</f>
        <v>0</v>
      </c>
      <c r="AO27" s="72">
        <f>Tabela4[[#This Row],[Marcio Jose Siqueira]]</f>
        <v>0</v>
      </c>
      <c r="AP27" s="72">
        <f>Tabela4[[#This Row],[Marcos Rogerio Kessler]]</f>
        <v>0</v>
      </c>
      <c r="AQ27" s="72">
        <f>SUM(Tabela4[[#This Row],[AABB - 01]:[AABB - 02]])</f>
        <v>0</v>
      </c>
      <c r="AR27" s="72">
        <f>SUM(Tabela4[[#This Row],[Wanda Burkard - 01]:[Wanda Burkard - 02]])</f>
        <v>0</v>
      </c>
      <c r="AS27" s="72">
        <f>Tabela4[[#This Row],[Silvio Robert Lemos Avila Me]]</f>
        <v>0</v>
      </c>
      <c r="AT27" s="72">
        <f>Tabela4[[#This Row],[Carmelo]]</f>
        <v>0</v>
      </c>
      <c r="AU27" s="72">
        <f>Tabela4[[#This Row],[Antonio Dal Forno]]</f>
        <v>0</v>
      </c>
      <c r="AV27" s="72">
        <f>Tabela4[[#This Row],[Marisane Paulus]]</f>
        <v>0</v>
      </c>
      <c r="AW27" s="72">
        <f>Tabela4[[#This Row],[Segatto Ceretta Ltda]]</f>
        <v>0</v>
      </c>
      <c r="AX27" s="72">
        <f>SUM(Tabela4[[#This Row],[APAE - 01]:[APAE - 02]])</f>
        <v>0</v>
      </c>
      <c r="AY27" s="72">
        <f>Tabela4[[#This Row],[Cássio Burin]]</f>
        <v>0</v>
      </c>
      <c r="AZ27" s="72">
        <f>Tabela4[[#This Row],[Patrick Kristoschek Da Silva]]</f>
        <v>0</v>
      </c>
      <c r="BA27" s="72">
        <f>Tabela4[[#This Row],[Silvio Robert Ávila - (Valmir)]]</f>
        <v>0</v>
      </c>
      <c r="BB27" s="72">
        <f>Tabela4[[#This Row],[Zederson Jose Della Flora]]</f>
        <v>0</v>
      </c>
      <c r="BC27" s="72">
        <f>Tabela4[[#This Row],[Carlos Walmir Larsão Rolim]]</f>
        <v>0</v>
      </c>
      <c r="BD27" s="72">
        <f>Tabela4[[#This Row],[Danieli Missio]]</f>
        <v>0</v>
      </c>
      <c r="BE27" s="72">
        <f>Tabela4[[#This Row],[José Vasconcellos]]</f>
        <v>0</v>
      </c>
      <c r="BF27" s="72">
        <f>Tabela4[[#This Row],[Linho Lev Alimentos]]</f>
        <v>0</v>
      </c>
      <c r="BG27" s="72">
        <f>Tabela4[[#This Row],[Ernani Czapla]]</f>
        <v>0</v>
      </c>
      <c r="BH27" s="72">
        <f>Tabela4[[#This Row],[Valesca Da Luz]]</f>
        <v>0</v>
      </c>
      <c r="BI27" s="72">
        <f>Tabela4[[#This Row],[Olavo Mildner]]</f>
        <v>0</v>
      </c>
      <c r="BJ27" s="72">
        <f>Tabela4[[#This Row],[Dilnei Rohled]]</f>
        <v>0</v>
      </c>
      <c r="BK27" s="72">
        <f>Tabela4[[#This Row],[Shaiana Signorini]]</f>
        <v>0</v>
      </c>
      <c r="BL27" s="72">
        <f>Tabela4[[#This Row],[Fonse Atacado]]</f>
        <v>0</v>
      </c>
      <c r="BM27" s="72">
        <f>Tabela4[[#This Row],[Comercial de Alimentos]]</f>
        <v>0</v>
      </c>
      <c r="BN27" s="72">
        <f>Tabela4[[#This Row],[Ivone Kasburg Serralheria]]</f>
        <v>0</v>
      </c>
      <c r="BO27" s="72">
        <f>Tabela4[[#This Row],[Mercado Ceretta]]</f>
        <v>0</v>
      </c>
      <c r="BP27" s="72">
        <f>Tabela4[[#This Row],[Antonio Carlos Dos Santos Pereira]]</f>
        <v>0</v>
      </c>
      <c r="BQ27" s="72">
        <f>Tabela4[[#This Row],[Volnei Lemos Avila - Me]]</f>
        <v>0</v>
      </c>
      <c r="BR27" s="72">
        <f>Tabela4[[#This Row],[Silvana Meneghini]]</f>
        <v>0</v>
      </c>
      <c r="BS27" s="72">
        <f>Tabela4[[#This Row],[Eficaz Engenharia Ltda]]</f>
        <v>0</v>
      </c>
      <c r="BT27" s="72">
        <f>SUM(Tabela4[[#Headers],[Tania Regina Schmaltz - 01]:[Tania Regina Schmaltz - 02]])</f>
        <v>0</v>
      </c>
      <c r="BU27" s="72">
        <f>Tabela4[[#This Row],[Camila Ceretta Segatto]]</f>
        <v>0</v>
      </c>
      <c r="BV27" s="72">
        <f>Tabela4[[#This Row],[Vagner Ribas Dos Santos]]</f>
        <v>0</v>
      </c>
      <c r="BW27" s="72">
        <f>Tabela4[[#This Row],[Claudio Alfredo Konrat]]</f>
        <v>0</v>
      </c>
    </row>
    <row r="28" spans="1:75" x14ac:dyDescent="0.25">
      <c r="A28" s="70">
        <v>43891</v>
      </c>
      <c r="B28" s="72">
        <f>SUM(Tabela4[[#This Row],[Marlon Colovini - 01]:[Marlon Colovini - 02]])</f>
        <v>0</v>
      </c>
      <c r="C28" s="72">
        <f>Tabela4[[#This Row],[Mara Barichello]]</f>
        <v>0</v>
      </c>
      <c r="D28" s="72">
        <f>Tabela4[[#This Row],[Jandira Dutra]]</f>
        <v>0</v>
      </c>
      <c r="E28" s="72">
        <f>Tabela4[[#This Row],[Luiz Fernando Kruger]]</f>
        <v>0</v>
      </c>
      <c r="F28" s="72">
        <f>SUM(Tabela4[[#This Row],[Paulo Bohn - 01]:[Paulo Bohn - 04]])</f>
        <v>0</v>
      </c>
      <c r="G28" s="72">
        <f>Tabela4[[#This Row],[Analia (Clodoaldo Entre-Ijuis)]]</f>
        <v>0</v>
      </c>
      <c r="H28" s="72">
        <f>Tabela4[[#This Row],[Biroh]]</f>
        <v>0</v>
      </c>
      <c r="I28" s="72">
        <f>Tabela4[[#This Row],[Gelson Posser]]</f>
        <v>0</v>
      </c>
      <c r="J28" s="72">
        <f>Tabela4[[#This Row],[Supermercado Caryone]]</f>
        <v>0</v>
      </c>
      <c r="K28" s="72">
        <f>Tabela4[[#This Row],[Ernani Minetto]]</f>
        <v>0</v>
      </c>
      <c r="L28" s="72">
        <f>Tabela4[[#This Row],[Jair Moscon]]</f>
        <v>0</v>
      </c>
      <c r="M28" s="72">
        <f>SUM(Tabela4[[#This Row],[Fabio Milke - 01]:[Fabio Milke - 02]])</f>
        <v>0</v>
      </c>
      <c r="N28" s="72">
        <f>Tabela4[[#This Row],[Piaia]]</f>
        <v>0</v>
      </c>
      <c r="O28" s="72">
        <f>Tabela4[[#This Row],[Osmar Veronese]]</f>
        <v>0</v>
      </c>
      <c r="P28" s="72">
        <f>Tabela4[[#This Row],[ José Luiz Moraes]]</f>
        <v>0</v>
      </c>
      <c r="Q28" s="72">
        <f>Tabela4[[#This Row],[Supermercado Cripy]]</f>
        <v>0</v>
      </c>
      <c r="R28" s="72">
        <f>Tabela4[[#This Row],[Gláucio Lipski (Giruá)]]</f>
        <v>0</v>
      </c>
      <c r="S28" s="72">
        <f>Tabela4[[#This Row],[Contri]]</f>
        <v>0</v>
      </c>
      <c r="T28" s="72">
        <f>Tabela4[[#This Row],[Cleci Rubi]]</f>
        <v>0</v>
      </c>
      <c r="U28" s="72">
        <f>Tabela4[[#This Row],[Betine Rost]]</f>
        <v>0</v>
      </c>
      <c r="V28" s="72">
        <f>SUM(Tabela4[[#This Row],[Robinson Fetter - 01]:[Robinson Fetter - 03]])</f>
        <v>0</v>
      </c>
      <c r="W28" s="72">
        <f>Tabela4[[#This Row],[Fabio De Moura]]</f>
        <v>0</v>
      </c>
      <c r="X28" s="72">
        <f>Tabela4[[#This Row],[Rochele Santos Moraes]]</f>
        <v>0</v>
      </c>
      <c r="Y28" s="72">
        <f>Tabela4[[#This Row],[Auto Posto Kairã]]</f>
        <v>0</v>
      </c>
      <c r="Z28" s="72">
        <f>Tabela4[[#This Row],[Erno Schiefelbain]]</f>
        <v>0</v>
      </c>
      <c r="AA28" s="72">
        <f>Tabela4[[#This Row],[José Paulo Backes]]</f>
        <v>0</v>
      </c>
      <c r="AB28" s="72">
        <f>Tabela4[[#This Row],[Gelso Tofolo]]</f>
        <v>0</v>
      </c>
      <c r="AC28" s="72">
        <f>Tabela4[[#This Row],[Diamantino]]</f>
        <v>0</v>
      </c>
      <c r="AD28" s="72">
        <f>Tabela4[[#This Row],[Mercado Bueno]]</f>
        <v>0</v>
      </c>
      <c r="AE28" s="72">
        <f>Tabela4[[#This Row],[Daniela Donadel Massalai]]</f>
        <v>0</v>
      </c>
      <c r="AF28" s="72">
        <f>Tabela4[[#This Row],[Comercio De Moto Peças Irmãos Guarani Ltda]]</f>
        <v>0</v>
      </c>
      <c r="AG28" s="72">
        <f>Tabela4[[#This Row],[Mauricio Luis Lunardi]]</f>
        <v>0</v>
      </c>
      <c r="AH28" s="72">
        <f>Tabela4[[#This Row],[Rosa Maria Restle Radunz]]</f>
        <v>0</v>
      </c>
      <c r="AI28" s="72">
        <f>Tabela4[[#This Row],[Ivo Amaral De Oliveira]]</f>
        <v>0</v>
      </c>
      <c r="AJ28" s="72">
        <f>Tabela4[[#This Row],[Silvio Robert Lemos Avila]]</f>
        <v>0</v>
      </c>
      <c r="AK28" s="72">
        <f>Tabela4[[#This Row],[Eldo Rost]]</f>
        <v>0</v>
      </c>
      <c r="AL28" s="72">
        <f>SUM(Tabela4[[#This Row],[Padaria Avenida - 01]:[Padaria Avenida - 02]])</f>
        <v>0</v>
      </c>
      <c r="AM28" s="72">
        <f>Tabela4[[#This Row],[Cristiano Anshau]]</f>
        <v>0</v>
      </c>
      <c r="AN28" s="72">
        <f>Tabela4[[#This Row],[Luciana Claudete Meirelles Correa]]</f>
        <v>0</v>
      </c>
      <c r="AO28" s="72">
        <f>Tabela4[[#This Row],[Marcio Jose Siqueira]]</f>
        <v>0</v>
      </c>
      <c r="AP28" s="72">
        <f>Tabela4[[#This Row],[Marcos Rogerio Kessler]]</f>
        <v>0</v>
      </c>
      <c r="AQ28" s="72">
        <f>SUM(Tabela4[[#This Row],[AABB - 01]:[AABB - 02]])</f>
        <v>0</v>
      </c>
      <c r="AR28" s="72">
        <f>SUM(Tabela4[[#This Row],[Wanda Burkard - 01]:[Wanda Burkard - 02]])</f>
        <v>0</v>
      </c>
      <c r="AS28" s="72">
        <f>Tabela4[[#This Row],[Silvio Robert Lemos Avila Me]]</f>
        <v>0</v>
      </c>
      <c r="AT28" s="72">
        <f>Tabela4[[#This Row],[Carmelo]]</f>
        <v>0</v>
      </c>
      <c r="AU28" s="72">
        <f>Tabela4[[#This Row],[Antonio Dal Forno]]</f>
        <v>0</v>
      </c>
      <c r="AV28" s="72">
        <f>Tabela4[[#This Row],[Marisane Paulus]]</f>
        <v>0</v>
      </c>
      <c r="AW28" s="72">
        <f>Tabela4[[#This Row],[Segatto Ceretta Ltda]]</f>
        <v>0</v>
      </c>
      <c r="AX28" s="72">
        <f>SUM(Tabela4[[#This Row],[APAE - 01]:[APAE - 02]])</f>
        <v>0</v>
      </c>
      <c r="AY28" s="72">
        <f>Tabela4[[#This Row],[Cássio Burin]]</f>
        <v>0</v>
      </c>
      <c r="AZ28" s="72">
        <f>Tabela4[[#This Row],[Patrick Kristoschek Da Silva]]</f>
        <v>0</v>
      </c>
      <c r="BA28" s="72">
        <f>Tabela4[[#This Row],[Silvio Robert Ávila - (Valmir)]]</f>
        <v>0</v>
      </c>
      <c r="BB28" s="72">
        <f>Tabela4[[#This Row],[Zederson Jose Della Flora]]</f>
        <v>0</v>
      </c>
      <c r="BC28" s="72">
        <f>Tabela4[[#This Row],[Carlos Walmir Larsão Rolim]]</f>
        <v>0</v>
      </c>
      <c r="BD28" s="72">
        <f>Tabela4[[#This Row],[Danieli Missio]]</f>
        <v>0</v>
      </c>
      <c r="BE28" s="72">
        <f>Tabela4[[#This Row],[José Vasconcellos]]</f>
        <v>0</v>
      </c>
      <c r="BF28" s="72">
        <f>Tabela4[[#This Row],[Linho Lev Alimentos]]</f>
        <v>0</v>
      </c>
      <c r="BG28" s="72">
        <f>Tabela4[[#This Row],[Ernani Czapla]]</f>
        <v>0</v>
      </c>
      <c r="BH28" s="72">
        <f>Tabela4[[#This Row],[Valesca Da Luz]]</f>
        <v>0</v>
      </c>
      <c r="BI28" s="72">
        <f>Tabela4[[#This Row],[Olavo Mildner]]</f>
        <v>0</v>
      </c>
      <c r="BJ28" s="72">
        <f>Tabela4[[#This Row],[Dilnei Rohled]]</f>
        <v>0</v>
      </c>
      <c r="BK28" s="72">
        <f>Tabela4[[#This Row],[Shaiana Signorini]]</f>
        <v>0</v>
      </c>
      <c r="BL28" s="72">
        <f>Tabela4[[#This Row],[Fonse Atacado]]</f>
        <v>0</v>
      </c>
      <c r="BM28" s="72">
        <f>Tabela4[[#This Row],[Comercial de Alimentos]]</f>
        <v>0</v>
      </c>
      <c r="BN28" s="72">
        <f>Tabela4[[#This Row],[Ivone Kasburg Serralheria]]</f>
        <v>0</v>
      </c>
      <c r="BO28" s="72">
        <f>Tabela4[[#This Row],[Mercado Ceretta]]</f>
        <v>0</v>
      </c>
      <c r="BP28" s="72">
        <f>Tabela4[[#This Row],[Antonio Carlos Dos Santos Pereira]]</f>
        <v>0</v>
      </c>
      <c r="BQ28" s="72">
        <f>Tabela4[[#This Row],[Volnei Lemos Avila - Me]]</f>
        <v>0</v>
      </c>
      <c r="BR28" s="72">
        <f>Tabela4[[#This Row],[Silvana Meneghini]]</f>
        <v>0</v>
      </c>
      <c r="BS28" s="72">
        <f>Tabela4[[#This Row],[Eficaz Engenharia Ltda]]</f>
        <v>0</v>
      </c>
      <c r="BT28" s="72">
        <f>SUM(Tabela4[[#Headers],[Tania Regina Schmaltz - 01]:[Tania Regina Schmaltz - 02]])</f>
        <v>0</v>
      </c>
      <c r="BU28" s="72">
        <f>Tabela4[[#This Row],[Camila Ceretta Segatto]]</f>
        <v>0</v>
      </c>
      <c r="BV28" s="72">
        <f>Tabela4[[#This Row],[Vagner Ribas Dos Santos]]</f>
        <v>0</v>
      </c>
      <c r="BW28" s="72">
        <f>Tabela4[[#This Row],[Claudio Alfredo Konrat]]</f>
        <v>0</v>
      </c>
    </row>
    <row r="29" spans="1:75" x14ac:dyDescent="0.25">
      <c r="A29" s="70">
        <v>43922</v>
      </c>
      <c r="B29" s="72">
        <f>SUM(Tabela4[[#This Row],[Marlon Colovini - 01]:[Marlon Colovini - 02]])</f>
        <v>0</v>
      </c>
      <c r="C29" s="72">
        <f>Tabela4[[#This Row],[Mara Barichello]]</f>
        <v>0</v>
      </c>
      <c r="D29" s="72">
        <f>Tabela4[[#This Row],[Jandira Dutra]]</f>
        <v>0</v>
      </c>
      <c r="E29" s="72">
        <f>Tabela4[[#This Row],[Luiz Fernando Kruger]]</f>
        <v>0</v>
      </c>
      <c r="F29" s="72">
        <f>SUM(Tabela4[[#This Row],[Paulo Bohn - 01]:[Paulo Bohn - 04]])</f>
        <v>0</v>
      </c>
      <c r="G29" s="72">
        <f>Tabela4[[#This Row],[Analia (Clodoaldo Entre-Ijuis)]]</f>
        <v>0</v>
      </c>
      <c r="H29" s="72">
        <f>Tabela4[[#This Row],[Biroh]]</f>
        <v>0</v>
      </c>
      <c r="I29" s="72">
        <f>Tabela4[[#This Row],[Gelson Posser]]</f>
        <v>0</v>
      </c>
      <c r="J29" s="72">
        <f>Tabela4[[#This Row],[Supermercado Caryone]]</f>
        <v>0</v>
      </c>
      <c r="K29" s="72">
        <f>Tabela4[[#This Row],[Ernani Minetto]]</f>
        <v>0</v>
      </c>
      <c r="L29" s="72">
        <f>Tabela4[[#This Row],[Jair Moscon]]</f>
        <v>0</v>
      </c>
      <c r="M29" s="72">
        <f>SUM(Tabela4[[#This Row],[Fabio Milke - 01]:[Fabio Milke - 02]])</f>
        <v>0</v>
      </c>
      <c r="N29" s="72">
        <f>Tabela4[[#This Row],[Piaia]]</f>
        <v>0</v>
      </c>
      <c r="O29" s="72">
        <f>Tabela4[[#This Row],[Osmar Veronese]]</f>
        <v>0</v>
      </c>
      <c r="P29" s="72">
        <f>Tabela4[[#This Row],[ José Luiz Moraes]]</f>
        <v>0</v>
      </c>
      <c r="Q29" s="72">
        <f>Tabela4[[#This Row],[Supermercado Cripy]]</f>
        <v>0</v>
      </c>
      <c r="R29" s="72">
        <f>Tabela4[[#This Row],[Gláucio Lipski (Giruá)]]</f>
        <v>0</v>
      </c>
      <c r="S29" s="72">
        <f>Tabela4[[#This Row],[Contri]]</f>
        <v>0</v>
      </c>
      <c r="T29" s="72">
        <f>Tabela4[[#This Row],[Cleci Rubi]]</f>
        <v>0</v>
      </c>
      <c r="U29" s="72">
        <f>Tabela4[[#This Row],[Betine Rost]]</f>
        <v>0</v>
      </c>
      <c r="V29" s="72">
        <f>SUM(Tabela4[[#This Row],[Robinson Fetter - 01]:[Robinson Fetter - 03]])</f>
        <v>0</v>
      </c>
      <c r="W29" s="72">
        <f>Tabela4[[#This Row],[Fabio De Moura]]</f>
        <v>0</v>
      </c>
      <c r="X29" s="72">
        <f>Tabela4[[#This Row],[Rochele Santos Moraes]]</f>
        <v>0</v>
      </c>
      <c r="Y29" s="72">
        <f>Tabela4[[#This Row],[Auto Posto Kairã]]</f>
        <v>0</v>
      </c>
      <c r="Z29" s="72">
        <f>Tabela4[[#This Row],[Erno Schiefelbain]]</f>
        <v>0</v>
      </c>
      <c r="AA29" s="72">
        <f>Tabela4[[#This Row],[José Paulo Backes]]</f>
        <v>0</v>
      </c>
      <c r="AB29" s="72">
        <f>Tabela4[[#This Row],[Gelso Tofolo]]</f>
        <v>0</v>
      </c>
      <c r="AC29" s="72">
        <f>Tabela4[[#This Row],[Diamantino]]</f>
        <v>0</v>
      </c>
      <c r="AD29" s="72">
        <f>Tabela4[[#This Row],[Mercado Bueno]]</f>
        <v>0</v>
      </c>
      <c r="AE29" s="72">
        <f>Tabela4[[#This Row],[Daniela Donadel Massalai]]</f>
        <v>0</v>
      </c>
      <c r="AF29" s="72">
        <f>Tabela4[[#This Row],[Comercio De Moto Peças Irmãos Guarani Ltda]]</f>
        <v>0</v>
      </c>
      <c r="AG29" s="72">
        <f>Tabela4[[#This Row],[Mauricio Luis Lunardi]]</f>
        <v>0</v>
      </c>
      <c r="AH29" s="72">
        <f>Tabela4[[#This Row],[Rosa Maria Restle Radunz]]</f>
        <v>0</v>
      </c>
      <c r="AI29" s="72">
        <f>Tabela4[[#This Row],[Ivo Amaral De Oliveira]]</f>
        <v>0</v>
      </c>
      <c r="AJ29" s="72">
        <f>Tabela4[[#This Row],[Silvio Robert Lemos Avila]]</f>
        <v>0</v>
      </c>
      <c r="AK29" s="72">
        <f>Tabela4[[#This Row],[Eldo Rost]]</f>
        <v>0</v>
      </c>
      <c r="AL29" s="72">
        <f>SUM(Tabela4[[#This Row],[Padaria Avenida - 01]:[Padaria Avenida - 02]])</f>
        <v>0</v>
      </c>
      <c r="AM29" s="72">
        <f>Tabela4[[#This Row],[Cristiano Anshau]]</f>
        <v>0</v>
      </c>
      <c r="AN29" s="72">
        <f>Tabela4[[#This Row],[Luciana Claudete Meirelles Correa]]</f>
        <v>0</v>
      </c>
      <c r="AO29" s="72">
        <f>Tabela4[[#This Row],[Marcio Jose Siqueira]]</f>
        <v>0</v>
      </c>
      <c r="AP29" s="72">
        <f>Tabela4[[#This Row],[Marcos Rogerio Kessler]]</f>
        <v>0</v>
      </c>
      <c r="AQ29" s="72">
        <f>SUM(Tabela4[[#This Row],[AABB - 01]:[AABB - 02]])</f>
        <v>0</v>
      </c>
      <c r="AR29" s="72">
        <f>SUM(Tabela4[[#This Row],[Wanda Burkard - 01]:[Wanda Burkard - 02]])</f>
        <v>0</v>
      </c>
      <c r="AS29" s="72">
        <f>Tabela4[[#This Row],[Silvio Robert Lemos Avila Me]]</f>
        <v>0</v>
      </c>
      <c r="AT29" s="72">
        <f>Tabela4[[#This Row],[Carmelo]]</f>
        <v>0</v>
      </c>
      <c r="AU29" s="72">
        <f>Tabela4[[#This Row],[Antonio Dal Forno]]</f>
        <v>0</v>
      </c>
      <c r="AV29" s="72">
        <f>Tabela4[[#This Row],[Marisane Paulus]]</f>
        <v>0</v>
      </c>
      <c r="AW29" s="72">
        <f>Tabela4[[#This Row],[Segatto Ceretta Ltda]]</f>
        <v>0</v>
      </c>
      <c r="AX29" s="72">
        <f>SUM(Tabela4[[#This Row],[APAE - 01]:[APAE - 02]])</f>
        <v>0</v>
      </c>
      <c r="AY29" s="72">
        <f>Tabela4[[#This Row],[Cássio Burin]]</f>
        <v>0</v>
      </c>
      <c r="AZ29" s="72">
        <f>Tabela4[[#This Row],[Patrick Kristoschek Da Silva]]</f>
        <v>0</v>
      </c>
      <c r="BA29" s="72">
        <f>Tabela4[[#This Row],[Silvio Robert Ávila - (Valmir)]]</f>
        <v>0</v>
      </c>
      <c r="BB29" s="72">
        <f>Tabela4[[#This Row],[Zederson Jose Della Flora]]</f>
        <v>0</v>
      </c>
      <c r="BC29" s="72">
        <f>Tabela4[[#This Row],[Carlos Walmir Larsão Rolim]]</f>
        <v>0</v>
      </c>
      <c r="BD29" s="72">
        <f>Tabela4[[#This Row],[Danieli Missio]]</f>
        <v>0</v>
      </c>
      <c r="BE29" s="72">
        <f>Tabela4[[#This Row],[José Vasconcellos]]</f>
        <v>0</v>
      </c>
      <c r="BF29" s="72">
        <f>Tabela4[[#This Row],[Linho Lev Alimentos]]</f>
        <v>0</v>
      </c>
      <c r="BG29" s="72">
        <f>Tabela4[[#This Row],[Ernani Czapla]]</f>
        <v>0</v>
      </c>
      <c r="BH29" s="72">
        <f>Tabela4[[#This Row],[Valesca Da Luz]]</f>
        <v>0</v>
      </c>
      <c r="BI29" s="72">
        <f>Tabela4[[#This Row],[Olavo Mildner]]</f>
        <v>0</v>
      </c>
      <c r="BJ29" s="72">
        <f>Tabela4[[#This Row],[Dilnei Rohled]]</f>
        <v>0</v>
      </c>
      <c r="BK29" s="72">
        <f>Tabela4[[#This Row],[Shaiana Signorini]]</f>
        <v>0</v>
      </c>
      <c r="BL29" s="72">
        <f>Tabela4[[#This Row],[Fonse Atacado]]</f>
        <v>0</v>
      </c>
      <c r="BM29" s="72">
        <f>Tabela4[[#This Row],[Comercial de Alimentos]]</f>
        <v>0</v>
      </c>
      <c r="BN29" s="72">
        <f>Tabela4[[#This Row],[Ivone Kasburg Serralheria]]</f>
        <v>0</v>
      </c>
      <c r="BO29" s="72">
        <f>Tabela4[[#This Row],[Mercado Ceretta]]</f>
        <v>0</v>
      </c>
      <c r="BP29" s="72">
        <f>Tabela4[[#This Row],[Antonio Carlos Dos Santos Pereira]]</f>
        <v>0</v>
      </c>
      <c r="BQ29" s="72">
        <f>Tabela4[[#This Row],[Volnei Lemos Avila - Me]]</f>
        <v>0</v>
      </c>
      <c r="BR29" s="72">
        <f>Tabela4[[#This Row],[Silvana Meneghini]]</f>
        <v>0</v>
      </c>
      <c r="BS29" s="72">
        <f>Tabela4[[#This Row],[Eficaz Engenharia Ltda]]</f>
        <v>0</v>
      </c>
      <c r="BT29" s="72">
        <f>SUM(Tabela4[[#Headers],[Tania Regina Schmaltz - 01]:[Tania Regina Schmaltz - 02]])</f>
        <v>0</v>
      </c>
      <c r="BU29" s="72">
        <f>Tabela4[[#This Row],[Camila Ceretta Segatto]]</f>
        <v>0</v>
      </c>
      <c r="BV29" s="72">
        <f>Tabela4[[#This Row],[Vagner Ribas Dos Santos]]</f>
        <v>0</v>
      </c>
      <c r="BW29" s="72">
        <f>Tabela4[[#This Row],[Claudio Alfredo Konrat]]</f>
        <v>0</v>
      </c>
    </row>
    <row r="30" spans="1:75" x14ac:dyDescent="0.25">
      <c r="A30" s="70">
        <v>43952</v>
      </c>
      <c r="B30" s="72">
        <f>SUM(Tabela4[[#This Row],[Marlon Colovini - 01]:[Marlon Colovini - 02]])</f>
        <v>0</v>
      </c>
      <c r="C30" s="72">
        <f>Tabela4[[#This Row],[Mara Barichello]]</f>
        <v>0</v>
      </c>
      <c r="D30" s="72">
        <f>Tabela4[[#This Row],[Jandira Dutra]]</f>
        <v>0</v>
      </c>
      <c r="E30" s="72">
        <f>Tabela4[[#This Row],[Luiz Fernando Kruger]]</f>
        <v>0</v>
      </c>
      <c r="F30" s="72">
        <f>SUM(Tabela4[[#This Row],[Paulo Bohn - 01]:[Paulo Bohn - 04]])</f>
        <v>0</v>
      </c>
      <c r="G30" s="72">
        <f>Tabela4[[#This Row],[Analia (Clodoaldo Entre-Ijuis)]]</f>
        <v>0</v>
      </c>
      <c r="H30" s="72">
        <f>Tabela4[[#This Row],[Biroh]]</f>
        <v>0</v>
      </c>
      <c r="I30" s="72">
        <f>Tabela4[[#This Row],[Gelson Posser]]</f>
        <v>0</v>
      </c>
      <c r="J30" s="72">
        <f>Tabela4[[#This Row],[Supermercado Caryone]]</f>
        <v>0</v>
      </c>
      <c r="K30" s="72">
        <f>Tabela4[[#This Row],[Ernani Minetto]]</f>
        <v>0</v>
      </c>
      <c r="L30" s="72">
        <f>Tabela4[[#This Row],[Jair Moscon]]</f>
        <v>0</v>
      </c>
      <c r="M30" s="72">
        <f>SUM(Tabela4[[#This Row],[Fabio Milke - 01]:[Fabio Milke - 02]])</f>
        <v>0</v>
      </c>
      <c r="N30" s="72">
        <f>Tabela4[[#This Row],[Piaia]]</f>
        <v>0</v>
      </c>
      <c r="O30" s="72">
        <f>Tabela4[[#This Row],[Osmar Veronese]]</f>
        <v>0</v>
      </c>
      <c r="P30" s="72">
        <f>Tabela4[[#This Row],[ José Luiz Moraes]]</f>
        <v>0</v>
      </c>
      <c r="Q30" s="72">
        <f>Tabela4[[#This Row],[Supermercado Cripy]]</f>
        <v>0</v>
      </c>
      <c r="R30" s="72">
        <f>Tabela4[[#This Row],[Gláucio Lipski (Giruá)]]</f>
        <v>0</v>
      </c>
      <c r="S30" s="72">
        <f>Tabela4[[#This Row],[Contri]]</f>
        <v>0</v>
      </c>
      <c r="T30" s="72">
        <f>Tabela4[[#This Row],[Cleci Rubi]]</f>
        <v>0</v>
      </c>
      <c r="U30" s="72">
        <f>Tabela4[[#This Row],[Betine Rost]]</f>
        <v>0</v>
      </c>
      <c r="V30" s="72">
        <f>SUM(Tabela4[[#This Row],[Robinson Fetter - 01]:[Robinson Fetter - 03]])</f>
        <v>0</v>
      </c>
      <c r="W30" s="72">
        <f>Tabela4[[#This Row],[Fabio De Moura]]</f>
        <v>0</v>
      </c>
      <c r="X30" s="72">
        <f>Tabela4[[#This Row],[Rochele Santos Moraes]]</f>
        <v>0</v>
      </c>
      <c r="Y30" s="72">
        <f>Tabela4[[#This Row],[Auto Posto Kairã]]</f>
        <v>0</v>
      </c>
      <c r="Z30" s="72">
        <f>Tabela4[[#This Row],[Erno Schiefelbain]]</f>
        <v>0</v>
      </c>
      <c r="AA30" s="72">
        <f>Tabela4[[#This Row],[José Paulo Backes]]</f>
        <v>0</v>
      </c>
      <c r="AB30" s="72">
        <f>Tabela4[[#This Row],[Gelso Tofolo]]</f>
        <v>0</v>
      </c>
      <c r="AC30" s="72">
        <f>Tabela4[[#This Row],[Diamantino]]</f>
        <v>0</v>
      </c>
      <c r="AD30" s="72">
        <f>Tabela4[[#This Row],[Mercado Bueno]]</f>
        <v>0</v>
      </c>
      <c r="AE30" s="72">
        <f>Tabela4[[#This Row],[Daniela Donadel Massalai]]</f>
        <v>0</v>
      </c>
      <c r="AF30" s="72">
        <f>Tabela4[[#This Row],[Comercio De Moto Peças Irmãos Guarani Ltda]]</f>
        <v>0</v>
      </c>
      <c r="AG30" s="72">
        <f>Tabela4[[#This Row],[Mauricio Luis Lunardi]]</f>
        <v>0</v>
      </c>
      <c r="AH30" s="72">
        <f>Tabela4[[#This Row],[Rosa Maria Restle Radunz]]</f>
        <v>0</v>
      </c>
      <c r="AI30" s="72">
        <f>Tabela4[[#This Row],[Ivo Amaral De Oliveira]]</f>
        <v>0</v>
      </c>
      <c r="AJ30" s="72">
        <f>Tabela4[[#This Row],[Silvio Robert Lemos Avila]]</f>
        <v>0</v>
      </c>
      <c r="AK30" s="72">
        <f>Tabela4[[#This Row],[Eldo Rost]]</f>
        <v>0</v>
      </c>
      <c r="AL30" s="72">
        <f>SUM(Tabela4[[#This Row],[Padaria Avenida - 01]:[Padaria Avenida - 02]])</f>
        <v>0</v>
      </c>
      <c r="AM30" s="72">
        <f>Tabela4[[#This Row],[Cristiano Anshau]]</f>
        <v>0</v>
      </c>
      <c r="AN30" s="72">
        <f>Tabela4[[#This Row],[Luciana Claudete Meirelles Correa]]</f>
        <v>0</v>
      </c>
      <c r="AO30" s="72">
        <f>Tabela4[[#This Row],[Marcio Jose Siqueira]]</f>
        <v>0</v>
      </c>
      <c r="AP30" s="72">
        <f>Tabela4[[#This Row],[Marcos Rogerio Kessler]]</f>
        <v>0</v>
      </c>
      <c r="AQ30" s="72">
        <f>SUM(Tabela4[[#This Row],[AABB - 01]:[AABB - 02]])</f>
        <v>0</v>
      </c>
      <c r="AR30" s="72">
        <f>SUM(Tabela4[[#This Row],[Wanda Burkard - 01]:[Wanda Burkard - 02]])</f>
        <v>0</v>
      </c>
      <c r="AS30" s="72">
        <f>Tabela4[[#This Row],[Silvio Robert Lemos Avila Me]]</f>
        <v>0</v>
      </c>
      <c r="AT30" s="72">
        <f>Tabela4[[#This Row],[Carmelo]]</f>
        <v>0</v>
      </c>
      <c r="AU30" s="72">
        <f>Tabela4[[#This Row],[Antonio Dal Forno]]</f>
        <v>0</v>
      </c>
      <c r="AV30" s="72">
        <f>Tabela4[[#This Row],[Marisane Paulus]]</f>
        <v>0</v>
      </c>
      <c r="AW30" s="72">
        <f>Tabela4[[#This Row],[Segatto Ceretta Ltda]]</f>
        <v>0</v>
      </c>
      <c r="AX30" s="72">
        <f>SUM(Tabela4[[#This Row],[APAE - 01]:[APAE - 02]])</f>
        <v>0</v>
      </c>
      <c r="AY30" s="72">
        <f>Tabela4[[#This Row],[Cássio Burin]]</f>
        <v>0</v>
      </c>
      <c r="AZ30" s="72">
        <f>Tabela4[[#This Row],[Patrick Kristoschek Da Silva]]</f>
        <v>0</v>
      </c>
      <c r="BA30" s="72">
        <f>Tabela4[[#This Row],[Silvio Robert Ávila - (Valmir)]]</f>
        <v>0</v>
      </c>
      <c r="BB30" s="72">
        <f>Tabela4[[#This Row],[Zederson Jose Della Flora]]</f>
        <v>0</v>
      </c>
      <c r="BC30" s="72">
        <f>Tabela4[[#This Row],[Carlos Walmir Larsão Rolim]]</f>
        <v>0</v>
      </c>
      <c r="BD30" s="72">
        <f>Tabela4[[#This Row],[Danieli Missio]]</f>
        <v>0</v>
      </c>
      <c r="BE30" s="72">
        <f>Tabela4[[#This Row],[José Vasconcellos]]</f>
        <v>0</v>
      </c>
      <c r="BF30" s="72">
        <f>Tabela4[[#This Row],[Linho Lev Alimentos]]</f>
        <v>0</v>
      </c>
      <c r="BG30" s="72">
        <f>Tabela4[[#This Row],[Ernani Czapla]]</f>
        <v>0</v>
      </c>
      <c r="BH30" s="72">
        <f>Tabela4[[#This Row],[Valesca Da Luz]]</f>
        <v>0</v>
      </c>
      <c r="BI30" s="72">
        <f>Tabela4[[#This Row],[Olavo Mildner]]</f>
        <v>0</v>
      </c>
      <c r="BJ30" s="72">
        <f>Tabela4[[#This Row],[Dilnei Rohled]]</f>
        <v>0</v>
      </c>
      <c r="BK30" s="72">
        <f>Tabela4[[#This Row],[Shaiana Signorini]]</f>
        <v>0</v>
      </c>
      <c r="BL30" s="72">
        <f>Tabela4[[#This Row],[Fonse Atacado]]</f>
        <v>0</v>
      </c>
      <c r="BM30" s="72">
        <f>Tabela4[[#This Row],[Comercial de Alimentos]]</f>
        <v>0</v>
      </c>
      <c r="BN30" s="72">
        <f>Tabela4[[#This Row],[Ivone Kasburg Serralheria]]</f>
        <v>0</v>
      </c>
      <c r="BO30" s="72">
        <f>Tabela4[[#This Row],[Mercado Ceretta]]</f>
        <v>0</v>
      </c>
      <c r="BP30" s="72">
        <f>Tabela4[[#This Row],[Antonio Carlos Dos Santos Pereira]]</f>
        <v>0</v>
      </c>
      <c r="BQ30" s="72">
        <f>Tabela4[[#This Row],[Volnei Lemos Avila - Me]]</f>
        <v>0</v>
      </c>
      <c r="BR30" s="72">
        <f>Tabela4[[#This Row],[Silvana Meneghini]]</f>
        <v>0</v>
      </c>
      <c r="BS30" s="72">
        <f>Tabela4[[#This Row],[Eficaz Engenharia Ltda]]</f>
        <v>0</v>
      </c>
      <c r="BT30" s="72">
        <f>SUM(Tabela4[[#Headers],[Tania Regina Schmaltz - 01]:[Tania Regina Schmaltz - 02]])</f>
        <v>0</v>
      </c>
      <c r="BU30" s="72">
        <f>Tabela4[[#This Row],[Camila Ceretta Segatto]]</f>
        <v>0</v>
      </c>
      <c r="BV30" s="72">
        <f>Tabela4[[#This Row],[Vagner Ribas Dos Santos]]</f>
        <v>0</v>
      </c>
      <c r="BW30" s="72">
        <f>Tabela4[[#This Row],[Claudio Alfredo Konrat]]</f>
        <v>0</v>
      </c>
    </row>
    <row r="31" spans="1:75" x14ac:dyDescent="0.25">
      <c r="A31" s="70">
        <v>43983</v>
      </c>
      <c r="B31" s="72">
        <f>SUM(Tabela4[[#This Row],[Marlon Colovini - 01]:[Marlon Colovini - 02]])</f>
        <v>0</v>
      </c>
      <c r="C31" s="72">
        <f>Tabela4[[#This Row],[Mara Barichello]]</f>
        <v>0</v>
      </c>
      <c r="D31" s="72">
        <f>Tabela4[[#This Row],[Jandira Dutra]]</f>
        <v>0</v>
      </c>
      <c r="E31" s="72">
        <f>Tabela4[[#This Row],[Luiz Fernando Kruger]]</f>
        <v>0</v>
      </c>
      <c r="F31" s="72">
        <f>SUM(Tabela4[[#This Row],[Paulo Bohn - 01]:[Paulo Bohn - 04]])</f>
        <v>0</v>
      </c>
      <c r="G31" s="72">
        <f>Tabela4[[#This Row],[Analia (Clodoaldo Entre-Ijuis)]]</f>
        <v>0</v>
      </c>
      <c r="H31" s="72">
        <f>Tabela4[[#This Row],[Biroh]]</f>
        <v>0</v>
      </c>
      <c r="I31" s="72">
        <f>Tabela4[[#This Row],[Gelson Posser]]</f>
        <v>0</v>
      </c>
      <c r="J31" s="72">
        <f>Tabela4[[#This Row],[Supermercado Caryone]]</f>
        <v>0</v>
      </c>
      <c r="K31" s="72">
        <f>Tabela4[[#This Row],[Ernani Minetto]]</f>
        <v>0</v>
      </c>
      <c r="L31" s="72">
        <f>Tabela4[[#This Row],[Jair Moscon]]</f>
        <v>0</v>
      </c>
      <c r="M31" s="72">
        <f>SUM(Tabela4[[#This Row],[Fabio Milke - 01]:[Fabio Milke - 02]])</f>
        <v>0</v>
      </c>
      <c r="N31" s="72">
        <f>Tabela4[[#This Row],[Piaia]]</f>
        <v>0</v>
      </c>
      <c r="O31" s="72">
        <f>Tabela4[[#This Row],[Osmar Veronese]]</f>
        <v>0</v>
      </c>
      <c r="P31" s="72">
        <f>Tabela4[[#This Row],[ José Luiz Moraes]]</f>
        <v>0</v>
      </c>
      <c r="Q31" s="72">
        <f>Tabela4[[#This Row],[Supermercado Cripy]]</f>
        <v>0</v>
      </c>
      <c r="R31" s="72">
        <f>Tabela4[[#This Row],[Gláucio Lipski (Giruá)]]</f>
        <v>0</v>
      </c>
      <c r="S31" s="72">
        <f>Tabela4[[#This Row],[Contri]]</f>
        <v>0</v>
      </c>
      <c r="T31" s="72">
        <f>Tabela4[[#This Row],[Cleci Rubi]]</f>
        <v>0</v>
      </c>
      <c r="U31" s="72">
        <f>Tabela4[[#This Row],[Betine Rost]]</f>
        <v>0</v>
      </c>
      <c r="V31" s="72">
        <f>SUM(Tabela4[[#This Row],[Robinson Fetter - 01]:[Robinson Fetter - 03]])</f>
        <v>0</v>
      </c>
      <c r="W31" s="72">
        <f>Tabela4[[#This Row],[Fabio De Moura]]</f>
        <v>0</v>
      </c>
      <c r="X31" s="72">
        <f>Tabela4[[#This Row],[Rochele Santos Moraes]]</f>
        <v>0</v>
      </c>
      <c r="Y31" s="72">
        <f>Tabela4[[#This Row],[Auto Posto Kairã]]</f>
        <v>0</v>
      </c>
      <c r="Z31" s="72">
        <f>Tabela4[[#This Row],[Erno Schiefelbain]]</f>
        <v>0</v>
      </c>
      <c r="AA31" s="72">
        <f>Tabela4[[#This Row],[José Paulo Backes]]</f>
        <v>0</v>
      </c>
      <c r="AB31" s="72">
        <f>Tabela4[[#This Row],[Gelso Tofolo]]</f>
        <v>0</v>
      </c>
      <c r="AC31" s="72">
        <f>Tabela4[[#This Row],[Diamantino]]</f>
        <v>0</v>
      </c>
      <c r="AD31" s="72">
        <f>Tabela4[[#This Row],[Mercado Bueno]]</f>
        <v>0</v>
      </c>
      <c r="AE31" s="72">
        <f>Tabela4[[#This Row],[Daniela Donadel Massalai]]</f>
        <v>0</v>
      </c>
      <c r="AF31" s="72">
        <f>Tabela4[[#This Row],[Comercio De Moto Peças Irmãos Guarani Ltda]]</f>
        <v>0</v>
      </c>
      <c r="AG31" s="72">
        <f>Tabela4[[#This Row],[Mauricio Luis Lunardi]]</f>
        <v>0</v>
      </c>
      <c r="AH31" s="72">
        <f>Tabela4[[#This Row],[Rosa Maria Restle Radunz]]</f>
        <v>0</v>
      </c>
      <c r="AI31" s="72">
        <f>Tabela4[[#This Row],[Ivo Amaral De Oliveira]]</f>
        <v>0</v>
      </c>
      <c r="AJ31" s="72">
        <f>Tabela4[[#This Row],[Silvio Robert Lemos Avila]]</f>
        <v>0</v>
      </c>
      <c r="AK31" s="72">
        <f>Tabela4[[#This Row],[Eldo Rost]]</f>
        <v>0</v>
      </c>
      <c r="AL31" s="72">
        <f>SUM(Tabela4[[#This Row],[Padaria Avenida - 01]:[Padaria Avenida - 02]])</f>
        <v>0</v>
      </c>
      <c r="AM31" s="72">
        <f>Tabela4[[#This Row],[Cristiano Anshau]]</f>
        <v>0</v>
      </c>
      <c r="AN31" s="72">
        <f>Tabela4[[#This Row],[Luciana Claudete Meirelles Correa]]</f>
        <v>0</v>
      </c>
      <c r="AO31" s="72">
        <f>Tabela4[[#This Row],[Marcio Jose Siqueira]]</f>
        <v>0</v>
      </c>
      <c r="AP31" s="72">
        <f>Tabela4[[#This Row],[Marcos Rogerio Kessler]]</f>
        <v>0</v>
      </c>
      <c r="AQ31" s="72">
        <f>SUM(Tabela4[[#This Row],[AABB - 01]:[AABB - 02]])</f>
        <v>0</v>
      </c>
      <c r="AR31" s="72">
        <f>SUM(Tabela4[[#This Row],[Wanda Burkard - 01]:[Wanda Burkard - 02]])</f>
        <v>0</v>
      </c>
      <c r="AS31" s="72">
        <f>Tabela4[[#This Row],[Silvio Robert Lemos Avila Me]]</f>
        <v>0</v>
      </c>
      <c r="AT31" s="72">
        <f>Tabela4[[#This Row],[Carmelo]]</f>
        <v>0</v>
      </c>
      <c r="AU31" s="72">
        <f>Tabela4[[#This Row],[Antonio Dal Forno]]</f>
        <v>0</v>
      </c>
      <c r="AV31" s="72">
        <f>Tabela4[[#This Row],[Marisane Paulus]]</f>
        <v>0</v>
      </c>
      <c r="AW31" s="72">
        <f>Tabela4[[#This Row],[Segatto Ceretta Ltda]]</f>
        <v>0</v>
      </c>
      <c r="AX31" s="72">
        <f>SUM(Tabela4[[#This Row],[APAE - 01]:[APAE - 02]])</f>
        <v>0</v>
      </c>
      <c r="AY31" s="72">
        <f>Tabela4[[#This Row],[Cássio Burin]]</f>
        <v>0</v>
      </c>
      <c r="AZ31" s="72">
        <f>Tabela4[[#This Row],[Patrick Kristoschek Da Silva]]</f>
        <v>0</v>
      </c>
      <c r="BA31" s="72">
        <f>Tabela4[[#This Row],[Silvio Robert Ávila - (Valmir)]]</f>
        <v>0</v>
      </c>
      <c r="BB31" s="72">
        <f>Tabela4[[#This Row],[Zederson Jose Della Flora]]</f>
        <v>0</v>
      </c>
      <c r="BC31" s="72">
        <f>Tabela4[[#This Row],[Carlos Walmir Larsão Rolim]]</f>
        <v>0</v>
      </c>
      <c r="BD31" s="72">
        <f>Tabela4[[#This Row],[Danieli Missio]]</f>
        <v>0</v>
      </c>
      <c r="BE31" s="72">
        <f>Tabela4[[#This Row],[José Vasconcellos]]</f>
        <v>0</v>
      </c>
      <c r="BF31" s="72">
        <f>Tabela4[[#This Row],[Linho Lev Alimentos]]</f>
        <v>0</v>
      </c>
      <c r="BG31" s="72">
        <f>Tabela4[[#This Row],[Ernani Czapla]]</f>
        <v>0</v>
      </c>
      <c r="BH31" s="72">
        <f>Tabela4[[#This Row],[Valesca Da Luz]]</f>
        <v>0</v>
      </c>
      <c r="BI31" s="72">
        <f>Tabela4[[#This Row],[Olavo Mildner]]</f>
        <v>0</v>
      </c>
      <c r="BJ31" s="72">
        <f>Tabela4[[#This Row],[Dilnei Rohled]]</f>
        <v>0</v>
      </c>
      <c r="BK31" s="72">
        <f>Tabela4[[#This Row],[Shaiana Signorini]]</f>
        <v>0</v>
      </c>
      <c r="BL31" s="72">
        <f>Tabela4[[#This Row],[Fonse Atacado]]</f>
        <v>0</v>
      </c>
      <c r="BM31" s="72">
        <f>Tabela4[[#This Row],[Comercial de Alimentos]]</f>
        <v>0</v>
      </c>
      <c r="BN31" s="72">
        <f>Tabela4[[#This Row],[Ivone Kasburg Serralheria]]</f>
        <v>0</v>
      </c>
      <c r="BO31" s="72">
        <f>Tabela4[[#This Row],[Mercado Ceretta]]</f>
        <v>0</v>
      </c>
      <c r="BP31" s="72">
        <f>Tabela4[[#This Row],[Antonio Carlos Dos Santos Pereira]]</f>
        <v>0</v>
      </c>
      <c r="BQ31" s="72">
        <f>Tabela4[[#This Row],[Volnei Lemos Avila - Me]]</f>
        <v>0</v>
      </c>
      <c r="BR31" s="72">
        <f>Tabela4[[#This Row],[Silvana Meneghini]]</f>
        <v>0</v>
      </c>
      <c r="BS31" s="72">
        <f>Tabela4[[#This Row],[Eficaz Engenharia Ltda]]</f>
        <v>0</v>
      </c>
      <c r="BT31" s="72">
        <f>SUM(Tabela4[[#Headers],[Tania Regina Schmaltz - 01]:[Tania Regina Schmaltz - 02]])</f>
        <v>0</v>
      </c>
      <c r="BU31" s="72">
        <f>Tabela4[[#This Row],[Camila Ceretta Segatto]]</f>
        <v>0</v>
      </c>
      <c r="BV31" s="72">
        <f>Tabela4[[#This Row],[Vagner Ribas Dos Santos]]</f>
        <v>0</v>
      </c>
      <c r="BW31" s="72">
        <f>Tabela4[[#This Row],[Claudio Alfredo Konrat]]</f>
        <v>0</v>
      </c>
    </row>
    <row r="32" spans="1:75" x14ac:dyDescent="0.25">
      <c r="A32" s="70">
        <v>44013</v>
      </c>
      <c r="B32" s="72">
        <f>SUM(Tabela4[[#This Row],[Marlon Colovini - 01]:[Marlon Colovini - 02]])</f>
        <v>0</v>
      </c>
      <c r="C32" s="72">
        <f>Tabela4[[#This Row],[Mara Barichello]]</f>
        <v>0</v>
      </c>
      <c r="D32" s="72">
        <f>Tabela4[[#This Row],[Jandira Dutra]]</f>
        <v>0</v>
      </c>
      <c r="E32" s="72">
        <f>Tabela4[[#This Row],[Luiz Fernando Kruger]]</f>
        <v>0</v>
      </c>
      <c r="F32" s="72">
        <f>SUM(Tabela4[[#This Row],[Paulo Bohn - 01]:[Paulo Bohn - 04]])</f>
        <v>0</v>
      </c>
      <c r="G32" s="72">
        <f>Tabela4[[#This Row],[Analia (Clodoaldo Entre-Ijuis)]]</f>
        <v>0</v>
      </c>
      <c r="H32" s="72">
        <f>Tabela4[[#This Row],[Biroh]]</f>
        <v>0</v>
      </c>
      <c r="I32" s="72">
        <f>Tabela4[[#This Row],[Gelson Posser]]</f>
        <v>0</v>
      </c>
      <c r="J32" s="72">
        <f>Tabela4[[#This Row],[Supermercado Caryone]]</f>
        <v>0</v>
      </c>
      <c r="K32" s="72">
        <f>Tabela4[[#This Row],[Ernani Minetto]]</f>
        <v>0</v>
      </c>
      <c r="L32" s="72">
        <f>Tabela4[[#This Row],[Jair Moscon]]</f>
        <v>0</v>
      </c>
      <c r="M32" s="72">
        <f>SUM(Tabela4[[#This Row],[Fabio Milke - 01]:[Fabio Milke - 02]])</f>
        <v>0</v>
      </c>
      <c r="N32" s="72">
        <f>Tabela4[[#This Row],[Piaia]]</f>
        <v>0</v>
      </c>
      <c r="O32" s="72">
        <f>Tabela4[[#This Row],[Osmar Veronese]]</f>
        <v>0</v>
      </c>
      <c r="P32" s="72">
        <f>Tabela4[[#This Row],[ José Luiz Moraes]]</f>
        <v>0</v>
      </c>
      <c r="Q32" s="72">
        <f>Tabela4[[#This Row],[Supermercado Cripy]]</f>
        <v>0</v>
      </c>
      <c r="R32" s="72">
        <f>Tabela4[[#This Row],[Gláucio Lipski (Giruá)]]</f>
        <v>0</v>
      </c>
      <c r="S32" s="72">
        <f>Tabela4[[#This Row],[Contri]]</f>
        <v>0</v>
      </c>
      <c r="T32" s="72">
        <f>Tabela4[[#This Row],[Cleci Rubi]]</f>
        <v>0</v>
      </c>
      <c r="U32" s="72">
        <f>Tabela4[[#This Row],[Betine Rost]]</f>
        <v>0</v>
      </c>
      <c r="V32" s="72">
        <f>SUM(Tabela4[[#This Row],[Robinson Fetter - 01]:[Robinson Fetter - 03]])</f>
        <v>0</v>
      </c>
      <c r="W32" s="72">
        <f>Tabela4[[#This Row],[Fabio De Moura]]</f>
        <v>0</v>
      </c>
      <c r="X32" s="72">
        <f>Tabela4[[#This Row],[Rochele Santos Moraes]]</f>
        <v>0</v>
      </c>
      <c r="Y32" s="72">
        <f>Tabela4[[#This Row],[Auto Posto Kairã]]</f>
        <v>0</v>
      </c>
      <c r="Z32" s="72">
        <f>Tabela4[[#This Row],[Erno Schiefelbain]]</f>
        <v>0</v>
      </c>
      <c r="AA32" s="72">
        <f>Tabela4[[#This Row],[José Paulo Backes]]</f>
        <v>0</v>
      </c>
      <c r="AB32" s="72">
        <f>Tabela4[[#This Row],[Gelso Tofolo]]</f>
        <v>0</v>
      </c>
      <c r="AC32" s="72">
        <f>Tabela4[[#This Row],[Diamantino]]</f>
        <v>0</v>
      </c>
      <c r="AD32" s="72">
        <f>Tabela4[[#This Row],[Mercado Bueno]]</f>
        <v>0</v>
      </c>
      <c r="AE32" s="72">
        <f>Tabela4[[#This Row],[Daniela Donadel Massalai]]</f>
        <v>0</v>
      </c>
      <c r="AF32" s="72">
        <f>Tabela4[[#This Row],[Comercio De Moto Peças Irmãos Guarani Ltda]]</f>
        <v>0</v>
      </c>
      <c r="AG32" s="72">
        <f>Tabela4[[#This Row],[Mauricio Luis Lunardi]]</f>
        <v>0</v>
      </c>
      <c r="AH32" s="72">
        <f>Tabela4[[#This Row],[Rosa Maria Restle Radunz]]</f>
        <v>0</v>
      </c>
      <c r="AI32" s="72">
        <f>Tabela4[[#This Row],[Ivo Amaral De Oliveira]]</f>
        <v>0</v>
      </c>
      <c r="AJ32" s="72">
        <f>Tabela4[[#This Row],[Silvio Robert Lemos Avila]]</f>
        <v>0</v>
      </c>
      <c r="AK32" s="72">
        <f>Tabela4[[#This Row],[Eldo Rost]]</f>
        <v>0</v>
      </c>
      <c r="AL32" s="72">
        <f>SUM(Tabela4[[#This Row],[Padaria Avenida - 01]:[Padaria Avenida - 02]])</f>
        <v>0</v>
      </c>
      <c r="AM32" s="72">
        <f>Tabela4[[#This Row],[Cristiano Anshau]]</f>
        <v>0</v>
      </c>
      <c r="AN32" s="72">
        <f>Tabela4[[#This Row],[Luciana Claudete Meirelles Correa]]</f>
        <v>0</v>
      </c>
      <c r="AO32" s="72">
        <f>Tabela4[[#This Row],[Marcio Jose Siqueira]]</f>
        <v>0</v>
      </c>
      <c r="AP32" s="72">
        <f>Tabela4[[#This Row],[Marcos Rogerio Kessler]]</f>
        <v>0</v>
      </c>
      <c r="AQ32" s="72">
        <f>SUM(Tabela4[[#This Row],[AABB - 01]:[AABB - 02]])</f>
        <v>0</v>
      </c>
      <c r="AR32" s="72">
        <f>SUM(Tabela4[[#This Row],[Wanda Burkard - 01]:[Wanda Burkard - 02]])</f>
        <v>0</v>
      </c>
      <c r="AS32" s="72">
        <f>Tabela4[[#This Row],[Silvio Robert Lemos Avila Me]]</f>
        <v>0</v>
      </c>
      <c r="AT32" s="72">
        <f>Tabela4[[#This Row],[Carmelo]]</f>
        <v>0</v>
      </c>
      <c r="AU32" s="72">
        <f>Tabela4[[#This Row],[Antonio Dal Forno]]</f>
        <v>0</v>
      </c>
      <c r="AV32" s="72">
        <f>Tabela4[[#This Row],[Marisane Paulus]]</f>
        <v>0</v>
      </c>
      <c r="AW32" s="72">
        <f>Tabela4[[#This Row],[Segatto Ceretta Ltda]]</f>
        <v>0</v>
      </c>
      <c r="AX32" s="72">
        <f>SUM(Tabela4[[#This Row],[APAE - 01]:[APAE - 02]])</f>
        <v>0</v>
      </c>
      <c r="AY32" s="72">
        <f>Tabela4[[#This Row],[Cássio Burin]]</f>
        <v>0</v>
      </c>
      <c r="AZ32" s="72">
        <f>Tabela4[[#This Row],[Patrick Kristoschek Da Silva]]</f>
        <v>0</v>
      </c>
      <c r="BA32" s="72">
        <f>Tabela4[[#This Row],[Silvio Robert Ávila - (Valmir)]]</f>
        <v>0</v>
      </c>
      <c r="BB32" s="72">
        <f>Tabela4[[#This Row],[Zederson Jose Della Flora]]</f>
        <v>0</v>
      </c>
      <c r="BC32" s="72">
        <f>Tabela4[[#This Row],[Carlos Walmir Larsão Rolim]]</f>
        <v>0</v>
      </c>
      <c r="BD32" s="72">
        <f>Tabela4[[#This Row],[Danieli Missio]]</f>
        <v>0</v>
      </c>
      <c r="BE32" s="72">
        <f>Tabela4[[#This Row],[José Vasconcellos]]</f>
        <v>0</v>
      </c>
      <c r="BF32" s="72">
        <f>Tabela4[[#This Row],[Linho Lev Alimentos]]</f>
        <v>0</v>
      </c>
      <c r="BG32" s="72">
        <f>Tabela4[[#This Row],[Ernani Czapla]]</f>
        <v>0</v>
      </c>
      <c r="BH32" s="72">
        <f>Tabela4[[#This Row],[Valesca Da Luz]]</f>
        <v>0</v>
      </c>
      <c r="BI32" s="72">
        <f>Tabela4[[#This Row],[Olavo Mildner]]</f>
        <v>0</v>
      </c>
      <c r="BJ32" s="72">
        <f>Tabela4[[#This Row],[Dilnei Rohled]]</f>
        <v>0</v>
      </c>
      <c r="BK32" s="72">
        <f>Tabela4[[#This Row],[Shaiana Signorini]]</f>
        <v>0</v>
      </c>
      <c r="BL32" s="72">
        <f>Tabela4[[#This Row],[Fonse Atacado]]</f>
        <v>0</v>
      </c>
      <c r="BM32" s="72">
        <f>Tabela4[[#This Row],[Comercial de Alimentos]]</f>
        <v>0</v>
      </c>
      <c r="BN32" s="72">
        <f>Tabela4[[#This Row],[Ivone Kasburg Serralheria]]</f>
        <v>0</v>
      </c>
      <c r="BO32" s="72">
        <f>Tabela4[[#This Row],[Mercado Ceretta]]</f>
        <v>0</v>
      </c>
      <c r="BP32" s="72">
        <f>Tabela4[[#This Row],[Antonio Carlos Dos Santos Pereira]]</f>
        <v>0</v>
      </c>
      <c r="BQ32" s="72">
        <f>Tabela4[[#This Row],[Volnei Lemos Avila - Me]]</f>
        <v>0</v>
      </c>
      <c r="BR32" s="72">
        <f>Tabela4[[#This Row],[Silvana Meneghini]]</f>
        <v>0</v>
      </c>
      <c r="BS32" s="72">
        <f>Tabela4[[#This Row],[Eficaz Engenharia Ltda]]</f>
        <v>0</v>
      </c>
      <c r="BT32" s="72">
        <f>SUM(Tabela4[[#Headers],[Tania Regina Schmaltz - 01]:[Tania Regina Schmaltz - 02]])</f>
        <v>0</v>
      </c>
      <c r="BU32" s="72">
        <f>Tabela4[[#This Row],[Camila Ceretta Segatto]]</f>
        <v>0</v>
      </c>
      <c r="BV32" s="72">
        <f>Tabela4[[#This Row],[Vagner Ribas Dos Santos]]</f>
        <v>0</v>
      </c>
      <c r="BW32" s="72">
        <f>Tabela4[[#This Row],[Claudio Alfredo Konrat]]</f>
        <v>0</v>
      </c>
    </row>
    <row r="33" spans="1:75" x14ac:dyDescent="0.25">
      <c r="A33" s="70">
        <v>44044</v>
      </c>
      <c r="B33" s="72">
        <f>SUM(Tabela4[[#This Row],[Marlon Colovini - 01]:[Marlon Colovini - 02]])</f>
        <v>0</v>
      </c>
      <c r="C33" s="72">
        <f>Tabela4[[#This Row],[Mara Barichello]]</f>
        <v>0</v>
      </c>
      <c r="D33" s="72">
        <f>Tabela4[[#This Row],[Jandira Dutra]]</f>
        <v>0</v>
      </c>
      <c r="E33" s="72">
        <f>Tabela4[[#This Row],[Luiz Fernando Kruger]]</f>
        <v>0</v>
      </c>
      <c r="F33" s="72">
        <f>SUM(Tabela4[[#This Row],[Paulo Bohn - 01]:[Paulo Bohn - 04]])</f>
        <v>0</v>
      </c>
      <c r="G33" s="72">
        <f>Tabela4[[#This Row],[Analia (Clodoaldo Entre-Ijuis)]]</f>
        <v>0</v>
      </c>
      <c r="H33" s="72">
        <f>Tabela4[[#This Row],[Biroh]]</f>
        <v>0</v>
      </c>
      <c r="I33" s="72">
        <f>Tabela4[[#This Row],[Gelson Posser]]</f>
        <v>0</v>
      </c>
      <c r="J33" s="72">
        <f>Tabela4[[#This Row],[Supermercado Caryone]]</f>
        <v>0</v>
      </c>
      <c r="K33" s="72">
        <f>Tabela4[[#This Row],[Ernani Minetto]]</f>
        <v>0</v>
      </c>
      <c r="L33" s="72">
        <f>Tabela4[[#This Row],[Jair Moscon]]</f>
        <v>0</v>
      </c>
      <c r="M33" s="72">
        <f>SUM(Tabela4[[#This Row],[Fabio Milke - 01]:[Fabio Milke - 02]])</f>
        <v>0</v>
      </c>
      <c r="N33" s="72">
        <f>Tabela4[[#This Row],[Piaia]]</f>
        <v>0</v>
      </c>
      <c r="O33" s="72">
        <f>Tabela4[[#This Row],[Osmar Veronese]]</f>
        <v>0</v>
      </c>
      <c r="P33" s="72">
        <f>Tabela4[[#This Row],[ José Luiz Moraes]]</f>
        <v>0</v>
      </c>
      <c r="Q33" s="72">
        <f>Tabela4[[#This Row],[Supermercado Cripy]]</f>
        <v>0</v>
      </c>
      <c r="R33" s="72">
        <f>Tabela4[[#This Row],[Gláucio Lipski (Giruá)]]</f>
        <v>0</v>
      </c>
      <c r="S33" s="72">
        <f>Tabela4[[#This Row],[Contri]]</f>
        <v>0</v>
      </c>
      <c r="T33" s="72">
        <f>Tabela4[[#This Row],[Cleci Rubi]]</f>
        <v>0</v>
      </c>
      <c r="U33" s="72">
        <f>Tabela4[[#This Row],[Betine Rost]]</f>
        <v>0</v>
      </c>
      <c r="V33" s="72">
        <f>SUM(Tabela4[[#This Row],[Robinson Fetter - 01]:[Robinson Fetter - 03]])</f>
        <v>0</v>
      </c>
      <c r="W33" s="72">
        <f>Tabela4[[#This Row],[Fabio De Moura]]</f>
        <v>0</v>
      </c>
      <c r="X33" s="72">
        <f>Tabela4[[#This Row],[Rochele Santos Moraes]]</f>
        <v>0</v>
      </c>
      <c r="Y33" s="72">
        <f>Tabela4[[#This Row],[Auto Posto Kairã]]</f>
        <v>0</v>
      </c>
      <c r="Z33" s="72">
        <f>Tabela4[[#This Row],[Erno Schiefelbain]]</f>
        <v>0</v>
      </c>
      <c r="AA33" s="72">
        <f>Tabela4[[#This Row],[José Paulo Backes]]</f>
        <v>0</v>
      </c>
      <c r="AB33" s="72">
        <f>Tabela4[[#This Row],[Gelso Tofolo]]</f>
        <v>0</v>
      </c>
      <c r="AC33" s="72">
        <f>Tabela4[[#This Row],[Diamantino]]</f>
        <v>0</v>
      </c>
      <c r="AD33" s="72">
        <f>Tabela4[[#This Row],[Mercado Bueno]]</f>
        <v>0</v>
      </c>
      <c r="AE33" s="72">
        <f>Tabela4[[#This Row],[Daniela Donadel Massalai]]</f>
        <v>0</v>
      </c>
      <c r="AF33" s="72">
        <f>Tabela4[[#This Row],[Comercio De Moto Peças Irmãos Guarani Ltda]]</f>
        <v>0</v>
      </c>
      <c r="AG33" s="72">
        <f>Tabela4[[#This Row],[Mauricio Luis Lunardi]]</f>
        <v>0</v>
      </c>
      <c r="AH33" s="72">
        <f>Tabela4[[#This Row],[Rosa Maria Restle Radunz]]</f>
        <v>0</v>
      </c>
      <c r="AI33" s="72">
        <f>Tabela4[[#This Row],[Ivo Amaral De Oliveira]]</f>
        <v>0</v>
      </c>
      <c r="AJ33" s="72">
        <f>Tabela4[[#This Row],[Silvio Robert Lemos Avila]]</f>
        <v>0</v>
      </c>
      <c r="AK33" s="72">
        <f>Tabela4[[#This Row],[Eldo Rost]]</f>
        <v>0</v>
      </c>
      <c r="AL33" s="72">
        <f>SUM(Tabela4[[#This Row],[Padaria Avenida - 01]:[Padaria Avenida - 02]])</f>
        <v>0</v>
      </c>
      <c r="AM33" s="72">
        <f>Tabela4[[#This Row],[Cristiano Anshau]]</f>
        <v>0</v>
      </c>
      <c r="AN33" s="72">
        <f>Tabela4[[#This Row],[Luciana Claudete Meirelles Correa]]</f>
        <v>0</v>
      </c>
      <c r="AO33" s="72">
        <f>Tabela4[[#This Row],[Marcio Jose Siqueira]]</f>
        <v>0</v>
      </c>
      <c r="AP33" s="72">
        <f>Tabela4[[#This Row],[Marcos Rogerio Kessler]]</f>
        <v>0</v>
      </c>
      <c r="AQ33" s="72">
        <f>SUM(Tabela4[[#This Row],[AABB - 01]:[AABB - 02]])</f>
        <v>0</v>
      </c>
      <c r="AR33" s="72">
        <f>SUM(Tabela4[[#This Row],[Wanda Burkard - 01]:[Wanda Burkard - 02]])</f>
        <v>0</v>
      </c>
      <c r="AS33" s="72">
        <f>Tabela4[[#This Row],[Silvio Robert Lemos Avila Me]]</f>
        <v>0</v>
      </c>
      <c r="AT33" s="72">
        <f>Tabela4[[#This Row],[Carmelo]]</f>
        <v>0</v>
      </c>
      <c r="AU33" s="72">
        <f>Tabela4[[#This Row],[Antonio Dal Forno]]</f>
        <v>0</v>
      </c>
      <c r="AV33" s="72">
        <f>Tabela4[[#This Row],[Marisane Paulus]]</f>
        <v>0</v>
      </c>
      <c r="AW33" s="72">
        <f>Tabela4[[#This Row],[Segatto Ceretta Ltda]]</f>
        <v>0</v>
      </c>
      <c r="AX33" s="72">
        <f>SUM(Tabela4[[#This Row],[APAE - 01]:[APAE - 02]])</f>
        <v>0</v>
      </c>
      <c r="AY33" s="72">
        <f>Tabela4[[#This Row],[Cássio Burin]]</f>
        <v>0</v>
      </c>
      <c r="AZ33" s="72">
        <f>Tabela4[[#This Row],[Patrick Kristoschek Da Silva]]</f>
        <v>0</v>
      </c>
      <c r="BA33" s="72">
        <f>Tabela4[[#This Row],[Silvio Robert Ávila - (Valmir)]]</f>
        <v>0</v>
      </c>
      <c r="BB33" s="72">
        <f>Tabela4[[#This Row],[Zederson Jose Della Flora]]</f>
        <v>0</v>
      </c>
      <c r="BC33" s="72">
        <f>Tabela4[[#This Row],[Carlos Walmir Larsão Rolim]]</f>
        <v>0</v>
      </c>
      <c r="BD33" s="72">
        <f>Tabela4[[#This Row],[Danieli Missio]]</f>
        <v>0</v>
      </c>
      <c r="BE33" s="72">
        <f>Tabela4[[#This Row],[José Vasconcellos]]</f>
        <v>0</v>
      </c>
      <c r="BF33" s="72">
        <f>Tabela4[[#This Row],[Linho Lev Alimentos]]</f>
        <v>0</v>
      </c>
      <c r="BG33" s="72">
        <f>Tabela4[[#This Row],[Ernani Czapla]]</f>
        <v>0</v>
      </c>
      <c r="BH33" s="72">
        <f>Tabela4[[#This Row],[Valesca Da Luz]]</f>
        <v>0</v>
      </c>
      <c r="BI33" s="72">
        <f>Tabela4[[#This Row],[Olavo Mildner]]</f>
        <v>0</v>
      </c>
      <c r="BJ33" s="72">
        <f>Tabela4[[#This Row],[Dilnei Rohled]]</f>
        <v>0</v>
      </c>
      <c r="BK33" s="72">
        <f>Tabela4[[#This Row],[Shaiana Signorini]]</f>
        <v>0</v>
      </c>
      <c r="BL33" s="72">
        <f>Tabela4[[#This Row],[Fonse Atacado]]</f>
        <v>0</v>
      </c>
      <c r="BM33" s="72">
        <f>Tabela4[[#This Row],[Comercial de Alimentos]]</f>
        <v>0</v>
      </c>
      <c r="BN33" s="72">
        <f>Tabela4[[#This Row],[Ivone Kasburg Serralheria]]</f>
        <v>0</v>
      </c>
      <c r="BO33" s="72">
        <f>Tabela4[[#This Row],[Mercado Ceretta]]</f>
        <v>0</v>
      </c>
      <c r="BP33" s="72">
        <f>Tabela4[[#This Row],[Antonio Carlos Dos Santos Pereira]]</f>
        <v>0</v>
      </c>
      <c r="BQ33" s="72">
        <f>Tabela4[[#This Row],[Volnei Lemos Avila - Me]]</f>
        <v>0</v>
      </c>
      <c r="BR33" s="72">
        <f>Tabela4[[#This Row],[Silvana Meneghini]]</f>
        <v>0</v>
      </c>
      <c r="BS33" s="72">
        <f>Tabela4[[#This Row],[Eficaz Engenharia Ltda]]</f>
        <v>0</v>
      </c>
      <c r="BT33" s="72">
        <f>SUM(Tabela4[[#Headers],[Tania Regina Schmaltz - 01]:[Tania Regina Schmaltz - 02]])</f>
        <v>0</v>
      </c>
      <c r="BU33" s="72">
        <f>Tabela4[[#This Row],[Camila Ceretta Segatto]]</f>
        <v>0</v>
      </c>
      <c r="BV33" s="72">
        <f>Tabela4[[#This Row],[Vagner Ribas Dos Santos]]</f>
        <v>0</v>
      </c>
      <c r="BW33" s="72">
        <f>Tabela4[[#This Row],[Claudio Alfredo Konrat]]</f>
        <v>0</v>
      </c>
    </row>
    <row r="34" spans="1:75" x14ac:dyDescent="0.25">
      <c r="A34" s="70">
        <v>44075</v>
      </c>
      <c r="B34" s="72">
        <f>SUM(Tabela4[[#This Row],[Marlon Colovini - 01]:[Marlon Colovini - 02]])</f>
        <v>0</v>
      </c>
      <c r="C34" s="72">
        <f>Tabela4[[#This Row],[Mara Barichello]]</f>
        <v>0</v>
      </c>
      <c r="D34" s="72">
        <f>Tabela4[[#This Row],[Jandira Dutra]]</f>
        <v>0</v>
      </c>
      <c r="E34" s="72">
        <f>Tabela4[[#This Row],[Luiz Fernando Kruger]]</f>
        <v>0</v>
      </c>
      <c r="F34" s="72">
        <f>SUM(Tabela4[[#This Row],[Paulo Bohn - 01]:[Paulo Bohn - 04]])</f>
        <v>0</v>
      </c>
      <c r="G34" s="72">
        <f>Tabela4[[#This Row],[Analia (Clodoaldo Entre-Ijuis)]]</f>
        <v>0</v>
      </c>
      <c r="H34" s="72">
        <f>Tabela4[[#This Row],[Biroh]]</f>
        <v>0</v>
      </c>
      <c r="I34" s="72">
        <f>Tabela4[[#This Row],[Gelson Posser]]</f>
        <v>0</v>
      </c>
      <c r="J34" s="72">
        <f>Tabela4[[#This Row],[Supermercado Caryone]]</f>
        <v>0</v>
      </c>
      <c r="K34" s="72">
        <f>Tabela4[[#This Row],[Ernani Minetto]]</f>
        <v>0</v>
      </c>
      <c r="L34" s="72">
        <f>Tabela4[[#This Row],[Jair Moscon]]</f>
        <v>0</v>
      </c>
      <c r="M34" s="72">
        <f>SUM(Tabela4[[#This Row],[Fabio Milke - 01]:[Fabio Milke - 02]])</f>
        <v>0</v>
      </c>
      <c r="N34" s="72">
        <f>Tabela4[[#This Row],[Piaia]]</f>
        <v>0</v>
      </c>
      <c r="O34" s="72">
        <f>Tabela4[[#This Row],[Osmar Veronese]]</f>
        <v>0</v>
      </c>
      <c r="P34" s="72">
        <f>Tabela4[[#This Row],[ José Luiz Moraes]]</f>
        <v>0</v>
      </c>
      <c r="Q34" s="72">
        <f>Tabela4[[#This Row],[Supermercado Cripy]]</f>
        <v>0</v>
      </c>
      <c r="R34" s="72">
        <f>Tabela4[[#This Row],[Gláucio Lipski (Giruá)]]</f>
        <v>0</v>
      </c>
      <c r="S34" s="72">
        <f>Tabela4[[#This Row],[Contri]]</f>
        <v>0</v>
      </c>
      <c r="T34" s="72">
        <f>Tabela4[[#This Row],[Cleci Rubi]]</f>
        <v>0</v>
      </c>
      <c r="U34" s="72">
        <f>Tabela4[[#This Row],[Betine Rost]]</f>
        <v>0</v>
      </c>
      <c r="V34" s="72">
        <f>SUM(Tabela4[[#This Row],[Robinson Fetter - 01]:[Robinson Fetter - 03]])</f>
        <v>0</v>
      </c>
      <c r="W34" s="72">
        <f>Tabela4[[#This Row],[Fabio De Moura]]</f>
        <v>0</v>
      </c>
      <c r="X34" s="72">
        <f>Tabela4[[#This Row],[Rochele Santos Moraes]]</f>
        <v>0</v>
      </c>
      <c r="Y34" s="72">
        <f>Tabela4[[#This Row],[Auto Posto Kairã]]</f>
        <v>0</v>
      </c>
      <c r="Z34" s="72">
        <f>Tabela4[[#This Row],[Erno Schiefelbain]]</f>
        <v>0</v>
      </c>
      <c r="AA34" s="72">
        <f>Tabela4[[#This Row],[José Paulo Backes]]</f>
        <v>0</v>
      </c>
      <c r="AB34" s="72">
        <f>Tabela4[[#This Row],[Gelso Tofolo]]</f>
        <v>0</v>
      </c>
      <c r="AC34" s="72">
        <f>Tabela4[[#This Row],[Diamantino]]</f>
        <v>0</v>
      </c>
      <c r="AD34" s="72">
        <f>Tabela4[[#This Row],[Mercado Bueno]]</f>
        <v>0</v>
      </c>
      <c r="AE34" s="72">
        <f>Tabela4[[#This Row],[Daniela Donadel Massalai]]</f>
        <v>0</v>
      </c>
      <c r="AF34" s="72">
        <f>Tabela4[[#This Row],[Comercio De Moto Peças Irmãos Guarani Ltda]]</f>
        <v>0</v>
      </c>
      <c r="AG34" s="72">
        <f>Tabela4[[#This Row],[Mauricio Luis Lunardi]]</f>
        <v>0</v>
      </c>
      <c r="AH34" s="72">
        <f>Tabela4[[#This Row],[Rosa Maria Restle Radunz]]</f>
        <v>0</v>
      </c>
      <c r="AI34" s="72">
        <f>Tabela4[[#This Row],[Ivo Amaral De Oliveira]]</f>
        <v>0</v>
      </c>
      <c r="AJ34" s="72">
        <f>Tabela4[[#This Row],[Silvio Robert Lemos Avila]]</f>
        <v>0</v>
      </c>
      <c r="AK34" s="72">
        <f>Tabela4[[#This Row],[Eldo Rost]]</f>
        <v>0</v>
      </c>
      <c r="AL34" s="72">
        <f>SUM(Tabela4[[#This Row],[Padaria Avenida - 01]:[Padaria Avenida - 02]])</f>
        <v>0</v>
      </c>
      <c r="AM34" s="72">
        <f>Tabela4[[#This Row],[Cristiano Anshau]]</f>
        <v>0</v>
      </c>
      <c r="AN34" s="72">
        <f>Tabela4[[#This Row],[Luciana Claudete Meirelles Correa]]</f>
        <v>0</v>
      </c>
      <c r="AO34" s="72">
        <f>Tabela4[[#This Row],[Marcio Jose Siqueira]]</f>
        <v>0</v>
      </c>
      <c r="AP34" s="72">
        <f>Tabela4[[#This Row],[Marcos Rogerio Kessler]]</f>
        <v>0</v>
      </c>
      <c r="AQ34" s="72">
        <f>SUM(Tabela4[[#This Row],[AABB - 01]:[AABB - 02]])</f>
        <v>0</v>
      </c>
      <c r="AR34" s="72">
        <f>SUM(Tabela4[[#This Row],[Wanda Burkard - 01]:[Wanda Burkard - 02]])</f>
        <v>0</v>
      </c>
      <c r="AS34" s="72">
        <f>Tabela4[[#This Row],[Silvio Robert Lemos Avila Me]]</f>
        <v>0</v>
      </c>
      <c r="AT34" s="72">
        <f>Tabela4[[#This Row],[Carmelo]]</f>
        <v>0</v>
      </c>
      <c r="AU34" s="72">
        <f>Tabela4[[#This Row],[Antonio Dal Forno]]</f>
        <v>0</v>
      </c>
      <c r="AV34" s="72">
        <f>Tabela4[[#This Row],[Marisane Paulus]]</f>
        <v>0</v>
      </c>
      <c r="AW34" s="72">
        <f>Tabela4[[#This Row],[Segatto Ceretta Ltda]]</f>
        <v>0</v>
      </c>
      <c r="AX34" s="72">
        <f>SUM(Tabela4[[#This Row],[APAE - 01]:[APAE - 02]])</f>
        <v>0</v>
      </c>
      <c r="AY34" s="72">
        <f>Tabela4[[#This Row],[Cássio Burin]]</f>
        <v>0</v>
      </c>
      <c r="AZ34" s="72">
        <f>Tabela4[[#This Row],[Patrick Kristoschek Da Silva]]</f>
        <v>0</v>
      </c>
      <c r="BA34" s="72">
        <f>Tabela4[[#This Row],[Silvio Robert Ávila - (Valmir)]]</f>
        <v>0</v>
      </c>
      <c r="BB34" s="72">
        <f>Tabela4[[#This Row],[Zederson Jose Della Flora]]</f>
        <v>0</v>
      </c>
      <c r="BC34" s="72">
        <f>Tabela4[[#This Row],[Carlos Walmir Larsão Rolim]]</f>
        <v>0</v>
      </c>
      <c r="BD34" s="72">
        <f>Tabela4[[#This Row],[Danieli Missio]]</f>
        <v>0</v>
      </c>
      <c r="BE34" s="72">
        <f>Tabela4[[#This Row],[José Vasconcellos]]</f>
        <v>0</v>
      </c>
      <c r="BF34" s="72">
        <f>Tabela4[[#This Row],[Linho Lev Alimentos]]</f>
        <v>0</v>
      </c>
      <c r="BG34" s="72">
        <f>Tabela4[[#This Row],[Ernani Czapla]]</f>
        <v>0</v>
      </c>
      <c r="BH34" s="72">
        <f>Tabela4[[#This Row],[Valesca Da Luz]]</f>
        <v>0</v>
      </c>
      <c r="BI34" s="72">
        <f>Tabela4[[#This Row],[Olavo Mildner]]</f>
        <v>0</v>
      </c>
      <c r="BJ34" s="72">
        <f>Tabela4[[#This Row],[Dilnei Rohled]]</f>
        <v>0</v>
      </c>
      <c r="BK34" s="72">
        <f>Tabela4[[#This Row],[Shaiana Signorini]]</f>
        <v>0</v>
      </c>
      <c r="BL34" s="72">
        <f>Tabela4[[#This Row],[Fonse Atacado]]</f>
        <v>0</v>
      </c>
      <c r="BM34" s="72">
        <f>Tabela4[[#This Row],[Comercial de Alimentos]]</f>
        <v>0</v>
      </c>
      <c r="BN34" s="72">
        <f>Tabela4[[#This Row],[Ivone Kasburg Serralheria]]</f>
        <v>0</v>
      </c>
      <c r="BO34" s="72">
        <f>Tabela4[[#This Row],[Mercado Ceretta]]</f>
        <v>0</v>
      </c>
      <c r="BP34" s="72">
        <f>Tabela4[[#This Row],[Antonio Carlos Dos Santos Pereira]]</f>
        <v>0</v>
      </c>
      <c r="BQ34" s="72">
        <f>Tabela4[[#This Row],[Volnei Lemos Avila - Me]]</f>
        <v>0</v>
      </c>
      <c r="BR34" s="72">
        <f>Tabela4[[#This Row],[Silvana Meneghini]]</f>
        <v>0</v>
      </c>
      <c r="BS34" s="72">
        <f>Tabela4[[#This Row],[Eficaz Engenharia Ltda]]</f>
        <v>0</v>
      </c>
      <c r="BT34" s="72">
        <f>SUM(Tabela4[[#Headers],[Tania Regina Schmaltz - 01]:[Tania Regina Schmaltz - 02]])</f>
        <v>0</v>
      </c>
      <c r="BU34" s="72">
        <f>Tabela4[[#This Row],[Camila Ceretta Segatto]]</f>
        <v>0</v>
      </c>
      <c r="BV34" s="72">
        <f>Tabela4[[#This Row],[Vagner Ribas Dos Santos]]</f>
        <v>0</v>
      </c>
      <c r="BW34" s="72">
        <f>Tabela4[[#This Row],[Claudio Alfredo Konrat]]</f>
        <v>0</v>
      </c>
    </row>
    <row r="35" spans="1:75" x14ac:dyDescent="0.25">
      <c r="A35" s="70">
        <v>44105</v>
      </c>
      <c r="B35" s="72">
        <f>SUM(Tabela4[[#This Row],[Marlon Colovini - 01]:[Marlon Colovini - 02]])</f>
        <v>0</v>
      </c>
      <c r="C35" s="72">
        <f>Tabela4[[#This Row],[Mara Barichello]]</f>
        <v>0</v>
      </c>
      <c r="D35" s="72">
        <f>Tabela4[[#This Row],[Jandira Dutra]]</f>
        <v>0</v>
      </c>
      <c r="E35" s="72">
        <f>Tabela4[[#This Row],[Luiz Fernando Kruger]]</f>
        <v>0</v>
      </c>
      <c r="F35" s="72">
        <f>SUM(Tabela4[[#This Row],[Paulo Bohn - 01]:[Paulo Bohn - 04]])</f>
        <v>0</v>
      </c>
      <c r="G35" s="72">
        <f>Tabela4[[#This Row],[Analia (Clodoaldo Entre-Ijuis)]]</f>
        <v>0</v>
      </c>
      <c r="H35" s="72">
        <f>Tabela4[[#This Row],[Biroh]]</f>
        <v>0</v>
      </c>
      <c r="I35" s="72">
        <f>Tabela4[[#This Row],[Gelson Posser]]</f>
        <v>0</v>
      </c>
      <c r="J35" s="72">
        <f>Tabela4[[#This Row],[Supermercado Caryone]]</f>
        <v>0</v>
      </c>
      <c r="K35" s="72">
        <f>Tabela4[[#This Row],[Ernani Minetto]]</f>
        <v>0</v>
      </c>
      <c r="L35" s="72">
        <f>Tabela4[[#This Row],[Jair Moscon]]</f>
        <v>0</v>
      </c>
      <c r="M35" s="72">
        <f>SUM(Tabela4[[#This Row],[Fabio Milke - 01]:[Fabio Milke - 02]])</f>
        <v>0</v>
      </c>
      <c r="N35" s="72">
        <f>Tabela4[[#This Row],[Piaia]]</f>
        <v>0</v>
      </c>
      <c r="O35" s="72">
        <f>Tabela4[[#This Row],[Osmar Veronese]]</f>
        <v>0</v>
      </c>
      <c r="P35" s="72">
        <f>Tabela4[[#This Row],[ José Luiz Moraes]]</f>
        <v>0</v>
      </c>
      <c r="Q35" s="72">
        <f>Tabela4[[#This Row],[Supermercado Cripy]]</f>
        <v>0</v>
      </c>
      <c r="R35" s="72">
        <f>Tabela4[[#This Row],[Gláucio Lipski (Giruá)]]</f>
        <v>0</v>
      </c>
      <c r="S35" s="72">
        <f>Tabela4[[#This Row],[Contri]]</f>
        <v>0</v>
      </c>
      <c r="T35" s="72">
        <f>Tabela4[[#This Row],[Cleci Rubi]]</f>
        <v>0</v>
      </c>
      <c r="U35" s="72">
        <f>Tabela4[[#This Row],[Betine Rost]]</f>
        <v>0</v>
      </c>
      <c r="V35" s="72">
        <f>SUM(Tabela4[[#This Row],[Robinson Fetter - 01]:[Robinson Fetter - 03]])</f>
        <v>0</v>
      </c>
      <c r="W35" s="72">
        <f>Tabela4[[#This Row],[Fabio De Moura]]</f>
        <v>0</v>
      </c>
      <c r="X35" s="72">
        <f>Tabela4[[#This Row],[Rochele Santos Moraes]]</f>
        <v>0</v>
      </c>
      <c r="Y35" s="72">
        <f>Tabela4[[#This Row],[Auto Posto Kairã]]</f>
        <v>0</v>
      </c>
      <c r="Z35" s="72">
        <f>Tabela4[[#This Row],[Erno Schiefelbain]]</f>
        <v>0</v>
      </c>
      <c r="AA35" s="72">
        <f>Tabela4[[#This Row],[José Paulo Backes]]</f>
        <v>0</v>
      </c>
      <c r="AB35" s="72">
        <f>Tabela4[[#This Row],[Gelso Tofolo]]</f>
        <v>0</v>
      </c>
      <c r="AC35" s="72">
        <f>Tabela4[[#This Row],[Diamantino]]</f>
        <v>0</v>
      </c>
      <c r="AD35" s="72">
        <f>Tabela4[[#This Row],[Mercado Bueno]]</f>
        <v>0</v>
      </c>
      <c r="AE35" s="72">
        <f>Tabela4[[#This Row],[Daniela Donadel Massalai]]</f>
        <v>0</v>
      </c>
      <c r="AF35" s="72">
        <f>Tabela4[[#This Row],[Comercio De Moto Peças Irmãos Guarani Ltda]]</f>
        <v>0</v>
      </c>
      <c r="AG35" s="72">
        <f>Tabela4[[#This Row],[Mauricio Luis Lunardi]]</f>
        <v>0</v>
      </c>
      <c r="AH35" s="72">
        <f>Tabela4[[#This Row],[Rosa Maria Restle Radunz]]</f>
        <v>0</v>
      </c>
      <c r="AI35" s="72">
        <f>Tabela4[[#This Row],[Ivo Amaral De Oliveira]]</f>
        <v>0</v>
      </c>
      <c r="AJ35" s="72">
        <f>Tabela4[[#This Row],[Silvio Robert Lemos Avila]]</f>
        <v>0</v>
      </c>
      <c r="AK35" s="72">
        <f>Tabela4[[#This Row],[Eldo Rost]]</f>
        <v>0</v>
      </c>
      <c r="AL35" s="72">
        <f>SUM(Tabela4[[#This Row],[Padaria Avenida - 01]:[Padaria Avenida - 02]])</f>
        <v>0</v>
      </c>
      <c r="AM35" s="72">
        <f>Tabela4[[#This Row],[Cristiano Anshau]]</f>
        <v>0</v>
      </c>
      <c r="AN35" s="72">
        <f>Tabela4[[#This Row],[Luciana Claudete Meirelles Correa]]</f>
        <v>0</v>
      </c>
      <c r="AO35" s="72">
        <f>Tabela4[[#This Row],[Marcio Jose Siqueira]]</f>
        <v>0</v>
      </c>
      <c r="AP35" s="72">
        <f>Tabela4[[#This Row],[Marcos Rogerio Kessler]]</f>
        <v>0</v>
      </c>
      <c r="AQ35" s="72">
        <f>SUM(Tabela4[[#This Row],[AABB - 01]:[AABB - 02]])</f>
        <v>0</v>
      </c>
      <c r="AR35" s="72">
        <f>SUM(Tabela4[[#This Row],[Wanda Burkard - 01]:[Wanda Burkard - 02]])</f>
        <v>0</v>
      </c>
      <c r="AS35" s="72">
        <f>Tabela4[[#This Row],[Silvio Robert Lemos Avila Me]]</f>
        <v>0</v>
      </c>
      <c r="AT35" s="72">
        <f>Tabela4[[#This Row],[Carmelo]]</f>
        <v>0</v>
      </c>
      <c r="AU35" s="72">
        <f>Tabela4[[#This Row],[Antonio Dal Forno]]</f>
        <v>0</v>
      </c>
      <c r="AV35" s="72">
        <f>Tabela4[[#This Row],[Marisane Paulus]]</f>
        <v>0</v>
      </c>
      <c r="AW35" s="72">
        <f>Tabela4[[#This Row],[Segatto Ceretta Ltda]]</f>
        <v>0</v>
      </c>
      <c r="AX35" s="72">
        <f>SUM(Tabela4[[#This Row],[APAE - 01]:[APAE - 02]])</f>
        <v>0</v>
      </c>
      <c r="AY35" s="72">
        <f>Tabela4[[#This Row],[Cássio Burin]]</f>
        <v>0</v>
      </c>
      <c r="AZ35" s="72">
        <f>Tabela4[[#This Row],[Patrick Kristoschek Da Silva]]</f>
        <v>0</v>
      </c>
      <c r="BA35" s="72">
        <f>Tabela4[[#This Row],[Silvio Robert Ávila - (Valmir)]]</f>
        <v>0</v>
      </c>
      <c r="BB35" s="72">
        <f>Tabela4[[#This Row],[Zederson Jose Della Flora]]</f>
        <v>0</v>
      </c>
      <c r="BC35" s="72">
        <f>Tabela4[[#This Row],[Carlos Walmir Larsão Rolim]]</f>
        <v>0</v>
      </c>
      <c r="BD35" s="72">
        <f>Tabela4[[#This Row],[Danieli Missio]]</f>
        <v>0</v>
      </c>
      <c r="BE35" s="72">
        <f>Tabela4[[#This Row],[José Vasconcellos]]</f>
        <v>0</v>
      </c>
      <c r="BF35" s="72">
        <f>Tabela4[[#This Row],[Linho Lev Alimentos]]</f>
        <v>0</v>
      </c>
      <c r="BG35" s="72">
        <f>Tabela4[[#This Row],[Ernani Czapla]]</f>
        <v>0</v>
      </c>
      <c r="BH35" s="72">
        <f>Tabela4[[#This Row],[Valesca Da Luz]]</f>
        <v>0</v>
      </c>
      <c r="BI35" s="72">
        <f>Tabela4[[#This Row],[Olavo Mildner]]</f>
        <v>0</v>
      </c>
      <c r="BJ35" s="72">
        <f>Tabela4[[#This Row],[Dilnei Rohled]]</f>
        <v>0</v>
      </c>
      <c r="BK35" s="72">
        <f>Tabela4[[#This Row],[Shaiana Signorini]]</f>
        <v>0</v>
      </c>
      <c r="BL35" s="72">
        <f>Tabela4[[#This Row],[Fonse Atacado]]</f>
        <v>0</v>
      </c>
      <c r="BM35" s="72">
        <f>Tabela4[[#This Row],[Comercial de Alimentos]]</f>
        <v>0</v>
      </c>
      <c r="BN35" s="72">
        <f>Tabela4[[#This Row],[Ivone Kasburg Serralheria]]</f>
        <v>0</v>
      </c>
      <c r="BO35" s="72">
        <f>Tabela4[[#This Row],[Mercado Ceretta]]</f>
        <v>0</v>
      </c>
      <c r="BP35" s="72">
        <f>Tabela4[[#This Row],[Antonio Carlos Dos Santos Pereira]]</f>
        <v>0</v>
      </c>
      <c r="BQ35" s="72">
        <f>Tabela4[[#This Row],[Volnei Lemos Avila - Me]]</f>
        <v>0</v>
      </c>
      <c r="BR35" s="72">
        <f>Tabela4[[#This Row],[Silvana Meneghini]]</f>
        <v>0</v>
      </c>
      <c r="BS35" s="72">
        <f>Tabela4[[#This Row],[Eficaz Engenharia Ltda]]</f>
        <v>0</v>
      </c>
      <c r="BT35" s="72">
        <f>SUM(Tabela4[[#Headers],[Tania Regina Schmaltz - 01]:[Tania Regina Schmaltz - 02]])</f>
        <v>0</v>
      </c>
      <c r="BU35" s="72">
        <f>Tabela4[[#This Row],[Camila Ceretta Segatto]]</f>
        <v>0</v>
      </c>
      <c r="BV35" s="72">
        <f>Tabela4[[#This Row],[Vagner Ribas Dos Santos]]</f>
        <v>0</v>
      </c>
      <c r="BW35" s="72">
        <f>Tabela4[[#This Row],[Claudio Alfredo Konrat]]</f>
        <v>0</v>
      </c>
    </row>
    <row r="36" spans="1:75" x14ac:dyDescent="0.25">
      <c r="A36" s="70">
        <v>44136</v>
      </c>
      <c r="B36" s="72">
        <f>SUM(Tabela4[[#This Row],[Marlon Colovini - 01]:[Marlon Colovini - 02]])</f>
        <v>0</v>
      </c>
      <c r="C36" s="72">
        <f>Tabela4[[#This Row],[Mara Barichello]]</f>
        <v>0</v>
      </c>
      <c r="D36" s="72">
        <f>Tabela4[[#This Row],[Jandira Dutra]]</f>
        <v>0</v>
      </c>
      <c r="E36" s="72">
        <f>Tabela4[[#This Row],[Luiz Fernando Kruger]]</f>
        <v>0</v>
      </c>
      <c r="F36" s="72">
        <f>SUM(Tabela4[[#This Row],[Paulo Bohn - 01]:[Paulo Bohn - 04]])</f>
        <v>0</v>
      </c>
      <c r="G36" s="72">
        <f>Tabela4[[#This Row],[Analia (Clodoaldo Entre-Ijuis)]]</f>
        <v>0</v>
      </c>
      <c r="H36" s="72">
        <f>Tabela4[[#This Row],[Biroh]]</f>
        <v>0</v>
      </c>
      <c r="I36" s="72">
        <f>Tabela4[[#This Row],[Gelson Posser]]</f>
        <v>0</v>
      </c>
      <c r="J36" s="72">
        <f>Tabela4[[#This Row],[Supermercado Caryone]]</f>
        <v>0</v>
      </c>
      <c r="K36" s="72">
        <f>Tabela4[[#This Row],[Ernani Minetto]]</f>
        <v>0</v>
      </c>
      <c r="L36" s="72">
        <f>Tabela4[[#This Row],[Jair Moscon]]</f>
        <v>0</v>
      </c>
      <c r="M36" s="72">
        <f>SUM(Tabela4[[#This Row],[Fabio Milke - 01]:[Fabio Milke - 02]])</f>
        <v>0</v>
      </c>
      <c r="N36" s="72">
        <f>Tabela4[[#This Row],[Piaia]]</f>
        <v>0</v>
      </c>
      <c r="O36" s="72">
        <f>Tabela4[[#This Row],[Osmar Veronese]]</f>
        <v>0</v>
      </c>
      <c r="P36" s="72">
        <f>Tabela4[[#This Row],[ José Luiz Moraes]]</f>
        <v>0</v>
      </c>
      <c r="Q36" s="72">
        <f>Tabela4[[#This Row],[Supermercado Cripy]]</f>
        <v>0</v>
      </c>
      <c r="R36" s="72">
        <f>Tabela4[[#This Row],[Gláucio Lipski (Giruá)]]</f>
        <v>0</v>
      </c>
      <c r="S36" s="72">
        <f>Tabela4[[#This Row],[Contri]]</f>
        <v>0</v>
      </c>
      <c r="T36" s="72">
        <f>Tabela4[[#This Row],[Cleci Rubi]]</f>
        <v>0</v>
      </c>
      <c r="U36" s="72">
        <f>Tabela4[[#This Row],[Betine Rost]]</f>
        <v>0</v>
      </c>
      <c r="V36" s="72">
        <f>SUM(Tabela4[[#This Row],[Robinson Fetter - 01]:[Robinson Fetter - 03]])</f>
        <v>0</v>
      </c>
      <c r="W36" s="72">
        <f>Tabela4[[#This Row],[Fabio De Moura]]</f>
        <v>0</v>
      </c>
      <c r="X36" s="72">
        <f>Tabela4[[#This Row],[Rochele Santos Moraes]]</f>
        <v>0</v>
      </c>
      <c r="Y36" s="72">
        <f>Tabela4[[#This Row],[Auto Posto Kairã]]</f>
        <v>0</v>
      </c>
      <c r="Z36" s="72">
        <f>Tabela4[[#This Row],[Erno Schiefelbain]]</f>
        <v>0</v>
      </c>
      <c r="AA36" s="72">
        <f>Tabela4[[#This Row],[José Paulo Backes]]</f>
        <v>0</v>
      </c>
      <c r="AB36" s="72">
        <f>Tabela4[[#This Row],[Gelso Tofolo]]</f>
        <v>0</v>
      </c>
      <c r="AC36" s="72">
        <f>Tabela4[[#This Row],[Diamantino]]</f>
        <v>0</v>
      </c>
      <c r="AD36" s="72">
        <f>Tabela4[[#This Row],[Mercado Bueno]]</f>
        <v>0</v>
      </c>
      <c r="AE36" s="72">
        <f>Tabela4[[#This Row],[Daniela Donadel Massalai]]</f>
        <v>0</v>
      </c>
      <c r="AF36" s="72">
        <f>Tabela4[[#This Row],[Comercio De Moto Peças Irmãos Guarani Ltda]]</f>
        <v>0</v>
      </c>
      <c r="AG36" s="72">
        <f>Tabela4[[#This Row],[Mauricio Luis Lunardi]]</f>
        <v>0</v>
      </c>
      <c r="AH36" s="72">
        <f>Tabela4[[#This Row],[Rosa Maria Restle Radunz]]</f>
        <v>0</v>
      </c>
      <c r="AI36" s="72">
        <f>Tabela4[[#This Row],[Ivo Amaral De Oliveira]]</f>
        <v>0</v>
      </c>
      <c r="AJ36" s="72">
        <f>Tabela4[[#This Row],[Silvio Robert Lemos Avila]]</f>
        <v>0</v>
      </c>
      <c r="AK36" s="72">
        <f>Tabela4[[#This Row],[Eldo Rost]]</f>
        <v>0</v>
      </c>
      <c r="AL36" s="72">
        <f>SUM(Tabela4[[#This Row],[Padaria Avenida - 01]:[Padaria Avenida - 02]])</f>
        <v>0</v>
      </c>
      <c r="AM36" s="72">
        <f>Tabela4[[#This Row],[Cristiano Anshau]]</f>
        <v>0</v>
      </c>
      <c r="AN36" s="72">
        <f>Tabela4[[#This Row],[Luciana Claudete Meirelles Correa]]</f>
        <v>0</v>
      </c>
      <c r="AO36" s="72">
        <f>Tabela4[[#This Row],[Marcio Jose Siqueira]]</f>
        <v>0</v>
      </c>
      <c r="AP36" s="72">
        <f>Tabela4[[#This Row],[Marcos Rogerio Kessler]]</f>
        <v>0</v>
      </c>
      <c r="AQ36" s="72">
        <f>SUM(Tabela4[[#This Row],[AABB - 01]:[AABB - 02]])</f>
        <v>0</v>
      </c>
      <c r="AR36" s="72">
        <f>SUM(Tabela4[[#This Row],[Wanda Burkard - 01]:[Wanda Burkard - 02]])</f>
        <v>0</v>
      </c>
      <c r="AS36" s="72">
        <f>Tabela4[[#This Row],[Silvio Robert Lemos Avila Me]]</f>
        <v>0</v>
      </c>
      <c r="AT36" s="72">
        <f>Tabela4[[#This Row],[Carmelo]]</f>
        <v>0</v>
      </c>
      <c r="AU36" s="72">
        <f>Tabela4[[#This Row],[Antonio Dal Forno]]</f>
        <v>0</v>
      </c>
      <c r="AV36" s="72">
        <f>Tabela4[[#This Row],[Marisane Paulus]]</f>
        <v>0</v>
      </c>
      <c r="AW36" s="72">
        <f>Tabela4[[#This Row],[Segatto Ceretta Ltda]]</f>
        <v>0</v>
      </c>
      <c r="AX36" s="72">
        <f>SUM(Tabela4[[#This Row],[APAE - 01]:[APAE - 02]])</f>
        <v>0</v>
      </c>
      <c r="AY36" s="72">
        <f>Tabela4[[#This Row],[Cássio Burin]]</f>
        <v>0</v>
      </c>
      <c r="AZ36" s="72">
        <f>Tabela4[[#This Row],[Patrick Kristoschek Da Silva]]</f>
        <v>0</v>
      </c>
      <c r="BA36" s="72">
        <f>Tabela4[[#This Row],[Silvio Robert Ávila - (Valmir)]]</f>
        <v>0</v>
      </c>
      <c r="BB36" s="72">
        <f>Tabela4[[#This Row],[Zederson Jose Della Flora]]</f>
        <v>0</v>
      </c>
      <c r="BC36" s="72">
        <f>Tabela4[[#This Row],[Carlos Walmir Larsão Rolim]]</f>
        <v>0</v>
      </c>
      <c r="BD36" s="72">
        <f>Tabela4[[#This Row],[Danieli Missio]]</f>
        <v>0</v>
      </c>
      <c r="BE36" s="72">
        <f>Tabela4[[#This Row],[José Vasconcellos]]</f>
        <v>0</v>
      </c>
      <c r="BF36" s="72">
        <f>Tabela4[[#This Row],[Linho Lev Alimentos]]</f>
        <v>0</v>
      </c>
      <c r="BG36" s="72">
        <f>Tabela4[[#This Row],[Ernani Czapla]]</f>
        <v>0</v>
      </c>
      <c r="BH36" s="72">
        <f>Tabela4[[#This Row],[Valesca Da Luz]]</f>
        <v>0</v>
      </c>
      <c r="BI36" s="72">
        <f>Tabela4[[#This Row],[Olavo Mildner]]</f>
        <v>0</v>
      </c>
      <c r="BJ36" s="72">
        <f>Tabela4[[#This Row],[Dilnei Rohled]]</f>
        <v>0</v>
      </c>
      <c r="BK36" s="72">
        <f>Tabela4[[#This Row],[Shaiana Signorini]]</f>
        <v>0</v>
      </c>
      <c r="BL36" s="72">
        <f>Tabela4[[#This Row],[Fonse Atacado]]</f>
        <v>0</v>
      </c>
      <c r="BM36" s="72">
        <f>Tabela4[[#This Row],[Comercial de Alimentos]]</f>
        <v>0</v>
      </c>
      <c r="BN36" s="72">
        <f>Tabela4[[#This Row],[Ivone Kasburg Serralheria]]</f>
        <v>0</v>
      </c>
      <c r="BO36" s="72">
        <f>Tabela4[[#This Row],[Mercado Ceretta]]</f>
        <v>0</v>
      </c>
      <c r="BP36" s="72">
        <f>Tabela4[[#This Row],[Antonio Carlos Dos Santos Pereira]]</f>
        <v>0</v>
      </c>
      <c r="BQ36" s="72">
        <f>Tabela4[[#This Row],[Volnei Lemos Avila - Me]]</f>
        <v>0</v>
      </c>
      <c r="BR36" s="72">
        <f>Tabela4[[#This Row],[Silvana Meneghini]]</f>
        <v>0</v>
      </c>
      <c r="BS36" s="72">
        <f>Tabela4[[#This Row],[Eficaz Engenharia Ltda]]</f>
        <v>0</v>
      </c>
      <c r="BT36" s="72">
        <f>SUM(Tabela4[[#Headers],[Tania Regina Schmaltz - 01]:[Tania Regina Schmaltz - 02]])</f>
        <v>0</v>
      </c>
      <c r="BU36" s="72">
        <f>Tabela4[[#This Row],[Camila Ceretta Segatto]]</f>
        <v>0</v>
      </c>
      <c r="BV36" s="72">
        <f>Tabela4[[#This Row],[Vagner Ribas Dos Santos]]</f>
        <v>0</v>
      </c>
      <c r="BW36" s="72">
        <f>Tabela4[[#This Row],[Claudio Alfredo Konrat]]</f>
        <v>0</v>
      </c>
    </row>
    <row r="37" spans="1:75" x14ac:dyDescent="0.25">
      <c r="A37" s="70">
        <v>44166</v>
      </c>
      <c r="B37" s="72">
        <f>SUM(Tabela4[[#This Row],[Marlon Colovini - 01]:[Marlon Colovini - 02]])</f>
        <v>0</v>
      </c>
      <c r="C37" s="72">
        <f>Tabela4[[#This Row],[Mara Barichello]]</f>
        <v>0</v>
      </c>
      <c r="D37" s="72">
        <f>Tabela4[[#This Row],[Jandira Dutra]]</f>
        <v>0</v>
      </c>
      <c r="E37" s="72">
        <f>Tabela4[[#This Row],[Luiz Fernando Kruger]]</f>
        <v>0</v>
      </c>
      <c r="F37" s="72">
        <f>SUM(Tabela4[[#This Row],[Paulo Bohn - 01]:[Paulo Bohn - 04]])</f>
        <v>0</v>
      </c>
      <c r="G37" s="72">
        <f>Tabela4[[#This Row],[Analia (Clodoaldo Entre-Ijuis)]]</f>
        <v>0</v>
      </c>
      <c r="H37" s="72">
        <f>Tabela4[[#This Row],[Biroh]]</f>
        <v>0</v>
      </c>
      <c r="I37" s="72">
        <f>Tabela4[[#This Row],[Gelson Posser]]</f>
        <v>0</v>
      </c>
      <c r="J37" s="72">
        <f>Tabela4[[#This Row],[Supermercado Caryone]]</f>
        <v>0</v>
      </c>
      <c r="K37" s="72">
        <f>Tabela4[[#This Row],[Ernani Minetto]]</f>
        <v>0</v>
      </c>
      <c r="L37" s="72">
        <f>Tabela4[[#This Row],[Jair Moscon]]</f>
        <v>0</v>
      </c>
      <c r="M37" s="72">
        <f>SUM(Tabela4[[#This Row],[Fabio Milke - 01]:[Fabio Milke - 02]])</f>
        <v>0</v>
      </c>
      <c r="N37" s="72">
        <f>Tabela4[[#This Row],[Piaia]]</f>
        <v>0</v>
      </c>
      <c r="O37" s="72">
        <f>Tabela4[[#This Row],[Osmar Veronese]]</f>
        <v>0</v>
      </c>
      <c r="P37" s="72">
        <f>Tabela4[[#This Row],[ José Luiz Moraes]]</f>
        <v>0</v>
      </c>
      <c r="Q37" s="72">
        <f>Tabela4[[#This Row],[Supermercado Cripy]]</f>
        <v>0</v>
      </c>
      <c r="R37" s="72">
        <f>Tabela4[[#This Row],[Gláucio Lipski (Giruá)]]</f>
        <v>0</v>
      </c>
      <c r="S37" s="72">
        <f>Tabela4[[#This Row],[Contri]]</f>
        <v>0</v>
      </c>
      <c r="T37" s="72">
        <f>Tabela4[[#This Row],[Cleci Rubi]]</f>
        <v>0</v>
      </c>
      <c r="U37" s="72">
        <f>Tabela4[[#This Row],[Betine Rost]]</f>
        <v>0</v>
      </c>
      <c r="V37" s="72">
        <f>SUM(Tabela4[[#This Row],[Robinson Fetter - 01]:[Robinson Fetter - 03]])</f>
        <v>0</v>
      </c>
      <c r="W37" s="72">
        <f>Tabela4[[#This Row],[Fabio De Moura]]</f>
        <v>0</v>
      </c>
      <c r="X37" s="72">
        <f>Tabela4[[#This Row],[Rochele Santos Moraes]]</f>
        <v>0</v>
      </c>
      <c r="Y37" s="72">
        <f>Tabela4[[#This Row],[Auto Posto Kairã]]</f>
        <v>0</v>
      </c>
      <c r="Z37" s="72">
        <f>Tabela4[[#This Row],[Erno Schiefelbain]]</f>
        <v>0</v>
      </c>
      <c r="AA37" s="72">
        <f>Tabela4[[#This Row],[José Paulo Backes]]</f>
        <v>0</v>
      </c>
      <c r="AB37" s="72">
        <f>Tabela4[[#This Row],[Gelso Tofolo]]</f>
        <v>0</v>
      </c>
      <c r="AC37" s="72">
        <f>Tabela4[[#This Row],[Diamantino]]</f>
        <v>0</v>
      </c>
      <c r="AD37" s="72">
        <f>Tabela4[[#This Row],[Mercado Bueno]]</f>
        <v>0</v>
      </c>
      <c r="AE37" s="72">
        <f>Tabela4[[#This Row],[Daniela Donadel Massalai]]</f>
        <v>0</v>
      </c>
      <c r="AF37" s="72">
        <f>Tabela4[[#This Row],[Comercio De Moto Peças Irmãos Guarani Ltda]]</f>
        <v>0</v>
      </c>
      <c r="AG37" s="72">
        <f>Tabela4[[#This Row],[Mauricio Luis Lunardi]]</f>
        <v>0</v>
      </c>
      <c r="AH37" s="72">
        <f>Tabela4[[#This Row],[Rosa Maria Restle Radunz]]</f>
        <v>0</v>
      </c>
      <c r="AI37" s="72">
        <f>Tabela4[[#This Row],[Ivo Amaral De Oliveira]]</f>
        <v>0</v>
      </c>
      <c r="AJ37" s="72">
        <f>Tabela4[[#This Row],[Silvio Robert Lemos Avila]]</f>
        <v>0</v>
      </c>
      <c r="AK37" s="72">
        <f>Tabela4[[#This Row],[Eldo Rost]]</f>
        <v>0</v>
      </c>
      <c r="AL37" s="72">
        <f>SUM(Tabela4[[#This Row],[Padaria Avenida - 01]:[Padaria Avenida - 02]])</f>
        <v>0</v>
      </c>
      <c r="AM37" s="72">
        <f>Tabela4[[#This Row],[Cristiano Anshau]]</f>
        <v>0</v>
      </c>
      <c r="AN37" s="72">
        <f>Tabela4[[#This Row],[Luciana Claudete Meirelles Correa]]</f>
        <v>0</v>
      </c>
      <c r="AO37" s="72">
        <f>Tabela4[[#This Row],[Marcio Jose Siqueira]]</f>
        <v>0</v>
      </c>
      <c r="AP37" s="72">
        <f>Tabela4[[#This Row],[Marcos Rogerio Kessler]]</f>
        <v>0</v>
      </c>
      <c r="AQ37" s="72">
        <f>SUM(Tabela4[[#This Row],[AABB - 01]:[AABB - 02]])</f>
        <v>0</v>
      </c>
      <c r="AR37" s="72">
        <f>SUM(Tabela4[[#This Row],[Wanda Burkard - 01]:[Wanda Burkard - 02]])</f>
        <v>0</v>
      </c>
      <c r="AS37" s="72">
        <f>Tabela4[[#This Row],[Silvio Robert Lemos Avila Me]]</f>
        <v>0</v>
      </c>
      <c r="AT37" s="72">
        <f>Tabela4[[#This Row],[Carmelo]]</f>
        <v>0</v>
      </c>
      <c r="AU37" s="72">
        <f>Tabela4[[#This Row],[Antonio Dal Forno]]</f>
        <v>0</v>
      </c>
      <c r="AV37" s="72">
        <f>Tabela4[[#This Row],[Marisane Paulus]]</f>
        <v>0</v>
      </c>
      <c r="AW37" s="72">
        <f>Tabela4[[#This Row],[Segatto Ceretta Ltda]]</f>
        <v>0</v>
      </c>
      <c r="AX37" s="72">
        <f>SUM(Tabela4[[#This Row],[APAE - 01]:[APAE - 02]])</f>
        <v>0</v>
      </c>
      <c r="AY37" s="72">
        <f>Tabela4[[#This Row],[Cássio Burin]]</f>
        <v>0</v>
      </c>
      <c r="AZ37" s="72">
        <f>Tabela4[[#This Row],[Patrick Kristoschek Da Silva]]</f>
        <v>0</v>
      </c>
      <c r="BA37" s="72">
        <f>Tabela4[[#This Row],[Silvio Robert Ávila - (Valmir)]]</f>
        <v>0</v>
      </c>
      <c r="BB37" s="72">
        <f>Tabela4[[#This Row],[Zederson Jose Della Flora]]</f>
        <v>0</v>
      </c>
      <c r="BC37" s="72">
        <f>Tabela4[[#This Row],[Carlos Walmir Larsão Rolim]]</f>
        <v>0</v>
      </c>
      <c r="BD37" s="72">
        <f>Tabela4[[#This Row],[Danieli Missio]]</f>
        <v>0</v>
      </c>
      <c r="BE37" s="72">
        <f>Tabela4[[#This Row],[José Vasconcellos]]</f>
        <v>0</v>
      </c>
      <c r="BF37" s="72">
        <f>Tabela4[[#This Row],[Linho Lev Alimentos]]</f>
        <v>0</v>
      </c>
      <c r="BG37" s="72">
        <f>Tabela4[[#This Row],[Ernani Czapla]]</f>
        <v>0</v>
      </c>
      <c r="BH37" s="72">
        <f>Tabela4[[#This Row],[Valesca Da Luz]]</f>
        <v>0</v>
      </c>
      <c r="BI37" s="72">
        <f>Tabela4[[#This Row],[Olavo Mildner]]</f>
        <v>0</v>
      </c>
      <c r="BJ37" s="72">
        <f>Tabela4[[#This Row],[Dilnei Rohled]]</f>
        <v>0</v>
      </c>
      <c r="BK37" s="72">
        <f>Tabela4[[#This Row],[Shaiana Signorini]]</f>
        <v>0</v>
      </c>
      <c r="BL37" s="72">
        <f>Tabela4[[#This Row],[Fonse Atacado]]</f>
        <v>0</v>
      </c>
      <c r="BM37" s="72">
        <f>Tabela4[[#This Row],[Comercial de Alimentos]]</f>
        <v>0</v>
      </c>
      <c r="BN37" s="72">
        <f>Tabela4[[#This Row],[Ivone Kasburg Serralheria]]</f>
        <v>0</v>
      </c>
      <c r="BO37" s="72">
        <f>Tabela4[[#This Row],[Mercado Ceretta]]</f>
        <v>0</v>
      </c>
      <c r="BP37" s="72">
        <f>Tabela4[[#This Row],[Antonio Carlos Dos Santos Pereira]]</f>
        <v>0</v>
      </c>
      <c r="BQ37" s="72">
        <f>Tabela4[[#This Row],[Volnei Lemos Avila - Me]]</f>
        <v>0</v>
      </c>
      <c r="BR37" s="72">
        <f>Tabela4[[#This Row],[Silvana Meneghini]]</f>
        <v>0</v>
      </c>
      <c r="BS37" s="72">
        <f>Tabela4[[#This Row],[Eficaz Engenharia Ltda]]</f>
        <v>0</v>
      </c>
      <c r="BT37" s="72">
        <f>SUM(Tabela4[[#Headers],[Tania Regina Schmaltz - 01]:[Tania Regina Schmaltz - 02]])</f>
        <v>0</v>
      </c>
      <c r="BU37" s="72">
        <f>Tabela4[[#This Row],[Camila Ceretta Segatto]]</f>
        <v>0</v>
      </c>
      <c r="BV37" s="72">
        <f>Tabela4[[#This Row],[Vagner Ribas Dos Santos]]</f>
        <v>0</v>
      </c>
      <c r="BW37" s="72">
        <f>Tabela4[[#This Row],[Claudio Alfredo Konrat]]</f>
        <v>0</v>
      </c>
    </row>
    <row r="38" spans="1:75" x14ac:dyDescent="0.25">
      <c r="A38" s="70">
        <v>44197</v>
      </c>
      <c r="B38" s="72">
        <f>SUM(Tabela4[[#This Row],[Marlon Colovini - 01]:[Marlon Colovini - 02]])</f>
        <v>0</v>
      </c>
      <c r="C38" s="72">
        <f>Tabela4[[#This Row],[Mara Barichello]]</f>
        <v>0</v>
      </c>
      <c r="D38" s="72">
        <f>Tabela4[[#This Row],[Jandira Dutra]]</f>
        <v>0</v>
      </c>
      <c r="E38" s="72">
        <f>Tabela4[[#This Row],[Luiz Fernando Kruger]]</f>
        <v>0</v>
      </c>
      <c r="F38" s="72">
        <f>SUM(Tabela4[[#This Row],[Paulo Bohn - 01]:[Paulo Bohn - 04]])</f>
        <v>0</v>
      </c>
      <c r="G38" s="72">
        <f>Tabela4[[#This Row],[Analia (Clodoaldo Entre-Ijuis)]]</f>
        <v>0</v>
      </c>
      <c r="H38" s="72">
        <f>Tabela4[[#This Row],[Biroh]]</f>
        <v>0</v>
      </c>
      <c r="I38" s="72">
        <f>Tabela4[[#This Row],[Gelson Posser]]</f>
        <v>0</v>
      </c>
      <c r="J38" s="72">
        <f>Tabela4[[#This Row],[Supermercado Caryone]]</f>
        <v>0</v>
      </c>
      <c r="K38" s="72">
        <f>Tabela4[[#This Row],[Ernani Minetto]]</f>
        <v>0</v>
      </c>
      <c r="L38" s="72">
        <f>Tabela4[[#This Row],[Jair Moscon]]</f>
        <v>0</v>
      </c>
      <c r="M38" s="72">
        <f>SUM(Tabela4[[#This Row],[Fabio Milke - 01]:[Fabio Milke - 02]])</f>
        <v>0</v>
      </c>
      <c r="N38" s="72">
        <f>Tabela4[[#This Row],[Piaia]]</f>
        <v>0</v>
      </c>
      <c r="O38" s="72">
        <f>Tabela4[[#This Row],[Osmar Veronese]]</f>
        <v>0</v>
      </c>
      <c r="P38" s="72">
        <f>Tabela4[[#This Row],[ José Luiz Moraes]]</f>
        <v>0</v>
      </c>
      <c r="Q38" s="72">
        <f>Tabela4[[#This Row],[Supermercado Cripy]]</f>
        <v>0</v>
      </c>
      <c r="R38" s="72">
        <f>Tabela4[[#This Row],[Gláucio Lipski (Giruá)]]</f>
        <v>0</v>
      </c>
      <c r="S38" s="72">
        <f>Tabela4[[#This Row],[Contri]]</f>
        <v>0</v>
      </c>
      <c r="T38" s="72">
        <f>Tabela4[[#This Row],[Cleci Rubi]]</f>
        <v>0</v>
      </c>
      <c r="U38" s="72">
        <f>Tabela4[[#This Row],[Betine Rost]]</f>
        <v>0</v>
      </c>
      <c r="V38" s="72">
        <f>SUM(Tabela4[[#This Row],[Robinson Fetter - 01]:[Robinson Fetter - 03]])</f>
        <v>0</v>
      </c>
      <c r="W38" s="72">
        <f>Tabela4[[#This Row],[Fabio De Moura]]</f>
        <v>0</v>
      </c>
      <c r="X38" s="72">
        <f>Tabela4[[#This Row],[Rochele Santos Moraes]]</f>
        <v>0</v>
      </c>
      <c r="Y38" s="72">
        <f>Tabela4[[#This Row],[Auto Posto Kairã]]</f>
        <v>0</v>
      </c>
      <c r="Z38" s="72">
        <f>Tabela4[[#This Row],[Erno Schiefelbain]]</f>
        <v>0</v>
      </c>
      <c r="AA38" s="72">
        <f>Tabela4[[#This Row],[José Paulo Backes]]</f>
        <v>0</v>
      </c>
      <c r="AB38" s="72">
        <f>Tabela4[[#This Row],[Gelso Tofolo]]</f>
        <v>0</v>
      </c>
      <c r="AC38" s="72">
        <f>Tabela4[[#This Row],[Diamantino]]</f>
        <v>0</v>
      </c>
      <c r="AD38" s="72">
        <f>Tabela4[[#This Row],[Mercado Bueno]]</f>
        <v>0</v>
      </c>
      <c r="AE38" s="72">
        <f>Tabela4[[#This Row],[Daniela Donadel Massalai]]</f>
        <v>0</v>
      </c>
      <c r="AF38" s="72">
        <f>Tabela4[[#This Row],[Comercio De Moto Peças Irmãos Guarani Ltda]]</f>
        <v>0</v>
      </c>
      <c r="AG38" s="72">
        <f>Tabela4[[#This Row],[Mauricio Luis Lunardi]]</f>
        <v>0</v>
      </c>
      <c r="AH38" s="72">
        <f>Tabela4[[#This Row],[Rosa Maria Restle Radunz]]</f>
        <v>0</v>
      </c>
      <c r="AI38" s="72">
        <f>Tabela4[[#This Row],[Ivo Amaral De Oliveira]]</f>
        <v>0</v>
      </c>
      <c r="AJ38" s="72">
        <f>Tabela4[[#This Row],[Silvio Robert Lemos Avila]]</f>
        <v>0</v>
      </c>
      <c r="AK38" s="72">
        <f>Tabela4[[#This Row],[Eldo Rost]]</f>
        <v>0</v>
      </c>
      <c r="AL38" s="72">
        <f>SUM(Tabela4[[#This Row],[Padaria Avenida - 01]:[Padaria Avenida - 02]])</f>
        <v>0</v>
      </c>
      <c r="AM38" s="72">
        <f>Tabela4[[#This Row],[Cristiano Anshau]]</f>
        <v>0</v>
      </c>
      <c r="AN38" s="72">
        <f>Tabela4[[#This Row],[Luciana Claudete Meirelles Correa]]</f>
        <v>0</v>
      </c>
      <c r="AO38" s="72">
        <f>Tabela4[[#This Row],[Marcio Jose Siqueira]]</f>
        <v>0</v>
      </c>
      <c r="AP38" s="72">
        <f>Tabela4[[#This Row],[Marcos Rogerio Kessler]]</f>
        <v>0</v>
      </c>
      <c r="AQ38" s="72">
        <f>SUM(Tabela4[[#This Row],[AABB - 01]:[AABB - 02]])</f>
        <v>0</v>
      </c>
      <c r="AR38" s="72">
        <f>SUM(Tabela4[[#This Row],[Wanda Burkard - 01]:[Wanda Burkard - 02]])</f>
        <v>0</v>
      </c>
      <c r="AS38" s="72">
        <f>Tabela4[[#This Row],[Silvio Robert Lemos Avila Me]]</f>
        <v>0</v>
      </c>
      <c r="AT38" s="72">
        <f>Tabela4[[#This Row],[Carmelo]]</f>
        <v>0</v>
      </c>
      <c r="AU38" s="72">
        <f>Tabela4[[#This Row],[Antonio Dal Forno]]</f>
        <v>0</v>
      </c>
      <c r="AV38" s="72">
        <f>Tabela4[[#This Row],[Marisane Paulus]]</f>
        <v>0</v>
      </c>
      <c r="AW38" s="72">
        <f>Tabela4[[#This Row],[Segatto Ceretta Ltda]]</f>
        <v>0</v>
      </c>
      <c r="AX38" s="72">
        <f>SUM(Tabela4[[#This Row],[APAE - 01]:[APAE - 02]])</f>
        <v>0</v>
      </c>
      <c r="AY38" s="72">
        <f>Tabela4[[#This Row],[Cássio Burin]]</f>
        <v>0</v>
      </c>
      <c r="AZ38" s="72">
        <f>Tabela4[[#This Row],[Patrick Kristoschek Da Silva]]</f>
        <v>0</v>
      </c>
      <c r="BA38" s="72">
        <f>Tabela4[[#This Row],[Silvio Robert Ávila - (Valmir)]]</f>
        <v>0</v>
      </c>
      <c r="BB38" s="72">
        <f>Tabela4[[#This Row],[Zederson Jose Della Flora]]</f>
        <v>0</v>
      </c>
      <c r="BC38" s="72">
        <f>Tabela4[[#This Row],[Carlos Walmir Larsão Rolim]]</f>
        <v>0</v>
      </c>
      <c r="BD38" s="72">
        <f>Tabela4[[#This Row],[Danieli Missio]]</f>
        <v>0</v>
      </c>
      <c r="BE38" s="72">
        <f>Tabela4[[#This Row],[José Vasconcellos]]</f>
        <v>0</v>
      </c>
      <c r="BF38" s="72">
        <f>Tabela4[[#This Row],[Linho Lev Alimentos]]</f>
        <v>0</v>
      </c>
      <c r="BG38" s="72">
        <f>Tabela4[[#This Row],[Ernani Czapla]]</f>
        <v>0</v>
      </c>
      <c r="BH38" s="72">
        <f>Tabela4[[#This Row],[Valesca Da Luz]]</f>
        <v>0</v>
      </c>
      <c r="BI38" s="72">
        <f>Tabela4[[#This Row],[Olavo Mildner]]</f>
        <v>0</v>
      </c>
      <c r="BJ38" s="72">
        <f>Tabela4[[#This Row],[Dilnei Rohled]]</f>
        <v>0</v>
      </c>
      <c r="BK38" s="72">
        <f>Tabela4[[#This Row],[Shaiana Signorini]]</f>
        <v>0</v>
      </c>
      <c r="BL38" s="72">
        <f>Tabela4[[#This Row],[Fonse Atacado]]</f>
        <v>0</v>
      </c>
      <c r="BM38" s="72">
        <f>Tabela4[[#This Row],[Comercial de Alimentos]]</f>
        <v>0</v>
      </c>
      <c r="BN38" s="72">
        <f>Tabela4[[#This Row],[Ivone Kasburg Serralheria]]</f>
        <v>0</v>
      </c>
      <c r="BO38" s="72">
        <f>Tabela4[[#This Row],[Mercado Ceretta]]</f>
        <v>0</v>
      </c>
      <c r="BP38" s="72">
        <f>Tabela4[[#This Row],[Antonio Carlos Dos Santos Pereira]]</f>
        <v>0</v>
      </c>
      <c r="BQ38" s="72">
        <f>Tabela4[[#This Row],[Volnei Lemos Avila - Me]]</f>
        <v>0</v>
      </c>
      <c r="BR38" s="72">
        <f>Tabela4[[#This Row],[Silvana Meneghini]]</f>
        <v>0</v>
      </c>
      <c r="BS38" s="72">
        <f>Tabela4[[#This Row],[Eficaz Engenharia Ltda]]</f>
        <v>0</v>
      </c>
      <c r="BT38" s="72">
        <f>SUM(Tabela4[[#Headers],[Tania Regina Schmaltz - 01]:[Tania Regina Schmaltz - 02]])</f>
        <v>0</v>
      </c>
      <c r="BU38" s="72">
        <f>Tabela4[[#This Row],[Camila Ceretta Segatto]]</f>
        <v>0</v>
      </c>
      <c r="BV38" s="72">
        <f>Tabela4[[#This Row],[Vagner Ribas Dos Santos]]</f>
        <v>0</v>
      </c>
      <c r="BW38" s="72">
        <f>Tabela4[[#This Row],[Claudio Alfredo Konrat]]</f>
        <v>0</v>
      </c>
    </row>
    <row r="39" spans="1:75" x14ac:dyDescent="0.25">
      <c r="A39" s="70">
        <v>44228</v>
      </c>
      <c r="B39" s="72">
        <f>SUM(Tabela4[[#This Row],[Marlon Colovini - 01]:[Marlon Colovini - 02]])</f>
        <v>0</v>
      </c>
      <c r="C39" s="72">
        <f>Tabela4[[#This Row],[Mara Barichello]]</f>
        <v>0</v>
      </c>
      <c r="D39" s="72">
        <f>Tabela4[[#This Row],[Jandira Dutra]]</f>
        <v>0</v>
      </c>
      <c r="E39" s="72">
        <f>Tabela4[[#This Row],[Luiz Fernando Kruger]]</f>
        <v>0</v>
      </c>
      <c r="F39" s="72">
        <f>SUM(Tabela4[[#This Row],[Paulo Bohn - 01]:[Paulo Bohn - 04]])</f>
        <v>0</v>
      </c>
      <c r="G39" s="72">
        <f>Tabela4[[#This Row],[Analia (Clodoaldo Entre-Ijuis)]]</f>
        <v>0</v>
      </c>
      <c r="H39" s="72">
        <f>Tabela4[[#This Row],[Biroh]]</f>
        <v>0</v>
      </c>
      <c r="I39" s="72">
        <f>Tabela4[[#This Row],[Gelson Posser]]</f>
        <v>0</v>
      </c>
      <c r="J39" s="72">
        <f>Tabela4[[#This Row],[Supermercado Caryone]]</f>
        <v>0</v>
      </c>
      <c r="K39" s="72">
        <f>Tabela4[[#This Row],[Ernani Minetto]]</f>
        <v>0</v>
      </c>
      <c r="L39" s="72">
        <f>Tabela4[[#This Row],[Jair Moscon]]</f>
        <v>0</v>
      </c>
      <c r="M39" s="72">
        <f>SUM(Tabela4[[#This Row],[Fabio Milke - 01]:[Fabio Milke - 02]])</f>
        <v>0</v>
      </c>
      <c r="N39" s="72">
        <f>Tabela4[[#This Row],[Piaia]]</f>
        <v>0</v>
      </c>
      <c r="O39" s="72">
        <f>Tabela4[[#This Row],[Osmar Veronese]]</f>
        <v>0</v>
      </c>
      <c r="P39" s="72">
        <f>Tabela4[[#This Row],[ José Luiz Moraes]]</f>
        <v>0</v>
      </c>
      <c r="Q39" s="72">
        <f>Tabela4[[#This Row],[Supermercado Cripy]]</f>
        <v>0</v>
      </c>
      <c r="R39" s="72">
        <f>Tabela4[[#This Row],[Gláucio Lipski (Giruá)]]</f>
        <v>0</v>
      </c>
      <c r="S39" s="72">
        <f>Tabela4[[#This Row],[Contri]]</f>
        <v>0</v>
      </c>
      <c r="T39" s="72">
        <f>Tabela4[[#This Row],[Cleci Rubi]]</f>
        <v>0</v>
      </c>
      <c r="U39" s="72">
        <f>Tabela4[[#This Row],[Betine Rost]]</f>
        <v>0</v>
      </c>
      <c r="V39" s="72">
        <f>SUM(Tabela4[[#This Row],[Robinson Fetter - 01]:[Robinson Fetter - 03]])</f>
        <v>0</v>
      </c>
      <c r="W39" s="72">
        <f>Tabela4[[#This Row],[Fabio De Moura]]</f>
        <v>0</v>
      </c>
      <c r="X39" s="72">
        <f>Tabela4[[#This Row],[Rochele Santos Moraes]]</f>
        <v>0</v>
      </c>
      <c r="Y39" s="72">
        <f>Tabela4[[#This Row],[Auto Posto Kairã]]</f>
        <v>0</v>
      </c>
      <c r="Z39" s="72">
        <f>Tabela4[[#This Row],[Erno Schiefelbain]]</f>
        <v>0</v>
      </c>
      <c r="AA39" s="72">
        <f>Tabela4[[#This Row],[José Paulo Backes]]</f>
        <v>0</v>
      </c>
      <c r="AB39" s="72">
        <f>Tabela4[[#This Row],[Gelso Tofolo]]</f>
        <v>0</v>
      </c>
      <c r="AC39" s="72">
        <f>Tabela4[[#This Row],[Diamantino]]</f>
        <v>0</v>
      </c>
      <c r="AD39" s="72">
        <f>Tabela4[[#This Row],[Mercado Bueno]]</f>
        <v>0</v>
      </c>
      <c r="AE39" s="72">
        <f>Tabela4[[#This Row],[Daniela Donadel Massalai]]</f>
        <v>0</v>
      </c>
      <c r="AF39" s="72">
        <f>Tabela4[[#This Row],[Comercio De Moto Peças Irmãos Guarani Ltda]]</f>
        <v>0</v>
      </c>
      <c r="AG39" s="72">
        <f>Tabela4[[#This Row],[Mauricio Luis Lunardi]]</f>
        <v>0</v>
      </c>
      <c r="AH39" s="72">
        <f>Tabela4[[#This Row],[Rosa Maria Restle Radunz]]</f>
        <v>0</v>
      </c>
      <c r="AI39" s="72">
        <f>Tabela4[[#This Row],[Ivo Amaral De Oliveira]]</f>
        <v>0</v>
      </c>
      <c r="AJ39" s="72">
        <f>Tabela4[[#This Row],[Silvio Robert Lemos Avila]]</f>
        <v>0</v>
      </c>
      <c r="AK39" s="72">
        <f>Tabela4[[#This Row],[Eldo Rost]]</f>
        <v>0</v>
      </c>
      <c r="AL39" s="72">
        <f>SUM(Tabela4[[#This Row],[Padaria Avenida - 01]:[Padaria Avenida - 02]])</f>
        <v>0</v>
      </c>
      <c r="AM39" s="72">
        <f>Tabela4[[#This Row],[Cristiano Anshau]]</f>
        <v>0</v>
      </c>
      <c r="AN39" s="72">
        <f>Tabela4[[#This Row],[Luciana Claudete Meirelles Correa]]</f>
        <v>0</v>
      </c>
      <c r="AO39" s="72">
        <f>Tabela4[[#This Row],[Marcio Jose Siqueira]]</f>
        <v>0</v>
      </c>
      <c r="AP39" s="72">
        <f>Tabela4[[#This Row],[Marcos Rogerio Kessler]]</f>
        <v>0</v>
      </c>
      <c r="AQ39" s="72">
        <f>SUM(Tabela4[[#This Row],[AABB - 01]:[AABB - 02]])</f>
        <v>0</v>
      </c>
      <c r="AR39" s="72">
        <f>SUM(Tabela4[[#This Row],[Wanda Burkard - 01]:[Wanda Burkard - 02]])</f>
        <v>0</v>
      </c>
      <c r="AS39" s="72">
        <f>Tabela4[[#This Row],[Silvio Robert Lemos Avila Me]]</f>
        <v>0</v>
      </c>
      <c r="AT39" s="72">
        <f>Tabela4[[#This Row],[Carmelo]]</f>
        <v>0</v>
      </c>
      <c r="AU39" s="72">
        <f>Tabela4[[#This Row],[Antonio Dal Forno]]</f>
        <v>0</v>
      </c>
      <c r="AV39" s="72">
        <f>Tabela4[[#This Row],[Marisane Paulus]]</f>
        <v>0</v>
      </c>
      <c r="AW39" s="72">
        <f>Tabela4[[#This Row],[Segatto Ceretta Ltda]]</f>
        <v>0</v>
      </c>
      <c r="AX39" s="72">
        <f>SUM(Tabela4[[#This Row],[APAE - 01]:[APAE - 02]])</f>
        <v>0</v>
      </c>
      <c r="AY39" s="72">
        <f>Tabela4[[#This Row],[Cássio Burin]]</f>
        <v>0</v>
      </c>
      <c r="AZ39" s="72">
        <f>Tabela4[[#This Row],[Patrick Kristoschek Da Silva]]</f>
        <v>0</v>
      </c>
      <c r="BA39" s="72">
        <f>Tabela4[[#This Row],[Silvio Robert Ávila - (Valmir)]]</f>
        <v>0</v>
      </c>
      <c r="BB39" s="72">
        <f>Tabela4[[#This Row],[Zederson Jose Della Flora]]</f>
        <v>0</v>
      </c>
      <c r="BC39" s="72">
        <f>Tabela4[[#This Row],[Carlos Walmir Larsão Rolim]]</f>
        <v>0</v>
      </c>
      <c r="BD39" s="72">
        <f>Tabela4[[#This Row],[Danieli Missio]]</f>
        <v>0</v>
      </c>
      <c r="BE39" s="72">
        <f>Tabela4[[#This Row],[José Vasconcellos]]</f>
        <v>0</v>
      </c>
      <c r="BF39" s="72">
        <f>Tabela4[[#This Row],[Linho Lev Alimentos]]</f>
        <v>0</v>
      </c>
      <c r="BG39" s="72">
        <f>Tabela4[[#This Row],[Ernani Czapla]]</f>
        <v>0</v>
      </c>
      <c r="BH39" s="72">
        <f>Tabela4[[#This Row],[Valesca Da Luz]]</f>
        <v>0</v>
      </c>
      <c r="BI39" s="72">
        <f>Tabela4[[#This Row],[Olavo Mildner]]</f>
        <v>0</v>
      </c>
      <c r="BJ39" s="72">
        <f>Tabela4[[#This Row],[Dilnei Rohled]]</f>
        <v>0</v>
      </c>
      <c r="BK39" s="72">
        <f>Tabela4[[#This Row],[Shaiana Signorini]]</f>
        <v>0</v>
      </c>
      <c r="BL39" s="72">
        <f>Tabela4[[#This Row],[Fonse Atacado]]</f>
        <v>0</v>
      </c>
      <c r="BM39" s="72">
        <f>Tabela4[[#This Row],[Comercial de Alimentos]]</f>
        <v>0</v>
      </c>
      <c r="BN39" s="72">
        <f>Tabela4[[#This Row],[Ivone Kasburg Serralheria]]</f>
        <v>0</v>
      </c>
      <c r="BO39" s="72">
        <f>Tabela4[[#This Row],[Mercado Ceretta]]</f>
        <v>0</v>
      </c>
      <c r="BP39" s="72">
        <f>Tabela4[[#This Row],[Antonio Carlos Dos Santos Pereira]]</f>
        <v>0</v>
      </c>
      <c r="BQ39" s="72">
        <f>Tabela4[[#This Row],[Volnei Lemos Avila - Me]]</f>
        <v>0</v>
      </c>
      <c r="BR39" s="72">
        <f>Tabela4[[#This Row],[Silvana Meneghini]]</f>
        <v>0</v>
      </c>
      <c r="BS39" s="72">
        <f>Tabela4[[#This Row],[Eficaz Engenharia Ltda]]</f>
        <v>0</v>
      </c>
      <c r="BT39" s="72">
        <f>SUM(Tabela4[[#Headers],[Tania Regina Schmaltz - 01]:[Tania Regina Schmaltz - 02]])</f>
        <v>0</v>
      </c>
      <c r="BU39" s="72">
        <f>Tabela4[[#This Row],[Camila Ceretta Segatto]]</f>
        <v>0</v>
      </c>
      <c r="BV39" s="72">
        <f>Tabela4[[#This Row],[Vagner Ribas Dos Santos]]</f>
        <v>0</v>
      </c>
      <c r="BW39" s="72">
        <f>Tabela4[[#This Row],[Claudio Alfredo Konrat]]</f>
        <v>0</v>
      </c>
    </row>
    <row r="40" spans="1:75" x14ac:dyDescent="0.25">
      <c r="A40" s="70">
        <v>44256</v>
      </c>
      <c r="B40" s="72">
        <f>SUM(Tabela4[[#This Row],[Marlon Colovini - 01]:[Marlon Colovini - 02]])</f>
        <v>0</v>
      </c>
      <c r="C40" s="72">
        <f>Tabela4[[#This Row],[Mara Barichello]]</f>
        <v>0</v>
      </c>
      <c r="D40" s="72">
        <f>Tabela4[[#This Row],[Jandira Dutra]]</f>
        <v>0</v>
      </c>
      <c r="E40" s="72">
        <f>Tabela4[[#This Row],[Luiz Fernando Kruger]]</f>
        <v>0</v>
      </c>
      <c r="F40" s="72">
        <f>SUM(Tabela4[[#This Row],[Paulo Bohn - 01]:[Paulo Bohn - 04]])</f>
        <v>0</v>
      </c>
      <c r="G40" s="72">
        <f>Tabela4[[#This Row],[Analia (Clodoaldo Entre-Ijuis)]]</f>
        <v>0</v>
      </c>
      <c r="H40" s="72">
        <f>Tabela4[[#This Row],[Biroh]]</f>
        <v>0</v>
      </c>
      <c r="I40" s="72">
        <f>Tabela4[[#This Row],[Gelson Posser]]</f>
        <v>0</v>
      </c>
      <c r="J40" s="72">
        <f>Tabela4[[#This Row],[Supermercado Caryone]]</f>
        <v>0</v>
      </c>
      <c r="K40" s="72">
        <f>Tabela4[[#This Row],[Ernani Minetto]]</f>
        <v>0</v>
      </c>
      <c r="L40" s="72">
        <f>Tabela4[[#This Row],[Jair Moscon]]</f>
        <v>0</v>
      </c>
      <c r="M40" s="72">
        <f>SUM(Tabela4[[#This Row],[Fabio Milke - 01]:[Fabio Milke - 02]])</f>
        <v>0</v>
      </c>
      <c r="N40" s="72">
        <f>Tabela4[[#This Row],[Piaia]]</f>
        <v>0</v>
      </c>
      <c r="O40" s="72">
        <f>Tabela4[[#This Row],[Osmar Veronese]]</f>
        <v>0</v>
      </c>
      <c r="P40" s="72">
        <f>Tabela4[[#This Row],[ José Luiz Moraes]]</f>
        <v>0</v>
      </c>
      <c r="Q40" s="72">
        <f>Tabela4[[#This Row],[Supermercado Cripy]]</f>
        <v>0</v>
      </c>
      <c r="R40" s="72">
        <f>Tabela4[[#This Row],[Gláucio Lipski (Giruá)]]</f>
        <v>0</v>
      </c>
      <c r="S40" s="72">
        <f>Tabela4[[#This Row],[Contri]]</f>
        <v>0</v>
      </c>
      <c r="T40" s="72">
        <f>Tabela4[[#This Row],[Cleci Rubi]]</f>
        <v>0</v>
      </c>
      <c r="U40" s="72">
        <f>Tabela4[[#This Row],[Betine Rost]]</f>
        <v>0</v>
      </c>
      <c r="V40" s="72">
        <f>SUM(Tabela4[[#This Row],[Robinson Fetter - 01]:[Robinson Fetter - 03]])</f>
        <v>0</v>
      </c>
      <c r="W40" s="72">
        <f>Tabela4[[#This Row],[Fabio De Moura]]</f>
        <v>0</v>
      </c>
      <c r="X40" s="72">
        <f>Tabela4[[#This Row],[Rochele Santos Moraes]]</f>
        <v>0</v>
      </c>
      <c r="Y40" s="72">
        <f>Tabela4[[#This Row],[Auto Posto Kairã]]</f>
        <v>0</v>
      </c>
      <c r="Z40" s="72">
        <f>Tabela4[[#This Row],[Erno Schiefelbain]]</f>
        <v>0</v>
      </c>
      <c r="AA40" s="72">
        <f>Tabela4[[#This Row],[José Paulo Backes]]</f>
        <v>0</v>
      </c>
      <c r="AB40" s="72">
        <f>Tabela4[[#This Row],[Gelso Tofolo]]</f>
        <v>0</v>
      </c>
      <c r="AC40" s="72">
        <f>Tabela4[[#This Row],[Diamantino]]</f>
        <v>0</v>
      </c>
      <c r="AD40" s="72">
        <f>Tabela4[[#This Row],[Mercado Bueno]]</f>
        <v>0</v>
      </c>
      <c r="AE40" s="72">
        <f>Tabela4[[#This Row],[Daniela Donadel Massalai]]</f>
        <v>0</v>
      </c>
      <c r="AF40" s="72">
        <f>Tabela4[[#This Row],[Comercio De Moto Peças Irmãos Guarani Ltda]]</f>
        <v>0</v>
      </c>
      <c r="AG40" s="72">
        <f>Tabela4[[#This Row],[Mauricio Luis Lunardi]]</f>
        <v>0</v>
      </c>
      <c r="AH40" s="72">
        <f>Tabela4[[#This Row],[Rosa Maria Restle Radunz]]</f>
        <v>0</v>
      </c>
      <c r="AI40" s="72">
        <f>Tabela4[[#This Row],[Ivo Amaral De Oliveira]]</f>
        <v>0</v>
      </c>
      <c r="AJ40" s="72">
        <f>Tabela4[[#This Row],[Silvio Robert Lemos Avila]]</f>
        <v>0</v>
      </c>
      <c r="AK40" s="72">
        <f>Tabela4[[#This Row],[Eldo Rost]]</f>
        <v>0</v>
      </c>
      <c r="AL40" s="72">
        <f>SUM(Tabela4[[#This Row],[Padaria Avenida - 01]:[Padaria Avenida - 02]])</f>
        <v>0</v>
      </c>
      <c r="AM40" s="72">
        <f>Tabela4[[#This Row],[Cristiano Anshau]]</f>
        <v>0</v>
      </c>
      <c r="AN40" s="72">
        <f>Tabela4[[#This Row],[Luciana Claudete Meirelles Correa]]</f>
        <v>0</v>
      </c>
      <c r="AO40" s="72">
        <f>Tabela4[[#This Row],[Marcio Jose Siqueira]]</f>
        <v>0</v>
      </c>
      <c r="AP40" s="72">
        <f>Tabela4[[#This Row],[Marcos Rogerio Kessler]]</f>
        <v>0</v>
      </c>
      <c r="AQ40" s="72">
        <f>SUM(Tabela4[[#This Row],[AABB - 01]:[AABB - 02]])</f>
        <v>0</v>
      </c>
      <c r="AR40" s="72">
        <f>SUM(Tabela4[[#This Row],[Wanda Burkard - 01]:[Wanda Burkard - 02]])</f>
        <v>0</v>
      </c>
      <c r="AS40" s="72">
        <f>Tabela4[[#This Row],[Silvio Robert Lemos Avila Me]]</f>
        <v>0</v>
      </c>
      <c r="AT40" s="72">
        <f>Tabela4[[#This Row],[Carmelo]]</f>
        <v>0</v>
      </c>
      <c r="AU40" s="72">
        <f>Tabela4[[#This Row],[Antonio Dal Forno]]</f>
        <v>0</v>
      </c>
      <c r="AV40" s="72">
        <f>Tabela4[[#This Row],[Marisane Paulus]]</f>
        <v>0</v>
      </c>
      <c r="AW40" s="72">
        <f>Tabela4[[#This Row],[Segatto Ceretta Ltda]]</f>
        <v>0</v>
      </c>
      <c r="AX40" s="72">
        <f>SUM(Tabela4[[#This Row],[APAE - 01]:[APAE - 02]])</f>
        <v>0</v>
      </c>
      <c r="AY40" s="72">
        <f>Tabela4[[#This Row],[Cássio Burin]]</f>
        <v>0</v>
      </c>
      <c r="AZ40" s="72">
        <f>Tabela4[[#This Row],[Patrick Kristoschek Da Silva]]</f>
        <v>0</v>
      </c>
      <c r="BA40" s="72">
        <f>Tabela4[[#This Row],[Silvio Robert Ávila - (Valmir)]]</f>
        <v>0</v>
      </c>
      <c r="BB40" s="72">
        <f>Tabela4[[#This Row],[Zederson Jose Della Flora]]</f>
        <v>0</v>
      </c>
      <c r="BC40" s="72">
        <f>Tabela4[[#This Row],[Carlos Walmir Larsão Rolim]]</f>
        <v>0</v>
      </c>
      <c r="BD40" s="72">
        <f>Tabela4[[#This Row],[Danieli Missio]]</f>
        <v>0</v>
      </c>
      <c r="BE40" s="72">
        <f>Tabela4[[#This Row],[José Vasconcellos]]</f>
        <v>0</v>
      </c>
      <c r="BF40" s="72">
        <f>Tabela4[[#This Row],[Linho Lev Alimentos]]</f>
        <v>0</v>
      </c>
      <c r="BG40" s="72">
        <f>Tabela4[[#This Row],[Ernani Czapla]]</f>
        <v>0</v>
      </c>
      <c r="BH40" s="72">
        <f>Tabela4[[#This Row],[Valesca Da Luz]]</f>
        <v>0</v>
      </c>
      <c r="BI40" s="72">
        <f>Tabela4[[#This Row],[Olavo Mildner]]</f>
        <v>0</v>
      </c>
      <c r="BJ40" s="72">
        <f>Tabela4[[#This Row],[Dilnei Rohled]]</f>
        <v>0</v>
      </c>
      <c r="BK40" s="72">
        <f>Tabela4[[#This Row],[Shaiana Signorini]]</f>
        <v>0</v>
      </c>
      <c r="BL40" s="72">
        <f>Tabela4[[#This Row],[Fonse Atacado]]</f>
        <v>0</v>
      </c>
      <c r="BM40" s="72">
        <f>Tabela4[[#This Row],[Comercial de Alimentos]]</f>
        <v>0</v>
      </c>
      <c r="BN40" s="72">
        <f>Tabela4[[#This Row],[Ivone Kasburg Serralheria]]</f>
        <v>0</v>
      </c>
      <c r="BO40" s="72">
        <f>Tabela4[[#This Row],[Mercado Ceretta]]</f>
        <v>0</v>
      </c>
      <c r="BP40" s="72">
        <f>Tabela4[[#This Row],[Antonio Carlos Dos Santos Pereira]]</f>
        <v>0</v>
      </c>
      <c r="BQ40" s="72">
        <f>Tabela4[[#This Row],[Volnei Lemos Avila - Me]]</f>
        <v>0</v>
      </c>
      <c r="BR40" s="72">
        <f>Tabela4[[#This Row],[Silvana Meneghini]]</f>
        <v>0</v>
      </c>
      <c r="BS40" s="72">
        <f>Tabela4[[#This Row],[Eficaz Engenharia Ltda]]</f>
        <v>0</v>
      </c>
      <c r="BT40" s="72">
        <f>SUM(Tabela4[[#Headers],[Tania Regina Schmaltz - 01]:[Tania Regina Schmaltz - 02]])</f>
        <v>0</v>
      </c>
      <c r="BU40" s="72">
        <f>Tabela4[[#This Row],[Camila Ceretta Segatto]]</f>
        <v>0</v>
      </c>
      <c r="BV40" s="72">
        <f>Tabela4[[#This Row],[Vagner Ribas Dos Santos]]</f>
        <v>0</v>
      </c>
      <c r="BW40" s="72">
        <f>Tabela4[[#This Row],[Claudio Alfredo Konrat]]</f>
        <v>0</v>
      </c>
    </row>
    <row r="41" spans="1:75" x14ac:dyDescent="0.25">
      <c r="A41" s="70">
        <v>44287</v>
      </c>
      <c r="B41" s="72">
        <f>SUM(Tabela4[[#This Row],[Marlon Colovini - 01]:[Marlon Colovini - 02]])</f>
        <v>0</v>
      </c>
      <c r="C41" s="72">
        <f>Tabela4[[#This Row],[Mara Barichello]]</f>
        <v>0</v>
      </c>
      <c r="D41" s="72">
        <f>Tabela4[[#This Row],[Jandira Dutra]]</f>
        <v>0</v>
      </c>
      <c r="E41" s="72">
        <f>Tabela4[[#This Row],[Luiz Fernando Kruger]]</f>
        <v>0</v>
      </c>
      <c r="F41" s="72">
        <f>SUM(Tabela4[[#This Row],[Paulo Bohn - 01]:[Paulo Bohn - 04]])</f>
        <v>0</v>
      </c>
      <c r="G41" s="72">
        <f>Tabela4[[#This Row],[Analia (Clodoaldo Entre-Ijuis)]]</f>
        <v>0</v>
      </c>
      <c r="H41" s="72">
        <f>Tabela4[[#This Row],[Biroh]]</f>
        <v>0</v>
      </c>
      <c r="I41" s="72">
        <f>Tabela4[[#This Row],[Gelson Posser]]</f>
        <v>0</v>
      </c>
      <c r="J41" s="72">
        <f>Tabela4[[#This Row],[Supermercado Caryone]]</f>
        <v>0</v>
      </c>
      <c r="K41" s="72">
        <f>Tabela4[[#This Row],[Ernani Minetto]]</f>
        <v>0</v>
      </c>
      <c r="L41" s="72">
        <f>Tabela4[[#This Row],[Jair Moscon]]</f>
        <v>0</v>
      </c>
      <c r="M41" s="72">
        <f>SUM(Tabela4[[#This Row],[Fabio Milke - 01]:[Fabio Milke - 02]])</f>
        <v>0</v>
      </c>
      <c r="N41" s="72">
        <f>Tabela4[[#This Row],[Piaia]]</f>
        <v>0</v>
      </c>
      <c r="O41" s="72">
        <f>Tabela4[[#This Row],[Osmar Veronese]]</f>
        <v>0</v>
      </c>
      <c r="P41" s="72">
        <f>Tabela4[[#This Row],[ José Luiz Moraes]]</f>
        <v>0</v>
      </c>
      <c r="Q41" s="72">
        <f>Tabela4[[#This Row],[Supermercado Cripy]]</f>
        <v>0</v>
      </c>
      <c r="R41" s="72">
        <f>Tabela4[[#This Row],[Gláucio Lipski (Giruá)]]</f>
        <v>0</v>
      </c>
      <c r="S41" s="72">
        <f>Tabela4[[#This Row],[Contri]]</f>
        <v>0</v>
      </c>
      <c r="T41" s="72">
        <f>Tabela4[[#This Row],[Cleci Rubi]]</f>
        <v>0</v>
      </c>
      <c r="U41" s="72">
        <f>Tabela4[[#This Row],[Betine Rost]]</f>
        <v>0</v>
      </c>
      <c r="V41" s="72">
        <f>SUM(Tabela4[[#This Row],[Robinson Fetter - 01]:[Robinson Fetter - 03]])</f>
        <v>0</v>
      </c>
      <c r="W41" s="72">
        <f>Tabela4[[#This Row],[Fabio De Moura]]</f>
        <v>0</v>
      </c>
      <c r="X41" s="72">
        <f>Tabela4[[#This Row],[Rochele Santos Moraes]]</f>
        <v>0</v>
      </c>
      <c r="Y41" s="72">
        <f>Tabela4[[#This Row],[Auto Posto Kairã]]</f>
        <v>0</v>
      </c>
      <c r="Z41" s="72">
        <f>Tabela4[[#This Row],[Erno Schiefelbain]]</f>
        <v>0</v>
      </c>
      <c r="AA41" s="72">
        <f>Tabela4[[#This Row],[José Paulo Backes]]</f>
        <v>0</v>
      </c>
      <c r="AB41" s="72">
        <f>Tabela4[[#This Row],[Gelso Tofolo]]</f>
        <v>0</v>
      </c>
      <c r="AC41" s="72">
        <f>Tabela4[[#This Row],[Diamantino]]</f>
        <v>0</v>
      </c>
      <c r="AD41" s="72">
        <f>Tabela4[[#This Row],[Mercado Bueno]]</f>
        <v>0</v>
      </c>
      <c r="AE41" s="72">
        <f>Tabela4[[#This Row],[Daniela Donadel Massalai]]</f>
        <v>0</v>
      </c>
      <c r="AF41" s="72">
        <f>Tabela4[[#This Row],[Comercio De Moto Peças Irmãos Guarani Ltda]]</f>
        <v>0</v>
      </c>
      <c r="AG41" s="72">
        <f>Tabela4[[#This Row],[Mauricio Luis Lunardi]]</f>
        <v>0</v>
      </c>
      <c r="AH41" s="72">
        <f>Tabela4[[#This Row],[Rosa Maria Restle Radunz]]</f>
        <v>0</v>
      </c>
      <c r="AI41" s="72">
        <f>Tabela4[[#This Row],[Ivo Amaral De Oliveira]]</f>
        <v>0</v>
      </c>
      <c r="AJ41" s="72">
        <f>Tabela4[[#This Row],[Silvio Robert Lemos Avila]]</f>
        <v>0</v>
      </c>
      <c r="AK41" s="72">
        <f>Tabela4[[#This Row],[Eldo Rost]]</f>
        <v>0</v>
      </c>
      <c r="AL41" s="72">
        <f>SUM(Tabela4[[#This Row],[Padaria Avenida - 01]:[Padaria Avenida - 02]])</f>
        <v>0</v>
      </c>
      <c r="AM41" s="72">
        <f>Tabela4[[#This Row],[Cristiano Anshau]]</f>
        <v>0</v>
      </c>
      <c r="AN41" s="72">
        <f>Tabela4[[#This Row],[Luciana Claudete Meirelles Correa]]</f>
        <v>0</v>
      </c>
      <c r="AO41" s="72">
        <f>Tabela4[[#This Row],[Marcio Jose Siqueira]]</f>
        <v>0</v>
      </c>
      <c r="AP41" s="72">
        <f>Tabela4[[#This Row],[Marcos Rogerio Kessler]]</f>
        <v>0</v>
      </c>
      <c r="AQ41" s="72">
        <f>SUM(Tabela4[[#This Row],[AABB - 01]:[AABB - 02]])</f>
        <v>0</v>
      </c>
      <c r="AR41" s="72">
        <f>SUM(Tabela4[[#This Row],[Wanda Burkard - 01]:[Wanda Burkard - 02]])</f>
        <v>0</v>
      </c>
      <c r="AS41" s="72">
        <f>Tabela4[[#This Row],[Silvio Robert Lemos Avila Me]]</f>
        <v>0</v>
      </c>
      <c r="AT41" s="72">
        <f>Tabela4[[#This Row],[Carmelo]]</f>
        <v>0</v>
      </c>
      <c r="AU41" s="72">
        <f>Tabela4[[#This Row],[Antonio Dal Forno]]</f>
        <v>0</v>
      </c>
      <c r="AV41" s="72">
        <f>Tabela4[[#This Row],[Marisane Paulus]]</f>
        <v>0</v>
      </c>
      <c r="AW41" s="72">
        <f>Tabela4[[#This Row],[Segatto Ceretta Ltda]]</f>
        <v>0</v>
      </c>
      <c r="AX41" s="72">
        <f>SUM(Tabela4[[#This Row],[APAE - 01]:[APAE - 02]])</f>
        <v>0</v>
      </c>
      <c r="AY41" s="72">
        <f>Tabela4[[#This Row],[Cássio Burin]]</f>
        <v>0</v>
      </c>
      <c r="AZ41" s="72">
        <f>Tabela4[[#This Row],[Patrick Kristoschek Da Silva]]</f>
        <v>0</v>
      </c>
      <c r="BA41" s="72">
        <f>Tabela4[[#This Row],[Silvio Robert Ávila - (Valmir)]]</f>
        <v>0</v>
      </c>
      <c r="BB41" s="72">
        <f>Tabela4[[#This Row],[Zederson Jose Della Flora]]</f>
        <v>0</v>
      </c>
      <c r="BC41" s="72">
        <f>Tabela4[[#This Row],[Carlos Walmir Larsão Rolim]]</f>
        <v>0</v>
      </c>
      <c r="BD41" s="72">
        <f>Tabela4[[#This Row],[Danieli Missio]]</f>
        <v>0</v>
      </c>
      <c r="BE41" s="72">
        <f>Tabela4[[#This Row],[José Vasconcellos]]</f>
        <v>0</v>
      </c>
      <c r="BF41" s="72">
        <f>Tabela4[[#This Row],[Linho Lev Alimentos]]</f>
        <v>0</v>
      </c>
      <c r="BG41" s="72">
        <f>Tabela4[[#This Row],[Ernani Czapla]]</f>
        <v>0</v>
      </c>
      <c r="BH41" s="72">
        <f>Tabela4[[#This Row],[Valesca Da Luz]]</f>
        <v>0</v>
      </c>
      <c r="BI41" s="72">
        <f>Tabela4[[#This Row],[Olavo Mildner]]</f>
        <v>0</v>
      </c>
      <c r="BJ41" s="72">
        <f>Tabela4[[#This Row],[Dilnei Rohled]]</f>
        <v>0</v>
      </c>
      <c r="BK41" s="72">
        <f>Tabela4[[#This Row],[Shaiana Signorini]]</f>
        <v>0</v>
      </c>
      <c r="BL41" s="72">
        <f>Tabela4[[#This Row],[Fonse Atacado]]</f>
        <v>0</v>
      </c>
      <c r="BM41" s="72">
        <f>Tabela4[[#This Row],[Comercial de Alimentos]]</f>
        <v>0</v>
      </c>
      <c r="BN41" s="72">
        <f>Tabela4[[#This Row],[Ivone Kasburg Serralheria]]</f>
        <v>0</v>
      </c>
      <c r="BO41" s="72">
        <f>Tabela4[[#This Row],[Mercado Ceretta]]</f>
        <v>0</v>
      </c>
      <c r="BP41" s="72">
        <f>Tabela4[[#This Row],[Antonio Carlos Dos Santos Pereira]]</f>
        <v>0</v>
      </c>
      <c r="BQ41" s="72">
        <f>Tabela4[[#This Row],[Volnei Lemos Avila - Me]]</f>
        <v>0</v>
      </c>
      <c r="BR41" s="72">
        <f>Tabela4[[#This Row],[Silvana Meneghini]]</f>
        <v>0</v>
      </c>
      <c r="BS41" s="72">
        <f>Tabela4[[#This Row],[Eficaz Engenharia Ltda]]</f>
        <v>0</v>
      </c>
      <c r="BT41" s="72">
        <f>SUM(Tabela4[[#Headers],[Tania Regina Schmaltz - 01]:[Tania Regina Schmaltz - 02]])</f>
        <v>0</v>
      </c>
      <c r="BU41" s="72">
        <f>Tabela4[[#This Row],[Camila Ceretta Segatto]]</f>
        <v>0</v>
      </c>
      <c r="BV41" s="72">
        <f>Tabela4[[#This Row],[Vagner Ribas Dos Santos]]</f>
        <v>0</v>
      </c>
      <c r="BW41" s="72">
        <f>Tabela4[[#This Row],[Claudio Alfredo Konrat]]</f>
        <v>0</v>
      </c>
    </row>
    <row r="42" spans="1:75" x14ac:dyDescent="0.25">
      <c r="A42" s="70">
        <v>44317</v>
      </c>
      <c r="B42" s="72">
        <f>SUM(Tabela4[[#This Row],[Marlon Colovini - 01]:[Marlon Colovini - 02]])</f>
        <v>0</v>
      </c>
      <c r="C42" s="72">
        <f>Tabela4[[#This Row],[Mara Barichello]]</f>
        <v>0</v>
      </c>
      <c r="D42" s="72">
        <f>Tabela4[[#This Row],[Jandira Dutra]]</f>
        <v>0</v>
      </c>
      <c r="E42" s="72">
        <f>Tabela4[[#This Row],[Luiz Fernando Kruger]]</f>
        <v>0</v>
      </c>
      <c r="F42" s="72">
        <f>SUM(Tabela4[[#This Row],[Paulo Bohn - 01]:[Paulo Bohn - 04]])</f>
        <v>0</v>
      </c>
      <c r="G42" s="72">
        <f>Tabela4[[#This Row],[Analia (Clodoaldo Entre-Ijuis)]]</f>
        <v>0</v>
      </c>
      <c r="H42" s="72">
        <f>Tabela4[[#This Row],[Biroh]]</f>
        <v>0</v>
      </c>
      <c r="I42" s="72">
        <f>Tabela4[[#This Row],[Gelson Posser]]</f>
        <v>0</v>
      </c>
      <c r="J42" s="72">
        <f>Tabela4[[#This Row],[Supermercado Caryone]]</f>
        <v>0</v>
      </c>
      <c r="K42" s="72">
        <f>Tabela4[[#This Row],[Ernani Minetto]]</f>
        <v>0</v>
      </c>
      <c r="L42" s="72">
        <f>Tabela4[[#This Row],[Jair Moscon]]</f>
        <v>0</v>
      </c>
      <c r="M42" s="72">
        <f>SUM(Tabela4[[#This Row],[Fabio Milke - 01]:[Fabio Milke - 02]])</f>
        <v>0</v>
      </c>
      <c r="N42" s="72">
        <f>Tabela4[[#This Row],[Piaia]]</f>
        <v>0</v>
      </c>
      <c r="O42" s="72">
        <f>Tabela4[[#This Row],[Osmar Veronese]]</f>
        <v>0</v>
      </c>
      <c r="P42" s="72">
        <f>Tabela4[[#This Row],[ José Luiz Moraes]]</f>
        <v>0</v>
      </c>
      <c r="Q42" s="72">
        <f>Tabela4[[#This Row],[Supermercado Cripy]]</f>
        <v>0</v>
      </c>
      <c r="R42" s="72">
        <f>Tabela4[[#This Row],[Gláucio Lipski (Giruá)]]</f>
        <v>0</v>
      </c>
      <c r="S42" s="72">
        <f>Tabela4[[#This Row],[Contri]]</f>
        <v>0</v>
      </c>
      <c r="T42" s="72">
        <f>Tabela4[[#This Row],[Cleci Rubi]]</f>
        <v>0</v>
      </c>
      <c r="U42" s="72">
        <f>Tabela4[[#This Row],[Betine Rost]]</f>
        <v>0</v>
      </c>
      <c r="V42" s="72">
        <f>SUM(Tabela4[[#This Row],[Robinson Fetter - 01]:[Robinson Fetter - 03]])</f>
        <v>0</v>
      </c>
      <c r="W42" s="72">
        <f>Tabela4[[#This Row],[Fabio De Moura]]</f>
        <v>0</v>
      </c>
      <c r="X42" s="72">
        <f>Tabela4[[#This Row],[Rochele Santos Moraes]]</f>
        <v>0</v>
      </c>
      <c r="Y42" s="72">
        <f>Tabela4[[#This Row],[Auto Posto Kairã]]</f>
        <v>0</v>
      </c>
      <c r="Z42" s="72">
        <f>Tabela4[[#This Row],[Erno Schiefelbain]]</f>
        <v>0</v>
      </c>
      <c r="AA42" s="72">
        <f>Tabela4[[#This Row],[José Paulo Backes]]</f>
        <v>0</v>
      </c>
      <c r="AB42" s="72">
        <f>Tabela4[[#This Row],[Gelso Tofolo]]</f>
        <v>0</v>
      </c>
      <c r="AC42" s="72">
        <f>Tabela4[[#This Row],[Diamantino]]</f>
        <v>0</v>
      </c>
      <c r="AD42" s="72">
        <f>Tabela4[[#This Row],[Mercado Bueno]]</f>
        <v>0</v>
      </c>
      <c r="AE42" s="72">
        <f>Tabela4[[#This Row],[Daniela Donadel Massalai]]</f>
        <v>0</v>
      </c>
      <c r="AF42" s="72">
        <f>Tabela4[[#This Row],[Comercio De Moto Peças Irmãos Guarani Ltda]]</f>
        <v>0</v>
      </c>
      <c r="AG42" s="72">
        <f>Tabela4[[#This Row],[Mauricio Luis Lunardi]]</f>
        <v>0</v>
      </c>
      <c r="AH42" s="72">
        <f>Tabela4[[#This Row],[Rosa Maria Restle Radunz]]</f>
        <v>0</v>
      </c>
      <c r="AI42" s="72">
        <f>Tabela4[[#This Row],[Ivo Amaral De Oliveira]]</f>
        <v>0</v>
      </c>
      <c r="AJ42" s="72">
        <f>Tabela4[[#This Row],[Silvio Robert Lemos Avila]]</f>
        <v>0</v>
      </c>
      <c r="AK42" s="72">
        <f>Tabela4[[#This Row],[Eldo Rost]]</f>
        <v>0</v>
      </c>
      <c r="AL42" s="72">
        <f>SUM(Tabela4[[#This Row],[Padaria Avenida - 01]:[Padaria Avenida - 02]])</f>
        <v>0</v>
      </c>
      <c r="AM42" s="72">
        <f>Tabela4[[#This Row],[Cristiano Anshau]]</f>
        <v>0</v>
      </c>
      <c r="AN42" s="72">
        <f>Tabela4[[#This Row],[Luciana Claudete Meirelles Correa]]</f>
        <v>0</v>
      </c>
      <c r="AO42" s="72">
        <f>Tabela4[[#This Row],[Marcio Jose Siqueira]]</f>
        <v>0</v>
      </c>
      <c r="AP42" s="72">
        <f>Tabela4[[#This Row],[Marcos Rogerio Kessler]]</f>
        <v>0</v>
      </c>
      <c r="AQ42" s="72">
        <f>SUM(Tabela4[[#This Row],[AABB - 01]:[AABB - 02]])</f>
        <v>0</v>
      </c>
      <c r="AR42" s="72">
        <f>SUM(Tabela4[[#This Row],[Wanda Burkard - 01]:[Wanda Burkard - 02]])</f>
        <v>0</v>
      </c>
      <c r="AS42" s="72">
        <f>Tabela4[[#This Row],[Silvio Robert Lemos Avila Me]]</f>
        <v>0</v>
      </c>
      <c r="AT42" s="72">
        <f>Tabela4[[#This Row],[Carmelo]]</f>
        <v>0</v>
      </c>
      <c r="AU42" s="72">
        <f>Tabela4[[#This Row],[Antonio Dal Forno]]</f>
        <v>0</v>
      </c>
      <c r="AV42" s="72">
        <f>Tabela4[[#This Row],[Marisane Paulus]]</f>
        <v>0</v>
      </c>
      <c r="AW42" s="72">
        <f>Tabela4[[#This Row],[Segatto Ceretta Ltda]]</f>
        <v>0</v>
      </c>
      <c r="AX42" s="72">
        <f>SUM(Tabela4[[#This Row],[APAE - 01]:[APAE - 02]])</f>
        <v>0</v>
      </c>
      <c r="AY42" s="72">
        <f>Tabela4[[#This Row],[Cássio Burin]]</f>
        <v>0</v>
      </c>
      <c r="AZ42" s="72">
        <f>Tabela4[[#This Row],[Patrick Kristoschek Da Silva]]</f>
        <v>0</v>
      </c>
      <c r="BA42" s="72">
        <f>Tabela4[[#This Row],[Silvio Robert Ávila - (Valmir)]]</f>
        <v>0</v>
      </c>
      <c r="BB42" s="72">
        <f>Tabela4[[#This Row],[Zederson Jose Della Flora]]</f>
        <v>0</v>
      </c>
      <c r="BC42" s="72">
        <f>Tabela4[[#This Row],[Carlos Walmir Larsão Rolim]]</f>
        <v>0</v>
      </c>
      <c r="BD42" s="72">
        <f>Tabela4[[#This Row],[Danieli Missio]]</f>
        <v>0</v>
      </c>
      <c r="BE42" s="72">
        <f>Tabela4[[#This Row],[José Vasconcellos]]</f>
        <v>0</v>
      </c>
      <c r="BF42" s="72">
        <f>Tabela4[[#This Row],[Linho Lev Alimentos]]</f>
        <v>0</v>
      </c>
      <c r="BG42" s="72">
        <f>Tabela4[[#This Row],[Ernani Czapla]]</f>
        <v>0</v>
      </c>
      <c r="BH42" s="72">
        <f>Tabela4[[#This Row],[Valesca Da Luz]]</f>
        <v>0</v>
      </c>
      <c r="BI42" s="72">
        <f>Tabela4[[#This Row],[Olavo Mildner]]</f>
        <v>0</v>
      </c>
      <c r="BJ42" s="72">
        <f>Tabela4[[#This Row],[Dilnei Rohled]]</f>
        <v>0</v>
      </c>
      <c r="BK42" s="72">
        <f>Tabela4[[#This Row],[Shaiana Signorini]]</f>
        <v>0</v>
      </c>
      <c r="BL42" s="72">
        <f>Tabela4[[#This Row],[Fonse Atacado]]</f>
        <v>0</v>
      </c>
      <c r="BM42" s="72">
        <f>Tabela4[[#This Row],[Comercial de Alimentos]]</f>
        <v>0</v>
      </c>
      <c r="BN42" s="72">
        <f>Tabela4[[#This Row],[Ivone Kasburg Serralheria]]</f>
        <v>0</v>
      </c>
      <c r="BO42" s="72">
        <f>Tabela4[[#This Row],[Mercado Ceretta]]</f>
        <v>0</v>
      </c>
      <c r="BP42" s="72">
        <f>Tabela4[[#This Row],[Antonio Carlos Dos Santos Pereira]]</f>
        <v>0</v>
      </c>
      <c r="BQ42" s="72">
        <f>Tabela4[[#This Row],[Volnei Lemos Avila - Me]]</f>
        <v>0</v>
      </c>
      <c r="BR42" s="72">
        <f>Tabela4[[#This Row],[Silvana Meneghini]]</f>
        <v>0</v>
      </c>
      <c r="BS42" s="72">
        <f>Tabela4[[#This Row],[Eficaz Engenharia Ltda]]</f>
        <v>0</v>
      </c>
      <c r="BT42" s="72">
        <f>SUM(Tabela4[[#Headers],[Tania Regina Schmaltz - 01]:[Tania Regina Schmaltz - 02]])</f>
        <v>0</v>
      </c>
      <c r="BU42" s="72">
        <f>Tabela4[[#This Row],[Camila Ceretta Segatto]]</f>
        <v>0</v>
      </c>
      <c r="BV42" s="72">
        <f>Tabela4[[#This Row],[Vagner Ribas Dos Santos]]</f>
        <v>0</v>
      </c>
      <c r="BW42" s="72">
        <f>Tabela4[[#This Row],[Claudio Alfredo Konrat]]</f>
        <v>0</v>
      </c>
    </row>
    <row r="43" spans="1:75" x14ac:dyDescent="0.25">
      <c r="A43" s="70">
        <v>44348</v>
      </c>
      <c r="B43" s="72">
        <f>SUM(Tabela4[[#This Row],[Marlon Colovini - 01]:[Marlon Colovini - 02]])</f>
        <v>0</v>
      </c>
      <c r="C43" s="72">
        <f>Tabela4[[#This Row],[Mara Barichello]]</f>
        <v>0</v>
      </c>
      <c r="D43" s="72">
        <f>Tabela4[[#This Row],[Jandira Dutra]]</f>
        <v>0</v>
      </c>
      <c r="E43" s="72">
        <f>Tabela4[[#This Row],[Luiz Fernando Kruger]]</f>
        <v>0</v>
      </c>
      <c r="F43" s="72">
        <f>SUM(Tabela4[[#This Row],[Paulo Bohn - 01]:[Paulo Bohn - 04]])</f>
        <v>0</v>
      </c>
      <c r="G43" s="72">
        <f>Tabela4[[#This Row],[Analia (Clodoaldo Entre-Ijuis)]]</f>
        <v>0</v>
      </c>
      <c r="H43" s="72">
        <f>Tabela4[[#This Row],[Biroh]]</f>
        <v>0</v>
      </c>
      <c r="I43" s="72">
        <f>Tabela4[[#This Row],[Gelson Posser]]</f>
        <v>0</v>
      </c>
      <c r="J43" s="72">
        <f>Tabela4[[#This Row],[Supermercado Caryone]]</f>
        <v>0</v>
      </c>
      <c r="K43" s="72">
        <f>Tabela4[[#This Row],[Ernani Minetto]]</f>
        <v>0</v>
      </c>
      <c r="L43" s="72">
        <f>Tabela4[[#This Row],[Jair Moscon]]</f>
        <v>0</v>
      </c>
      <c r="M43" s="72">
        <f>SUM(Tabela4[[#This Row],[Fabio Milke - 01]:[Fabio Milke - 02]])</f>
        <v>0</v>
      </c>
      <c r="N43" s="72">
        <f>Tabela4[[#This Row],[Piaia]]</f>
        <v>0</v>
      </c>
      <c r="O43" s="72">
        <f>Tabela4[[#This Row],[Osmar Veronese]]</f>
        <v>0</v>
      </c>
      <c r="P43" s="72">
        <f>Tabela4[[#This Row],[ José Luiz Moraes]]</f>
        <v>0</v>
      </c>
      <c r="Q43" s="72">
        <f>Tabela4[[#This Row],[Supermercado Cripy]]</f>
        <v>0</v>
      </c>
      <c r="R43" s="72">
        <f>Tabela4[[#This Row],[Gláucio Lipski (Giruá)]]</f>
        <v>0</v>
      </c>
      <c r="S43" s="72">
        <f>Tabela4[[#This Row],[Contri]]</f>
        <v>0</v>
      </c>
      <c r="T43" s="72">
        <f>Tabela4[[#This Row],[Cleci Rubi]]</f>
        <v>0</v>
      </c>
      <c r="U43" s="72">
        <f>Tabela4[[#This Row],[Betine Rost]]</f>
        <v>0</v>
      </c>
      <c r="V43" s="72">
        <f>SUM(Tabela4[[#This Row],[Robinson Fetter - 01]:[Robinson Fetter - 03]])</f>
        <v>0</v>
      </c>
      <c r="W43" s="72">
        <f>Tabela4[[#This Row],[Fabio De Moura]]</f>
        <v>0</v>
      </c>
      <c r="X43" s="72">
        <f>Tabela4[[#This Row],[Rochele Santos Moraes]]</f>
        <v>0</v>
      </c>
      <c r="Y43" s="72">
        <f>Tabela4[[#This Row],[Auto Posto Kairã]]</f>
        <v>0</v>
      </c>
      <c r="Z43" s="72">
        <f>Tabela4[[#This Row],[Erno Schiefelbain]]</f>
        <v>0</v>
      </c>
      <c r="AA43" s="72">
        <f>Tabela4[[#This Row],[José Paulo Backes]]</f>
        <v>0</v>
      </c>
      <c r="AB43" s="72">
        <f>Tabela4[[#This Row],[Gelso Tofolo]]</f>
        <v>0</v>
      </c>
      <c r="AC43" s="72">
        <f>Tabela4[[#This Row],[Diamantino]]</f>
        <v>0</v>
      </c>
      <c r="AD43" s="72">
        <f>Tabela4[[#This Row],[Mercado Bueno]]</f>
        <v>0</v>
      </c>
      <c r="AE43" s="72">
        <f>Tabela4[[#This Row],[Daniela Donadel Massalai]]</f>
        <v>0</v>
      </c>
      <c r="AF43" s="72">
        <f>Tabela4[[#This Row],[Comercio De Moto Peças Irmãos Guarani Ltda]]</f>
        <v>0</v>
      </c>
      <c r="AG43" s="72">
        <f>Tabela4[[#This Row],[Mauricio Luis Lunardi]]</f>
        <v>0</v>
      </c>
      <c r="AH43" s="72">
        <f>Tabela4[[#This Row],[Rosa Maria Restle Radunz]]</f>
        <v>0</v>
      </c>
      <c r="AI43" s="72">
        <f>Tabela4[[#This Row],[Ivo Amaral De Oliveira]]</f>
        <v>0</v>
      </c>
      <c r="AJ43" s="72">
        <f>Tabela4[[#This Row],[Silvio Robert Lemos Avila]]</f>
        <v>0</v>
      </c>
      <c r="AK43" s="72">
        <f>Tabela4[[#This Row],[Eldo Rost]]</f>
        <v>0</v>
      </c>
      <c r="AL43" s="72">
        <f>SUM(Tabela4[[#This Row],[Padaria Avenida - 01]:[Padaria Avenida - 02]])</f>
        <v>0</v>
      </c>
      <c r="AM43" s="72">
        <f>Tabela4[[#This Row],[Cristiano Anshau]]</f>
        <v>0</v>
      </c>
      <c r="AN43" s="72">
        <f>Tabela4[[#This Row],[Luciana Claudete Meirelles Correa]]</f>
        <v>0</v>
      </c>
      <c r="AO43" s="72">
        <f>Tabela4[[#This Row],[Marcio Jose Siqueira]]</f>
        <v>0</v>
      </c>
      <c r="AP43" s="72">
        <f>Tabela4[[#This Row],[Marcos Rogerio Kessler]]</f>
        <v>0</v>
      </c>
      <c r="AQ43" s="72">
        <f>SUM(Tabela4[[#This Row],[AABB - 01]:[AABB - 02]])</f>
        <v>0</v>
      </c>
      <c r="AR43" s="72">
        <f>SUM(Tabela4[[#This Row],[Wanda Burkard - 01]:[Wanda Burkard - 02]])</f>
        <v>0</v>
      </c>
      <c r="AS43" s="72">
        <f>Tabela4[[#This Row],[Silvio Robert Lemos Avila Me]]</f>
        <v>0</v>
      </c>
      <c r="AT43" s="72">
        <f>Tabela4[[#This Row],[Carmelo]]</f>
        <v>0</v>
      </c>
      <c r="AU43" s="72">
        <f>Tabela4[[#This Row],[Antonio Dal Forno]]</f>
        <v>0</v>
      </c>
      <c r="AV43" s="72">
        <f>Tabela4[[#This Row],[Marisane Paulus]]</f>
        <v>0</v>
      </c>
      <c r="AW43" s="72">
        <f>Tabela4[[#This Row],[Segatto Ceretta Ltda]]</f>
        <v>0</v>
      </c>
      <c r="AX43" s="72">
        <f>SUM(Tabela4[[#This Row],[APAE - 01]:[APAE - 02]])</f>
        <v>0</v>
      </c>
      <c r="AY43" s="72">
        <f>Tabela4[[#This Row],[Cássio Burin]]</f>
        <v>0</v>
      </c>
      <c r="AZ43" s="72">
        <f>Tabela4[[#This Row],[Patrick Kristoschek Da Silva]]</f>
        <v>0</v>
      </c>
      <c r="BA43" s="72">
        <f>Tabela4[[#This Row],[Silvio Robert Ávila - (Valmir)]]</f>
        <v>0</v>
      </c>
      <c r="BB43" s="72">
        <f>Tabela4[[#This Row],[Zederson Jose Della Flora]]</f>
        <v>0</v>
      </c>
      <c r="BC43" s="72">
        <f>Tabela4[[#This Row],[Carlos Walmir Larsão Rolim]]</f>
        <v>0</v>
      </c>
      <c r="BD43" s="72">
        <f>Tabela4[[#This Row],[Danieli Missio]]</f>
        <v>0</v>
      </c>
      <c r="BE43" s="72">
        <f>Tabela4[[#This Row],[José Vasconcellos]]</f>
        <v>0</v>
      </c>
      <c r="BF43" s="72">
        <f>Tabela4[[#This Row],[Linho Lev Alimentos]]</f>
        <v>0</v>
      </c>
      <c r="BG43" s="72">
        <f>Tabela4[[#This Row],[Ernani Czapla]]</f>
        <v>0</v>
      </c>
      <c r="BH43" s="72">
        <f>Tabela4[[#This Row],[Valesca Da Luz]]</f>
        <v>0</v>
      </c>
      <c r="BI43" s="72">
        <f>Tabela4[[#This Row],[Olavo Mildner]]</f>
        <v>0</v>
      </c>
      <c r="BJ43" s="72">
        <f>Tabela4[[#This Row],[Dilnei Rohled]]</f>
        <v>0</v>
      </c>
      <c r="BK43" s="72">
        <f>Tabela4[[#This Row],[Shaiana Signorini]]</f>
        <v>0</v>
      </c>
      <c r="BL43" s="72">
        <f>Tabela4[[#This Row],[Fonse Atacado]]</f>
        <v>0</v>
      </c>
      <c r="BM43" s="72">
        <f>Tabela4[[#This Row],[Comercial de Alimentos]]</f>
        <v>0</v>
      </c>
      <c r="BN43" s="72">
        <f>Tabela4[[#This Row],[Ivone Kasburg Serralheria]]</f>
        <v>0</v>
      </c>
      <c r="BO43" s="72">
        <f>Tabela4[[#This Row],[Mercado Ceretta]]</f>
        <v>0</v>
      </c>
      <c r="BP43" s="72">
        <f>Tabela4[[#This Row],[Antonio Carlos Dos Santos Pereira]]</f>
        <v>0</v>
      </c>
      <c r="BQ43" s="72">
        <f>Tabela4[[#This Row],[Volnei Lemos Avila - Me]]</f>
        <v>0</v>
      </c>
      <c r="BR43" s="72">
        <f>Tabela4[[#This Row],[Silvana Meneghini]]</f>
        <v>0</v>
      </c>
      <c r="BS43" s="72">
        <f>Tabela4[[#This Row],[Eficaz Engenharia Ltda]]</f>
        <v>0</v>
      </c>
      <c r="BT43" s="72">
        <f>SUM(Tabela4[[#Headers],[Tania Regina Schmaltz - 01]:[Tania Regina Schmaltz - 02]])</f>
        <v>0</v>
      </c>
      <c r="BU43" s="72">
        <f>Tabela4[[#This Row],[Camila Ceretta Segatto]]</f>
        <v>0</v>
      </c>
      <c r="BV43" s="72">
        <f>Tabela4[[#This Row],[Vagner Ribas Dos Santos]]</f>
        <v>0</v>
      </c>
      <c r="BW43" s="72">
        <f>Tabela4[[#This Row],[Claudio Alfredo Konrat]]</f>
        <v>0</v>
      </c>
    </row>
    <row r="44" spans="1:75" x14ac:dyDescent="0.25">
      <c r="A44" s="70">
        <v>44378</v>
      </c>
      <c r="B44" s="72">
        <f>SUM(Tabela4[[#This Row],[Marlon Colovini - 01]:[Marlon Colovini - 02]])</f>
        <v>0</v>
      </c>
      <c r="C44" s="72">
        <f>Tabela4[[#This Row],[Mara Barichello]]</f>
        <v>0</v>
      </c>
      <c r="D44" s="72">
        <f>Tabela4[[#This Row],[Jandira Dutra]]</f>
        <v>0</v>
      </c>
      <c r="E44" s="72">
        <f>Tabela4[[#This Row],[Luiz Fernando Kruger]]</f>
        <v>0</v>
      </c>
      <c r="F44" s="72">
        <f>SUM(Tabela4[[#This Row],[Paulo Bohn - 01]:[Paulo Bohn - 04]])</f>
        <v>0</v>
      </c>
      <c r="G44" s="72">
        <f>Tabela4[[#This Row],[Analia (Clodoaldo Entre-Ijuis)]]</f>
        <v>0</v>
      </c>
      <c r="H44" s="72">
        <f>Tabela4[[#This Row],[Biroh]]</f>
        <v>0</v>
      </c>
      <c r="I44" s="72">
        <f>Tabela4[[#This Row],[Gelson Posser]]</f>
        <v>0</v>
      </c>
      <c r="J44" s="72">
        <f>Tabela4[[#This Row],[Supermercado Caryone]]</f>
        <v>0</v>
      </c>
      <c r="K44" s="72">
        <f>Tabela4[[#This Row],[Ernani Minetto]]</f>
        <v>0</v>
      </c>
      <c r="L44" s="72">
        <f>Tabela4[[#This Row],[Jair Moscon]]</f>
        <v>0</v>
      </c>
      <c r="M44" s="72">
        <f>SUM(Tabela4[[#This Row],[Fabio Milke - 01]:[Fabio Milke - 02]])</f>
        <v>0</v>
      </c>
      <c r="N44" s="72">
        <f>Tabela4[[#This Row],[Piaia]]</f>
        <v>0</v>
      </c>
      <c r="O44" s="72">
        <f>Tabela4[[#This Row],[Osmar Veronese]]</f>
        <v>0</v>
      </c>
      <c r="P44" s="72">
        <f>Tabela4[[#This Row],[ José Luiz Moraes]]</f>
        <v>0</v>
      </c>
      <c r="Q44" s="72">
        <f>Tabela4[[#This Row],[Supermercado Cripy]]</f>
        <v>0</v>
      </c>
      <c r="R44" s="72">
        <f>Tabela4[[#This Row],[Gláucio Lipski (Giruá)]]</f>
        <v>0</v>
      </c>
      <c r="S44" s="72">
        <f>Tabela4[[#This Row],[Contri]]</f>
        <v>0</v>
      </c>
      <c r="T44" s="72">
        <f>Tabela4[[#This Row],[Cleci Rubi]]</f>
        <v>0</v>
      </c>
      <c r="U44" s="72">
        <f>Tabela4[[#This Row],[Betine Rost]]</f>
        <v>0</v>
      </c>
      <c r="V44" s="72">
        <f>SUM(Tabela4[[#This Row],[Robinson Fetter - 01]:[Robinson Fetter - 03]])</f>
        <v>0</v>
      </c>
      <c r="W44" s="72">
        <f>Tabela4[[#This Row],[Fabio De Moura]]</f>
        <v>0</v>
      </c>
      <c r="X44" s="72">
        <f>Tabela4[[#This Row],[Rochele Santos Moraes]]</f>
        <v>0</v>
      </c>
      <c r="Y44" s="72">
        <f>Tabela4[[#This Row],[Auto Posto Kairã]]</f>
        <v>0</v>
      </c>
      <c r="Z44" s="72">
        <f>Tabela4[[#This Row],[Erno Schiefelbain]]</f>
        <v>0</v>
      </c>
      <c r="AA44" s="72">
        <f>Tabela4[[#This Row],[José Paulo Backes]]</f>
        <v>0</v>
      </c>
      <c r="AB44" s="72">
        <f>Tabela4[[#This Row],[Gelso Tofolo]]</f>
        <v>0</v>
      </c>
      <c r="AC44" s="72">
        <f>Tabela4[[#This Row],[Diamantino]]</f>
        <v>0</v>
      </c>
      <c r="AD44" s="72">
        <f>Tabela4[[#This Row],[Mercado Bueno]]</f>
        <v>0</v>
      </c>
      <c r="AE44" s="72">
        <f>Tabela4[[#This Row],[Daniela Donadel Massalai]]</f>
        <v>0</v>
      </c>
      <c r="AF44" s="72">
        <f>Tabela4[[#This Row],[Comercio De Moto Peças Irmãos Guarani Ltda]]</f>
        <v>0</v>
      </c>
      <c r="AG44" s="72">
        <f>Tabela4[[#This Row],[Mauricio Luis Lunardi]]</f>
        <v>0</v>
      </c>
      <c r="AH44" s="72">
        <f>Tabela4[[#This Row],[Rosa Maria Restle Radunz]]</f>
        <v>0</v>
      </c>
      <c r="AI44" s="72">
        <f>Tabela4[[#This Row],[Ivo Amaral De Oliveira]]</f>
        <v>0</v>
      </c>
      <c r="AJ44" s="72">
        <f>Tabela4[[#This Row],[Silvio Robert Lemos Avila]]</f>
        <v>0</v>
      </c>
      <c r="AK44" s="72">
        <f>Tabela4[[#This Row],[Eldo Rost]]</f>
        <v>0</v>
      </c>
      <c r="AL44" s="72">
        <f>SUM(Tabela4[[#This Row],[Padaria Avenida - 01]:[Padaria Avenida - 02]])</f>
        <v>0</v>
      </c>
      <c r="AM44" s="72">
        <f>Tabela4[[#This Row],[Cristiano Anshau]]</f>
        <v>0</v>
      </c>
      <c r="AN44" s="72">
        <f>Tabela4[[#This Row],[Luciana Claudete Meirelles Correa]]</f>
        <v>0</v>
      </c>
      <c r="AO44" s="72">
        <f>Tabela4[[#This Row],[Marcio Jose Siqueira]]</f>
        <v>0</v>
      </c>
      <c r="AP44" s="72">
        <f>Tabela4[[#This Row],[Marcos Rogerio Kessler]]</f>
        <v>0</v>
      </c>
      <c r="AQ44" s="72">
        <f>SUM(Tabela4[[#This Row],[AABB - 01]:[AABB - 02]])</f>
        <v>0</v>
      </c>
      <c r="AR44" s="72">
        <f>SUM(Tabela4[[#This Row],[Wanda Burkard - 01]:[Wanda Burkard - 02]])</f>
        <v>0</v>
      </c>
      <c r="AS44" s="72">
        <f>Tabela4[[#This Row],[Silvio Robert Lemos Avila Me]]</f>
        <v>0</v>
      </c>
      <c r="AT44" s="72">
        <f>Tabela4[[#This Row],[Carmelo]]</f>
        <v>0</v>
      </c>
      <c r="AU44" s="72">
        <f>Tabela4[[#This Row],[Antonio Dal Forno]]</f>
        <v>0</v>
      </c>
      <c r="AV44" s="72">
        <f>Tabela4[[#This Row],[Marisane Paulus]]</f>
        <v>0</v>
      </c>
      <c r="AW44" s="72">
        <f>Tabela4[[#This Row],[Segatto Ceretta Ltda]]</f>
        <v>0</v>
      </c>
      <c r="AX44" s="72">
        <f>SUM(Tabela4[[#This Row],[APAE - 01]:[APAE - 02]])</f>
        <v>0</v>
      </c>
      <c r="AY44" s="72">
        <f>Tabela4[[#This Row],[Cássio Burin]]</f>
        <v>0</v>
      </c>
      <c r="AZ44" s="72">
        <f>Tabela4[[#This Row],[Patrick Kristoschek Da Silva]]</f>
        <v>0</v>
      </c>
      <c r="BA44" s="72">
        <f>Tabela4[[#This Row],[Silvio Robert Ávila - (Valmir)]]</f>
        <v>0</v>
      </c>
      <c r="BB44" s="72">
        <f>Tabela4[[#This Row],[Zederson Jose Della Flora]]</f>
        <v>0</v>
      </c>
      <c r="BC44" s="72">
        <f>Tabela4[[#This Row],[Carlos Walmir Larsão Rolim]]</f>
        <v>0</v>
      </c>
      <c r="BD44" s="72">
        <f>Tabela4[[#This Row],[Danieli Missio]]</f>
        <v>0</v>
      </c>
      <c r="BE44" s="72">
        <f>Tabela4[[#This Row],[José Vasconcellos]]</f>
        <v>0</v>
      </c>
      <c r="BF44" s="72">
        <f>Tabela4[[#This Row],[Linho Lev Alimentos]]</f>
        <v>0</v>
      </c>
      <c r="BG44" s="72">
        <f>Tabela4[[#This Row],[Ernani Czapla]]</f>
        <v>0</v>
      </c>
      <c r="BH44" s="72">
        <f>Tabela4[[#This Row],[Valesca Da Luz]]</f>
        <v>0</v>
      </c>
      <c r="BI44" s="72">
        <f>Tabela4[[#This Row],[Olavo Mildner]]</f>
        <v>0</v>
      </c>
      <c r="BJ44" s="72">
        <f>Tabela4[[#This Row],[Dilnei Rohled]]</f>
        <v>0</v>
      </c>
      <c r="BK44" s="72">
        <f>Tabela4[[#This Row],[Shaiana Signorini]]</f>
        <v>0</v>
      </c>
      <c r="BL44" s="72">
        <f>Tabela4[[#This Row],[Fonse Atacado]]</f>
        <v>0</v>
      </c>
      <c r="BM44" s="72">
        <f>Tabela4[[#This Row],[Comercial de Alimentos]]</f>
        <v>0</v>
      </c>
      <c r="BN44" s="72">
        <f>Tabela4[[#This Row],[Ivone Kasburg Serralheria]]</f>
        <v>0</v>
      </c>
      <c r="BO44" s="72">
        <f>Tabela4[[#This Row],[Mercado Ceretta]]</f>
        <v>0</v>
      </c>
      <c r="BP44" s="72">
        <f>Tabela4[[#This Row],[Antonio Carlos Dos Santos Pereira]]</f>
        <v>0</v>
      </c>
      <c r="BQ44" s="72">
        <f>Tabela4[[#This Row],[Volnei Lemos Avila - Me]]</f>
        <v>0</v>
      </c>
      <c r="BR44" s="72">
        <f>Tabela4[[#This Row],[Silvana Meneghini]]</f>
        <v>0</v>
      </c>
      <c r="BS44" s="72">
        <f>Tabela4[[#This Row],[Eficaz Engenharia Ltda]]</f>
        <v>0</v>
      </c>
      <c r="BT44" s="72">
        <f>SUM(Tabela4[[#Headers],[Tania Regina Schmaltz - 01]:[Tania Regina Schmaltz - 02]])</f>
        <v>0</v>
      </c>
      <c r="BU44" s="72">
        <f>Tabela4[[#This Row],[Camila Ceretta Segatto]]</f>
        <v>0</v>
      </c>
      <c r="BV44" s="72">
        <f>Tabela4[[#This Row],[Vagner Ribas Dos Santos]]</f>
        <v>0</v>
      </c>
      <c r="BW44" s="72">
        <f>Tabela4[[#This Row],[Claudio Alfredo Konrat]]</f>
        <v>0</v>
      </c>
    </row>
    <row r="45" spans="1:75" x14ac:dyDescent="0.25">
      <c r="A45" s="70">
        <v>44409</v>
      </c>
      <c r="B45" s="72">
        <f>SUM(Tabela4[[#This Row],[Marlon Colovini - 01]:[Marlon Colovini - 02]])</f>
        <v>0</v>
      </c>
      <c r="C45" s="72">
        <f>Tabela4[[#This Row],[Mara Barichello]]</f>
        <v>0</v>
      </c>
      <c r="D45" s="72">
        <f>Tabela4[[#This Row],[Jandira Dutra]]</f>
        <v>0</v>
      </c>
      <c r="E45" s="72">
        <f>Tabela4[[#This Row],[Luiz Fernando Kruger]]</f>
        <v>0</v>
      </c>
      <c r="F45" s="72">
        <f>SUM(Tabela4[[#This Row],[Paulo Bohn - 01]:[Paulo Bohn - 04]])</f>
        <v>0</v>
      </c>
      <c r="G45" s="72">
        <f>Tabela4[[#This Row],[Analia (Clodoaldo Entre-Ijuis)]]</f>
        <v>0</v>
      </c>
      <c r="H45" s="72">
        <f>Tabela4[[#This Row],[Biroh]]</f>
        <v>0</v>
      </c>
      <c r="I45" s="72">
        <f>Tabela4[[#This Row],[Gelson Posser]]</f>
        <v>0</v>
      </c>
      <c r="J45" s="72">
        <f>Tabela4[[#This Row],[Supermercado Caryone]]</f>
        <v>0</v>
      </c>
      <c r="K45" s="72">
        <f>Tabela4[[#This Row],[Ernani Minetto]]</f>
        <v>0</v>
      </c>
      <c r="L45" s="72">
        <f>Tabela4[[#This Row],[Jair Moscon]]</f>
        <v>0</v>
      </c>
      <c r="M45" s="72">
        <f>SUM(Tabela4[[#This Row],[Fabio Milke - 01]:[Fabio Milke - 02]])</f>
        <v>0</v>
      </c>
      <c r="N45" s="72">
        <f>Tabela4[[#This Row],[Piaia]]</f>
        <v>0</v>
      </c>
      <c r="O45" s="72">
        <f>Tabela4[[#This Row],[Osmar Veronese]]</f>
        <v>0</v>
      </c>
      <c r="P45" s="72">
        <f>Tabela4[[#This Row],[ José Luiz Moraes]]</f>
        <v>0</v>
      </c>
      <c r="Q45" s="72">
        <f>Tabela4[[#This Row],[Supermercado Cripy]]</f>
        <v>0</v>
      </c>
      <c r="R45" s="72">
        <f>Tabela4[[#This Row],[Gláucio Lipski (Giruá)]]</f>
        <v>0</v>
      </c>
      <c r="S45" s="72">
        <f>Tabela4[[#This Row],[Contri]]</f>
        <v>0</v>
      </c>
      <c r="T45" s="72">
        <f>Tabela4[[#This Row],[Cleci Rubi]]</f>
        <v>0</v>
      </c>
      <c r="U45" s="72">
        <f>Tabela4[[#This Row],[Betine Rost]]</f>
        <v>0</v>
      </c>
      <c r="V45" s="72">
        <f>SUM(Tabela4[[#This Row],[Robinson Fetter - 01]:[Robinson Fetter - 03]])</f>
        <v>0</v>
      </c>
      <c r="W45" s="72">
        <f>Tabela4[[#This Row],[Fabio De Moura]]</f>
        <v>0</v>
      </c>
      <c r="X45" s="72">
        <f>Tabela4[[#This Row],[Rochele Santos Moraes]]</f>
        <v>0</v>
      </c>
      <c r="Y45" s="72">
        <f>Tabela4[[#This Row],[Auto Posto Kairã]]</f>
        <v>0</v>
      </c>
      <c r="Z45" s="72">
        <f>Tabela4[[#This Row],[Erno Schiefelbain]]</f>
        <v>0</v>
      </c>
      <c r="AA45" s="72">
        <f>Tabela4[[#This Row],[José Paulo Backes]]</f>
        <v>0</v>
      </c>
      <c r="AB45" s="72">
        <f>Tabela4[[#This Row],[Gelso Tofolo]]</f>
        <v>0</v>
      </c>
      <c r="AC45" s="72">
        <f>Tabela4[[#This Row],[Diamantino]]</f>
        <v>0</v>
      </c>
      <c r="AD45" s="72">
        <f>Tabela4[[#This Row],[Mercado Bueno]]</f>
        <v>0</v>
      </c>
      <c r="AE45" s="72">
        <f>Tabela4[[#This Row],[Daniela Donadel Massalai]]</f>
        <v>0</v>
      </c>
      <c r="AF45" s="72">
        <f>Tabela4[[#This Row],[Comercio De Moto Peças Irmãos Guarani Ltda]]</f>
        <v>0</v>
      </c>
      <c r="AG45" s="72">
        <f>Tabela4[[#This Row],[Mauricio Luis Lunardi]]</f>
        <v>0</v>
      </c>
      <c r="AH45" s="72">
        <f>Tabela4[[#This Row],[Rosa Maria Restle Radunz]]</f>
        <v>0</v>
      </c>
      <c r="AI45" s="72">
        <f>Tabela4[[#This Row],[Ivo Amaral De Oliveira]]</f>
        <v>0</v>
      </c>
      <c r="AJ45" s="72">
        <f>Tabela4[[#This Row],[Silvio Robert Lemos Avila]]</f>
        <v>0</v>
      </c>
      <c r="AK45" s="72">
        <f>Tabela4[[#This Row],[Eldo Rost]]</f>
        <v>0</v>
      </c>
      <c r="AL45" s="72">
        <f>SUM(Tabela4[[#This Row],[Padaria Avenida - 01]:[Padaria Avenida - 02]])</f>
        <v>0</v>
      </c>
      <c r="AM45" s="72">
        <f>Tabela4[[#This Row],[Cristiano Anshau]]</f>
        <v>0</v>
      </c>
      <c r="AN45" s="72">
        <f>Tabela4[[#This Row],[Luciana Claudete Meirelles Correa]]</f>
        <v>0</v>
      </c>
      <c r="AO45" s="72">
        <f>Tabela4[[#This Row],[Marcio Jose Siqueira]]</f>
        <v>0</v>
      </c>
      <c r="AP45" s="72">
        <f>Tabela4[[#This Row],[Marcos Rogerio Kessler]]</f>
        <v>0</v>
      </c>
      <c r="AQ45" s="72">
        <f>SUM(Tabela4[[#This Row],[AABB - 01]:[AABB - 02]])</f>
        <v>0</v>
      </c>
      <c r="AR45" s="72">
        <f>SUM(Tabela4[[#This Row],[Wanda Burkard - 01]:[Wanda Burkard - 02]])</f>
        <v>0</v>
      </c>
      <c r="AS45" s="72">
        <f>Tabela4[[#This Row],[Silvio Robert Lemos Avila Me]]</f>
        <v>0</v>
      </c>
      <c r="AT45" s="72">
        <f>Tabela4[[#This Row],[Carmelo]]</f>
        <v>0</v>
      </c>
      <c r="AU45" s="72">
        <f>Tabela4[[#This Row],[Antonio Dal Forno]]</f>
        <v>0</v>
      </c>
      <c r="AV45" s="72">
        <f>Tabela4[[#This Row],[Marisane Paulus]]</f>
        <v>0</v>
      </c>
      <c r="AW45" s="72">
        <f>Tabela4[[#This Row],[Segatto Ceretta Ltda]]</f>
        <v>0</v>
      </c>
      <c r="AX45" s="72">
        <f>SUM(Tabela4[[#This Row],[APAE - 01]:[APAE - 02]])</f>
        <v>0</v>
      </c>
      <c r="AY45" s="72">
        <f>Tabela4[[#This Row],[Cássio Burin]]</f>
        <v>0</v>
      </c>
      <c r="AZ45" s="72">
        <f>Tabela4[[#This Row],[Patrick Kristoschek Da Silva]]</f>
        <v>0</v>
      </c>
      <c r="BA45" s="72">
        <f>Tabela4[[#This Row],[Silvio Robert Ávila - (Valmir)]]</f>
        <v>0</v>
      </c>
      <c r="BB45" s="72">
        <f>Tabela4[[#This Row],[Zederson Jose Della Flora]]</f>
        <v>0</v>
      </c>
      <c r="BC45" s="72">
        <f>Tabela4[[#This Row],[Carlos Walmir Larsão Rolim]]</f>
        <v>0</v>
      </c>
      <c r="BD45" s="72">
        <f>Tabela4[[#This Row],[Danieli Missio]]</f>
        <v>0</v>
      </c>
      <c r="BE45" s="72">
        <f>Tabela4[[#This Row],[José Vasconcellos]]</f>
        <v>0</v>
      </c>
      <c r="BF45" s="72">
        <f>Tabela4[[#This Row],[Linho Lev Alimentos]]</f>
        <v>0</v>
      </c>
      <c r="BG45" s="72">
        <f>Tabela4[[#This Row],[Ernani Czapla]]</f>
        <v>0</v>
      </c>
      <c r="BH45" s="72">
        <f>Tabela4[[#This Row],[Valesca Da Luz]]</f>
        <v>0</v>
      </c>
      <c r="BI45" s="72">
        <f>Tabela4[[#This Row],[Olavo Mildner]]</f>
        <v>0</v>
      </c>
      <c r="BJ45" s="72">
        <f>Tabela4[[#This Row],[Dilnei Rohled]]</f>
        <v>0</v>
      </c>
      <c r="BK45" s="72">
        <f>Tabela4[[#This Row],[Shaiana Signorini]]</f>
        <v>0</v>
      </c>
      <c r="BL45" s="72">
        <f>Tabela4[[#This Row],[Fonse Atacado]]</f>
        <v>0</v>
      </c>
      <c r="BM45" s="72">
        <f>Tabela4[[#This Row],[Comercial de Alimentos]]</f>
        <v>0</v>
      </c>
      <c r="BN45" s="72">
        <f>Tabela4[[#This Row],[Ivone Kasburg Serralheria]]</f>
        <v>0</v>
      </c>
      <c r="BO45" s="72">
        <f>Tabela4[[#This Row],[Mercado Ceretta]]</f>
        <v>0</v>
      </c>
      <c r="BP45" s="72">
        <f>Tabela4[[#This Row],[Antonio Carlos Dos Santos Pereira]]</f>
        <v>0</v>
      </c>
      <c r="BQ45" s="72">
        <f>Tabela4[[#This Row],[Volnei Lemos Avila - Me]]</f>
        <v>0</v>
      </c>
      <c r="BR45" s="72">
        <f>Tabela4[[#This Row],[Silvana Meneghini]]</f>
        <v>0</v>
      </c>
      <c r="BS45" s="72">
        <f>Tabela4[[#This Row],[Eficaz Engenharia Ltda]]</f>
        <v>0</v>
      </c>
      <c r="BT45" s="72">
        <f>SUM(Tabela4[[#Headers],[Tania Regina Schmaltz - 01]:[Tania Regina Schmaltz - 02]])</f>
        <v>0</v>
      </c>
      <c r="BU45" s="72">
        <f>Tabela4[[#This Row],[Camila Ceretta Segatto]]</f>
        <v>0</v>
      </c>
      <c r="BV45" s="72">
        <f>Tabela4[[#This Row],[Vagner Ribas Dos Santos]]</f>
        <v>0</v>
      </c>
      <c r="BW45" s="72">
        <f>Tabela4[[#This Row],[Claudio Alfredo Konrat]]</f>
        <v>0</v>
      </c>
    </row>
    <row r="46" spans="1:75" x14ac:dyDescent="0.25">
      <c r="A46" s="70">
        <v>44440</v>
      </c>
      <c r="B46" s="72">
        <f>SUM(Tabela4[[#This Row],[Marlon Colovini - 01]:[Marlon Colovini - 02]])</f>
        <v>0</v>
      </c>
      <c r="C46" s="72">
        <f>Tabela4[[#This Row],[Mara Barichello]]</f>
        <v>0</v>
      </c>
      <c r="D46" s="72">
        <f>Tabela4[[#This Row],[Jandira Dutra]]</f>
        <v>0</v>
      </c>
      <c r="E46" s="72">
        <f>Tabela4[[#This Row],[Luiz Fernando Kruger]]</f>
        <v>0</v>
      </c>
      <c r="F46" s="72">
        <f>SUM(Tabela4[[#This Row],[Paulo Bohn - 01]:[Paulo Bohn - 04]])</f>
        <v>0</v>
      </c>
      <c r="G46" s="72">
        <f>Tabela4[[#This Row],[Analia (Clodoaldo Entre-Ijuis)]]</f>
        <v>0</v>
      </c>
      <c r="H46" s="72">
        <f>Tabela4[[#This Row],[Biroh]]</f>
        <v>0</v>
      </c>
      <c r="I46" s="72">
        <f>Tabela4[[#This Row],[Gelson Posser]]</f>
        <v>0</v>
      </c>
      <c r="J46" s="72">
        <f>Tabela4[[#This Row],[Supermercado Caryone]]</f>
        <v>0</v>
      </c>
      <c r="K46" s="72">
        <f>Tabela4[[#This Row],[Ernani Minetto]]</f>
        <v>0</v>
      </c>
      <c r="L46" s="72">
        <f>Tabela4[[#This Row],[Jair Moscon]]</f>
        <v>0</v>
      </c>
      <c r="M46" s="72">
        <f>SUM(Tabela4[[#This Row],[Fabio Milke - 01]:[Fabio Milke - 02]])</f>
        <v>0</v>
      </c>
      <c r="N46" s="72">
        <f>Tabela4[[#This Row],[Piaia]]</f>
        <v>0</v>
      </c>
      <c r="O46" s="72">
        <f>Tabela4[[#This Row],[Osmar Veronese]]</f>
        <v>0</v>
      </c>
      <c r="P46" s="72">
        <f>Tabela4[[#This Row],[ José Luiz Moraes]]</f>
        <v>0</v>
      </c>
      <c r="Q46" s="72">
        <f>Tabela4[[#This Row],[Supermercado Cripy]]</f>
        <v>0</v>
      </c>
      <c r="R46" s="72">
        <f>Tabela4[[#This Row],[Gláucio Lipski (Giruá)]]</f>
        <v>0</v>
      </c>
      <c r="S46" s="72">
        <f>Tabela4[[#This Row],[Contri]]</f>
        <v>0</v>
      </c>
      <c r="T46" s="72">
        <f>Tabela4[[#This Row],[Cleci Rubi]]</f>
        <v>0</v>
      </c>
      <c r="U46" s="72">
        <f>Tabela4[[#This Row],[Betine Rost]]</f>
        <v>0</v>
      </c>
      <c r="V46" s="72">
        <f>SUM(Tabela4[[#This Row],[Robinson Fetter - 01]:[Robinson Fetter - 03]])</f>
        <v>0</v>
      </c>
      <c r="W46" s="72">
        <f>Tabela4[[#This Row],[Fabio De Moura]]</f>
        <v>0</v>
      </c>
      <c r="X46" s="72">
        <f>Tabela4[[#This Row],[Rochele Santos Moraes]]</f>
        <v>0</v>
      </c>
      <c r="Y46" s="72">
        <f>Tabela4[[#This Row],[Auto Posto Kairã]]</f>
        <v>0</v>
      </c>
      <c r="Z46" s="72">
        <f>Tabela4[[#This Row],[Erno Schiefelbain]]</f>
        <v>0</v>
      </c>
      <c r="AA46" s="72">
        <f>Tabela4[[#This Row],[José Paulo Backes]]</f>
        <v>0</v>
      </c>
      <c r="AB46" s="72">
        <f>Tabela4[[#This Row],[Gelso Tofolo]]</f>
        <v>0</v>
      </c>
      <c r="AC46" s="72">
        <f>Tabela4[[#This Row],[Diamantino]]</f>
        <v>0</v>
      </c>
      <c r="AD46" s="72">
        <f>Tabela4[[#This Row],[Mercado Bueno]]</f>
        <v>0</v>
      </c>
      <c r="AE46" s="72">
        <f>Tabela4[[#This Row],[Daniela Donadel Massalai]]</f>
        <v>0</v>
      </c>
      <c r="AF46" s="72">
        <f>Tabela4[[#This Row],[Comercio De Moto Peças Irmãos Guarani Ltda]]</f>
        <v>0</v>
      </c>
      <c r="AG46" s="72">
        <f>Tabela4[[#This Row],[Mauricio Luis Lunardi]]</f>
        <v>0</v>
      </c>
      <c r="AH46" s="72">
        <f>Tabela4[[#This Row],[Rosa Maria Restle Radunz]]</f>
        <v>0</v>
      </c>
      <c r="AI46" s="72">
        <f>Tabela4[[#This Row],[Ivo Amaral De Oliveira]]</f>
        <v>0</v>
      </c>
      <c r="AJ46" s="72">
        <f>Tabela4[[#This Row],[Silvio Robert Lemos Avila]]</f>
        <v>0</v>
      </c>
      <c r="AK46" s="72">
        <f>Tabela4[[#This Row],[Eldo Rost]]</f>
        <v>0</v>
      </c>
      <c r="AL46" s="72">
        <f>SUM(Tabela4[[#This Row],[Padaria Avenida - 01]:[Padaria Avenida - 02]])</f>
        <v>0</v>
      </c>
      <c r="AM46" s="72">
        <f>Tabela4[[#This Row],[Cristiano Anshau]]</f>
        <v>0</v>
      </c>
      <c r="AN46" s="72">
        <f>Tabela4[[#This Row],[Luciana Claudete Meirelles Correa]]</f>
        <v>0</v>
      </c>
      <c r="AO46" s="72">
        <f>Tabela4[[#This Row],[Marcio Jose Siqueira]]</f>
        <v>0</v>
      </c>
      <c r="AP46" s="72">
        <f>Tabela4[[#This Row],[Marcos Rogerio Kessler]]</f>
        <v>0</v>
      </c>
      <c r="AQ46" s="72">
        <f>SUM(Tabela4[[#This Row],[AABB - 01]:[AABB - 02]])</f>
        <v>0</v>
      </c>
      <c r="AR46" s="72">
        <f>SUM(Tabela4[[#This Row],[Wanda Burkard - 01]:[Wanda Burkard - 02]])</f>
        <v>0</v>
      </c>
      <c r="AS46" s="72">
        <f>Tabela4[[#This Row],[Silvio Robert Lemos Avila Me]]</f>
        <v>0</v>
      </c>
      <c r="AT46" s="72">
        <f>Tabela4[[#This Row],[Carmelo]]</f>
        <v>0</v>
      </c>
      <c r="AU46" s="72">
        <f>Tabela4[[#This Row],[Antonio Dal Forno]]</f>
        <v>0</v>
      </c>
      <c r="AV46" s="72">
        <f>Tabela4[[#This Row],[Marisane Paulus]]</f>
        <v>0</v>
      </c>
      <c r="AW46" s="72">
        <f>Tabela4[[#This Row],[Segatto Ceretta Ltda]]</f>
        <v>0</v>
      </c>
      <c r="AX46" s="72">
        <f>SUM(Tabela4[[#This Row],[APAE - 01]:[APAE - 02]])</f>
        <v>0</v>
      </c>
      <c r="AY46" s="72">
        <f>Tabela4[[#This Row],[Cássio Burin]]</f>
        <v>0</v>
      </c>
      <c r="AZ46" s="72">
        <f>Tabela4[[#This Row],[Patrick Kristoschek Da Silva]]</f>
        <v>0</v>
      </c>
      <c r="BA46" s="72">
        <f>Tabela4[[#This Row],[Silvio Robert Ávila - (Valmir)]]</f>
        <v>0</v>
      </c>
      <c r="BB46" s="72">
        <f>Tabela4[[#This Row],[Zederson Jose Della Flora]]</f>
        <v>0</v>
      </c>
      <c r="BC46" s="72">
        <f>Tabela4[[#This Row],[Carlos Walmir Larsão Rolim]]</f>
        <v>0</v>
      </c>
      <c r="BD46" s="72">
        <f>Tabela4[[#This Row],[Danieli Missio]]</f>
        <v>0</v>
      </c>
      <c r="BE46" s="72">
        <f>Tabela4[[#This Row],[José Vasconcellos]]</f>
        <v>0</v>
      </c>
      <c r="BF46" s="72">
        <f>Tabela4[[#This Row],[Linho Lev Alimentos]]</f>
        <v>0</v>
      </c>
      <c r="BG46" s="72">
        <f>Tabela4[[#This Row],[Ernani Czapla]]</f>
        <v>0</v>
      </c>
      <c r="BH46" s="72">
        <f>Tabela4[[#This Row],[Valesca Da Luz]]</f>
        <v>0</v>
      </c>
      <c r="BI46" s="72">
        <f>Tabela4[[#This Row],[Olavo Mildner]]</f>
        <v>0</v>
      </c>
      <c r="BJ46" s="72">
        <f>Tabela4[[#This Row],[Dilnei Rohled]]</f>
        <v>0</v>
      </c>
      <c r="BK46" s="72">
        <f>Tabela4[[#This Row],[Shaiana Signorini]]</f>
        <v>0</v>
      </c>
      <c r="BL46" s="72">
        <f>Tabela4[[#This Row],[Fonse Atacado]]</f>
        <v>0</v>
      </c>
      <c r="BM46" s="72">
        <f>Tabela4[[#This Row],[Comercial de Alimentos]]</f>
        <v>0</v>
      </c>
      <c r="BN46" s="72">
        <f>Tabela4[[#This Row],[Ivone Kasburg Serralheria]]</f>
        <v>0</v>
      </c>
      <c r="BO46" s="72">
        <f>Tabela4[[#This Row],[Mercado Ceretta]]</f>
        <v>0</v>
      </c>
      <c r="BP46" s="72">
        <f>Tabela4[[#This Row],[Antonio Carlos Dos Santos Pereira]]</f>
        <v>0</v>
      </c>
      <c r="BQ46" s="72">
        <f>Tabela4[[#This Row],[Volnei Lemos Avila - Me]]</f>
        <v>0</v>
      </c>
      <c r="BR46" s="72">
        <f>Tabela4[[#This Row],[Silvana Meneghini]]</f>
        <v>0</v>
      </c>
      <c r="BS46" s="72">
        <f>Tabela4[[#This Row],[Eficaz Engenharia Ltda]]</f>
        <v>0</v>
      </c>
      <c r="BT46" s="72">
        <f>SUM(Tabela4[[#Headers],[Tania Regina Schmaltz - 01]:[Tania Regina Schmaltz - 02]])</f>
        <v>0</v>
      </c>
      <c r="BU46" s="72">
        <f>Tabela4[[#This Row],[Camila Ceretta Segatto]]</f>
        <v>0</v>
      </c>
      <c r="BV46" s="72">
        <f>Tabela4[[#This Row],[Vagner Ribas Dos Santos]]</f>
        <v>0</v>
      </c>
      <c r="BW46" s="72">
        <f>Tabela4[[#This Row],[Claudio Alfredo Konrat]]</f>
        <v>0</v>
      </c>
    </row>
    <row r="47" spans="1:75" x14ac:dyDescent="0.25">
      <c r="A47" s="70">
        <v>44470</v>
      </c>
      <c r="B47" s="72">
        <f>SUM(Tabela4[[#This Row],[Marlon Colovini - 01]:[Marlon Colovini - 02]])</f>
        <v>0</v>
      </c>
      <c r="C47" s="72">
        <f>Tabela4[[#This Row],[Mara Barichello]]</f>
        <v>0</v>
      </c>
      <c r="D47" s="72">
        <f>Tabela4[[#This Row],[Jandira Dutra]]</f>
        <v>0</v>
      </c>
      <c r="E47" s="72">
        <f>Tabela4[[#This Row],[Luiz Fernando Kruger]]</f>
        <v>0</v>
      </c>
      <c r="F47" s="72">
        <f>SUM(Tabela4[[#This Row],[Paulo Bohn - 01]:[Paulo Bohn - 04]])</f>
        <v>0</v>
      </c>
      <c r="G47" s="72">
        <f>Tabela4[[#This Row],[Analia (Clodoaldo Entre-Ijuis)]]</f>
        <v>0</v>
      </c>
      <c r="H47" s="72">
        <f>Tabela4[[#This Row],[Biroh]]</f>
        <v>0</v>
      </c>
      <c r="I47" s="72">
        <f>Tabela4[[#This Row],[Gelson Posser]]</f>
        <v>0</v>
      </c>
      <c r="J47" s="72">
        <f>Tabela4[[#This Row],[Supermercado Caryone]]</f>
        <v>0</v>
      </c>
      <c r="K47" s="72">
        <f>Tabela4[[#This Row],[Ernani Minetto]]</f>
        <v>0</v>
      </c>
      <c r="L47" s="72">
        <f>Tabela4[[#This Row],[Jair Moscon]]</f>
        <v>0</v>
      </c>
      <c r="M47" s="72">
        <f>SUM(Tabela4[[#This Row],[Fabio Milke - 01]:[Fabio Milke - 02]])</f>
        <v>0</v>
      </c>
      <c r="N47" s="72">
        <f>Tabela4[[#This Row],[Piaia]]</f>
        <v>0</v>
      </c>
      <c r="O47" s="72">
        <f>Tabela4[[#This Row],[Osmar Veronese]]</f>
        <v>0</v>
      </c>
      <c r="P47" s="72">
        <f>Tabela4[[#This Row],[ José Luiz Moraes]]</f>
        <v>0</v>
      </c>
      <c r="Q47" s="72">
        <f>Tabela4[[#This Row],[Supermercado Cripy]]</f>
        <v>0</v>
      </c>
      <c r="R47" s="72">
        <f>Tabela4[[#This Row],[Gláucio Lipski (Giruá)]]</f>
        <v>0</v>
      </c>
      <c r="S47" s="72">
        <f>Tabela4[[#This Row],[Contri]]</f>
        <v>0</v>
      </c>
      <c r="T47" s="72">
        <f>Tabela4[[#This Row],[Cleci Rubi]]</f>
        <v>0</v>
      </c>
      <c r="U47" s="72">
        <f>Tabela4[[#This Row],[Betine Rost]]</f>
        <v>0</v>
      </c>
      <c r="V47" s="72">
        <f>SUM(Tabela4[[#This Row],[Robinson Fetter - 01]:[Robinson Fetter - 03]])</f>
        <v>0</v>
      </c>
      <c r="W47" s="72">
        <f>Tabela4[[#This Row],[Fabio De Moura]]</f>
        <v>0</v>
      </c>
      <c r="X47" s="72">
        <f>Tabela4[[#This Row],[Rochele Santos Moraes]]</f>
        <v>0</v>
      </c>
      <c r="Y47" s="72">
        <f>Tabela4[[#This Row],[Auto Posto Kairã]]</f>
        <v>0</v>
      </c>
      <c r="Z47" s="72">
        <f>Tabela4[[#This Row],[Erno Schiefelbain]]</f>
        <v>0</v>
      </c>
      <c r="AA47" s="72">
        <f>Tabela4[[#This Row],[José Paulo Backes]]</f>
        <v>0</v>
      </c>
      <c r="AB47" s="72">
        <f>Tabela4[[#This Row],[Gelso Tofolo]]</f>
        <v>0</v>
      </c>
      <c r="AC47" s="72">
        <f>Tabela4[[#This Row],[Diamantino]]</f>
        <v>0</v>
      </c>
      <c r="AD47" s="72">
        <f>Tabela4[[#This Row],[Mercado Bueno]]</f>
        <v>0</v>
      </c>
      <c r="AE47" s="72">
        <f>Tabela4[[#This Row],[Daniela Donadel Massalai]]</f>
        <v>0</v>
      </c>
      <c r="AF47" s="72">
        <f>Tabela4[[#This Row],[Comercio De Moto Peças Irmãos Guarani Ltda]]</f>
        <v>0</v>
      </c>
      <c r="AG47" s="72">
        <f>Tabela4[[#This Row],[Mauricio Luis Lunardi]]</f>
        <v>0</v>
      </c>
      <c r="AH47" s="72">
        <f>Tabela4[[#This Row],[Rosa Maria Restle Radunz]]</f>
        <v>0</v>
      </c>
      <c r="AI47" s="72">
        <f>Tabela4[[#This Row],[Ivo Amaral De Oliveira]]</f>
        <v>0</v>
      </c>
      <c r="AJ47" s="72">
        <f>Tabela4[[#This Row],[Silvio Robert Lemos Avila]]</f>
        <v>0</v>
      </c>
      <c r="AK47" s="72">
        <f>Tabela4[[#This Row],[Eldo Rost]]</f>
        <v>0</v>
      </c>
      <c r="AL47" s="72">
        <f>SUM(Tabela4[[#This Row],[Padaria Avenida - 01]:[Padaria Avenida - 02]])</f>
        <v>0</v>
      </c>
      <c r="AM47" s="72">
        <f>Tabela4[[#This Row],[Cristiano Anshau]]</f>
        <v>0</v>
      </c>
      <c r="AN47" s="72">
        <f>Tabela4[[#This Row],[Luciana Claudete Meirelles Correa]]</f>
        <v>0</v>
      </c>
      <c r="AO47" s="72">
        <f>Tabela4[[#This Row],[Marcio Jose Siqueira]]</f>
        <v>0</v>
      </c>
      <c r="AP47" s="72">
        <f>Tabela4[[#This Row],[Marcos Rogerio Kessler]]</f>
        <v>0</v>
      </c>
      <c r="AQ47" s="72">
        <f>SUM(Tabela4[[#This Row],[AABB - 01]:[AABB - 02]])</f>
        <v>0</v>
      </c>
      <c r="AR47" s="72">
        <f>SUM(Tabela4[[#This Row],[Wanda Burkard - 01]:[Wanda Burkard - 02]])</f>
        <v>0</v>
      </c>
      <c r="AS47" s="72">
        <f>Tabela4[[#This Row],[Silvio Robert Lemos Avila Me]]</f>
        <v>0</v>
      </c>
      <c r="AT47" s="72">
        <f>Tabela4[[#This Row],[Carmelo]]</f>
        <v>0</v>
      </c>
      <c r="AU47" s="72">
        <f>Tabela4[[#This Row],[Antonio Dal Forno]]</f>
        <v>0</v>
      </c>
      <c r="AV47" s="72">
        <f>Tabela4[[#This Row],[Marisane Paulus]]</f>
        <v>0</v>
      </c>
      <c r="AW47" s="72">
        <f>Tabela4[[#This Row],[Segatto Ceretta Ltda]]</f>
        <v>0</v>
      </c>
      <c r="AX47" s="72">
        <f>SUM(Tabela4[[#This Row],[APAE - 01]:[APAE - 02]])</f>
        <v>0</v>
      </c>
      <c r="AY47" s="72">
        <f>Tabela4[[#This Row],[Cássio Burin]]</f>
        <v>0</v>
      </c>
      <c r="AZ47" s="72">
        <f>Tabela4[[#This Row],[Patrick Kristoschek Da Silva]]</f>
        <v>0</v>
      </c>
      <c r="BA47" s="72">
        <f>Tabela4[[#This Row],[Silvio Robert Ávila - (Valmir)]]</f>
        <v>0</v>
      </c>
      <c r="BB47" s="72">
        <f>Tabela4[[#This Row],[Zederson Jose Della Flora]]</f>
        <v>0</v>
      </c>
      <c r="BC47" s="72">
        <f>Tabela4[[#This Row],[Carlos Walmir Larsão Rolim]]</f>
        <v>0</v>
      </c>
      <c r="BD47" s="72">
        <f>Tabela4[[#This Row],[Danieli Missio]]</f>
        <v>0</v>
      </c>
      <c r="BE47" s="72">
        <f>Tabela4[[#This Row],[José Vasconcellos]]</f>
        <v>0</v>
      </c>
      <c r="BF47" s="72">
        <f>Tabela4[[#This Row],[Linho Lev Alimentos]]</f>
        <v>0</v>
      </c>
      <c r="BG47" s="72">
        <f>Tabela4[[#This Row],[Ernani Czapla]]</f>
        <v>0</v>
      </c>
      <c r="BH47" s="72">
        <f>Tabela4[[#This Row],[Valesca Da Luz]]</f>
        <v>0</v>
      </c>
      <c r="BI47" s="72">
        <f>Tabela4[[#This Row],[Olavo Mildner]]</f>
        <v>0</v>
      </c>
      <c r="BJ47" s="72">
        <f>Tabela4[[#This Row],[Dilnei Rohled]]</f>
        <v>0</v>
      </c>
      <c r="BK47" s="72">
        <f>Tabela4[[#This Row],[Shaiana Signorini]]</f>
        <v>0</v>
      </c>
      <c r="BL47" s="72">
        <f>Tabela4[[#This Row],[Fonse Atacado]]</f>
        <v>0</v>
      </c>
      <c r="BM47" s="72">
        <f>Tabela4[[#This Row],[Comercial de Alimentos]]</f>
        <v>0</v>
      </c>
      <c r="BN47" s="72">
        <f>Tabela4[[#This Row],[Ivone Kasburg Serralheria]]</f>
        <v>0</v>
      </c>
      <c r="BO47" s="72">
        <f>Tabela4[[#This Row],[Mercado Ceretta]]</f>
        <v>0</v>
      </c>
      <c r="BP47" s="72">
        <f>Tabela4[[#This Row],[Antonio Carlos Dos Santos Pereira]]</f>
        <v>0</v>
      </c>
      <c r="BQ47" s="72">
        <f>Tabela4[[#This Row],[Volnei Lemos Avila - Me]]</f>
        <v>0</v>
      </c>
      <c r="BR47" s="72">
        <f>Tabela4[[#This Row],[Silvana Meneghini]]</f>
        <v>0</v>
      </c>
      <c r="BS47" s="72">
        <f>Tabela4[[#This Row],[Eficaz Engenharia Ltda]]</f>
        <v>0</v>
      </c>
      <c r="BT47" s="72">
        <f>SUM(Tabela4[[#Headers],[Tania Regina Schmaltz - 01]:[Tania Regina Schmaltz - 02]])</f>
        <v>0</v>
      </c>
      <c r="BU47" s="72">
        <f>Tabela4[[#This Row],[Camila Ceretta Segatto]]</f>
        <v>0</v>
      </c>
      <c r="BV47" s="72">
        <f>Tabela4[[#This Row],[Vagner Ribas Dos Santos]]</f>
        <v>0</v>
      </c>
      <c r="BW47" s="72">
        <f>Tabela4[[#This Row],[Claudio Alfredo Konrat]]</f>
        <v>0</v>
      </c>
    </row>
    <row r="48" spans="1:75" x14ac:dyDescent="0.25">
      <c r="A48" s="70">
        <v>44501</v>
      </c>
      <c r="B48" s="72">
        <f>SUM(Tabela4[[#This Row],[Marlon Colovini - 01]:[Marlon Colovini - 02]])</f>
        <v>0</v>
      </c>
      <c r="C48" s="72">
        <f>Tabela4[[#This Row],[Mara Barichello]]</f>
        <v>0</v>
      </c>
      <c r="D48" s="72">
        <f>Tabela4[[#This Row],[Jandira Dutra]]</f>
        <v>0</v>
      </c>
      <c r="E48" s="72">
        <f>Tabela4[[#This Row],[Luiz Fernando Kruger]]</f>
        <v>0</v>
      </c>
      <c r="F48" s="72">
        <f>SUM(Tabela4[[#This Row],[Paulo Bohn - 01]:[Paulo Bohn - 04]])</f>
        <v>0</v>
      </c>
      <c r="G48" s="72">
        <f>Tabela4[[#This Row],[Analia (Clodoaldo Entre-Ijuis)]]</f>
        <v>0</v>
      </c>
      <c r="H48" s="72">
        <f>Tabela4[[#This Row],[Biroh]]</f>
        <v>0</v>
      </c>
      <c r="I48" s="72">
        <f>Tabela4[[#This Row],[Gelson Posser]]</f>
        <v>0</v>
      </c>
      <c r="J48" s="72">
        <f>Tabela4[[#This Row],[Supermercado Caryone]]</f>
        <v>0</v>
      </c>
      <c r="K48" s="72">
        <f>Tabela4[[#This Row],[Ernani Minetto]]</f>
        <v>0</v>
      </c>
      <c r="L48" s="72">
        <f>Tabela4[[#This Row],[Jair Moscon]]</f>
        <v>0</v>
      </c>
      <c r="M48" s="72">
        <f>SUM(Tabela4[[#This Row],[Fabio Milke - 01]:[Fabio Milke - 02]])</f>
        <v>0</v>
      </c>
      <c r="N48" s="72">
        <f>Tabela4[[#This Row],[Piaia]]</f>
        <v>0</v>
      </c>
      <c r="O48" s="72">
        <f>Tabela4[[#This Row],[Osmar Veronese]]</f>
        <v>0</v>
      </c>
      <c r="P48" s="72">
        <f>Tabela4[[#This Row],[ José Luiz Moraes]]</f>
        <v>0</v>
      </c>
      <c r="Q48" s="72">
        <f>Tabela4[[#This Row],[Supermercado Cripy]]</f>
        <v>0</v>
      </c>
      <c r="R48" s="72">
        <f>Tabela4[[#This Row],[Gláucio Lipski (Giruá)]]</f>
        <v>0</v>
      </c>
      <c r="S48" s="72">
        <f>Tabela4[[#This Row],[Contri]]</f>
        <v>0</v>
      </c>
      <c r="T48" s="72">
        <f>Tabela4[[#This Row],[Cleci Rubi]]</f>
        <v>0</v>
      </c>
      <c r="U48" s="72">
        <f>Tabela4[[#This Row],[Betine Rost]]</f>
        <v>0</v>
      </c>
      <c r="V48" s="72">
        <f>SUM(Tabela4[[#This Row],[Robinson Fetter - 01]:[Robinson Fetter - 03]])</f>
        <v>0</v>
      </c>
      <c r="W48" s="72">
        <f>Tabela4[[#This Row],[Fabio De Moura]]</f>
        <v>0</v>
      </c>
      <c r="X48" s="72">
        <f>Tabela4[[#This Row],[Rochele Santos Moraes]]</f>
        <v>0</v>
      </c>
      <c r="Y48" s="72">
        <f>Tabela4[[#This Row],[Auto Posto Kairã]]</f>
        <v>0</v>
      </c>
      <c r="Z48" s="72">
        <f>Tabela4[[#This Row],[Erno Schiefelbain]]</f>
        <v>0</v>
      </c>
      <c r="AA48" s="72">
        <f>Tabela4[[#This Row],[José Paulo Backes]]</f>
        <v>0</v>
      </c>
      <c r="AB48" s="72">
        <f>Tabela4[[#This Row],[Gelso Tofolo]]</f>
        <v>0</v>
      </c>
      <c r="AC48" s="72">
        <f>Tabela4[[#This Row],[Diamantino]]</f>
        <v>0</v>
      </c>
      <c r="AD48" s="72">
        <f>Tabela4[[#This Row],[Mercado Bueno]]</f>
        <v>0</v>
      </c>
      <c r="AE48" s="72">
        <f>Tabela4[[#This Row],[Daniela Donadel Massalai]]</f>
        <v>0</v>
      </c>
      <c r="AF48" s="72">
        <f>Tabela4[[#This Row],[Comercio De Moto Peças Irmãos Guarani Ltda]]</f>
        <v>0</v>
      </c>
      <c r="AG48" s="72">
        <f>Tabela4[[#This Row],[Mauricio Luis Lunardi]]</f>
        <v>0</v>
      </c>
      <c r="AH48" s="72">
        <f>Tabela4[[#This Row],[Rosa Maria Restle Radunz]]</f>
        <v>0</v>
      </c>
      <c r="AI48" s="72">
        <f>Tabela4[[#This Row],[Ivo Amaral De Oliveira]]</f>
        <v>0</v>
      </c>
      <c r="AJ48" s="72">
        <f>Tabela4[[#This Row],[Silvio Robert Lemos Avila]]</f>
        <v>0</v>
      </c>
      <c r="AK48" s="72">
        <f>Tabela4[[#This Row],[Eldo Rost]]</f>
        <v>0</v>
      </c>
      <c r="AL48" s="72">
        <f>SUM(Tabela4[[#This Row],[Padaria Avenida - 01]:[Padaria Avenida - 02]])</f>
        <v>0</v>
      </c>
      <c r="AM48" s="72">
        <f>Tabela4[[#This Row],[Cristiano Anshau]]</f>
        <v>0</v>
      </c>
      <c r="AN48" s="72">
        <f>Tabela4[[#This Row],[Luciana Claudete Meirelles Correa]]</f>
        <v>0</v>
      </c>
      <c r="AO48" s="72">
        <f>Tabela4[[#This Row],[Marcio Jose Siqueira]]</f>
        <v>0</v>
      </c>
      <c r="AP48" s="72">
        <f>Tabela4[[#This Row],[Marcos Rogerio Kessler]]</f>
        <v>0</v>
      </c>
      <c r="AQ48" s="72">
        <f>SUM(Tabela4[[#This Row],[AABB - 01]:[AABB - 02]])</f>
        <v>0</v>
      </c>
      <c r="AR48" s="72">
        <f>SUM(Tabela4[[#This Row],[Wanda Burkard - 01]:[Wanda Burkard - 02]])</f>
        <v>0</v>
      </c>
      <c r="AS48" s="72">
        <f>Tabela4[[#This Row],[Silvio Robert Lemos Avila Me]]</f>
        <v>0</v>
      </c>
      <c r="AT48" s="72">
        <f>Tabela4[[#This Row],[Carmelo]]</f>
        <v>0</v>
      </c>
      <c r="AU48" s="72">
        <f>Tabela4[[#This Row],[Antonio Dal Forno]]</f>
        <v>0</v>
      </c>
      <c r="AV48" s="72">
        <f>Tabela4[[#This Row],[Marisane Paulus]]</f>
        <v>0</v>
      </c>
      <c r="AW48" s="72">
        <f>Tabela4[[#This Row],[Segatto Ceretta Ltda]]</f>
        <v>0</v>
      </c>
      <c r="AX48" s="72">
        <f>SUM(Tabela4[[#This Row],[APAE - 01]:[APAE - 02]])</f>
        <v>0</v>
      </c>
      <c r="AY48" s="72">
        <f>Tabela4[[#This Row],[Cássio Burin]]</f>
        <v>0</v>
      </c>
      <c r="AZ48" s="72">
        <f>Tabela4[[#This Row],[Patrick Kristoschek Da Silva]]</f>
        <v>0</v>
      </c>
      <c r="BA48" s="72">
        <f>Tabela4[[#This Row],[Silvio Robert Ávila - (Valmir)]]</f>
        <v>0</v>
      </c>
      <c r="BB48" s="72">
        <f>Tabela4[[#This Row],[Zederson Jose Della Flora]]</f>
        <v>0</v>
      </c>
      <c r="BC48" s="72">
        <f>Tabela4[[#This Row],[Carlos Walmir Larsão Rolim]]</f>
        <v>0</v>
      </c>
      <c r="BD48" s="72">
        <f>Tabela4[[#This Row],[Danieli Missio]]</f>
        <v>0</v>
      </c>
      <c r="BE48" s="72">
        <f>Tabela4[[#This Row],[José Vasconcellos]]</f>
        <v>0</v>
      </c>
      <c r="BF48" s="72">
        <f>Tabela4[[#This Row],[Linho Lev Alimentos]]</f>
        <v>0</v>
      </c>
      <c r="BG48" s="72">
        <f>Tabela4[[#This Row],[Ernani Czapla]]</f>
        <v>0</v>
      </c>
      <c r="BH48" s="72">
        <f>Tabela4[[#This Row],[Valesca Da Luz]]</f>
        <v>0</v>
      </c>
      <c r="BI48" s="72">
        <f>Tabela4[[#This Row],[Olavo Mildner]]</f>
        <v>0</v>
      </c>
      <c r="BJ48" s="72">
        <f>Tabela4[[#This Row],[Dilnei Rohled]]</f>
        <v>0</v>
      </c>
      <c r="BK48" s="72">
        <f>Tabela4[[#This Row],[Shaiana Signorini]]</f>
        <v>0</v>
      </c>
      <c r="BL48" s="72">
        <f>Tabela4[[#This Row],[Fonse Atacado]]</f>
        <v>0</v>
      </c>
      <c r="BM48" s="72">
        <f>Tabela4[[#This Row],[Comercial de Alimentos]]</f>
        <v>0</v>
      </c>
      <c r="BN48" s="72">
        <f>Tabela4[[#This Row],[Ivone Kasburg Serralheria]]</f>
        <v>0</v>
      </c>
      <c r="BO48" s="72">
        <f>Tabela4[[#This Row],[Mercado Ceretta]]</f>
        <v>0</v>
      </c>
      <c r="BP48" s="72">
        <f>Tabela4[[#This Row],[Antonio Carlos Dos Santos Pereira]]</f>
        <v>0</v>
      </c>
      <c r="BQ48" s="72">
        <f>Tabela4[[#This Row],[Volnei Lemos Avila - Me]]</f>
        <v>0</v>
      </c>
      <c r="BR48" s="72">
        <f>Tabela4[[#This Row],[Silvana Meneghini]]</f>
        <v>0</v>
      </c>
      <c r="BS48" s="72">
        <f>Tabela4[[#This Row],[Eficaz Engenharia Ltda]]</f>
        <v>0</v>
      </c>
      <c r="BT48" s="72">
        <f>SUM(Tabela4[[#Headers],[Tania Regina Schmaltz - 01]:[Tania Regina Schmaltz - 02]])</f>
        <v>0</v>
      </c>
      <c r="BU48" s="72">
        <f>Tabela4[[#This Row],[Camila Ceretta Segatto]]</f>
        <v>0</v>
      </c>
      <c r="BV48" s="72">
        <f>Tabela4[[#This Row],[Vagner Ribas Dos Santos]]</f>
        <v>0</v>
      </c>
      <c r="BW48" s="72">
        <f>Tabela4[[#This Row],[Claudio Alfredo Konrat]]</f>
        <v>0</v>
      </c>
    </row>
    <row r="49" spans="1:75" x14ac:dyDescent="0.25">
      <c r="A49" s="70">
        <v>44531</v>
      </c>
      <c r="B49" s="72">
        <f>SUM(Tabela4[[#This Row],[Marlon Colovini - 01]:[Marlon Colovini - 02]])</f>
        <v>0</v>
      </c>
      <c r="C49" s="72">
        <f>Tabela4[[#This Row],[Mara Barichello]]</f>
        <v>0</v>
      </c>
      <c r="D49" s="72">
        <f>Tabela4[[#This Row],[Jandira Dutra]]</f>
        <v>0</v>
      </c>
      <c r="E49" s="72">
        <f>Tabela4[[#This Row],[Luiz Fernando Kruger]]</f>
        <v>0</v>
      </c>
      <c r="F49" s="72">
        <f>SUM(Tabela4[[#This Row],[Paulo Bohn - 01]:[Paulo Bohn - 04]])</f>
        <v>0</v>
      </c>
      <c r="G49" s="72">
        <f>Tabela4[[#This Row],[Analia (Clodoaldo Entre-Ijuis)]]</f>
        <v>0</v>
      </c>
      <c r="H49" s="72">
        <f>Tabela4[[#This Row],[Biroh]]</f>
        <v>0</v>
      </c>
      <c r="I49" s="72">
        <f>Tabela4[[#This Row],[Gelson Posser]]</f>
        <v>0</v>
      </c>
      <c r="J49" s="72">
        <f>Tabela4[[#This Row],[Supermercado Caryone]]</f>
        <v>0</v>
      </c>
      <c r="K49" s="72">
        <f>Tabela4[[#This Row],[Ernani Minetto]]</f>
        <v>0</v>
      </c>
      <c r="L49" s="72">
        <f>Tabela4[[#This Row],[Jair Moscon]]</f>
        <v>0</v>
      </c>
      <c r="M49" s="72">
        <f>SUM(Tabela4[[#This Row],[Fabio Milke - 01]:[Fabio Milke - 02]])</f>
        <v>0</v>
      </c>
      <c r="N49" s="72">
        <f>Tabela4[[#This Row],[Piaia]]</f>
        <v>0</v>
      </c>
      <c r="O49" s="72">
        <f>Tabela4[[#This Row],[Osmar Veronese]]</f>
        <v>0</v>
      </c>
      <c r="P49" s="72">
        <f>Tabela4[[#This Row],[ José Luiz Moraes]]</f>
        <v>0</v>
      </c>
      <c r="Q49" s="72">
        <f>Tabela4[[#This Row],[Supermercado Cripy]]</f>
        <v>0</v>
      </c>
      <c r="R49" s="72">
        <f>Tabela4[[#This Row],[Gláucio Lipski (Giruá)]]</f>
        <v>0</v>
      </c>
      <c r="S49" s="72">
        <f>Tabela4[[#This Row],[Contri]]</f>
        <v>0</v>
      </c>
      <c r="T49" s="72">
        <f>Tabela4[[#This Row],[Cleci Rubi]]</f>
        <v>0</v>
      </c>
      <c r="U49" s="72">
        <f>Tabela4[[#This Row],[Betine Rost]]</f>
        <v>0</v>
      </c>
      <c r="V49" s="72">
        <f>SUM(Tabela4[[#This Row],[Robinson Fetter - 01]:[Robinson Fetter - 03]])</f>
        <v>0</v>
      </c>
      <c r="W49" s="72">
        <f>Tabela4[[#This Row],[Fabio De Moura]]</f>
        <v>0</v>
      </c>
      <c r="X49" s="72">
        <f>Tabela4[[#This Row],[Rochele Santos Moraes]]</f>
        <v>0</v>
      </c>
      <c r="Y49" s="72">
        <f>Tabela4[[#This Row],[Auto Posto Kairã]]</f>
        <v>0</v>
      </c>
      <c r="Z49" s="72">
        <f>Tabela4[[#This Row],[Erno Schiefelbain]]</f>
        <v>0</v>
      </c>
      <c r="AA49" s="72">
        <f>Tabela4[[#This Row],[José Paulo Backes]]</f>
        <v>0</v>
      </c>
      <c r="AB49" s="72">
        <f>Tabela4[[#This Row],[Gelso Tofolo]]</f>
        <v>0</v>
      </c>
      <c r="AC49" s="72">
        <f>Tabela4[[#This Row],[Diamantino]]</f>
        <v>0</v>
      </c>
      <c r="AD49" s="72">
        <f>Tabela4[[#This Row],[Mercado Bueno]]</f>
        <v>0</v>
      </c>
      <c r="AE49" s="72">
        <f>Tabela4[[#This Row],[Daniela Donadel Massalai]]</f>
        <v>0</v>
      </c>
      <c r="AF49" s="72">
        <f>Tabela4[[#This Row],[Comercio De Moto Peças Irmãos Guarani Ltda]]</f>
        <v>0</v>
      </c>
      <c r="AG49" s="72">
        <f>Tabela4[[#This Row],[Mauricio Luis Lunardi]]</f>
        <v>0</v>
      </c>
      <c r="AH49" s="72">
        <f>Tabela4[[#This Row],[Rosa Maria Restle Radunz]]</f>
        <v>0</v>
      </c>
      <c r="AI49" s="72">
        <f>Tabela4[[#This Row],[Ivo Amaral De Oliveira]]</f>
        <v>0</v>
      </c>
      <c r="AJ49" s="72">
        <f>Tabela4[[#This Row],[Silvio Robert Lemos Avila]]</f>
        <v>0</v>
      </c>
      <c r="AK49" s="72">
        <f>Tabela4[[#This Row],[Eldo Rost]]</f>
        <v>0</v>
      </c>
      <c r="AL49" s="72">
        <f>SUM(Tabela4[[#This Row],[Padaria Avenida - 01]:[Padaria Avenida - 02]])</f>
        <v>0</v>
      </c>
      <c r="AM49" s="72">
        <f>Tabela4[[#This Row],[Cristiano Anshau]]</f>
        <v>0</v>
      </c>
      <c r="AN49" s="72">
        <f>Tabela4[[#This Row],[Luciana Claudete Meirelles Correa]]</f>
        <v>0</v>
      </c>
      <c r="AO49" s="72">
        <f>Tabela4[[#This Row],[Marcio Jose Siqueira]]</f>
        <v>0</v>
      </c>
      <c r="AP49" s="72">
        <f>Tabela4[[#This Row],[Marcos Rogerio Kessler]]</f>
        <v>0</v>
      </c>
      <c r="AQ49" s="72">
        <f>SUM(Tabela4[[#This Row],[AABB - 01]:[AABB - 02]])</f>
        <v>0</v>
      </c>
      <c r="AR49" s="72">
        <f>SUM(Tabela4[[#This Row],[Wanda Burkard - 01]:[Wanda Burkard - 02]])</f>
        <v>0</v>
      </c>
      <c r="AS49" s="72">
        <f>Tabela4[[#This Row],[Silvio Robert Lemos Avila Me]]</f>
        <v>0</v>
      </c>
      <c r="AT49" s="72">
        <f>Tabela4[[#This Row],[Carmelo]]</f>
        <v>0</v>
      </c>
      <c r="AU49" s="72">
        <f>Tabela4[[#This Row],[Antonio Dal Forno]]</f>
        <v>0</v>
      </c>
      <c r="AV49" s="72">
        <f>Tabela4[[#This Row],[Marisane Paulus]]</f>
        <v>0</v>
      </c>
      <c r="AW49" s="72">
        <f>Tabela4[[#This Row],[Segatto Ceretta Ltda]]</f>
        <v>0</v>
      </c>
      <c r="AX49" s="72">
        <f>SUM(Tabela4[[#This Row],[APAE - 01]:[APAE - 02]])</f>
        <v>0</v>
      </c>
      <c r="AY49" s="72">
        <f>Tabela4[[#This Row],[Cássio Burin]]</f>
        <v>0</v>
      </c>
      <c r="AZ49" s="72">
        <f>Tabela4[[#This Row],[Patrick Kristoschek Da Silva]]</f>
        <v>0</v>
      </c>
      <c r="BA49" s="72">
        <f>Tabela4[[#This Row],[Silvio Robert Ávila - (Valmir)]]</f>
        <v>0</v>
      </c>
      <c r="BB49" s="72">
        <f>Tabela4[[#This Row],[Zederson Jose Della Flora]]</f>
        <v>0</v>
      </c>
      <c r="BC49" s="72">
        <f>Tabela4[[#This Row],[Carlos Walmir Larsão Rolim]]</f>
        <v>0</v>
      </c>
      <c r="BD49" s="72">
        <f>Tabela4[[#This Row],[Danieli Missio]]</f>
        <v>0</v>
      </c>
      <c r="BE49" s="72">
        <f>Tabela4[[#This Row],[José Vasconcellos]]</f>
        <v>0</v>
      </c>
      <c r="BF49" s="72">
        <f>Tabela4[[#This Row],[Linho Lev Alimentos]]</f>
        <v>0</v>
      </c>
      <c r="BG49" s="72">
        <f>Tabela4[[#This Row],[Ernani Czapla]]</f>
        <v>0</v>
      </c>
      <c r="BH49" s="72">
        <f>Tabela4[[#This Row],[Valesca Da Luz]]</f>
        <v>0</v>
      </c>
      <c r="BI49" s="72">
        <f>Tabela4[[#This Row],[Olavo Mildner]]</f>
        <v>0</v>
      </c>
      <c r="BJ49" s="72">
        <f>Tabela4[[#This Row],[Dilnei Rohled]]</f>
        <v>0</v>
      </c>
      <c r="BK49" s="72">
        <f>Tabela4[[#This Row],[Shaiana Signorini]]</f>
        <v>0</v>
      </c>
      <c r="BL49" s="72">
        <f>Tabela4[[#This Row],[Fonse Atacado]]</f>
        <v>0</v>
      </c>
      <c r="BM49" s="72">
        <f>Tabela4[[#This Row],[Comercial de Alimentos]]</f>
        <v>0</v>
      </c>
      <c r="BN49" s="72">
        <f>Tabela4[[#This Row],[Ivone Kasburg Serralheria]]</f>
        <v>0</v>
      </c>
      <c r="BO49" s="72">
        <f>Tabela4[[#This Row],[Mercado Ceretta]]</f>
        <v>0</v>
      </c>
      <c r="BP49" s="72">
        <f>Tabela4[[#This Row],[Antonio Carlos Dos Santos Pereira]]</f>
        <v>0</v>
      </c>
      <c r="BQ49" s="72">
        <f>Tabela4[[#This Row],[Volnei Lemos Avila - Me]]</f>
        <v>0</v>
      </c>
      <c r="BR49" s="72">
        <f>Tabela4[[#This Row],[Silvana Meneghini]]</f>
        <v>0</v>
      </c>
      <c r="BS49" s="72">
        <f>Tabela4[[#This Row],[Eficaz Engenharia Ltda]]</f>
        <v>0</v>
      </c>
      <c r="BT49" s="72">
        <f>SUM(Tabela4[[#Headers],[Tania Regina Schmaltz - 01]:[Tania Regina Schmaltz - 02]])</f>
        <v>0</v>
      </c>
      <c r="BU49" s="72">
        <f>Tabela4[[#This Row],[Camila Ceretta Segatto]]</f>
        <v>0</v>
      </c>
      <c r="BV49" s="72">
        <f>Tabela4[[#This Row],[Vagner Ribas Dos Santos]]</f>
        <v>0</v>
      </c>
      <c r="BW49" s="72">
        <f>Tabela4[[#This Row],[Claudio Alfredo Konrat]]</f>
        <v>0</v>
      </c>
    </row>
    <row r="50" spans="1:75" x14ac:dyDescent="0.25">
      <c r="A50" s="70">
        <v>44562</v>
      </c>
      <c r="B50" s="72">
        <f>SUM(Tabela4[[#This Row],[Marlon Colovini - 01]:[Marlon Colovini - 02]])</f>
        <v>0</v>
      </c>
      <c r="C50" s="72">
        <f>Tabela4[[#This Row],[Mara Barichello]]</f>
        <v>0</v>
      </c>
      <c r="D50" s="72">
        <f>Tabela4[[#This Row],[Jandira Dutra]]</f>
        <v>0</v>
      </c>
      <c r="E50" s="72">
        <f>Tabela4[[#This Row],[Luiz Fernando Kruger]]</f>
        <v>0</v>
      </c>
      <c r="F50" s="72">
        <f>SUM(Tabela4[[#This Row],[Paulo Bohn - 01]:[Paulo Bohn - 04]])</f>
        <v>0</v>
      </c>
      <c r="G50" s="72">
        <f>Tabela4[[#This Row],[Analia (Clodoaldo Entre-Ijuis)]]</f>
        <v>0</v>
      </c>
      <c r="H50" s="72">
        <f>Tabela4[[#This Row],[Biroh]]</f>
        <v>0</v>
      </c>
      <c r="I50" s="72">
        <f>Tabela4[[#This Row],[Gelson Posser]]</f>
        <v>0</v>
      </c>
      <c r="J50" s="72">
        <f>Tabela4[[#This Row],[Supermercado Caryone]]</f>
        <v>0</v>
      </c>
      <c r="K50" s="72">
        <f>Tabela4[[#This Row],[Ernani Minetto]]</f>
        <v>0</v>
      </c>
      <c r="L50" s="72">
        <f>Tabela4[[#This Row],[Jair Moscon]]</f>
        <v>0</v>
      </c>
      <c r="M50" s="72">
        <f>SUM(Tabela4[[#This Row],[Fabio Milke - 01]:[Fabio Milke - 02]])</f>
        <v>0</v>
      </c>
      <c r="N50" s="72">
        <f>Tabela4[[#This Row],[Piaia]]</f>
        <v>0</v>
      </c>
      <c r="O50" s="72">
        <f>Tabela4[[#This Row],[Osmar Veronese]]</f>
        <v>0</v>
      </c>
      <c r="P50" s="72">
        <f>Tabela4[[#This Row],[ José Luiz Moraes]]</f>
        <v>0</v>
      </c>
      <c r="Q50" s="72">
        <f>Tabela4[[#This Row],[Supermercado Cripy]]</f>
        <v>0</v>
      </c>
      <c r="R50" s="72">
        <f>Tabela4[[#This Row],[Gláucio Lipski (Giruá)]]</f>
        <v>0</v>
      </c>
      <c r="S50" s="72">
        <f>Tabela4[[#This Row],[Contri]]</f>
        <v>0</v>
      </c>
      <c r="T50" s="72">
        <f>Tabela4[[#This Row],[Cleci Rubi]]</f>
        <v>0</v>
      </c>
      <c r="U50" s="72">
        <f>Tabela4[[#This Row],[Betine Rost]]</f>
        <v>0</v>
      </c>
      <c r="V50" s="72">
        <f>SUM(Tabela4[[#This Row],[Robinson Fetter - 01]:[Robinson Fetter - 03]])</f>
        <v>0</v>
      </c>
      <c r="W50" s="72">
        <f>Tabela4[[#This Row],[Fabio De Moura]]</f>
        <v>0</v>
      </c>
      <c r="X50" s="72">
        <f>Tabela4[[#This Row],[Rochele Santos Moraes]]</f>
        <v>0</v>
      </c>
      <c r="Y50" s="72">
        <f>Tabela4[[#This Row],[Auto Posto Kairã]]</f>
        <v>0</v>
      </c>
      <c r="Z50" s="72">
        <f>Tabela4[[#This Row],[Erno Schiefelbain]]</f>
        <v>0</v>
      </c>
      <c r="AA50" s="72">
        <f>Tabela4[[#This Row],[José Paulo Backes]]</f>
        <v>0</v>
      </c>
      <c r="AB50" s="72">
        <f>Tabela4[[#This Row],[Gelso Tofolo]]</f>
        <v>0</v>
      </c>
      <c r="AC50" s="72">
        <f>Tabela4[[#This Row],[Diamantino]]</f>
        <v>0</v>
      </c>
      <c r="AD50" s="72">
        <f>Tabela4[[#This Row],[Mercado Bueno]]</f>
        <v>0</v>
      </c>
      <c r="AE50" s="72">
        <f>Tabela4[[#This Row],[Daniela Donadel Massalai]]</f>
        <v>0</v>
      </c>
      <c r="AF50" s="72">
        <f>Tabela4[[#This Row],[Comercio De Moto Peças Irmãos Guarani Ltda]]</f>
        <v>0</v>
      </c>
      <c r="AG50" s="72">
        <f>Tabela4[[#This Row],[Mauricio Luis Lunardi]]</f>
        <v>0</v>
      </c>
      <c r="AH50" s="72">
        <f>Tabela4[[#This Row],[Rosa Maria Restle Radunz]]</f>
        <v>0</v>
      </c>
      <c r="AI50" s="72">
        <f>Tabela4[[#This Row],[Ivo Amaral De Oliveira]]</f>
        <v>0</v>
      </c>
      <c r="AJ50" s="72">
        <f>Tabela4[[#This Row],[Silvio Robert Lemos Avila]]</f>
        <v>0</v>
      </c>
      <c r="AK50" s="72">
        <f>Tabela4[[#This Row],[Eldo Rost]]</f>
        <v>0</v>
      </c>
      <c r="AL50" s="72">
        <f>SUM(Tabela4[[#This Row],[Padaria Avenida - 01]:[Padaria Avenida - 02]])</f>
        <v>0</v>
      </c>
      <c r="AM50" s="72">
        <f>Tabela4[[#This Row],[Cristiano Anshau]]</f>
        <v>0</v>
      </c>
      <c r="AN50" s="72">
        <f>Tabela4[[#This Row],[Luciana Claudete Meirelles Correa]]</f>
        <v>0</v>
      </c>
      <c r="AO50" s="72">
        <f>Tabela4[[#This Row],[Marcio Jose Siqueira]]</f>
        <v>0</v>
      </c>
      <c r="AP50" s="72">
        <f>Tabela4[[#This Row],[Marcos Rogerio Kessler]]</f>
        <v>0</v>
      </c>
      <c r="AQ50" s="72">
        <f>SUM(Tabela4[[#This Row],[AABB - 01]:[AABB - 02]])</f>
        <v>0</v>
      </c>
      <c r="AR50" s="72">
        <f>SUM(Tabela4[[#This Row],[Wanda Burkard - 01]:[Wanda Burkard - 02]])</f>
        <v>0</v>
      </c>
      <c r="AS50" s="72">
        <f>Tabela4[[#This Row],[Silvio Robert Lemos Avila Me]]</f>
        <v>0</v>
      </c>
      <c r="AT50" s="72">
        <f>Tabela4[[#This Row],[Carmelo]]</f>
        <v>0</v>
      </c>
      <c r="AU50" s="72">
        <f>Tabela4[[#This Row],[Antonio Dal Forno]]</f>
        <v>0</v>
      </c>
      <c r="AV50" s="72">
        <f>Tabela4[[#This Row],[Marisane Paulus]]</f>
        <v>0</v>
      </c>
      <c r="AW50" s="72">
        <f>Tabela4[[#This Row],[Segatto Ceretta Ltda]]</f>
        <v>0</v>
      </c>
      <c r="AX50" s="72">
        <f>SUM(Tabela4[[#This Row],[APAE - 01]:[APAE - 02]])</f>
        <v>0</v>
      </c>
      <c r="AY50" s="72">
        <f>Tabela4[[#This Row],[Cássio Burin]]</f>
        <v>0</v>
      </c>
      <c r="AZ50" s="72">
        <f>Tabela4[[#This Row],[Patrick Kristoschek Da Silva]]</f>
        <v>0</v>
      </c>
      <c r="BA50" s="72">
        <f>Tabela4[[#This Row],[Silvio Robert Ávila - (Valmir)]]</f>
        <v>0</v>
      </c>
      <c r="BB50" s="72">
        <f>Tabela4[[#This Row],[Zederson Jose Della Flora]]</f>
        <v>0</v>
      </c>
      <c r="BC50" s="72">
        <f>Tabela4[[#This Row],[Carlos Walmir Larsão Rolim]]</f>
        <v>0</v>
      </c>
      <c r="BD50" s="72">
        <f>Tabela4[[#This Row],[Danieli Missio]]</f>
        <v>0</v>
      </c>
      <c r="BE50" s="72">
        <f>Tabela4[[#This Row],[José Vasconcellos]]</f>
        <v>0</v>
      </c>
      <c r="BF50" s="72">
        <f>Tabela4[[#This Row],[Linho Lev Alimentos]]</f>
        <v>0</v>
      </c>
      <c r="BG50" s="72">
        <f>Tabela4[[#This Row],[Ernani Czapla]]</f>
        <v>0</v>
      </c>
      <c r="BH50" s="72">
        <f>Tabela4[[#This Row],[Valesca Da Luz]]</f>
        <v>0</v>
      </c>
      <c r="BI50" s="72">
        <f>Tabela4[[#This Row],[Olavo Mildner]]</f>
        <v>0</v>
      </c>
      <c r="BJ50" s="72">
        <f>Tabela4[[#This Row],[Dilnei Rohled]]</f>
        <v>0</v>
      </c>
      <c r="BK50" s="72">
        <f>Tabela4[[#This Row],[Shaiana Signorini]]</f>
        <v>0</v>
      </c>
      <c r="BL50" s="72">
        <f>Tabela4[[#This Row],[Fonse Atacado]]</f>
        <v>0</v>
      </c>
      <c r="BM50" s="72">
        <f>Tabela4[[#This Row],[Comercial de Alimentos]]</f>
        <v>0</v>
      </c>
      <c r="BN50" s="72">
        <f>Tabela4[[#This Row],[Ivone Kasburg Serralheria]]</f>
        <v>0</v>
      </c>
      <c r="BO50" s="72">
        <f>Tabela4[[#This Row],[Mercado Ceretta]]</f>
        <v>0</v>
      </c>
      <c r="BP50" s="72">
        <f>Tabela4[[#This Row],[Antonio Carlos Dos Santos Pereira]]</f>
        <v>0</v>
      </c>
      <c r="BQ50" s="72">
        <f>Tabela4[[#This Row],[Volnei Lemos Avila - Me]]</f>
        <v>0</v>
      </c>
      <c r="BR50" s="72">
        <f>Tabela4[[#This Row],[Silvana Meneghini]]</f>
        <v>0</v>
      </c>
      <c r="BS50" s="72">
        <f>Tabela4[[#This Row],[Eficaz Engenharia Ltda]]</f>
        <v>0</v>
      </c>
      <c r="BT50" s="72">
        <f>SUM(Tabela4[[#Headers],[Tania Regina Schmaltz - 01]:[Tania Regina Schmaltz - 02]])</f>
        <v>0</v>
      </c>
      <c r="BU50" s="72">
        <f>Tabela4[[#This Row],[Camila Ceretta Segatto]]</f>
        <v>0</v>
      </c>
      <c r="BV50" s="72">
        <f>Tabela4[[#This Row],[Vagner Ribas Dos Santos]]</f>
        <v>0</v>
      </c>
      <c r="BW50" s="72">
        <f>Tabela4[[#This Row],[Claudio Alfredo Konrat]]</f>
        <v>0</v>
      </c>
    </row>
    <row r="51" spans="1:75" x14ac:dyDescent="0.25">
      <c r="A51" s="70">
        <v>44593</v>
      </c>
      <c r="B51" s="72">
        <f>SUM(Tabela4[[#This Row],[Marlon Colovini - 01]:[Marlon Colovini - 02]])</f>
        <v>0</v>
      </c>
      <c r="C51" s="72">
        <f>Tabela4[[#This Row],[Mara Barichello]]</f>
        <v>0</v>
      </c>
      <c r="D51" s="72">
        <f>Tabela4[[#This Row],[Jandira Dutra]]</f>
        <v>0</v>
      </c>
      <c r="E51" s="72">
        <f>Tabela4[[#This Row],[Luiz Fernando Kruger]]</f>
        <v>0</v>
      </c>
      <c r="F51" s="72">
        <f>SUM(Tabela4[[#This Row],[Paulo Bohn - 01]:[Paulo Bohn - 04]])</f>
        <v>0</v>
      </c>
      <c r="G51" s="72">
        <f>Tabela4[[#This Row],[Analia (Clodoaldo Entre-Ijuis)]]</f>
        <v>0</v>
      </c>
      <c r="H51" s="72">
        <f>Tabela4[[#This Row],[Biroh]]</f>
        <v>0</v>
      </c>
      <c r="I51" s="72">
        <f>Tabela4[[#This Row],[Gelson Posser]]</f>
        <v>0</v>
      </c>
      <c r="J51" s="72">
        <f>Tabela4[[#This Row],[Supermercado Caryone]]</f>
        <v>0</v>
      </c>
      <c r="K51" s="72">
        <f>Tabela4[[#This Row],[Ernani Minetto]]</f>
        <v>0</v>
      </c>
      <c r="L51" s="72">
        <f>Tabela4[[#This Row],[Jair Moscon]]</f>
        <v>0</v>
      </c>
      <c r="M51" s="72">
        <f>SUM(Tabela4[[#This Row],[Fabio Milke - 01]:[Fabio Milke - 02]])</f>
        <v>0</v>
      </c>
      <c r="N51" s="72">
        <f>Tabela4[[#This Row],[Piaia]]</f>
        <v>0</v>
      </c>
      <c r="O51" s="72">
        <f>Tabela4[[#This Row],[Osmar Veronese]]</f>
        <v>0</v>
      </c>
      <c r="P51" s="72">
        <f>Tabela4[[#This Row],[ José Luiz Moraes]]</f>
        <v>0</v>
      </c>
      <c r="Q51" s="72">
        <f>Tabela4[[#This Row],[Supermercado Cripy]]</f>
        <v>0</v>
      </c>
      <c r="R51" s="72">
        <f>Tabela4[[#This Row],[Gláucio Lipski (Giruá)]]</f>
        <v>0</v>
      </c>
      <c r="S51" s="72">
        <f>Tabela4[[#This Row],[Contri]]</f>
        <v>0</v>
      </c>
      <c r="T51" s="72">
        <f>Tabela4[[#This Row],[Cleci Rubi]]</f>
        <v>0</v>
      </c>
      <c r="U51" s="72">
        <f>Tabela4[[#This Row],[Betine Rost]]</f>
        <v>0</v>
      </c>
      <c r="V51" s="72">
        <f>SUM(Tabela4[[#This Row],[Robinson Fetter - 01]:[Robinson Fetter - 03]])</f>
        <v>0</v>
      </c>
      <c r="W51" s="72">
        <f>Tabela4[[#This Row],[Fabio De Moura]]</f>
        <v>0</v>
      </c>
      <c r="X51" s="72">
        <f>Tabela4[[#This Row],[Rochele Santos Moraes]]</f>
        <v>0</v>
      </c>
      <c r="Y51" s="72">
        <f>Tabela4[[#This Row],[Auto Posto Kairã]]</f>
        <v>0</v>
      </c>
      <c r="Z51" s="72">
        <f>Tabela4[[#This Row],[Erno Schiefelbain]]</f>
        <v>0</v>
      </c>
      <c r="AA51" s="72">
        <f>Tabela4[[#This Row],[José Paulo Backes]]</f>
        <v>0</v>
      </c>
      <c r="AB51" s="72">
        <f>Tabela4[[#This Row],[Gelso Tofolo]]</f>
        <v>0</v>
      </c>
      <c r="AC51" s="72">
        <f>Tabela4[[#This Row],[Diamantino]]</f>
        <v>0</v>
      </c>
      <c r="AD51" s="72">
        <f>Tabela4[[#This Row],[Mercado Bueno]]</f>
        <v>0</v>
      </c>
      <c r="AE51" s="72">
        <f>Tabela4[[#This Row],[Daniela Donadel Massalai]]</f>
        <v>0</v>
      </c>
      <c r="AF51" s="72">
        <f>Tabela4[[#This Row],[Comercio De Moto Peças Irmãos Guarani Ltda]]</f>
        <v>0</v>
      </c>
      <c r="AG51" s="72">
        <f>Tabela4[[#This Row],[Mauricio Luis Lunardi]]</f>
        <v>0</v>
      </c>
      <c r="AH51" s="72">
        <f>Tabela4[[#This Row],[Rosa Maria Restle Radunz]]</f>
        <v>0</v>
      </c>
      <c r="AI51" s="72">
        <f>Tabela4[[#This Row],[Ivo Amaral De Oliveira]]</f>
        <v>0</v>
      </c>
      <c r="AJ51" s="72">
        <f>Tabela4[[#This Row],[Silvio Robert Lemos Avila]]</f>
        <v>0</v>
      </c>
      <c r="AK51" s="72">
        <f>Tabela4[[#This Row],[Eldo Rost]]</f>
        <v>0</v>
      </c>
      <c r="AL51" s="72">
        <f>SUM(Tabela4[[#This Row],[Padaria Avenida - 01]:[Padaria Avenida - 02]])</f>
        <v>0</v>
      </c>
      <c r="AM51" s="72">
        <f>Tabela4[[#This Row],[Cristiano Anshau]]</f>
        <v>0</v>
      </c>
      <c r="AN51" s="72">
        <f>Tabela4[[#This Row],[Luciana Claudete Meirelles Correa]]</f>
        <v>0</v>
      </c>
      <c r="AO51" s="72">
        <f>Tabela4[[#This Row],[Marcio Jose Siqueira]]</f>
        <v>0</v>
      </c>
      <c r="AP51" s="72">
        <f>Tabela4[[#This Row],[Marcos Rogerio Kessler]]</f>
        <v>0</v>
      </c>
      <c r="AQ51" s="72">
        <f>SUM(Tabela4[[#This Row],[AABB - 01]:[AABB - 02]])</f>
        <v>0</v>
      </c>
      <c r="AR51" s="72">
        <f>SUM(Tabela4[[#This Row],[Wanda Burkard - 01]:[Wanda Burkard - 02]])</f>
        <v>0</v>
      </c>
      <c r="AS51" s="72">
        <f>Tabela4[[#This Row],[Silvio Robert Lemos Avila Me]]</f>
        <v>0</v>
      </c>
      <c r="AT51" s="72">
        <f>Tabela4[[#This Row],[Carmelo]]</f>
        <v>0</v>
      </c>
      <c r="AU51" s="72">
        <f>Tabela4[[#This Row],[Antonio Dal Forno]]</f>
        <v>0</v>
      </c>
      <c r="AV51" s="72">
        <f>Tabela4[[#This Row],[Marisane Paulus]]</f>
        <v>0</v>
      </c>
      <c r="AW51" s="72">
        <f>Tabela4[[#This Row],[Segatto Ceretta Ltda]]</f>
        <v>0</v>
      </c>
      <c r="AX51" s="72">
        <f>SUM(Tabela4[[#This Row],[APAE - 01]:[APAE - 02]])</f>
        <v>0</v>
      </c>
      <c r="AY51" s="72">
        <f>Tabela4[[#This Row],[Cássio Burin]]</f>
        <v>0</v>
      </c>
      <c r="AZ51" s="72">
        <f>Tabela4[[#This Row],[Patrick Kristoschek Da Silva]]</f>
        <v>0</v>
      </c>
      <c r="BA51" s="72">
        <f>Tabela4[[#This Row],[Silvio Robert Ávila - (Valmir)]]</f>
        <v>0</v>
      </c>
      <c r="BB51" s="72">
        <f>Tabela4[[#This Row],[Zederson Jose Della Flora]]</f>
        <v>0</v>
      </c>
      <c r="BC51" s="72">
        <f>Tabela4[[#This Row],[Carlos Walmir Larsão Rolim]]</f>
        <v>0</v>
      </c>
      <c r="BD51" s="72">
        <f>Tabela4[[#This Row],[Danieli Missio]]</f>
        <v>0</v>
      </c>
      <c r="BE51" s="72">
        <f>Tabela4[[#This Row],[José Vasconcellos]]</f>
        <v>0</v>
      </c>
      <c r="BF51" s="72">
        <f>Tabela4[[#This Row],[Linho Lev Alimentos]]</f>
        <v>0</v>
      </c>
      <c r="BG51" s="72">
        <f>Tabela4[[#This Row],[Ernani Czapla]]</f>
        <v>0</v>
      </c>
      <c r="BH51" s="72">
        <f>Tabela4[[#This Row],[Valesca Da Luz]]</f>
        <v>0</v>
      </c>
      <c r="BI51" s="72">
        <f>Tabela4[[#This Row],[Olavo Mildner]]</f>
        <v>0</v>
      </c>
      <c r="BJ51" s="72">
        <f>Tabela4[[#This Row],[Dilnei Rohled]]</f>
        <v>0</v>
      </c>
      <c r="BK51" s="72">
        <f>Tabela4[[#This Row],[Shaiana Signorini]]</f>
        <v>0</v>
      </c>
      <c r="BL51" s="72">
        <f>Tabela4[[#This Row],[Fonse Atacado]]</f>
        <v>0</v>
      </c>
      <c r="BM51" s="72">
        <f>Tabela4[[#This Row],[Comercial de Alimentos]]</f>
        <v>0</v>
      </c>
      <c r="BN51" s="72">
        <f>Tabela4[[#This Row],[Ivone Kasburg Serralheria]]</f>
        <v>0</v>
      </c>
      <c r="BO51" s="72">
        <f>Tabela4[[#This Row],[Mercado Ceretta]]</f>
        <v>0</v>
      </c>
      <c r="BP51" s="72">
        <f>Tabela4[[#This Row],[Antonio Carlos Dos Santos Pereira]]</f>
        <v>0</v>
      </c>
      <c r="BQ51" s="72">
        <f>Tabela4[[#This Row],[Volnei Lemos Avila - Me]]</f>
        <v>0</v>
      </c>
      <c r="BR51" s="72">
        <f>Tabela4[[#This Row],[Silvana Meneghini]]</f>
        <v>0</v>
      </c>
      <c r="BS51" s="72">
        <f>Tabela4[[#This Row],[Eficaz Engenharia Ltda]]</f>
        <v>0</v>
      </c>
      <c r="BT51" s="72">
        <f>SUM(Tabela4[[#Headers],[Tania Regina Schmaltz - 01]:[Tania Regina Schmaltz - 02]])</f>
        <v>0</v>
      </c>
      <c r="BU51" s="72">
        <f>Tabela4[[#This Row],[Camila Ceretta Segatto]]</f>
        <v>0</v>
      </c>
      <c r="BV51" s="72">
        <f>Tabela4[[#This Row],[Vagner Ribas Dos Santos]]</f>
        <v>0</v>
      </c>
      <c r="BW51" s="72">
        <f>Tabela4[[#This Row],[Claudio Alfredo Konrat]]</f>
        <v>0</v>
      </c>
    </row>
    <row r="52" spans="1:75" x14ac:dyDescent="0.25">
      <c r="A52" s="70">
        <v>44621</v>
      </c>
      <c r="B52" s="72">
        <f>SUM(Tabela4[[#This Row],[Marlon Colovini - 01]:[Marlon Colovini - 02]])</f>
        <v>0</v>
      </c>
      <c r="C52" s="72">
        <f>Tabela4[[#This Row],[Mara Barichello]]</f>
        <v>0</v>
      </c>
      <c r="D52" s="72">
        <f>Tabela4[[#This Row],[Jandira Dutra]]</f>
        <v>0</v>
      </c>
      <c r="E52" s="72">
        <f>Tabela4[[#This Row],[Luiz Fernando Kruger]]</f>
        <v>0</v>
      </c>
      <c r="F52" s="72">
        <f>SUM(Tabela4[[#This Row],[Paulo Bohn - 01]:[Paulo Bohn - 04]])</f>
        <v>0</v>
      </c>
      <c r="G52" s="72">
        <f>Tabela4[[#This Row],[Analia (Clodoaldo Entre-Ijuis)]]</f>
        <v>0</v>
      </c>
      <c r="H52" s="72">
        <f>Tabela4[[#This Row],[Biroh]]</f>
        <v>0</v>
      </c>
      <c r="I52" s="72">
        <f>Tabela4[[#This Row],[Gelson Posser]]</f>
        <v>0</v>
      </c>
      <c r="J52" s="72">
        <f>Tabela4[[#This Row],[Supermercado Caryone]]</f>
        <v>0</v>
      </c>
      <c r="K52" s="72">
        <f>Tabela4[[#This Row],[Ernani Minetto]]</f>
        <v>0</v>
      </c>
      <c r="L52" s="72">
        <f>Tabela4[[#This Row],[Jair Moscon]]</f>
        <v>0</v>
      </c>
      <c r="M52" s="72">
        <f>SUM(Tabela4[[#This Row],[Fabio Milke - 01]:[Fabio Milke - 02]])</f>
        <v>0</v>
      </c>
      <c r="N52" s="72">
        <f>Tabela4[[#This Row],[Piaia]]</f>
        <v>0</v>
      </c>
      <c r="O52" s="72">
        <f>Tabela4[[#This Row],[Osmar Veronese]]</f>
        <v>0</v>
      </c>
      <c r="P52" s="72">
        <f>Tabela4[[#This Row],[ José Luiz Moraes]]</f>
        <v>0</v>
      </c>
      <c r="Q52" s="72">
        <f>Tabela4[[#This Row],[Supermercado Cripy]]</f>
        <v>0</v>
      </c>
      <c r="R52" s="72">
        <f>Tabela4[[#This Row],[Gláucio Lipski (Giruá)]]</f>
        <v>0</v>
      </c>
      <c r="S52" s="72">
        <f>Tabela4[[#This Row],[Contri]]</f>
        <v>0</v>
      </c>
      <c r="T52" s="72">
        <f>Tabela4[[#This Row],[Cleci Rubi]]</f>
        <v>0</v>
      </c>
      <c r="U52" s="72">
        <f>Tabela4[[#This Row],[Betine Rost]]</f>
        <v>0</v>
      </c>
      <c r="V52" s="72">
        <f>SUM(Tabela4[[#This Row],[Robinson Fetter - 01]:[Robinson Fetter - 03]])</f>
        <v>0</v>
      </c>
      <c r="W52" s="72">
        <f>Tabela4[[#This Row],[Fabio De Moura]]</f>
        <v>0</v>
      </c>
      <c r="X52" s="72">
        <f>Tabela4[[#This Row],[Rochele Santos Moraes]]</f>
        <v>0</v>
      </c>
      <c r="Y52" s="72">
        <f>Tabela4[[#This Row],[Auto Posto Kairã]]</f>
        <v>0</v>
      </c>
      <c r="Z52" s="72">
        <f>Tabela4[[#This Row],[Erno Schiefelbain]]</f>
        <v>0</v>
      </c>
      <c r="AA52" s="72">
        <f>Tabela4[[#This Row],[José Paulo Backes]]</f>
        <v>0</v>
      </c>
      <c r="AB52" s="72">
        <f>Tabela4[[#This Row],[Gelso Tofolo]]</f>
        <v>0</v>
      </c>
      <c r="AC52" s="72">
        <f>Tabela4[[#This Row],[Diamantino]]</f>
        <v>0</v>
      </c>
      <c r="AD52" s="72">
        <f>Tabela4[[#This Row],[Mercado Bueno]]</f>
        <v>0</v>
      </c>
      <c r="AE52" s="72">
        <f>Tabela4[[#This Row],[Daniela Donadel Massalai]]</f>
        <v>0</v>
      </c>
      <c r="AF52" s="72">
        <f>Tabela4[[#This Row],[Comercio De Moto Peças Irmãos Guarani Ltda]]</f>
        <v>0</v>
      </c>
      <c r="AG52" s="72">
        <f>Tabela4[[#This Row],[Mauricio Luis Lunardi]]</f>
        <v>0</v>
      </c>
      <c r="AH52" s="72">
        <f>Tabela4[[#This Row],[Rosa Maria Restle Radunz]]</f>
        <v>0</v>
      </c>
      <c r="AI52" s="72">
        <f>Tabela4[[#This Row],[Ivo Amaral De Oliveira]]</f>
        <v>0</v>
      </c>
      <c r="AJ52" s="72">
        <f>Tabela4[[#This Row],[Silvio Robert Lemos Avila]]</f>
        <v>0</v>
      </c>
      <c r="AK52" s="72">
        <f>Tabela4[[#This Row],[Eldo Rost]]</f>
        <v>0</v>
      </c>
      <c r="AL52" s="72">
        <f>SUM(Tabela4[[#This Row],[Padaria Avenida - 01]:[Padaria Avenida - 02]])</f>
        <v>0</v>
      </c>
      <c r="AM52" s="72">
        <f>Tabela4[[#This Row],[Cristiano Anshau]]</f>
        <v>0</v>
      </c>
      <c r="AN52" s="72">
        <f>Tabela4[[#This Row],[Luciana Claudete Meirelles Correa]]</f>
        <v>0</v>
      </c>
      <c r="AO52" s="72">
        <f>Tabela4[[#This Row],[Marcio Jose Siqueira]]</f>
        <v>0</v>
      </c>
      <c r="AP52" s="72">
        <f>Tabela4[[#This Row],[Marcos Rogerio Kessler]]</f>
        <v>0</v>
      </c>
      <c r="AQ52" s="72">
        <f>SUM(Tabela4[[#This Row],[AABB - 01]:[AABB - 02]])</f>
        <v>0</v>
      </c>
      <c r="AR52" s="72">
        <f>SUM(Tabela4[[#This Row],[Wanda Burkard - 01]:[Wanda Burkard - 02]])</f>
        <v>0</v>
      </c>
      <c r="AS52" s="72">
        <f>Tabela4[[#This Row],[Silvio Robert Lemos Avila Me]]</f>
        <v>0</v>
      </c>
      <c r="AT52" s="72">
        <f>Tabela4[[#This Row],[Carmelo]]</f>
        <v>0</v>
      </c>
      <c r="AU52" s="72">
        <f>Tabela4[[#This Row],[Antonio Dal Forno]]</f>
        <v>0</v>
      </c>
      <c r="AV52" s="72">
        <f>Tabela4[[#This Row],[Marisane Paulus]]</f>
        <v>0</v>
      </c>
      <c r="AW52" s="72">
        <f>Tabela4[[#This Row],[Segatto Ceretta Ltda]]</f>
        <v>0</v>
      </c>
      <c r="AX52" s="72">
        <f>SUM(Tabela4[[#This Row],[APAE - 01]:[APAE - 02]])</f>
        <v>0</v>
      </c>
      <c r="AY52" s="72">
        <f>Tabela4[[#This Row],[Cássio Burin]]</f>
        <v>0</v>
      </c>
      <c r="AZ52" s="72">
        <f>Tabela4[[#This Row],[Patrick Kristoschek Da Silva]]</f>
        <v>0</v>
      </c>
      <c r="BA52" s="72">
        <f>Tabela4[[#This Row],[Silvio Robert Ávila - (Valmir)]]</f>
        <v>0</v>
      </c>
      <c r="BB52" s="72">
        <f>Tabela4[[#This Row],[Zederson Jose Della Flora]]</f>
        <v>0</v>
      </c>
      <c r="BC52" s="72">
        <f>Tabela4[[#This Row],[Carlos Walmir Larsão Rolim]]</f>
        <v>0</v>
      </c>
      <c r="BD52" s="72">
        <f>Tabela4[[#This Row],[Danieli Missio]]</f>
        <v>0</v>
      </c>
      <c r="BE52" s="72">
        <f>Tabela4[[#This Row],[José Vasconcellos]]</f>
        <v>0</v>
      </c>
      <c r="BF52" s="72">
        <f>Tabela4[[#This Row],[Linho Lev Alimentos]]</f>
        <v>0</v>
      </c>
      <c r="BG52" s="72">
        <f>Tabela4[[#This Row],[Ernani Czapla]]</f>
        <v>0</v>
      </c>
      <c r="BH52" s="72">
        <f>Tabela4[[#This Row],[Valesca Da Luz]]</f>
        <v>0</v>
      </c>
      <c r="BI52" s="72">
        <f>Tabela4[[#This Row],[Olavo Mildner]]</f>
        <v>0</v>
      </c>
      <c r="BJ52" s="72">
        <f>Tabela4[[#This Row],[Dilnei Rohled]]</f>
        <v>0</v>
      </c>
      <c r="BK52" s="72">
        <f>Tabela4[[#This Row],[Shaiana Signorini]]</f>
        <v>0</v>
      </c>
      <c r="BL52" s="72">
        <f>Tabela4[[#This Row],[Fonse Atacado]]</f>
        <v>0</v>
      </c>
      <c r="BM52" s="72">
        <f>Tabela4[[#This Row],[Comercial de Alimentos]]</f>
        <v>0</v>
      </c>
      <c r="BN52" s="72">
        <f>Tabela4[[#This Row],[Ivone Kasburg Serralheria]]</f>
        <v>0</v>
      </c>
      <c r="BO52" s="72">
        <f>Tabela4[[#This Row],[Mercado Ceretta]]</f>
        <v>0</v>
      </c>
      <c r="BP52" s="72">
        <f>Tabela4[[#This Row],[Antonio Carlos Dos Santos Pereira]]</f>
        <v>0</v>
      </c>
      <c r="BQ52" s="72">
        <f>Tabela4[[#This Row],[Volnei Lemos Avila - Me]]</f>
        <v>0</v>
      </c>
      <c r="BR52" s="72">
        <f>Tabela4[[#This Row],[Silvana Meneghini]]</f>
        <v>0</v>
      </c>
      <c r="BS52" s="72">
        <f>Tabela4[[#This Row],[Eficaz Engenharia Ltda]]</f>
        <v>0</v>
      </c>
      <c r="BT52" s="72">
        <f>SUM(Tabela4[[#Headers],[Tania Regina Schmaltz - 01]:[Tania Regina Schmaltz - 02]])</f>
        <v>0</v>
      </c>
      <c r="BU52" s="72">
        <f>Tabela4[[#This Row],[Camila Ceretta Segatto]]</f>
        <v>0</v>
      </c>
      <c r="BV52" s="72">
        <f>Tabela4[[#This Row],[Vagner Ribas Dos Santos]]</f>
        <v>0</v>
      </c>
      <c r="BW52" s="72">
        <f>Tabela4[[#This Row],[Claudio Alfredo Konrat]]</f>
        <v>0</v>
      </c>
    </row>
    <row r="53" spans="1:75" x14ac:dyDescent="0.25">
      <c r="A53" s="70">
        <v>44652</v>
      </c>
      <c r="B53" s="72">
        <f>SUM(Tabela4[[#This Row],[Marlon Colovini - 01]:[Marlon Colovini - 02]])</f>
        <v>0</v>
      </c>
      <c r="C53" s="72">
        <f>Tabela4[[#This Row],[Mara Barichello]]</f>
        <v>0</v>
      </c>
      <c r="D53" s="72">
        <f>Tabela4[[#This Row],[Jandira Dutra]]</f>
        <v>0</v>
      </c>
      <c r="E53" s="72">
        <f>Tabela4[[#This Row],[Luiz Fernando Kruger]]</f>
        <v>0</v>
      </c>
      <c r="F53" s="72">
        <f>SUM(Tabela4[[#This Row],[Paulo Bohn - 01]:[Paulo Bohn - 04]])</f>
        <v>0</v>
      </c>
      <c r="G53" s="72">
        <f>Tabela4[[#This Row],[Analia (Clodoaldo Entre-Ijuis)]]</f>
        <v>0</v>
      </c>
      <c r="H53" s="72">
        <f>Tabela4[[#This Row],[Biroh]]</f>
        <v>0</v>
      </c>
      <c r="I53" s="72">
        <f>Tabela4[[#This Row],[Gelson Posser]]</f>
        <v>0</v>
      </c>
      <c r="J53" s="72">
        <f>Tabela4[[#This Row],[Supermercado Caryone]]</f>
        <v>0</v>
      </c>
      <c r="K53" s="72">
        <f>Tabela4[[#This Row],[Ernani Minetto]]</f>
        <v>0</v>
      </c>
      <c r="L53" s="72">
        <f>Tabela4[[#This Row],[Jair Moscon]]</f>
        <v>0</v>
      </c>
      <c r="M53" s="72">
        <f>SUM(Tabela4[[#This Row],[Fabio Milke - 01]:[Fabio Milke - 02]])</f>
        <v>0</v>
      </c>
      <c r="N53" s="72">
        <f>Tabela4[[#This Row],[Piaia]]</f>
        <v>0</v>
      </c>
      <c r="O53" s="72">
        <f>Tabela4[[#This Row],[Osmar Veronese]]</f>
        <v>0</v>
      </c>
      <c r="P53" s="72">
        <f>Tabela4[[#This Row],[ José Luiz Moraes]]</f>
        <v>0</v>
      </c>
      <c r="Q53" s="72">
        <f>Tabela4[[#This Row],[Supermercado Cripy]]</f>
        <v>0</v>
      </c>
      <c r="R53" s="72">
        <f>Tabela4[[#This Row],[Gláucio Lipski (Giruá)]]</f>
        <v>0</v>
      </c>
      <c r="S53" s="72">
        <f>Tabela4[[#This Row],[Contri]]</f>
        <v>0</v>
      </c>
      <c r="T53" s="72">
        <f>Tabela4[[#This Row],[Cleci Rubi]]</f>
        <v>0</v>
      </c>
      <c r="U53" s="72">
        <f>Tabela4[[#This Row],[Betine Rost]]</f>
        <v>0</v>
      </c>
      <c r="V53" s="72">
        <f>SUM(Tabela4[[#This Row],[Robinson Fetter - 01]:[Robinson Fetter - 03]])</f>
        <v>0</v>
      </c>
      <c r="W53" s="72">
        <f>Tabela4[[#This Row],[Fabio De Moura]]</f>
        <v>0</v>
      </c>
      <c r="X53" s="72">
        <f>Tabela4[[#This Row],[Rochele Santos Moraes]]</f>
        <v>0</v>
      </c>
      <c r="Y53" s="72">
        <f>Tabela4[[#This Row],[Auto Posto Kairã]]</f>
        <v>0</v>
      </c>
      <c r="Z53" s="72">
        <f>Tabela4[[#This Row],[Erno Schiefelbain]]</f>
        <v>0</v>
      </c>
      <c r="AA53" s="72">
        <f>Tabela4[[#This Row],[José Paulo Backes]]</f>
        <v>0</v>
      </c>
      <c r="AB53" s="72">
        <f>Tabela4[[#This Row],[Gelso Tofolo]]</f>
        <v>0</v>
      </c>
      <c r="AC53" s="72">
        <f>Tabela4[[#This Row],[Diamantino]]</f>
        <v>0</v>
      </c>
      <c r="AD53" s="72">
        <f>Tabela4[[#This Row],[Mercado Bueno]]</f>
        <v>0</v>
      </c>
      <c r="AE53" s="72">
        <f>Tabela4[[#This Row],[Daniela Donadel Massalai]]</f>
        <v>0</v>
      </c>
      <c r="AF53" s="72">
        <f>Tabela4[[#This Row],[Comercio De Moto Peças Irmãos Guarani Ltda]]</f>
        <v>0</v>
      </c>
      <c r="AG53" s="72">
        <f>Tabela4[[#This Row],[Mauricio Luis Lunardi]]</f>
        <v>0</v>
      </c>
      <c r="AH53" s="72">
        <f>Tabela4[[#This Row],[Rosa Maria Restle Radunz]]</f>
        <v>0</v>
      </c>
      <c r="AI53" s="72">
        <f>Tabela4[[#This Row],[Ivo Amaral De Oliveira]]</f>
        <v>0</v>
      </c>
      <c r="AJ53" s="72">
        <f>Tabela4[[#This Row],[Silvio Robert Lemos Avila]]</f>
        <v>0</v>
      </c>
      <c r="AK53" s="72">
        <f>Tabela4[[#This Row],[Eldo Rost]]</f>
        <v>0</v>
      </c>
      <c r="AL53" s="72">
        <f>SUM(Tabela4[[#This Row],[Padaria Avenida - 01]:[Padaria Avenida - 02]])</f>
        <v>0</v>
      </c>
      <c r="AM53" s="72">
        <f>Tabela4[[#This Row],[Cristiano Anshau]]</f>
        <v>0</v>
      </c>
      <c r="AN53" s="72">
        <f>Tabela4[[#This Row],[Luciana Claudete Meirelles Correa]]</f>
        <v>0</v>
      </c>
      <c r="AO53" s="72">
        <f>Tabela4[[#This Row],[Marcio Jose Siqueira]]</f>
        <v>0</v>
      </c>
      <c r="AP53" s="72">
        <f>Tabela4[[#This Row],[Marcos Rogerio Kessler]]</f>
        <v>0</v>
      </c>
      <c r="AQ53" s="72">
        <f>SUM(Tabela4[[#This Row],[AABB - 01]:[AABB - 02]])</f>
        <v>0</v>
      </c>
      <c r="AR53" s="72">
        <f>SUM(Tabela4[[#This Row],[Wanda Burkard - 01]:[Wanda Burkard - 02]])</f>
        <v>0</v>
      </c>
      <c r="AS53" s="72">
        <f>Tabela4[[#This Row],[Silvio Robert Lemos Avila Me]]</f>
        <v>0</v>
      </c>
      <c r="AT53" s="72">
        <f>Tabela4[[#This Row],[Carmelo]]</f>
        <v>0</v>
      </c>
      <c r="AU53" s="72">
        <f>Tabela4[[#This Row],[Antonio Dal Forno]]</f>
        <v>0</v>
      </c>
      <c r="AV53" s="72">
        <f>Tabela4[[#This Row],[Marisane Paulus]]</f>
        <v>0</v>
      </c>
      <c r="AW53" s="72">
        <f>Tabela4[[#This Row],[Segatto Ceretta Ltda]]</f>
        <v>0</v>
      </c>
      <c r="AX53" s="72">
        <f>SUM(Tabela4[[#This Row],[APAE - 01]:[APAE - 02]])</f>
        <v>0</v>
      </c>
      <c r="AY53" s="72">
        <f>Tabela4[[#This Row],[Cássio Burin]]</f>
        <v>0</v>
      </c>
      <c r="AZ53" s="72">
        <f>Tabela4[[#This Row],[Patrick Kristoschek Da Silva]]</f>
        <v>0</v>
      </c>
      <c r="BA53" s="72">
        <f>Tabela4[[#This Row],[Silvio Robert Ávila - (Valmir)]]</f>
        <v>0</v>
      </c>
      <c r="BB53" s="72">
        <f>Tabela4[[#This Row],[Zederson Jose Della Flora]]</f>
        <v>0</v>
      </c>
      <c r="BC53" s="72">
        <f>Tabela4[[#This Row],[Carlos Walmir Larsão Rolim]]</f>
        <v>0</v>
      </c>
      <c r="BD53" s="72">
        <f>Tabela4[[#This Row],[Danieli Missio]]</f>
        <v>0</v>
      </c>
      <c r="BE53" s="72">
        <f>Tabela4[[#This Row],[José Vasconcellos]]</f>
        <v>0</v>
      </c>
      <c r="BF53" s="72">
        <f>Tabela4[[#This Row],[Linho Lev Alimentos]]</f>
        <v>0</v>
      </c>
      <c r="BG53" s="72">
        <f>Tabela4[[#This Row],[Ernani Czapla]]</f>
        <v>0</v>
      </c>
      <c r="BH53" s="72">
        <f>Tabela4[[#This Row],[Valesca Da Luz]]</f>
        <v>0</v>
      </c>
      <c r="BI53" s="72">
        <f>Tabela4[[#This Row],[Olavo Mildner]]</f>
        <v>0</v>
      </c>
      <c r="BJ53" s="72">
        <f>Tabela4[[#This Row],[Dilnei Rohled]]</f>
        <v>0</v>
      </c>
      <c r="BK53" s="72">
        <f>Tabela4[[#This Row],[Shaiana Signorini]]</f>
        <v>0</v>
      </c>
      <c r="BL53" s="72">
        <f>Tabela4[[#This Row],[Fonse Atacado]]</f>
        <v>0</v>
      </c>
      <c r="BM53" s="72">
        <f>Tabela4[[#This Row],[Comercial de Alimentos]]</f>
        <v>0</v>
      </c>
      <c r="BN53" s="72">
        <f>Tabela4[[#This Row],[Ivone Kasburg Serralheria]]</f>
        <v>0</v>
      </c>
      <c r="BO53" s="72">
        <f>Tabela4[[#This Row],[Mercado Ceretta]]</f>
        <v>0</v>
      </c>
      <c r="BP53" s="72">
        <f>Tabela4[[#This Row],[Antonio Carlos Dos Santos Pereira]]</f>
        <v>0</v>
      </c>
      <c r="BQ53" s="72">
        <f>Tabela4[[#This Row],[Volnei Lemos Avila - Me]]</f>
        <v>0</v>
      </c>
      <c r="BR53" s="72">
        <f>Tabela4[[#This Row],[Silvana Meneghini]]</f>
        <v>0</v>
      </c>
      <c r="BS53" s="72">
        <f>Tabela4[[#This Row],[Eficaz Engenharia Ltda]]</f>
        <v>0</v>
      </c>
      <c r="BT53" s="72">
        <f>SUM(Tabela4[[#Headers],[Tania Regina Schmaltz - 01]:[Tania Regina Schmaltz - 02]])</f>
        <v>0</v>
      </c>
      <c r="BU53" s="72">
        <f>Tabela4[[#This Row],[Camila Ceretta Segatto]]</f>
        <v>0</v>
      </c>
      <c r="BV53" s="72">
        <f>Tabela4[[#This Row],[Vagner Ribas Dos Santos]]</f>
        <v>0</v>
      </c>
      <c r="BW53" s="72">
        <f>Tabela4[[#This Row],[Claudio Alfredo Konrat]]</f>
        <v>0</v>
      </c>
    </row>
    <row r="54" spans="1:75" x14ac:dyDescent="0.25">
      <c r="A54" s="70">
        <v>44682</v>
      </c>
      <c r="B54" s="72">
        <f>SUM(Tabela4[[#This Row],[Marlon Colovini - 01]:[Marlon Colovini - 02]])</f>
        <v>0</v>
      </c>
      <c r="C54" s="72">
        <f>Tabela4[[#This Row],[Mara Barichello]]</f>
        <v>0</v>
      </c>
      <c r="D54" s="72">
        <f>Tabela4[[#This Row],[Jandira Dutra]]</f>
        <v>0</v>
      </c>
      <c r="E54" s="72">
        <f>Tabela4[[#This Row],[Luiz Fernando Kruger]]</f>
        <v>0</v>
      </c>
      <c r="F54" s="72">
        <f>SUM(Tabela4[[#This Row],[Paulo Bohn - 01]:[Paulo Bohn - 04]])</f>
        <v>0</v>
      </c>
      <c r="G54" s="72">
        <f>Tabela4[[#This Row],[Analia (Clodoaldo Entre-Ijuis)]]</f>
        <v>0</v>
      </c>
      <c r="H54" s="72">
        <f>Tabela4[[#This Row],[Biroh]]</f>
        <v>0</v>
      </c>
      <c r="I54" s="72">
        <f>Tabela4[[#This Row],[Gelson Posser]]</f>
        <v>0</v>
      </c>
      <c r="J54" s="72">
        <f>Tabela4[[#This Row],[Supermercado Caryone]]</f>
        <v>0</v>
      </c>
      <c r="K54" s="72">
        <f>Tabela4[[#This Row],[Ernani Minetto]]</f>
        <v>0</v>
      </c>
      <c r="L54" s="72">
        <f>Tabela4[[#This Row],[Jair Moscon]]</f>
        <v>0</v>
      </c>
      <c r="M54" s="72">
        <f>SUM(Tabela4[[#This Row],[Fabio Milke - 01]:[Fabio Milke - 02]])</f>
        <v>0</v>
      </c>
      <c r="N54" s="72">
        <f>Tabela4[[#This Row],[Piaia]]</f>
        <v>0</v>
      </c>
      <c r="O54" s="72">
        <f>Tabela4[[#This Row],[Osmar Veronese]]</f>
        <v>0</v>
      </c>
      <c r="P54" s="72">
        <f>Tabela4[[#This Row],[ José Luiz Moraes]]</f>
        <v>0</v>
      </c>
      <c r="Q54" s="72">
        <f>Tabela4[[#This Row],[Supermercado Cripy]]</f>
        <v>0</v>
      </c>
      <c r="R54" s="72">
        <f>Tabela4[[#This Row],[Gláucio Lipski (Giruá)]]</f>
        <v>0</v>
      </c>
      <c r="S54" s="72">
        <f>Tabela4[[#This Row],[Contri]]</f>
        <v>0</v>
      </c>
      <c r="T54" s="72">
        <f>Tabela4[[#This Row],[Cleci Rubi]]</f>
        <v>0</v>
      </c>
      <c r="U54" s="72">
        <f>Tabela4[[#This Row],[Betine Rost]]</f>
        <v>0</v>
      </c>
      <c r="V54" s="72">
        <f>SUM(Tabela4[[#This Row],[Robinson Fetter - 01]:[Robinson Fetter - 03]])</f>
        <v>0</v>
      </c>
      <c r="W54" s="72">
        <f>Tabela4[[#This Row],[Fabio De Moura]]</f>
        <v>0</v>
      </c>
      <c r="X54" s="72">
        <f>Tabela4[[#This Row],[Rochele Santos Moraes]]</f>
        <v>0</v>
      </c>
      <c r="Y54" s="72">
        <f>Tabela4[[#This Row],[Auto Posto Kairã]]</f>
        <v>0</v>
      </c>
      <c r="Z54" s="72">
        <f>Tabela4[[#This Row],[Erno Schiefelbain]]</f>
        <v>0</v>
      </c>
      <c r="AA54" s="72">
        <f>Tabela4[[#This Row],[José Paulo Backes]]</f>
        <v>0</v>
      </c>
      <c r="AB54" s="72">
        <f>Tabela4[[#This Row],[Gelso Tofolo]]</f>
        <v>0</v>
      </c>
      <c r="AC54" s="72">
        <f>Tabela4[[#This Row],[Diamantino]]</f>
        <v>0</v>
      </c>
      <c r="AD54" s="72">
        <f>Tabela4[[#This Row],[Mercado Bueno]]</f>
        <v>0</v>
      </c>
      <c r="AE54" s="72">
        <f>Tabela4[[#This Row],[Daniela Donadel Massalai]]</f>
        <v>0</v>
      </c>
      <c r="AF54" s="72">
        <f>Tabela4[[#This Row],[Comercio De Moto Peças Irmãos Guarani Ltda]]</f>
        <v>0</v>
      </c>
      <c r="AG54" s="72">
        <f>Tabela4[[#This Row],[Mauricio Luis Lunardi]]</f>
        <v>0</v>
      </c>
      <c r="AH54" s="72">
        <f>Tabela4[[#This Row],[Rosa Maria Restle Radunz]]</f>
        <v>0</v>
      </c>
      <c r="AI54" s="72">
        <f>Tabela4[[#This Row],[Ivo Amaral De Oliveira]]</f>
        <v>0</v>
      </c>
      <c r="AJ54" s="72">
        <f>Tabela4[[#This Row],[Silvio Robert Lemos Avila]]</f>
        <v>0</v>
      </c>
      <c r="AK54" s="72">
        <f>Tabela4[[#This Row],[Eldo Rost]]</f>
        <v>0</v>
      </c>
      <c r="AL54" s="72">
        <f>SUM(Tabela4[[#This Row],[Padaria Avenida - 01]:[Padaria Avenida - 02]])</f>
        <v>0</v>
      </c>
      <c r="AM54" s="72">
        <f>Tabela4[[#This Row],[Cristiano Anshau]]</f>
        <v>0</v>
      </c>
      <c r="AN54" s="72">
        <f>Tabela4[[#This Row],[Luciana Claudete Meirelles Correa]]</f>
        <v>0</v>
      </c>
      <c r="AO54" s="72">
        <f>Tabela4[[#This Row],[Marcio Jose Siqueira]]</f>
        <v>0</v>
      </c>
      <c r="AP54" s="72">
        <f>Tabela4[[#This Row],[Marcos Rogerio Kessler]]</f>
        <v>0</v>
      </c>
      <c r="AQ54" s="72">
        <f>SUM(Tabela4[[#This Row],[AABB - 01]:[AABB - 02]])</f>
        <v>0</v>
      </c>
      <c r="AR54" s="72">
        <f>SUM(Tabela4[[#This Row],[Wanda Burkard - 01]:[Wanda Burkard - 02]])</f>
        <v>0</v>
      </c>
      <c r="AS54" s="72">
        <f>Tabela4[[#This Row],[Silvio Robert Lemos Avila Me]]</f>
        <v>0</v>
      </c>
      <c r="AT54" s="72">
        <f>Tabela4[[#This Row],[Carmelo]]</f>
        <v>0</v>
      </c>
      <c r="AU54" s="72">
        <f>Tabela4[[#This Row],[Antonio Dal Forno]]</f>
        <v>0</v>
      </c>
      <c r="AV54" s="72">
        <f>Tabela4[[#This Row],[Marisane Paulus]]</f>
        <v>0</v>
      </c>
      <c r="AW54" s="72">
        <f>Tabela4[[#This Row],[Segatto Ceretta Ltda]]</f>
        <v>0</v>
      </c>
      <c r="AX54" s="72">
        <f>SUM(Tabela4[[#This Row],[APAE - 01]:[APAE - 02]])</f>
        <v>0</v>
      </c>
      <c r="AY54" s="72">
        <f>Tabela4[[#This Row],[Cássio Burin]]</f>
        <v>0</v>
      </c>
      <c r="AZ54" s="72">
        <f>Tabela4[[#This Row],[Patrick Kristoschek Da Silva]]</f>
        <v>0</v>
      </c>
      <c r="BA54" s="72">
        <f>Tabela4[[#This Row],[Silvio Robert Ávila - (Valmir)]]</f>
        <v>0</v>
      </c>
      <c r="BB54" s="72">
        <f>Tabela4[[#This Row],[Zederson Jose Della Flora]]</f>
        <v>0</v>
      </c>
      <c r="BC54" s="72">
        <f>Tabela4[[#This Row],[Carlos Walmir Larsão Rolim]]</f>
        <v>0</v>
      </c>
      <c r="BD54" s="72">
        <f>Tabela4[[#This Row],[Danieli Missio]]</f>
        <v>0</v>
      </c>
      <c r="BE54" s="72">
        <f>Tabela4[[#This Row],[José Vasconcellos]]</f>
        <v>0</v>
      </c>
      <c r="BF54" s="72">
        <f>Tabela4[[#This Row],[Linho Lev Alimentos]]</f>
        <v>0</v>
      </c>
      <c r="BG54" s="72">
        <f>Tabela4[[#This Row],[Ernani Czapla]]</f>
        <v>0</v>
      </c>
      <c r="BH54" s="72">
        <f>Tabela4[[#This Row],[Valesca Da Luz]]</f>
        <v>0</v>
      </c>
      <c r="BI54" s="72">
        <f>Tabela4[[#This Row],[Olavo Mildner]]</f>
        <v>0</v>
      </c>
      <c r="BJ54" s="72">
        <f>Tabela4[[#This Row],[Dilnei Rohled]]</f>
        <v>0</v>
      </c>
      <c r="BK54" s="72">
        <f>Tabela4[[#This Row],[Shaiana Signorini]]</f>
        <v>0</v>
      </c>
      <c r="BL54" s="72">
        <f>Tabela4[[#This Row],[Fonse Atacado]]</f>
        <v>0</v>
      </c>
      <c r="BM54" s="72">
        <f>Tabela4[[#This Row],[Comercial de Alimentos]]</f>
        <v>0</v>
      </c>
      <c r="BN54" s="72">
        <f>Tabela4[[#This Row],[Ivone Kasburg Serralheria]]</f>
        <v>0</v>
      </c>
      <c r="BO54" s="72">
        <f>Tabela4[[#This Row],[Mercado Ceretta]]</f>
        <v>0</v>
      </c>
      <c r="BP54" s="72">
        <f>Tabela4[[#This Row],[Antonio Carlos Dos Santos Pereira]]</f>
        <v>0</v>
      </c>
      <c r="BQ54" s="72">
        <f>Tabela4[[#This Row],[Volnei Lemos Avila - Me]]</f>
        <v>0</v>
      </c>
      <c r="BR54" s="72">
        <f>Tabela4[[#This Row],[Silvana Meneghini]]</f>
        <v>0</v>
      </c>
      <c r="BS54" s="72">
        <f>Tabela4[[#This Row],[Eficaz Engenharia Ltda]]</f>
        <v>0</v>
      </c>
      <c r="BT54" s="72">
        <f>SUM(Tabela4[[#Headers],[Tania Regina Schmaltz - 01]:[Tania Regina Schmaltz - 02]])</f>
        <v>0</v>
      </c>
      <c r="BU54" s="72">
        <f>Tabela4[[#This Row],[Camila Ceretta Segatto]]</f>
        <v>0</v>
      </c>
      <c r="BV54" s="72">
        <f>Tabela4[[#This Row],[Vagner Ribas Dos Santos]]</f>
        <v>0</v>
      </c>
      <c r="BW54" s="72">
        <f>Tabela4[[#This Row],[Claudio Alfredo Konrat]]</f>
        <v>0</v>
      </c>
    </row>
    <row r="55" spans="1:75" x14ac:dyDescent="0.25">
      <c r="A55" s="70">
        <v>44713</v>
      </c>
      <c r="B55" s="72">
        <f>SUM(Tabela4[[#This Row],[Marlon Colovini - 01]:[Marlon Colovini - 02]])</f>
        <v>0</v>
      </c>
      <c r="C55" s="72">
        <f>Tabela4[[#This Row],[Mara Barichello]]</f>
        <v>0</v>
      </c>
      <c r="D55" s="72">
        <f>Tabela4[[#This Row],[Jandira Dutra]]</f>
        <v>0</v>
      </c>
      <c r="E55" s="72">
        <f>Tabela4[[#This Row],[Luiz Fernando Kruger]]</f>
        <v>0</v>
      </c>
      <c r="F55" s="72">
        <f>SUM(Tabela4[[#This Row],[Paulo Bohn - 01]:[Paulo Bohn - 04]])</f>
        <v>0</v>
      </c>
      <c r="G55" s="72">
        <f>Tabela4[[#This Row],[Analia (Clodoaldo Entre-Ijuis)]]</f>
        <v>0</v>
      </c>
      <c r="H55" s="72">
        <f>Tabela4[[#This Row],[Biroh]]</f>
        <v>0</v>
      </c>
      <c r="I55" s="72">
        <f>Tabela4[[#This Row],[Gelson Posser]]</f>
        <v>0</v>
      </c>
      <c r="J55" s="72">
        <f>Tabela4[[#This Row],[Supermercado Caryone]]</f>
        <v>0</v>
      </c>
      <c r="K55" s="72">
        <f>Tabela4[[#This Row],[Ernani Minetto]]</f>
        <v>0</v>
      </c>
      <c r="L55" s="72">
        <f>Tabela4[[#This Row],[Jair Moscon]]</f>
        <v>0</v>
      </c>
      <c r="M55" s="72">
        <f>SUM(Tabela4[[#This Row],[Fabio Milke - 01]:[Fabio Milke - 02]])</f>
        <v>0</v>
      </c>
      <c r="N55" s="72">
        <f>Tabela4[[#This Row],[Piaia]]</f>
        <v>0</v>
      </c>
      <c r="O55" s="72">
        <f>Tabela4[[#This Row],[Osmar Veronese]]</f>
        <v>0</v>
      </c>
      <c r="P55" s="72">
        <f>Tabela4[[#This Row],[ José Luiz Moraes]]</f>
        <v>0</v>
      </c>
      <c r="Q55" s="72">
        <f>Tabela4[[#This Row],[Supermercado Cripy]]</f>
        <v>0</v>
      </c>
      <c r="R55" s="72">
        <f>Tabela4[[#This Row],[Gláucio Lipski (Giruá)]]</f>
        <v>0</v>
      </c>
      <c r="S55" s="72">
        <f>Tabela4[[#This Row],[Contri]]</f>
        <v>0</v>
      </c>
      <c r="T55" s="72">
        <f>Tabela4[[#This Row],[Cleci Rubi]]</f>
        <v>0</v>
      </c>
      <c r="U55" s="72">
        <f>Tabela4[[#This Row],[Betine Rost]]</f>
        <v>0</v>
      </c>
      <c r="V55" s="72">
        <f>SUM(Tabela4[[#This Row],[Robinson Fetter - 01]:[Robinson Fetter - 03]])</f>
        <v>0</v>
      </c>
      <c r="W55" s="72">
        <f>Tabela4[[#This Row],[Fabio De Moura]]</f>
        <v>0</v>
      </c>
      <c r="X55" s="72">
        <f>Tabela4[[#This Row],[Rochele Santos Moraes]]</f>
        <v>0</v>
      </c>
      <c r="Y55" s="72">
        <f>Tabela4[[#This Row],[Auto Posto Kairã]]</f>
        <v>0</v>
      </c>
      <c r="Z55" s="72">
        <f>Tabela4[[#This Row],[Erno Schiefelbain]]</f>
        <v>0</v>
      </c>
      <c r="AA55" s="72">
        <f>Tabela4[[#This Row],[José Paulo Backes]]</f>
        <v>0</v>
      </c>
      <c r="AB55" s="72">
        <f>Tabela4[[#This Row],[Gelso Tofolo]]</f>
        <v>0</v>
      </c>
      <c r="AC55" s="72">
        <f>Tabela4[[#This Row],[Diamantino]]</f>
        <v>0</v>
      </c>
      <c r="AD55" s="72">
        <f>Tabela4[[#This Row],[Mercado Bueno]]</f>
        <v>0</v>
      </c>
      <c r="AE55" s="72">
        <f>Tabela4[[#This Row],[Daniela Donadel Massalai]]</f>
        <v>0</v>
      </c>
      <c r="AF55" s="72">
        <f>Tabela4[[#This Row],[Comercio De Moto Peças Irmãos Guarani Ltda]]</f>
        <v>0</v>
      </c>
      <c r="AG55" s="72">
        <f>Tabela4[[#This Row],[Mauricio Luis Lunardi]]</f>
        <v>0</v>
      </c>
      <c r="AH55" s="72">
        <f>Tabela4[[#This Row],[Rosa Maria Restle Radunz]]</f>
        <v>0</v>
      </c>
      <c r="AI55" s="72">
        <f>Tabela4[[#This Row],[Ivo Amaral De Oliveira]]</f>
        <v>0</v>
      </c>
      <c r="AJ55" s="72">
        <f>Tabela4[[#This Row],[Silvio Robert Lemos Avila]]</f>
        <v>0</v>
      </c>
      <c r="AK55" s="72">
        <f>Tabela4[[#This Row],[Eldo Rost]]</f>
        <v>0</v>
      </c>
      <c r="AL55" s="72">
        <f>SUM(Tabela4[[#This Row],[Padaria Avenida - 01]:[Padaria Avenida - 02]])</f>
        <v>0</v>
      </c>
      <c r="AM55" s="72">
        <f>Tabela4[[#This Row],[Cristiano Anshau]]</f>
        <v>0</v>
      </c>
      <c r="AN55" s="72">
        <f>Tabela4[[#This Row],[Luciana Claudete Meirelles Correa]]</f>
        <v>0</v>
      </c>
      <c r="AO55" s="72">
        <f>Tabela4[[#This Row],[Marcio Jose Siqueira]]</f>
        <v>0</v>
      </c>
      <c r="AP55" s="72">
        <f>Tabela4[[#This Row],[Marcos Rogerio Kessler]]</f>
        <v>0</v>
      </c>
      <c r="AQ55" s="72">
        <f>SUM(Tabela4[[#This Row],[AABB - 01]:[AABB - 02]])</f>
        <v>0</v>
      </c>
      <c r="AR55" s="72">
        <f>SUM(Tabela4[[#This Row],[Wanda Burkard - 01]:[Wanda Burkard - 02]])</f>
        <v>0</v>
      </c>
      <c r="AS55" s="72">
        <f>Tabela4[[#This Row],[Silvio Robert Lemos Avila Me]]</f>
        <v>0</v>
      </c>
      <c r="AT55" s="72">
        <f>Tabela4[[#This Row],[Carmelo]]</f>
        <v>0</v>
      </c>
      <c r="AU55" s="72">
        <f>Tabela4[[#This Row],[Antonio Dal Forno]]</f>
        <v>0</v>
      </c>
      <c r="AV55" s="72">
        <f>Tabela4[[#This Row],[Marisane Paulus]]</f>
        <v>0</v>
      </c>
      <c r="AW55" s="72">
        <f>Tabela4[[#This Row],[Segatto Ceretta Ltda]]</f>
        <v>0</v>
      </c>
      <c r="AX55" s="72">
        <f>SUM(Tabela4[[#This Row],[APAE - 01]:[APAE - 02]])</f>
        <v>0</v>
      </c>
      <c r="AY55" s="72">
        <f>Tabela4[[#This Row],[Cássio Burin]]</f>
        <v>0</v>
      </c>
      <c r="AZ55" s="72">
        <f>Tabela4[[#This Row],[Patrick Kristoschek Da Silva]]</f>
        <v>0</v>
      </c>
      <c r="BA55" s="72">
        <f>Tabela4[[#This Row],[Silvio Robert Ávila - (Valmir)]]</f>
        <v>0</v>
      </c>
      <c r="BB55" s="72">
        <f>Tabela4[[#This Row],[Zederson Jose Della Flora]]</f>
        <v>0</v>
      </c>
      <c r="BC55" s="72">
        <f>Tabela4[[#This Row],[Carlos Walmir Larsão Rolim]]</f>
        <v>0</v>
      </c>
      <c r="BD55" s="72">
        <f>Tabela4[[#This Row],[Danieli Missio]]</f>
        <v>0</v>
      </c>
      <c r="BE55" s="72">
        <f>Tabela4[[#This Row],[José Vasconcellos]]</f>
        <v>0</v>
      </c>
      <c r="BF55" s="72">
        <f>Tabela4[[#This Row],[Linho Lev Alimentos]]</f>
        <v>0</v>
      </c>
      <c r="BG55" s="72">
        <f>Tabela4[[#This Row],[Ernani Czapla]]</f>
        <v>0</v>
      </c>
      <c r="BH55" s="72">
        <f>Tabela4[[#This Row],[Valesca Da Luz]]</f>
        <v>0</v>
      </c>
      <c r="BI55" s="72">
        <f>Tabela4[[#This Row],[Olavo Mildner]]</f>
        <v>0</v>
      </c>
      <c r="BJ55" s="72">
        <f>Tabela4[[#This Row],[Dilnei Rohled]]</f>
        <v>0</v>
      </c>
      <c r="BK55" s="72">
        <f>Tabela4[[#This Row],[Shaiana Signorini]]</f>
        <v>0</v>
      </c>
      <c r="BL55" s="72">
        <f>Tabela4[[#This Row],[Fonse Atacado]]</f>
        <v>0</v>
      </c>
      <c r="BM55" s="72">
        <f>Tabela4[[#This Row],[Comercial de Alimentos]]</f>
        <v>0</v>
      </c>
      <c r="BN55" s="72">
        <f>Tabela4[[#This Row],[Ivone Kasburg Serralheria]]</f>
        <v>0</v>
      </c>
      <c r="BO55" s="72">
        <f>Tabela4[[#This Row],[Mercado Ceretta]]</f>
        <v>0</v>
      </c>
      <c r="BP55" s="72">
        <f>Tabela4[[#This Row],[Antonio Carlos Dos Santos Pereira]]</f>
        <v>0</v>
      </c>
      <c r="BQ55" s="72">
        <f>Tabela4[[#This Row],[Volnei Lemos Avila - Me]]</f>
        <v>0</v>
      </c>
      <c r="BR55" s="72">
        <f>Tabela4[[#This Row],[Silvana Meneghini]]</f>
        <v>0</v>
      </c>
      <c r="BS55" s="72">
        <f>Tabela4[[#This Row],[Eficaz Engenharia Ltda]]</f>
        <v>0</v>
      </c>
      <c r="BT55" s="72">
        <f>SUM(Tabela4[[#Headers],[Tania Regina Schmaltz - 01]:[Tania Regina Schmaltz - 02]])</f>
        <v>0</v>
      </c>
      <c r="BU55" s="72">
        <f>Tabela4[[#This Row],[Camila Ceretta Segatto]]</f>
        <v>0</v>
      </c>
      <c r="BV55" s="72">
        <f>Tabela4[[#This Row],[Vagner Ribas Dos Santos]]</f>
        <v>0</v>
      </c>
      <c r="BW55" s="72">
        <f>Tabela4[[#This Row],[Claudio Alfredo Konrat]]</f>
        <v>0</v>
      </c>
    </row>
    <row r="56" spans="1:75" x14ac:dyDescent="0.25">
      <c r="A56" s="70">
        <v>44743</v>
      </c>
      <c r="B56" s="72">
        <f>SUM(Tabela4[[#This Row],[Marlon Colovini - 01]:[Marlon Colovini - 02]])</f>
        <v>0</v>
      </c>
      <c r="C56" s="72">
        <f>Tabela4[[#This Row],[Mara Barichello]]</f>
        <v>0</v>
      </c>
      <c r="D56" s="72">
        <f>Tabela4[[#This Row],[Jandira Dutra]]</f>
        <v>0</v>
      </c>
      <c r="E56" s="72">
        <f>Tabela4[[#This Row],[Luiz Fernando Kruger]]</f>
        <v>0</v>
      </c>
      <c r="F56" s="72">
        <f>SUM(Tabela4[[#This Row],[Paulo Bohn - 01]:[Paulo Bohn - 04]])</f>
        <v>0</v>
      </c>
      <c r="G56" s="72">
        <f>Tabela4[[#This Row],[Analia (Clodoaldo Entre-Ijuis)]]</f>
        <v>0</v>
      </c>
      <c r="H56" s="72">
        <f>Tabela4[[#This Row],[Biroh]]</f>
        <v>0</v>
      </c>
      <c r="I56" s="72">
        <f>Tabela4[[#This Row],[Gelson Posser]]</f>
        <v>0</v>
      </c>
      <c r="J56" s="72">
        <f>Tabela4[[#This Row],[Supermercado Caryone]]</f>
        <v>0</v>
      </c>
      <c r="K56" s="72">
        <f>Tabela4[[#This Row],[Ernani Minetto]]</f>
        <v>0</v>
      </c>
      <c r="L56" s="72">
        <f>Tabela4[[#This Row],[Jair Moscon]]</f>
        <v>0</v>
      </c>
      <c r="M56" s="72">
        <f>SUM(Tabela4[[#This Row],[Fabio Milke - 01]:[Fabio Milke - 02]])</f>
        <v>0</v>
      </c>
      <c r="N56" s="72">
        <f>Tabela4[[#This Row],[Piaia]]</f>
        <v>0</v>
      </c>
      <c r="O56" s="72">
        <f>Tabela4[[#This Row],[Osmar Veronese]]</f>
        <v>0</v>
      </c>
      <c r="P56" s="72">
        <f>Tabela4[[#This Row],[ José Luiz Moraes]]</f>
        <v>0</v>
      </c>
      <c r="Q56" s="72">
        <f>Tabela4[[#This Row],[Supermercado Cripy]]</f>
        <v>0</v>
      </c>
      <c r="R56" s="72">
        <f>Tabela4[[#This Row],[Gláucio Lipski (Giruá)]]</f>
        <v>0</v>
      </c>
      <c r="S56" s="72">
        <f>Tabela4[[#This Row],[Contri]]</f>
        <v>0</v>
      </c>
      <c r="T56" s="72">
        <f>Tabela4[[#This Row],[Cleci Rubi]]</f>
        <v>0</v>
      </c>
      <c r="U56" s="72">
        <f>Tabela4[[#This Row],[Betine Rost]]</f>
        <v>0</v>
      </c>
      <c r="V56" s="72">
        <f>SUM(Tabela4[[#This Row],[Robinson Fetter - 01]:[Robinson Fetter - 03]])</f>
        <v>0</v>
      </c>
      <c r="W56" s="72">
        <f>Tabela4[[#This Row],[Fabio De Moura]]</f>
        <v>0</v>
      </c>
      <c r="X56" s="72">
        <f>Tabela4[[#This Row],[Rochele Santos Moraes]]</f>
        <v>0</v>
      </c>
      <c r="Y56" s="72">
        <f>Tabela4[[#This Row],[Auto Posto Kairã]]</f>
        <v>0</v>
      </c>
      <c r="Z56" s="72">
        <f>Tabela4[[#This Row],[Erno Schiefelbain]]</f>
        <v>0</v>
      </c>
      <c r="AA56" s="72">
        <f>Tabela4[[#This Row],[José Paulo Backes]]</f>
        <v>0</v>
      </c>
      <c r="AB56" s="72">
        <f>Tabela4[[#This Row],[Gelso Tofolo]]</f>
        <v>0</v>
      </c>
      <c r="AC56" s="72">
        <f>Tabela4[[#This Row],[Diamantino]]</f>
        <v>0</v>
      </c>
      <c r="AD56" s="72">
        <f>Tabela4[[#This Row],[Mercado Bueno]]</f>
        <v>0</v>
      </c>
      <c r="AE56" s="72">
        <f>Tabela4[[#This Row],[Daniela Donadel Massalai]]</f>
        <v>0</v>
      </c>
      <c r="AF56" s="72">
        <f>Tabela4[[#This Row],[Comercio De Moto Peças Irmãos Guarani Ltda]]</f>
        <v>0</v>
      </c>
      <c r="AG56" s="72">
        <f>Tabela4[[#This Row],[Mauricio Luis Lunardi]]</f>
        <v>0</v>
      </c>
      <c r="AH56" s="72">
        <f>Tabela4[[#This Row],[Rosa Maria Restle Radunz]]</f>
        <v>0</v>
      </c>
      <c r="AI56" s="72">
        <f>Tabela4[[#This Row],[Ivo Amaral De Oliveira]]</f>
        <v>0</v>
      </c>
      <c r="AJ56" s="72">
        <f>Tabela4[[#This Row],[Silvio Robert Lemos Avila]]</f>
        <v>0</v>
      </c>
      <c r="AK56" s="72">
        <f>Tabela4[[#This Row],[Eldo Rost]]</f>
        <v>0</v>
      </c>
      <c r="AL56" s="72">
        <f>SUM(Tabela4[[#This Row],[Padaria Avenida - 01]:[Padaria Avenida - 02]])</f>
        <v>0</v>
      </c>
      <c r="AM56" s="72">
        <f>Tabela4[[#This Row],[Cristiano Anshau]]</f>
        <v>0</v>
      </c>
      <c r="AN56" s="72">
        <f>Tabela4[[#This Row],[Luciana Claudete Meirelles Correa]]</f>
        <v>0</v>
      </c>
      <c r="AO56" s="72">
        <f>Tabela4[[#This Row],[Marcio Jose Siqueira]]</f>
        <v>0</v>
      </c>
      <c r="AP56" s="72">
        <f>Tabela4[[#This Row],[Marcos Rogerio Kessler]]</f>
        <v>0</v>
      </c>
      <c r="AQ56" s="72">
        <f>SUM(Tabela4[[#This Row],[AABB - 01]:[AABB - 02]])</f>
        <v>0</v>
      </c>
      <c r="AR56" s="72">
        <f>SUM(Tabela4[[#This Row],[Wanda Burkard - 01]:[Wanda Burkard - 02]])</f>
        <v>0</v>
      </c>
      <c r="AS56" s="72">
        <f>Tabela4[[#This Row],[Silvio Robert Lemos Avila Me]]</f>
        <v>0</v>
      </c>
      <c r="AT56" s="72">
        <f>Tabela4[[#This Row],[Carmelo]]</f>
        <v>0</v>
      </c>
      <c r="AU56" s="72">
        <f>Tabela4[[#This Row],[Antonio Dal Forno]]</f>
        <v>0</v>
      </c>
      <c r="AV56" s="72">
        <f>Tabela4[[#This Row],[Marisane Paulus]]</f>
        <v>0</v>
      </c>
      <c r="AW56" s="72">
        <f>Tabela4[[#This Row],[Segatto Ceretta Ltda]]</f>
        <v>0</v>
      </c>
      <c r="AX56" s="72">
        <f>SUM(Tabela4[[#This Row],[APAE - 01]:[APAE - 02]])</f>
        <v>0</v>
      </c>
      <c r="AY56" s="72">
        <f>Tabela4[[#This Row],[Cássio Burin]]</f>
        <v>0</v>
      </c>
      <c r="AZ56" s="72">
        <f>Tabela4[[#This Row],[Patrick Kristoschek Da Silva]]</f>
        <v>0</v>
      </c>
      <c r="BA56" s="72">
        <f>Tabela4[[#This Row],[Silvio Robert Ávila - (Valmir)]]</f>
        <v>0</v>
      </c>
      <c r="BB56" s="72">
        <f>Tabela4[[#This Row],[Zederson Jose Della Flora]]</f>
        <v>0</v>
      </c>
      <c r="BC56" s="72">
        <f>Tabela4[[#This Row],[Carlos Walmir Larsão Rolim]]</f>
        <v>0</v>
      </c>
      <c r="BD56" s="72">
        <f>Tabela4[[#This Row],[Danieli Missio]]</f>
        <v>0</v>
      </c>
      <c r="BE56" s="72">
        <f>Tabela4[[#This Row],[José Vasconcellos]]</f>
        <v>0</v>
      </c>
      <c r="BF56" s="72">
        <f>Tabela4[[#This Row],[Linho Lev Alimentos]]</f>
        <v>0</v>
      </c>
      <c r="BG56" s="72">
        <f>Tabela4[[#This Row],[Ernani Czapla]]</f>
        <v>0</v>
      </c>
      <c r="BH56" s="72">
        <f>Tabela4[[#This Row],[Valesca Da Luz]]</f>
        <v>0</v>
      </c>
      <c r="BI56" s="72">
        <f>Tabela4[[#This Row],[Olavo Mildner]]</f>
        <v>0</v>
      </c>
      <c r="BJ56" s="72">
        <f>Tabela4[[#This Row],[Dilnei Rohled]]</f>
        <v>0</v>
      </c>
      <c r="BK56" s="72">
        <f>Tabela4[[#This Row],[Shaiana Signorini]]</f>
        <v>0</v>
      </c>
      <c r="BL56" s="72">
        <f>Tabela4[[#This Row],[Fonse Atacado]]</f>
        <v>0</v>
      </c>
      <c r="BM56" s="72">
        <f>Tabela4[[#This Row],[Comercial de Alimentos]]</f>
        <v>0</v>
      </c>
      <c r="BN56" s="72">
        <f>Tabela4[[#This Row],[Ivone Kasburg Serralheria]]</f>
        <v>0</v>
      </c>
      <c r="BO56" s="72">
        <f>Tabela4[[#This Row],[Mercado Ceretta]]</f>
        <v>0</v>
      </c>
      <c r="BP56" s="72">
        <f>Tabela4[[#This Row],[Antonio Carlos Dos Santos Pereira]]</f>
        <v>0</v>
      </c>
      <c r="BQ56" s="72">
        <f>Tabela4[[#This Row],[Volnei Lemos Avila - Me]]</f>
        <v>0</v>
      </c>
      <c r="BR56" s="72">
        <f>Tabela4[[#This Row],[Silvana Meneghini]]</f>
        <v>0</v>
      </c>
      <c r="BS56" s="72">
        <f>Tabela4[[#This Row],[Eficaz Engenharia Ltda]]</f>
        <v>0</v>
      </c>
      <c r="BT56" s="72">
        <f>SUM(Tabela4[[#Headers],[Tania Regina Schmaltz - 01]:[Tania Regina Schmaltz - 02]])</f>
        <v>0</v>
      </c>
      <c r="BU56" s="72">
        <f>Tabela4[[#This Row],[Camila Ceretta Segatto]]</f>
        <v>0</v>
      </c>
      <c r="BV56" s="72">
        <f>Tabela4[[#This Row],[Vagner Ribas Dos Santos]]</f>
        <v>0</v>
      </c>
      <c r="BW56" s="72">
        <f>Tabela4[[#This Row],[Claudio Alfredo Konrat]]</f>
        <v>0</v>
      </c>
    </row>
    <row r="57" spans="1:75" x14ac:dyDescent="0.25">
      <c r="A57" s="70">
        <v>44774</v>
      </c>
      <c r="B57" s="72">
        <f>SUM(Tabela4[[#This Row],[Marlon Colovini - 01]:[Marlon Colovini - 02]])</f>
        <v>0</v>
      </c>
      <c r="C57" s="72">
        <f>Tabela4[[#This Row],[Mara Barichello]]</f>
        <v>0</v>
      </c>
      <c r="D57" s="72">
        <f>Tabela4[[#This Row],[Jandira Dutra]]</f>
        <v>0</v>
      </c>
      <c r="E57" s="72">
        <f>Tabela4[[#This Row],[Luiz Fernando Kruger]]</f>
        <v>0</v>
      </c>
      <c r="F57" s="72">
        <f>SUM(Tabela4[[#This Row],[Paulo Bohn - 01]:[Paulo Bohn - 04]])</f>
        <v>0</v>
      </c>
      <c r="G57" s="72">
        <f>Tabela4[[#This Row],[Analia (Clodoaldo Entre-Ijuis)]]</f>
        <v>0</v>
      </c>
      <c r="H57" s="72">
        <f>Tabela4[[#This Row],[Biroh]]</f>
        <v>0</v>
      </c>
      <c r="I57" s="72">
        <f>Tabela4[[#This Row],[Gelson Posser]]</f>
        <v>0</v>
      </c>
      <c r="J57" s="72">
        <f>Tabela4[[#This Row],[Supermercado Caryone]]</f>
        <v>0</v>
      </c>
      <c r="K57" s="72">
        <f>Tabela4[[#This Row],[Ernani Minetto]]</f>
        <v>0</v>
      </c>
      <c r="L57" s="72">
        <f>Tabela4[[#This Row],[Jair Moscon]]</f>
        <v>0</v>
      </c>
      <c r="M57" s="72">
        <f>SUM(Tabela4[[#This Row],[Fabio Milke - 01]:[Fabio Milke - 02]])</f>
        <v>0</v>
      </c>
      <c r="N57" s="72">
        <f>Tabela4[[#This Row],[Piaia]]</f>
        <v>0</v>
      </c>
      <c r="O57" s="72">
        <f>Tabela4[[#This Row],[Osmar Veronese]]</f>
        <v>0</v>
      </c>
      <c r="P57" s="72">
        <f>Tabela4[[#This Row],[ José Luiz Moraes]]</f>
        <v>0</v>
      </c>
      <c r="Q57" s="72">
        <f>Tabela4[[#This Row],[Supermercado Cripy]]</f>
        <v>0</v>
      </c>
      <c r="R57" s="72">
        <f>Tabela4[[#This Row],[Gláucio Lipski (Giruá)]]</f>
        <v>0</v>
      </c>
      <c r="S57" s="72">
        <f>Tabela4[[#This Row],[Contri]]</f>
        <v>0</v>
      </c>
      <c r="T57" s="72">
        <f>Tabela4[[#This Row],[Cleci Rubi]]</f>
        <v>0</v>
      </c>
      <c r="U57" s="72">
        <f>Tabela4[[#This Row],[Betine Rost]]</f>
        <v>0</v>
      </c>
      <c r="V57" s="72">
        <f>SUM(Tabela4[[#This Row],[Robinson Fetter - 01]:[Robinson Fetter - 03]])</f>
        <v>0</v>
      </c>
      <c r="W57" s="72">
        <f>Tabela4[[#This Row],[Fabio De Moura]]</f>
        <v>0</v>
      </c>
      <c r="X57" s="72">
        <f>Tabela4[[#This Row],[Rochele Santos Moraes]]</f>
        <v>0</v>
      </c>
      <c r="Y57" s="72">
        <f>Tabela4[[#This Row],[Auto Posto Kairã]]</f>
        <v>0</v>
      </c>
      <c r="Z57" s="72">
        <f>Tabela4[[#This Row],[Erno Schiefelbain]]</f>
        <v>0</v>
      </c>
      <c r="AA57" s="72">
        <f>Tabela4[[#This Row],[José Paulo Backes]]</f>
        <v>0</v>
      </c>
      <c r="AB57" s="72">
        <f>Tabela4[[#This Row],[Gelso Tofolo]]</f>
        <v>0</v>
      </c>
      <c r="AC57" s="72">
        <f>Tabela4[[#This Row],[Diamantino]]</f>
        <v>0</v>
      </c>
      <c r="AD57" s="72">
        <f>Tabela4[[#This Row],[Mercado Bueno]]</f>
        <v>0</v>
      </c>
      <c r="AE57" s="72">
        <f>Tabela4[[#This Row],[Daniela Donadel Massalai]]</f>
        <v>0</v>
      </c>
      <c r="AF57" s="72">
        <f>Tabela4[[#This Row],[Comercio De Moto Peças Irmãos Guarani Ltda]]</f>
        <v>0</v>
      </c>
      <c r="AG57" s="72">
        <f>Tabela4[[#This Row],[Mauricio Luis Lunardi]]</f>
        <v>0</v>
      </c>
      <c r="AH57" s="72">
        <f>Tabela4[[#This Row],[Rosa Maria Restle Radunz]]</f>
        <v>0</v>
      </c>
      <c r="AI57" s="72">
        <f>Tabela4[[#This Row],[Ivo Amaral De Oliveira]]</f>
        <v>0</v>
      </c>
      <c r="AJ57" s="72">
        <f>Tabela4[[#This Row],[Silvio Robert Lemos Avila]]</f>
        <v>0</v>
      </c>
      <c r="AK57" s="72">
        <f>Tabela4[[#This Row],[Eldo Rost]]</f>
        <v>0</v>
      </c>
      <c r="AL57" s="72">
        <f>SUM(Tabela4[[#This Row],[Padaria Avenida - 01]:[Padaria Avenida - 02]])</f>
        <v>0</v>
      </c>
      <c r="AM57" s="72">
        <f>Tabela4[[#This Row],[Cristiano Anshau]]</f>
        <v>0</v>
      </c>
      <c r="AN57" s="72">
        <f>Tabela4[[#This Row],[Luciana Claudete Meirelles Correa]]</f>
        <v>0</v>
      </c>
      <c r="AO57" s="72">
        <f>Tabela4[[#This Row],[Marcio Jose Siqueira]]</f>
        <v>0</v>
      </c>
      <c r="AP57" s="72">
        <f>Tabela4[[#This Row],[Marcos Rogerio Kessler]]</f>
        <v>0</v>
      </c>
      <c r="AQ57" s="72">
        <f>SUM(Tabela4[[#This Row],[AABB - 01]:[AABB - 02]])</f>
        <v>0</v>
      </c>
      <c r="AR57" s="72">
        <f>SUM(Tabela4[[#This Row],[Wanda Burkard - 01]:[Wanda Burkard - 02]])</f>
        <v>0</v>
      </c>
      <c r="AS57" s="72">
        <f>Tabela4[[#This Row],[Silvio Robert Lemos Avila Me]]</f>
        <v>0</v>
      </c>
      <c r="AT57" s="72">
        <f>Tabela4[[#This Row],[Carmelo]]</f>
        <v>0</v>
      </c>
      <c r="AU57" s="72">
        <f>Tabela4[[#This Row],[Antonio Dal Forno]]</f>
        <v>0</v>
      </c>
      <c r="AV57" s="72">
        <f>Tabela4[[#This Row],[Marisane Paulus]]</f>
        <v>0</v>
      </c>
      <c r="AW57" s="72">
        <f>Tabela4[[#This Row],[Segatto Ceretta Ltda]]</f>
        <v>0</v>
      </c>
      <c r="AX57" s="72">
        <f>SUM(Tabela4[[#This Row],[APAE - 01]:[APAE - 02]])</f>
        <v>0</v>
      </c>
      <c r="AY57" s="72">
        <f>Tabela4[[#This Row],[Cássio Burin]]</f>
        <v>0</v>
      </c>
      <c r="AZ57" s="72">
        <f>Tabela4[[#This Row],[Patrick Kristoschek Da Silva]]</f>
        <v>0</v>
      </c>
      <c r="BA57" s="72">
        <f>Tabela4[[#This Row],[Silvio Robert Ávila - (Valmir)]]</f>
        <v>0</v>
      </c>
      <c r="BB57" s="72">
        <f>Tabela4[[#This Row],[Zederson Jose Della Flora]]</f>
        <v>0</v>
      </c>
      <c r="BC57" s="72">
        <f>Tabela4[[#This Row],[Carlos Walmir Larsão Rolim]]</f>
        <v>0</v>
      </c>
      <c r="BD57" s="72">
        <f>Tabela4[[#This Row],[Danieli Missio]]</f>
        <v>0</v>
      </c>
      <c r="BE57" s="72">
        <f>Tabela4[[#This Row],[José Vasconcellos]]</f>
        <v>0</v>
      </c>
      <c r="BF57" s="72">
        <f>Tabela4[[#This Row],[Linho Lev Alimentos]]</f>
        <v>0</v>
      </c>
      <c r="BG57" s="72">
        <f>Tabela4[[#This Row],[Ernani Czapla]]</f>
        <v>0</v>
      </c>
      <c r="BH57" s="72">
        <f>Tabela4[[#This Row],[Valesca Da Luz]]</f>
        <v>0</v>
      </c>
      <c r="BI57" s="72">
        <f>Tabela4[[#This Row],[Olavo Mildner]]</f>
        <v>0</v>
      </c>
      <c r="BJ57" s="72">
        <f>Tabela4[[#This Row],[Dilnei Rohled]]</f>
        <v>0</v>
      </c>
      <c r="BK57" s="72">
        <f>Tabela4[[#This Row],[Shaiana Signorini]]</f>
        <v>0</v>
      </c>
      <c r="BL57" s="72">
        <f>Tabela4[[#This Row],[Fonse Atacado]]</f>
        <v>0</v>
      </c>
      <c r="BM57" s="72">
        <f>Tabela4[[#This Row],[Comercial de Alimentos]]</f>
        <v>0</v>
      </c>
      <c r="BN57" s="72">
        <f>Tabela4[[#This Row],[Ivone Kasburg Serralheria]]</f>
        <v>0</v>
      </c>
      <c r="BO57" s="72">
        <f>Tabela4[[#This Row],[Mercado Ceretta]]</f>
        <v>0</v>
      </c>
      <c r="BP57" s="72">
        <f>Tabela4[[#This Row],[Antonio Carlos Dos Santos Pereira]]</f>
        <v>0</v>
      </c>
      <c r="BQ57" s="72">
        <f>Tabela4[[#This Row],[Volnei Lemos Avila - Me]]</f>
        <v>0</v>
      </c>
      <c r="BR57" s="72">
        <f>Tabela4[[#This Row],[Silvana Meneghini]]</f>
        <v>0</v>
      </c>
      <c r="BS57" s="72">
        <f>Tabela4[[#This Row],[Eficaz Engenharia Ltda]]</f>
        <v>0</v>
      </c>
      <c r="BT57" s="72">
        <f>SUM(Tabela4[[#Headers],[Tania Regina Schmaltz - 01]:[Tania Regina Schmaltz - 02]])</f>
        <v>0</v>
      </c>
      <c r="BU57" s="72">
        <f>Tabela4[[#This Row],[Camila Ceretta Segatto]]</f>
        <v>0</v>
      </c>
      <c r="BV57" s="72">
        <f>Tabela4[[#This Row],[Vagner Ribas Dos Santos]]</f>
        <v>0</v>
      </c>
      <c r="BW57" s="72">
        <f>Tabela4[[#This Row],[Claudio Alfredo Konrat]]</f>
        <v>0</v>
      </c>
    </row>
    <row r="58" spans="1:75" x14ac:dyDescent="0.25">
      <c r="A58" s="70">
        <v>44805</v>
      </c>
      <c r="B58" s="72">
        <f>SUM(Tabela4[[#This Row],[Marlon Colovini - 01]:[Marlon Colovini - 02]])</f>
        <v>0</v>
      </c>
      <c r="C58" s="72">
        <f>Tabela4[[#This Row],[Mara Barichello]]</f>
        <v>0</v>
      </c>
      <c r="D58" s="72">
        <f>Tabela4[[#This Row],[Jandira Dutra]]</f>
        <v>0</v>
      </c>
      <c r="E58" s="72">
        <f>Tabela4[[#This Row],[Luiz Fernando Kruger]]</f>
        <v>0</v>
      </c>
      <c r="F58" s="72">
        <f>SUM(Tabela4[[#This Row],[Paulo Bohn - 01]:[Paulo Bohn - 04]])</f>
        <v>0</v>
      </c>
      <c r="G58" s="72">
        <f>Tabela4[[#This Row],[Analia (Clodoaldo Entre-Ijuis)]]</f>
        <v>0</v>
      </c>
      <c r="H58" s="72">
        <f>Tabela4[[#This Row],[Biroh]]</f>
        <v>0</v>
      </c>
      <c r="I58" s="72">
        <f>Tabela4[[#This Row],[Gelson Posser]]</f>
        <v>0</v>
      </c>
      <c r="J58" s="72">
        <f>Tabela4[[#This Row],[Supermercado Caryone]]</f>
        <v>0</v>
      </c>
      <c r="K58" s="72">
        <f>Tabela4[[#This Row],[Ernani Minetto]]</f>
        <v>0</v>
      </c>
      <c r="L58" s="72">
        <f>Tabela4[[#This Row],[Jair Moscon]]</f>
        <v>0</v>
      </c>
      <c r="M58" s="72">
        <f>SUM(Tabela4[[#This Row],[Fabio Milke - 01]:[Fabio Milke - 02]])</f>
        <v>0</v>
      </c>
      <c r="N58" s="72">
        <f>Tabela4[[#This Row],[Piaia]]</f>
        <v>0</v>
      </c>
      <c r="O58" s="72">
        <f>Tabela4[[#This Row],[Osmar Veronese]]</f>
        <v>0</v>
      </c>
      <c r="P58" s="72">
        <f>Tabela4[[#This Row],[ José Luiz Moraes]]</f>
        <v>0</v>
      </c>
      <c r="Q58" s="72">
        <f>Tabela4[[#This Row],[Supermercado Cripy]]</f>
        <v>0</v>
      </c>
      <c r="R58" s="72">
        <f>Tabela4[[#This Row],[Gláucio Lipski (Giruá)]]</f>
        <v>0</v>
      </c>
      <c r="S58" s="72">
        <f>Tabela4[[#This Row],[Contri]]</f>
        <v>0</v>
      </c>
      <c r="T58" s="72">
        <f>Tabela4[[#This Row],[Cleci Rubi]]</f>
        <v>0</v>
      </c>
      <c r="U58" s="72">
        <f>Tabela4[[#This Row],[Betine Rost]]</f>
        <v>0</v>
      </c>
      <c r="V58" s="72">
        <f>SUM(Tabela4[[#This Row],[Robinson Fetter - 01]:[Robinson Fetter - 03]])</f>
        <v>0</v>
      </c>
      <c r="W58" s="72">
        <f>Tabela4[[#This Row],[Fabio De Moura]]</f>
        <v>0</v>
      </c>
      <c r="X58" s="72">
        <f>Tabela4[[#This Row],[Rochele Santos Moraes]]</f>
        <v>0</v>
      </c>
      <c r="Y58" s="72">
        <f>Tabela4[[#This Row],[Auto Posto Kairã]]</f>
        <v>0</v>
      </c>
      <c r="Z58" s="72">
        <f>Tabela4[[#This Row],[Erno Schiefelbain]]</f>
        <v>0</v>
      </c>
      <c r="AA58" s="72">
        <f>Tabela4[[#This Row],[José Paulo Backes]]</f>
        <v>0</v>
      </c>
      <c r="AB58" s="72">
        <f>Tabela4[[#This Row],[Gelso Tofolo]]</f>
        <v>0</v>
      </c>
      <c r="AC58" s="72">
        <f>Tabela4[[#This Row],[Diamantino]]</f>
        <v>0</v>
      </c>
      <c r="AD58" s="72">
        <f>Tabela4[[#This Row],[Mercado Bueno]]</f>
        <v>0</v>
      </c>
      <c r="AE58" s="72">
        <f>Tabela4[[#This Row],[Daniela Donadel Massalai]]</f>
        <v>0</v>
      </c>
      <c r="AF58" s="72">
        <f>Tabela4[[#This Row],[Comercio De Moto Peças Irmãos Guarani Ltda]]</f>
        <v>0</v>
      </c>
      <c r="AG58" s="72">
        <f>Tabela4[[#This Row],[Mauricio Luis Lunardi]]</f>
        <v>0</v>
      </c>
      <c r="AH58" s="72">
        <f>Tabela4[[#This Row],[Rosa Maria Restle Radunz]]</f>
        <v>0</v>
      </c>
      <c r="AI58" s="72">
        <f>Tabela4[[#This Row],[Ivo Amaral De Oliveira]]</f>
        <v>0</v>
      </c>
      <c r="AJ58" s="72">
        <f>Tabela4[[#This Row],[Silvio Robert Lemos Avila]]</f>
        <v>0</v>
      </c>
      <c r="AK58" s="72">
        <f>Tabela4[[#This Row],[Eldo Rost]]</f>
        <v>0</v>
      </c>
      <c r="AL58" s="72">
        <f>SUM(Tabela4[[#This Row],[Padaria Avenida - 01]:[Padaria Avenida - 02]])</f>
        <v>0</v>
      </c>
      <c r="AM58" s="72">
        <f>Tabela4[[#This Row],[Cristiano Anshau]]</f>
        <v>0</v>
      </c>
      <c r="AN58" s="72">
        <f>Tabela4[[#This Row],[Luciana Claudete Meirelles Correa]]</f>
        <v>0</v>
      </c>
      <c r="AO58" s="72">
        <f>Tabela4[[#This Row],[Marcio Jose Siqueira]]</f>
        <v>0</v>
      </c>
      <c r="AP58" s="72">
        <f>Tabela4[[#This Row],[Marcos Rogerio Kessler]]</f>
        <v>0</v>
      </c>
      <c r="AQ58" s="72">
        <f>SUM(Tabela4[[#This Row],[AABB - 01]:[AABB - 02]])</f>
        <v>0</v>
      </c>
      <c r="AR58" s="72">
        <f>SUM(Tabela4[[#This Row],[Wanda Burkard - 01]:[Wanda Burkard - 02]])</f>
        <v>0</v>
      </c>
      <c r="AS58" s="72">
        <f>Tabela4[[#This Row],[Silvio Robert Lemos Avila Me]]</f>
        <v>0</v>
      </c>
      <c r="AT58" s="72">
        <f>Tabela4[[#This Row],[Carmelo]]</f>
        <v>0</v>
      </c>
      <c r="AU58" s="72">
        <f>Tabela4[[#This Row],[Antonio Dal Forno]]</f>
        <v>0</v>
      </c>
      <c r="AV58" s="72">
        <f>Tabela4[[#This Row],[Marisane Paulus]]</f>
        <v>0</v>
      </c>
      <c r="AW58" s="72">
        <f>Tabela4[[#This Row],[Segatto Ceretta Ltda]]</f>
        <v>0</v>
      </c>
      <c r="AX58" s="72">
        <f>SUM(Tabela4[[#This Row],[APAE - 01]:[APAE - 02]])</f>
        <v>0</v>
      </c>
      <c r="AY58" s="72">
        <f>Tabela4[[#This Row],[Cássio Burin]]</f>
        <v>0</v>
      </c>
      <c r="AZ58" s="72">
        <f>Tabela4[[#This Row],[Patrick Kristoschek Da Silva]]</f>
        <v>0</v>
      </c>
      <c r="BA58" s="72">
        <f>Tabela4[[#This Row],[Silvio Robert Ávila - (Valmir)]]</f>
        <v>0</v>
      </c>
      <c r="BB58" s="72">
        <f>Tabela4[[#This Row],[Zederson Jose Della Flora]]</f>
        <v>0</v>
      </c>
      <c r="BC58" s="72">
        <f>Tabela4[[#This Row],[Carlos Walmir Larsão Rolim]]</f>
        <v>0</v>
      </c>
      <c r="BD58" s="72">
        <f>Tabela4[[#This Row],[Danieli Missio]]</f>
        <v>0</v>
      </c>
      <c r="BE58" s="72">
        <f>Tabela4[[#This Row],[José Vasconcellos]]</f>
        <v>0</v>
      </c>
      <c r="BF58" s="72">
        <f>Tabela4[[#This Row],[Linho Lev Alimentos]]</f>
        <v>0</v>
      </c>
      <c r="BG58" s="72">
        <f>Tabela4[[#This Row],[Ernani Czapla]]</f>
        <v>0</v>
      </c>
      <c r="BH58" s="72">
        <f>Tabela4[[#This Row],[Valesca Da Luz]]</f>
        <v>0</v>
      </c>
      <c r="BI58" s="72">
        <f>Tabela4[[#This Row],[Olavo Mildner]]</f>
        <v>0</v>
      </c>
      <c r="BJ58" s="72">
        <f>Tabela4[[#This Row],[Dilnei Rohled]]</f>
        <v>0</v>
      </c>
      <c r="BK58" s="72">
        <f>Tabela4[[#This Row],[Shaiana Signorini]]</f>
        <v>0</v>
      </c>
      <c r="BL58" s="72">
        <f>Tabela4[[#This Row],[Fonse Atacado]]</f>
        <v>0</v>
      </c>
      <c r="BM58" s="72">
        <f>Tabela4[[#This Row],[Comercial de Alimentos]]</f>
        <v>0</v>
      </c>
      <c r="BN58" s="72">
        <f>Tabela4[[#This Row],[Ivone Kasburg Serralheria]]</f>
        <v>0</v>
      </c>
      <c r="BO58" s="72">
        <f>Tabela4[[#This Row],[Mercado Ceretta]]</f>
        <v>0</v>
      </c>
      <c r="BP58" s="72">
        <f>Tabela4[[#This Row],[Antonio Carlos Dos Santos Pereira]]</f>
        <v>0</v>
      </c>
      <c r="BQ58" s="72">
        <f>Tabela4[[#This Row],[Volnei Lemos Avila - Me]]</f>
        <v>0</v>
      </c>
      <c r="BR58" s="72">
        <f>Tabela4[[#This Row],[Silvana Meneghini]]</f>
        <v>0</v>
      </c>
      <c r="BS58" s="72">
        <f>Tabela4[[#This Row],[Eficaz Engenharia Ltda]]</f>
        <v>0</v>
      </c>
      <c r="BT58" s="72">
        <f>SUM(Tabela4[[#Headers],[Tania Regina Schmaltz - 01]:[Tania Regina Schmaltz - 02]])</f>
        <v>0</v>
      </c>
      <c r="BU58" s="72">
        <f>Tabela4[[#This Row],[Camila Ceretta Segatto]]</f>
        <v>0</v>
      </c>
      <c r="BV58" s="72">
        <f>Tabela4[[#This Row],[Vagner Ribas Dos Santos]]</f>
        <v>0</v>
      </c>
      <c r="BW58" s="72">
        <f>Tabela4[[#This Row],[Claudio Alfredo Konrat]]</f>
        <v>0</v>
      </c>
    </row>
    <row r="59" spans="1:75" x14ac:dyDescent="0.25">
      <c r="A59" s="70">
        <v>44835</v>
      </c>
      <c r="B59" s="72">
        <f>SUM(Tabela4[[#This Row],[Marlon Colovini - 01]:[Marlon Colovini - 02]])</f>
        <v>0</v>
      </c>
      <c r="C59" s="72">
        <f>Tabela4[[#This Row],[Mara Barichello]]</f>
        <v>0</v>
      </c>
      <c r="D59" s="72">
        <f>Tabela4[[#This Row],[Jandira Dutra]]</f>
        <v>0</v>
      </c>
      <c r="E59" s="72">
        <f>Tabela4[[#This Row],[Luiz Fernando Kruger]]</f>
        <v>0</v>
      </c>
      <c r="F59" s="72">
        <f>SUM(Tabela4[[#This Row],[Paulo Bohn - 01]:[Paulo Bohn - 04]])</f>
        <v>0</v>
      </c>
      <c r="G59" s="72">
        <f>Tabela4[[#This Row],[Analia (Clodoaldo Entre-Ijuis)]]</f>
        <v>0</v>
      </c>
      <c r="H59" s="72">
        <f>Tabela4[[#This Row],[Biroh]]</f>
        <v>0</v>
      </c>
      <c r="I59" s="72">
        <f>Tabela4[[#This Row],[Gelson Posser]]</f>
        <v>0</v>
      </c>
      <c r="J59" s="72">
        <f>Tabela4[[#This Row],[Supermercado Caryone]]</f>
        <v>0</v>
      </c>
      <c r="K59" s="72">
        <f>Tabela4[[#This Row],[Ernani Minetto]]</f>
        <v>0</v>
      </c>
      <c r="L59" s="72">
        <f>Tabela4[[#This Row],[Jair Moscon]]</f>
        <v>0</v>
      </c>
      <c r="M59" s="72">
        <f>SUM(Tabela4[[#This Row],[Fabio Milke - 01]:[Fabio Milke - 02]])</f>
        <v>0</v>
      </c>
      <c r="N59" s="72">
        <f>Tabela4[[#This Row],[Piaia]]</f>
        <v>0</v>
      </c>
      <c r="O59" s="72">
        <f>Tabela4[[#This Row],[Osmar Veronese]]</f>
        <v>0</v>
      </c>
      <c r="P59" s="72">
        <f>Tabela4[[#This Row],[ José Luiz Moraes]]</f>
        <v>0</v>
      </c>
      <c r="Q59" s="72">
        <f>Tabela4[[#This Row],[Supermercado Cripy]]</f>
        <v>0</v>
      </c>
      <c r="R59" s="72">
        <f>Tabela4[[#This Row],[Gláucio Lipski (Giruá)]]</f>
        <v>0</v>
      </c>
      <c r="S59" s="72">
        <f>Tabela4[[#This Row],[Contri]]</f>
        <v>0</v>
      </c>
      <c r="T59" s="72">
        <f>Tabela4[[#This Row],[Cleci Rubi]]</f>
        <v>0</v>
      </c>
      <c r="U59" s="72">
        <f>Tabela4[[#This Row],[Betine Rost]]</f>
        <v>0</v>
      </c>
      <c r="V59" s="72">
        <f>SUM(Tabela4[[#This Row],[Robinson Fetter - 01]:[Robinson Fetter - 03]])</f>
        <v>0</v>
      </c>
      <c r="W59" s="72">
        <f>Tabela4[[#This Row],[Fabio De Moura]]</f>
        <v>0</v>
      </c>
      <c r="X59" s="72">
        <f>Tabela4[[#This Row],[Rochele Santos Moraes]]</f>
        <v>0</v>
      </c>
      <c r="Y59" s="72">
        <f>Tabela4[[#This Row],[Auto Posto Kairã]]</f>
        <v>0</v>
      </c>
      <c r="Z59" s="72">
        <f>Tabela4[[#This Row],[Erno Schiefelbain]]</f>
        <v>0</v>
      </c>
      <c r="AA59" s="72">
        <f>Tabela4[[#This Row],[José Paulo Backes]]</f>
        <v>0</v>
      </c>
      <c r="AB59" s="72">
        <f>Tabela4[[#This Row],[Gelso Tofolo]]</f>
        <v>0</v>
      </c>
      <c r="AC59" s="72">
        <f>Tabela4[[#This Row],[Diamantino]]</f>
        <v>0</v>
      </c>
      <c r="AD59" s="72">
        <f>Tabela4[[#This Row],[Mercado Bueno]]</f>
        <v>0</v>
      </c>
      <c r="AE59" s="72">
        <f>Tabela4[[#This Row],[Daniela Donadel Massalai]]</f>
        <v>0</v>
      </c>
      <c r="AF59" s="72">
        <f>Tabela4[[#This Row],[Comercio De Moto Peças Irmãos Guarani Ltda]]</f>
        <v>0</v>
      </c>
      <c r="AG59" s="72">
        <f>Tabela4[[#This Row],[Mauricio Luis Lunardi]]</f>
        <v>0</v>
      </c>
      <c r="AH59" s="72">
        <f>Tabela4[[#This Row],[Rosa Maria Restle Radunz]]</f>
        <v>0</v>
      </c>
      <c r="AI59" s="72">
        <f>Tabela4[[#This Row],[Ivo Amaral De Oliveira]]</f>
        <v>0</v>
      </c>
      <c r="AJ59" s="72">
        <f>Tabela4[[#This Row],[Silvio Robert Lemos Avila]]</f>
        <v>0</v>
      </c>
      <c r="AK59" s="72">
        <f>Tabela4[[#This Row],[Eldo Rost]]</f>
        <v>0</v>
      </c>
      <c r="AL59" s="72">
        <f>SUM(Tabela4[[#This Row],[Padaria Avenida - 01]:[Padaria Avenida - 02]])</f>
        <v>0</v>
      </c>
      <c r="AM59" s="72">
        <f>Tabela4[[#This Row],[Cristiano Anshau]]</f>
        <v>0</v>
      </c>
      <c r="AN59" s="72">
        <f>Tabela4[[#This Row],[Luciana Claudete Meirelles Correa]]</f>
        <v>0</v>
      </c>
      <c r="AO59" s="72">
        <f>Tabela4[[#This Row],[Marcio Jose Siqueira]]</f>
        <v>0</v>
      </c>
      <c r="AP59" s="72">
        <f>Tabela4[[#This Row],[Marcos Rogerio Kessler]]</f>
        <v>0</v>
      </c>
      <c r="AQ59" s="72">
        <f>SUM(Tabela4[[#This Row],[AABB - 01]:[AABB - 02]])</f>
        <v>0</v>
      </c>
      <c r="AR59" s="72">
        <f>SUM(Tabela4[[#This Row],[Wanda Burkard - 01]:[Wanda Burkard - 02]])</f>
        <v>0</v>
      </c>
      <c r="AS59" s="72">
        <f>Tabela4[[#This Row],[Silvio Robert Lemos Avila Me]]</f>
        <v>0</v>
      </c>
      <c r="AT59" s="72">
        <f>Tabela4[[#This Row],[Carmelo]]</f>
        <v>0</v>
      </c>
      <c r="AU59" s="72">
        <f>Tabela4[[#This Row],[Antonio Dal Forno]]</f>
        <v>0</v>
      </c>
      <c r="AV59" s="72">
        <f>Tabela4[[#This Row],[Marisane Paulus]]</f>
        <v>0</v>
      </c>
      <c r="AW59" s="72">
        <f>Tabela4[[#This Row],[Segatto Ceretta Ltda]]</f>
        <v>0</v>
      </c>
      <c r="AX59" s="72">
        <f>SUM(Tabela4[[#This Row],[APAE - 01]:[APAE - 02]])</f>
        <v>0</v>
      </c>
      <c r="AY59" s="72">
        <f>Tabela4[[#This Row],[Cássio Burin]]</f>
        <v>0</v>
      </c>
      <c r="AZ59" s="72">
        <f>Tabela4[[#This Row],[Patrick Kristoschek Da Silva]]</f>
        <v>0</v>
      </c>
      <c r="BA59" s="72">
        <f>Tabela4[[#This Row],[Silvio Robert Ávila - (Valmir)]]</f>
        <v>0</v>
      </c>
      <c r="BB59" s="72">
        <f>Tabela4[[#This Row],[Zederson Jose Della Flora]]</f>
        <v>0</v>
      </c>
      <c r="BC59" s="72">
        <f>Tabela4[[#This Row],[Carlos Walmir Larsão Rolim]]</f>
        <v>0</v>
      </c>
      <c r="BD59" s="72">
        <f>Tabela4[[#This Row],[Danieli Missio]]</f>
        <v>0</v>
      </c>
      <c r="BE59" s="72">
        <f>Tabela4[[#This Row],[José Vasconcellos]]</f>
        <v>0</v>
      </c>
      <c r="BF59" s="72">
        <f>Tabela4[[#This Row],[Linho Lev Alimentos]]</f>
        <v>0</v>
      </c>
      <c r="BG59" s="72">
        <f>Tabela4[[#This Row],[Ernani Czapla]]</f>
        <v>0</v>
      </c>
      <c r="BH59" s="72">
        <f>Tabela4[[#This Row],[Valesca Da Luz]]</f>
        <v>0</v>
      </c>
      <c r="BI59" s="72">
        <f>Tabela4[[#This Row],[Olavo Mildner]]</f>
        <v>0</v>
      </c>
      <c r="BJ59" s="72">
        <f>Tabela4[[#This Row],[Dilnei Rohled]]</f>
        <v>0</v>
      </c>
      <c r="BK59" s="72">
        <f>Tabela4[[#This Row],[Shaiana Signorini]]</f>
        <v>0</v>
      </c>
      <c r="BL59" s="72">
        <f>Tabela4[[#This Row],[Fonse Atacado]]</f>
        <v>0</v>
      </c>
      <c r="BM59" s="72">
        <f>Tabela4[[#This Row],[Comercial de Alimentos]]</f>
        <v>0</v>
      </c>
      <c r="BN59" s="72">
        <f>Tabela4[[#This Row],[Ivone Kasburg Serralheria]]</f>
        <v>0</v>
      </c>
      <c r="BO59" s="72">
        <f>Tabela4[[#This Row],[Mercado Ceretta]]</f>
        <v>0</v>
      </c>
      <c r="BP59" s="72">
        <f>Tabela4[[#This Row],[Antonio Carlos Dos Santos Pereira]]</f>
        <v>0</v>
      </c>
      <c r="BQ59" s="72">
        <f>Tabela4[[#This Row],[Volnei Lemos Avila - Me]]</f>
        <v>0</v>
      </c>
      <c r="BR59" s="72">
        <f>Tabela4[[#This Row],[Silvana Meneghini]]</f>
        <v>0</v>
      </c>
      <c r="BS59" s="72">
        <f>Tabela4[[#This Row],[Eficaz Engenharia Ltda]]</f>
        <v>0</v>
      </c>
      <c r="BT59" s="72">
        <f>SUM(Tabela4[[#Headers],[Tania Regina Schmaltz - 01]:[Tania Regina Schmaltz - 02]])</f>
        <v>0</v>
      </c>
      <c r="BU59" s="72">
        <f>Tabela4[[#This Row],[Camila Ceretta Segatto]]</f>
        <v>0</v>
      </c>
      <c r="BV59" s="72">
        <f>Tabela4[[#This Row],[Vagner Ribas Dos Santos]]</f>
        <v>0</v>
      </c>
      <c r="BW59" s="72">
        <f>Tabela4[[#This Row],[Claudio Alfredo Konrat]]</f>
        <v>0</v>
      </c>
    </row>
    <row r="60" spans="1:75" x14ac:dyDescent="0.25">
      <c r="A60" s="70">
        <v>44866</v>
      </c>
      <c r="B60" s="72">
        <f>SUM(Tabela4[[#This Row],[Marlon Colovini - 01]:[Marlon Colovini - 02]])</f>
        <v>0</v>
      </c>
      <c r="C60" s="72">
        <f>Tabela4[[#This Row],[Mara Barichello]]</f>
        <v>0</v>
      </c>
      <c r="D60" s="72">
        <f>Tabela4[[#This Row],[Jandira Dutra]]</f>
        <v>0</v>
      </c>
      <c r="E60" s="72">
        <f>Tabela4[[#This Row],[Luiz Fernando Kruger]]</f>
        <v>0</v>
      </c>
      <c r="F60" s="72">
        <f>SUM(Tabela4[[#This Row],[Paulo Bohn - 01]:[Paulo Bohn - 04]])</f>
        <v>0</v>
      </c>
      <c r="G60" s="72">
        <f>Tabela4[[#This Row],[Analia (Clodoaldo Entre-Ijuis)]]</f>
        <v>0</v>
      </c>
      <c r="H60" s="72">
        <f>Tabela4[[#This Row],[Biroh]]</f>
        <v>0</v>
      </c>
      <c r="I60" s="72">
        <f>Tabela4[[#This Row],[Gelson Posser]]</f>
        <v>0</v>
      </c>
      <c r="J60" s="72">
        <f>Tabela4[[#This Row],[Supermercado Caryone]]</f>
        <v>0</v>
      </c>
      <c r="K60" s="72">
        <f>Tabela4[[#This Row],[Ernani Minetto]]</f>
        <v>0</v>
      </c>
      <c r="L60" s="72">
        <f>Tabela4[[#This Row],[Jair Moscon]]</f>
        <v>0</v>
      </c>
      <c r="M60" s="72">
        <f>SUM(Tabela4[[#This Row],[Fabio Milke - 01]:[Fabio Milke - 02]])</f>
        <v>0</v>
      </c>
      <c r="N60" s="72">
        <f>Tabela4[[#This Row],[Piaia]]</f>
        <v>0</v>
      </c>
      <c r="O60" s="72">
        <f>Tabela4[[#This Row],[Osmar Veronese]]</f>
        <v>0</v>
      </c>
      <c r="P60" s="72">
        <f>Tabela4[[#This Row],[ José Luiz Moraes]]</f>
        <v>0</v>
      </c>
      <c r="Q60" s="72">
        <f>Tabela4[[#This Row],[Supermercado Cripy]]</f>
        <v>0</v>
      </c>
      <c r="R60" s="72">
        <f>Tabela4[[#This Row],[Gláucio Lipski (Giruá)]]</f>
        <v>0</v>
      </c>
      <c r="S60" s="72">
        <f>Tabela4[[#This Row],[Contri]]</f>
        <v>0</v>
      </c>
      <c r="T60" s="72">
        <f>Tabela4[[#This Row],[Cleci Rubi]]</f>
        <v>0</v>
      </c>
      <c r="U60" s="72">
        <f>Tabela4[[#This Row],[Betine Rost]]</f>
        <v>0</v>
      </c>
      <c r="V60" s="72">
        <f>SUM(Tabela4[[#This Row],[Robinson Fetter - 01]:[Robinson Fetter - 03]])</f>
        <v>0</v>
      </c>
      <c r="W60" s="72">
        <f>Tabela4[[#This Row],[Fabio De Moura]]</f>
        <v>0</v>
      </c>
      <c r="X60" s="72">
        <f>Tabela4[[#This Row],[Rochele Santos Moraes]]</f>
        <v>0</v>
      </c>
      <c r="Y60" s="72">
        <f>Tabela4[[#This Row],[Auto Posto Kairã]]</f>
        <v>0</v>
      </c>
      <c r="Z60" s="72">
        <f>Tabela4[[#This Row],[Erno Schiefelbain]]</f>
        <v>0</v>
      </c>
      <c r="AA60" s="72">
        <f>Tabela4[[#This Row],[José Paulo Backes]]</f>
        <v>0</v>
      </c>
      <c r="AB60" s="72">
        <f>Tabela4[[#This Row],[Gelso Tofolo]]</f>
        <v>0</v>
      </c>
      <c r="AC60" s="72">
        <f>Tabela4[[#This Row],[Diamantino]]</f>
        <v>0</v>
      </c>
      <c r="AD60" s="72">
        <f>Tabela4[[#This Row],[Mercado Bueno]]</f>
        <v>0</v>
      </c>
      <c r="AE60" s="72">
        <f>Tabela4[[#This Row],[Daniela Donadel Massalai]]</f>
        <v>0</v>
      </c>
      <c r="AF60" s="72">
        <f>Tabela4[[#This Row],[Comercio De Moto Peças Irmãos Guarani Ltda]]</f>
        <v>0</v>
      </c>
      <c r="AG60" s="72">
        <f>Tabela4[[#This Row],[Mauricio Luis Lunardi]]</f>
        <v>0</v>
      </c>
      <c r="AH60" s="72">
        <f>Tabela4[[#This Row],[Rosa Maria Restle Radunz]]</f>
        <v>0</v>
      </c>
      <c r="AI60" s="72">
        <f>Tabela4[[#This Row],[Ivo Amaral De Oliveira]]</f>
        <v>0</v>
      </c>
      <c r="AJ60" s="72">
        <f>Tabela4[[#This Row],[Silvio Robert Lemos Avila]]</f>
        <v>0</v>
      </c>
      <c r="AK60" s="72">
        <f>Tabela4[[#This Row],[Eldo Rost]]</f>
        <v>0</v>
      </c>
      <c r="AL60" s="72">
        <f>SUM(Tabela4[[#This Row],[Padaria Avenida - 01]:[Padaria Avenida - 02]])</f>
        <v>0</v>
      </c>
      <c r="AM60" s="72">
        <f>Tabela4[[#This Row],[Cristiano Anshau]]</f>
        <v>0</v>
      </c>
      <c r="AN60" s="72">
        <f>Tabela4[[#This Row],[Luciana Claudete Meirelles Correa]]</f>
        <v>0</v>
      </c>
      <c r="AO60" s="72">
        <f>Tabela4[[#This Row],[Marcio Jose Siqueira]]</f>
        <v>0</v>
      </c>
      <c r="AP60" s="72">
        <f>Tabela4[[#This Row],[Marcos Rogerio Kessler]]</f>
        <v>0</v>
      </c>
      <c r="AQ60" s="72">
        <f>SUM(Tabela4[[#This Row],[AABB - 01]:[AABB - 02]])</f>
        <v>0</v>
      </c>
      <c r="AR60" s="72">
        <f>SUM(Tabela4[[#This Row],[Wanda Burkard - 01]:[Wanda Burkard - 02]])</f>
        <v>0</v>
      </c>
      <c r="AS60" s="72">
        <f>Tabela4[[#This Row],[Silvio Robert Lemos Avila Me]]</f>
        <v>0</v>
      </c>
      <c r="AT60" s="72">
        <f>Tabela4[[#This Row],[Carmelo]]</f>
        <v>0</v>
      </c>
      <c r="AU60" s="72">
        <f>Tabela4[[#This Row],[Antonio Dal Forno]]</f>
        <v>0</v>
      </c>
      <c r="AV60" s="72">
        <f>Tabela4[[#This Row],[Marisane Paulus]]</f>
        <v>0</v>
      </c>
      <c r="AW60" s="72">
        <f>Tabela4[[#This Row],[Segatto Ceretta Ltda]]</f>
        <v>0</v>
      </c>
      <c r="AX60" s="72">
        <f>SUM(Tabela4[[#This Row],[APAE - 01]:[APAE - 02]])</f>
        <v>0</v>
      </c>
      <c r="AY60" s="72">
        <f>Tabela4[[#This Row],[Cássio Burin]]</f>
        <v>0</v>
      </c>
      <c r="AZ60" s="72">
        <f>Tabela4[[#This Row],[Patrick Kristoschek Da Silva]]</f>
        <v>0</v>
      </c>
      <c r="BA60" s="72">
        <f>Tabela4[[#This Row],[Silvio Robert Ávila - (Valmir)]]</f>
        <v>0</v>
      </c>
      <c r="BB60" s="72">
        <f>Tabela4[[#This Row],[Zederson Jose Della Flora]]</f>
        <v>0</v>
      </c>
      <c r="BC60" s="72">
        <f>Tabela4[[#This Row],[Carlos Walmir Larsão Rolim]]</f>
        <v>0</v>
      </c>
      <c r="BD60" s="72">
        <f>Tabela4[[#This Row],[Danieli Missio]]</f>
        <v>0</v>
      </c>
      <c r="BE60" s="72">
        <f>Tabela4[[#This Row],[José Vasconcellos]]</f>
        <v>0</v>
      </c>
      <c r="BF60" s="72">
        <f>Tabela4[[#This Row],[Linho Lev Alimentos]]</f>
        <v>0</v>
      </c>
      <c r="BG60" s="72">
        <f>Tabela4[[#This Row],[Ernani Czapla]]</f>
        <v>0</v>
      </c>
      <c r="BH60" s="72">
        <f>Tabela4[[#This Row],[Valesca Da Luz]]</f>
        <v>0</v>
      </c>
      <c r="BI60" s="72">
        <f>Tabela4[[#This Row],[Olavo Mildner]]</f>
        <v>0</v>
      </c>
      <c r="BJ60" s="72">
        <f>Tabela4[[#This Row],[Dilnei Rohled]]</f>
        <v>0</v>
      </c>
      <c r="BK60" s="72">
        <f>Tabela4[[#This Row],[Shaiana Signorini]]</f>
        <v>0</v>
      </c>
      <c r="BL60" s="72">
        <f>Tabela4[[#This Row],[Fonse Atacado]]</f>
        <v>0</v>
      </c>
      <c r="BM60" s="72">
        <f>Tabela4[[#This Row],[Comercial de Alimentos]]</f>
        <v>0</v>
      </c>
      <c r="BN60" s="72">
        <f>Tabela4[[#This Row],[Ivone Kasburg Serralheria]]</f>
        <v>0</v>
      </c>
      <c r="BO60" s="72">
        <f>Tabela4[[#This Row],[Mercado Ceretta]]</f>
        <v>0</v>
      </c>
      <c r="BP60" s="72">
        <f>Tabela4[[#This Row],[Antonio Carlos Dos Santos Pereira]]</f>
        <v>0</v>
      </c>
      <c r="BQ60" s="72">
        <f>Tabela4[[#This Row],[Volnei Lemos Avila - Me]]</f>
        <v>0</v>
      </c>
      <c r="BR60" s="72">
        <f>Tabela4[[#This Row],[Silvana Meneghini]]</f>
        <v>0</v>
      </c>
      <c r="BS60" s="72">
        <f>Tabela4[[#This Row],[Eficaz Engenharia Ltda]]</f>
        <v>0</v>
      </c>
      <c r="BT60" s="72">
        <f>SUM(Tabela4[[#Headers],[Tania Regina Schmaltz - 01]:[Tania Regina Schmaltz - 02]])</f>
        <v>0</v>
      </c>
      <c r="BU60" s="72">
        <f>Tabela4[[#This Row],[Camila Ceretta Segatto]]</f>
        <v>0</v>
      </c>
      <c r="BV60" s="72">
        <f>Tabela4[[#This Row],[Vagner Ribas Dos Santos]]</f>
        <v>0</v>
      </c>
      <c r="BW60" s="72">
        <f>Tabela4[[#This Row],[Claudio Alfredo Konrat]]</f>
        <v>0</v>
      </c>
    </row>
    <row r="61" spans="1:75" x14ac:dyDescent="0.25">
      <c r="A61" s="70">
        <v>44896</v>
      </c>
      <c r="B61" s="72">
        <f>SUM(Tabela4[[#This Row],[Marlon Colovini - 01]:[Marlon Colovini - 02]])</f>
        <v>0</v>
      </c>
      <c r="C61" s="72">
        <f>Tabela4[[#This Row],[Mara Barichello]]</f>
        <v>0</v>
      </c>
      <c r="D61" s="72">
        <f>Tabela4[[#This Row],[Jandira Dutra]]</f>
        <v>0</v>
      </c>
      <c r="E61" s="72">
        <f>Tabela4[[#This Row],[Luiz Fernando Kruger]]</f>
        <v>0</v>
      </c>
      <c r="F61" s="72">
        <f>SUM(Tabela4[[#This Row],[Paulo Bohn - 01]:[Paulo Bohn - 04]])</f>
        <v>0</v>
      </c>
      <c r="G61" s="72">
        <f>Tabela4[[#This Row],[Analia (Clodoaldo Entre-Ijuis)]]</f>
        <v>0</v>
      </c>
      <c r="H61" s="72">
        <f>Tabela4[[#This Row],[Biroh]]</f>
        <v>0</v>
      </c>
      <c r="I61" s="72">
        <f>Tabela4[[#This Row],[Gelson Posser]]</f>
        <v>0</v>
      </c>
      <c r="J61" s="72">
        <f>Tabela4[[#This Row],[Supermercado Caryone]]</f>
        <v>0</v>
      </c>
      <c r="K61" s="72">
        <f>Tabela4[[#This Row],[Ernani Minetto]]</f>
        <v>0</v>
      </c>
      <c r="L61" s="72">
        <f>Tabela4[[#This Row],[Jair Moscon]]</f>
        <v>0</v>
      </c>
      <c r="M61" s="72">
        <f>SUM(Tabela4[[#This Row],[Fabio Milke - 01]:[Fabio Milke - 02]])</f>
        <v>0</v>
      </c>
      <c r="N61" s="72">
        <f>Tabela4[[#This Row],[Piaia]]</f>
        <v>0</v>
      </c>
      <c r="O61" s="72">
        <f>Tabela4[[#This Row],[Osmar Veronese]]</f>
        <v>0</v>
      </c>
      <c r="P61" s="72">
        <f>Tabela4[[#This Row],[ José Luiz Moraes]]</f>
        <v>0</v>
      </c>
      <c r="Q61" s="72">
        <f>Tabela4[[#This Row],[Supermercado Cripy]]</f>
        <v>0</v>
      </c>
      <c r="R61" s="72">
        <f>Tabela4[[#This Row],[Gláucio Lipski (Giruá)]]</f>
        <v>0</v>
      </c>
      <c r="S61" s="72">
        <f>Tabela4[[#This Row],[Contri]]</f>
        <v>0</v>
      </c>
      <c r="T61" s="72">
        <f>Tabela4[[#This Row],[Cleci Rubi]]</f>
        <v>0</v>
      </c>
      <c r="U61" s="72">
        <f>Tabela4[[#This Row],[Betine Rost]]</f>
        <v>0</v>
      </c>
      <c r="V61" s="72">
        <f>SUM(Tabela4[[#This Row],[Robinson Fetter - 01]:[Robinson Fetter - 03]])</f>
        <v>0</v>
      </c>
      <c r="W61" s="72">
        <f>Tabela4[[#This Row],[Fabio De Moura]]</f>
        <v>0</v>
      </c>
      <c r="X61" s="72">
        <f>Tabela4[[#This Row],[Rochele Santos Moraes]]</f>
        <v>0</v>
      </c>
      <c r="Y61" s="72">
        <f>Tabela4[[#This Row],[Auto Posto Kairã]]</f>
        <v>0</v>
      </c>
      <c r="Z61" s="72">
        <f>Tabela4[[#This Row],[Erno Schiefelbain]]</f>
        <v>0</v>
      </c>
      <c r="AA61" s="72">
        <f>Tabela4[[#This Row],[José Paulo Backes]]</f>
        <v>0</v>
      </c>
      <c r="AB61" s="72">
        <f>Tabela4[[#This Row],[Gelso Tofolo]]</f>
        <v>0</v>
      </c>
      <c r="AC61" s="72">
        <f>Tabela4[[#This Row],[Diamantino]]</f>
        <v>0</v>
      </c>
      <c r="AD61" s="72">
        <f>Tabela4[[#This Row],[Mercado Bueno]]</f>
        <v>0</v>
      </c>
      <c r="AE61" s="72">
        <f>Tabela4[[#This Row],[Daniela Donadel Massalai]]</f>
        <v>0</v>
      </c>
      <c r="AF61" s="72">
        <f>Tabela4[[#This Row],[Comercio De Moto Peças Irmãos Guarani Ltda]]</f>
        <v>0</v>
      </c>
      <c r="AG61" s="72">
        <f>Tabela4[[#This Row],[Mauricio Luis Lunardi]]</f>
        <v>0</v>
      </c>
      <c r="AH61" s="72">
        <f>Tabela4[[#This Row],[Rosa Maria Restle Radunz]]</f>
        <v>0</v>
      </c>
      <c r="AI61" s="72">
        <f>Tabela4[[#This Row],[Ivo Amaral De Oliveira]]</f>
        <v>0</v>
      </c>
      <c r="AJ61" s="72">
        <f>Tabela4[[#This Row],[Silvio Robert Lemos Avila]]</f>
        <v>0</v>
      </c>
      <c r="AK61" s="72">
        <f>Tabela4[[#This Row],[Eldo Rost]]</f>
        <v>0</v>
      </c>
      <c r="AL61" s="72">
        <f>SUM(Tabela4[[#This Row],[Padaria Avenida - 01]:[Padaria Avenida - 02]])</f>
        <v>0</v>
      </c>
      <c r="AM61" s="72">
        <f>Tabela4[[#This Row],[Cristiano Anshau]]</f>
        <v>0</v>
      </c>
      <c r="AN61" s="72">
        <f>Tabela4[[#This Row],[Luciana Claudete Meirelles Correa]]</f>
        <v>0</v>
      </c>
      <c r="AO61" s="72">
        <f>Tabela4[[#This Row],[Marcio Jose Siqueira]]</f>
        <v>0</v>
      </c>
      <c r="AP61" s="72">
        <f>Tabela4[[#This Row],[Marcos Rogerio Kessler]]</f>
        <v>0</v>
      </c>
      <c r="AQ61" s="72">
        <f>SUM(Tabela4[[#This Row],[AABB - 01]:[AABB - 02]])</f>
        <v>0</v>
      </c>
      <c r="AR61" s="72">
        <f>SUM(Tabela4[[#This Row],[Wanda Burkard - 01]:[Wanda Burkard - 02]])</f>
        <v>0</v>
      </c>
      <c r="AS61" s="72">
        <f>Tabela4[[#This Row],[Silvio Robert Lemos Avila Me]]</f>
        <v>0</v>
      </c>
      <c r="AT61" s="72">
        <f>Tabela4[[#This Row],[Carmelo]]</f>
        <v>0</v>
      </c>
      <c r="AU61" s="72">
        <f>Tabela4[[#This Row],[Antonio Dal Forno]]</f>
        <v>0</v>
      </c>
      <c r="AV61" s="72">
        <f>Tabela4[[#This Row],[Marisane Paulus]]</f>
        <v>0</v>
      </c>
      <c r="AW61" s="72">
        <f>Tabela4[[#This Row],[Segatto Ceretta Ltda]]</f>
        <v>0</v>
      </c>
      <c r="AX61" s="72">
        <f>SUM(Tabela4[[#This Row],[APAE - 01]:[APAE - 02]])</f>
        <v>0</v>
      </c>
      <c r="AY61" s="72">
        <f>Tabela4[[#This Row],[Cássio Burin]]</f>
        <v>0</v>
      </c>
      <c r="AZ61" s="72">
        <f>Tabela4[[#This Row],[Patrick Kristoschek Da Silva]]</f>
        <v>0</v>
      </c>
      <c r="BA61" s="72">
        <f>Tabela4[[#This Row],[Silvio Robert Ávila - (Valmir)]]</f>
        <v>0</v>
      </c>
      <c r="BB61" s="72">
        <f>Tabela4[[#This Row],[Zederson Jose Della Flora]]</f>
        <v>0</v>
      </c>
      <c r="BC61" s="72">
        <f>Tabela4[[#This Row],[Carlos Walmir Larsão Rolim]]</f>
        <v>0</v>
      </c>
      <c r="BD61" s="72">
        <f>Tabela4[[#This Row],[Danieli Missio]]</f>
        <v>0</v>
      </c>
      <c r="BE61" s="72">
        <f>Tabela4[[#This Row],[José Vasconcellos]]</f>
        <v>0</v>
      </c>
      <c r="BF61" s="72">
        <f>Tabela4[[#This Row],[Linho Lev Alimentos]]</f>
        <v>0</v>
      </c>
      <c r="BG61" s="72">
        <f>Tabela4[[#This Row],[Ernani Czapla]]</f>
        <v>0</v>
      </c>
      <c r="BH61" s="72">
        <f>Tabela4[[#This Row],[Valesca Da Luz]]</f>
        <v>0</v>
      </c>
      <c r="BI61" s="72">
        <f>Tabela4[[#This Row],[Olavo Mildner]]</f>
        <v>0</v>
      </c>
      <c r="BJ61" s="72">
        <f>Tabela4[[#This Row],[Dilnei Rohled]]</f>
        <v>0</v>
      </c>
      <c r="BK61" s="72">
        <f>Tabela4[[#This Row],[Shaiana Signorini]]</f>
        <v>0</v>
      </c>
      <c r="BL61" s="72">
        <f>Tabela4[[#This Row],[Fonse Atacado]]</f>
        <v>0</v>
      </c>
      <c r="BM61" s="72">
        <f>Tabela4[[#This Row],[Comercial de Alimentos]]</f>
        <v>0</v>
      </c>
      <c r="BN61" s="72">
        <f>Tabela4[[#This Row],[Ivone Kasburg Serralheria]]</f>
        <v>0</v>
      </c>
      <c r="BO61" s="72">
        <f>Tabela4[[#This Row],[Mercado Ceretta]]</f>
        <v>0</v>
      </c>
      <c r="BP61" s="72">
        <f>Tabela4[[#This Row],[Antonio Carlos Dos Santos Pereira]]</f>
        <v>0</v>
      </c>
      <c r="BQ61" s="72">
        <f>Tabela4[[#This Row],[Volnei Lemos Avila - Me]]</f>
        <v>0</v>
      </c>
      <c r="BR61" s="72">
        <f>Tabela4[[#This Row],[Silvana Meneghini]]</f>
        <v>0</v>
      </c>
      <c r="BS61" s="72">
        <f>Tabela4[[#This Row],[Eficaz Engenharia Ltda]]</f>
        <v>0</v>
      </c>
      <c r="BT61" s="72">
        <f>SUM(Tabela4[[#Headers],[Tania Regina Schmaltz - 01]:[Tania Regina Schmaltz - 02]])</f>
        <v>0</v>
      </c>
      <c r="BU61" s="72">
        <f>Tabela4[[#This Row],[Camila Ceretta Segatto]]</f>
        <v>0</v>
      </c>
      <c r="BV61" s="72">
        <f>Tabela4[[#This Row],[Vagner Ribas Dos Santos]]</f>
        <v>0</v>
      </c>
      <c r="BW61" s="72">
        <f>Tabela4[[#This Row],[Claudio Alfredo Konrat]]</f>
        <v>0</v>
      </c>
    </row>
    <row r="62" spans="1:75" x14ac:dyDescent="0.25">
      <c r="A62" s="70">
        <v>44927</v>
      </c>
      <c r="B62" s="72">
        <f>SUM(Tabela4[[#This Row],[Marlon Colovini - 01]:[Marlon Colovini - 02]])</f>
        <v>0</v>
      </c>
      <c r="C62" s="72">
        <f>Tabela4[[#This Row],[Mara Barichello]]</f>
        <v>0</v>
      </c>
      <c r="D62" s="72">
        <f>Tabela4[[#This Row],[Jandira Dutra]]</f>
        <v>0</v>
      </c>
      <c r="E62" s="72">
        <f>Tabela4[[#This Row],[Luiz Fernando Kruger]]</f>
        <v>0</v>
      </c>
      <c r="F62" s="72">
        <f>SUM(Tabela4[[#This Row],[Paulo Bohn - 01]:[Paulo Bohn - 04]])</f>
        <v>0</v>
      </c>
      <c r="G62" s="72">
        <f>Tabela4[[#This Row],[Analia (Clodoaldo Entre-Ijuis)]]</f>
        <v>0</v>
      </c>
      <c r="H62" s="72">
        <f>Tabela4[[#This Row],[Biroh]]</f>
        <v>0</v>
      </c>
      <c r="I62" s="72">
        <f>Tabela4[[#This Row],[Gelson Posser]]</f>
        <v>0</v>
      </c>
      <c r="J62" s="72">
        <f>Tabela4[[#This Row],[Supermercado Caryone]]</f>
        <v>0</v>
      </c>
      <c r="K62" s="72">
        <f>Tabela4[[#This Row],[Ernani Minetto]]</f>
        <v>0</v>
      </c>
      <c r="L62" s="72">
        <f>Tabela4[[#This Row],[Jair Moscon]]</f>
        <v>0</v>
      </c>
      <c r="M62" s="72">
        <f>SUM(Tabela4[[#This Row],[Fabio Milke - 01]:[Fabio Milke - 02]])</f>
        <v>0</v>
      </c>
      <c r="N62" s="72">
        <f>Tabela4[[#This Row],[Piaia]]</f>
        <v>0</v>
      </c>
      <c r="O62" s="72">
        <f>Tabela4[[#This Row],[Osmar Veronese]]</f>
        <v>0</v>
      </c>
      <c r="P62" s="72">
        <f>Tabela4[[#This Row],[ José Luiz Moraes]]</f>
        <v>0</v>
      </c>
      <c r="Q62" s="72">
        <f>Tabela4[[#This Row],[Supermercado Cripy]]</f>
        <v>0</v>
      </c>
      <c r="R62" s="72">
        <f>Tabela4[[#This Row],[Gláucio Lipski (Giruá)]]</f>
        <v>0</v>
      </c>
      <c r="S62" s="72">
        <f>Tabela4[[#This Row],[Contri]]</f>
        <v>0</v>
      </c>
      <c r="T62" s="72">
        <f>Tabela4[[#This Row],[Cleci Rubi]]</f>
        <v>0</v>
      </c>
      <c r="U62" s="72">
        <f>Tabela4[[#This Row],[Betine Rost]]</f>
        <v>0</v>
      </c>
      <c r="V62" s="72">
        <f>SUM(Tabela4[[#This Row],[Robinson Fetter - 01]:[Robinson Fetter - 03]])</f>
        <v>0</v>
      </c>
      <c r="W62" s="72">
        <f>Tabela4[[#This Row],[Fabio De Moura]]</f>
        <v>0</v>
      </c>
      <c r="X62" s="72">
        <f>Tabela4[[#This Row],[Rochele Santos Moraes]]</f>
        <v>0</v>
      </c>
      <c r="Y62" s="72">
        <f>Tabela4[[#This Row],[Auto Posto Kairã]]</f>
        <v>0</v>
      </c>
      <c r="Z62" s="72">
        <f>Tabela4[[#This Row],[Erno Schiefelbain]]</f>
        <v>0</v>
      </c>
      <c r="AA62" s="72">
        <f>Tabela4[[#This Row],[José Paulo Backes]]</f>
        <v>0</v>
      </c>
      <c r="AB62" s="72">
        <f>Tabela4[[#This Row],[Gelso Tofolo]]</f>
        <v>0</v>
      </c>
      <c r="AC62" s="72">
        <f>Tabela4[[#This Row],[Diamantino]]</f>
        <v>0</v>
      </c>
      <c r="AD62" s="72">
        <f>Tabela4[[#This Row],[Mercado Bueno]]</f>
        <v>0</v>
      </c>
      <c r="AE62" s="72">
        <f>Tabela4[[#This Row],[Daniela Donadel Massalai]]</f>
        <v>0</v>
      </c>
      <c r="AF62" s="72">
        <f>Tabela4[[#This Row],[Comercio De Moto Peças Irmãos Guarani Ltda]]</f>
        <v>0</v>
      </c>
      <c r="AG62" s="72">
        <f>Tabela4[[#This Row],[Mauricio Luis Lunardi]]</f>
        <v>0</v>
      </c>
      <c r="AH62" s="72">
        <f>Tabela4[[#This Row],[Rosa Maria Restle Radunz]]</f>
        <v>0</v>
      </c>
      <c r="AI62" s="72">
        <f>Tabela4[[#This Row],[Ivo Amaral De Oliveira]]</f>
        <v>0</v>
      </c>
      <c r="AJ62" s="72">
        <f>Tabela4[[#This Row],[Silvio Robert Lemos Avila]]</f>
        <v>0</v>
      </c>
      <c r="AK62" s="72">
        <f>Tabela4[[#This Row],[Eldo Rost]]</f>
        <v>0</v>
      </c>
      <c r="AL62" s="72">
        <f>SUM(Tabela4[[#This Row],[Padaria Avenida - 01]:[Padaria Avenida - 02]])</f>
        <v>0</v>
      </c>
      <c r="AM62" s="72">
        <f>Tabela4[[#This Row],[Cristiano Anshau]]</f>
        <v>0</v>
      </c>
      <c r="AN62" s="72">
        <f>Tabela4[[#This Row],[Luciana Claudete Meirelles Correa]]</f>
        <v>0</v>
      </c>
      <c r="AO62" s="72">
        <f>Tabela4[[#This Row],[Marcio Jose Siqueira]]</f>
        <v>0</v>
      </c>
      <c r="AP62" s="72">
        <f>Tabela4[[#This Row],[Marcos Rogerio Kessler]]</f>
        <v>0</v>
      </c>
      <c r="AQ62" s="72">
        <f>SUM(Tabela4[[#This Row],[AABB - 01]:[AABB - 02]])</f>
        <v>0</v>
      </c>
      <c r="AR62" s="72">
        <f>SUM(Tabela4[[#This Row],[Wanda Burkard - 01]:[Wanda Burkard - 02]])</f>
        <v>0</v>
      </c>
      <c r="AS62" s="72">
        <f>Tabela4[[#This Row],[Silvio Robert Lemos Avila Me]]</f>
        <v>0</v>
      </c>
      <c r="AT62" s="72">
        <f>Tabela4[[#This Row],[Carmelo]]</f>
        <v>0</v>
      </c>
      <c r="AU62" s="72">
        <f>Tabela4[[#This Row],[Antonio Dal Forno]]</f>
        <v>0</v>
      </c>
      <c r="AV62" s="72">
        <f>Tabela4[[#This Row],[Marisane Paulus]]</f>
        <v>0</v>
      </c>
      <c r="AW62" s="72">
        <f>Tabela4[[#This Row],[Segatto Ceretta Ltda]]</f>
        <v>0</v>
      </c>
      <c r="AX62" s="72">
        <f>SUM(Tabela4[[#This Row],[APAE - 01]:[APAE - 02]])</f>
        <v>0</v>
      </c>
      <c r="AY62" s="72">
        <f>Tabela4[[#This Row],[Cássio Burin]]</f>
        <v>0</v>
      </c>
      <c r="AZ62" s="72">
        <f>Tabela4[[#This Row],[Patrick Kristoschek Da Silva]]</f>
        <v>0</v>
      </c>
      <c r="BA62" s="72">
        <f>Tabela4[[#This Row],[Silvio Robert Ávila - (Valmir)]]</f>
        <v>0</v>
      </c>
      <c r="BB62" s="72">
        <f>Tabela4[[#This Row],[Zederson Jose Della Flora]]</f>
        <v>0</v>
      </c>
      <c r="BC62" s="72">
        <f>Tabela4[[#This Row],[Carlos Walmir Larsão Rolim]]</f>
        <v>0</v>
      </c>
      <c r="BD62" s="72">
        <f>Tabela4[[#This Row],[Danieli Missio]]</f>
        <v>0</v>
      </c>
      <c r="BE62" s="72">
        <f>Tabela4[[#This Row],[José Vasconcellos]]</f>
        <v>0</v>
      </c>
      <c r="BF62" s="72">
        <f>Tabela4[[#This Row],[Linho Lev Alimentos]]</f>
        <v>0</v>
      </c>
      <c r="BG62" s="72">
        <f>Tabela4[[#This Row],[Ernani Czapla]]</f>
        <v>0</v>
      </c>
      <c r="BH62" s="72">
        <f>Tabela4[[#This Row],[Valesca Da Luz]]</f>
        <v>0</v>
      </c>
      <c r="BI62" s="72">
        <f>Tabela4[[#This Row],[Olavo Mildner]]</f>
        <v>0</v>
      </c>
      <c r="BJ62" s="72">
        <f>Tabela4[[#This Row],[Dilnei Rohled]]</f>
        <v>0</v>
      </c>
      <c r="BK62" s="72">
        <f>Tabela4[[#This Row],[Shaiana Signorini]]</f>
        <v>0</v>
      </c>
      <c r="BL62" s="72">
        <f>Tabela4[[#This Row],[Fonse Atacado]]</f>
        <v>0</v>
      </c>
      <c r="BM62" s="72">
        <f>Tabela4[[#This Row],[Comercial de Alimentos]]</f>
        <v>0</v>
      </c>
      <c r="BN62" s="72">
        <f>Tabela4[[#This Row],[Ivone Kasburg Serralheria]]</f>
        <v>0</v>
      </c>
      <c r="BO62" s="72">
        <f>Tabela4[[#This Row],[Mercado Ceretta]]</f>
        <v>0</v>
      </c>
      <c r="BP62" s="72">
        <f>Tabela4[[#This Row],[Antonio Carlos Dos Santos Pereira]]</f>
        <v>0</v>
      </c>
      <c r="BQ62" s="72">
        <f>Tabela4[[#This Row],[Volnei Lemos Avila - Me]]</f>
        <v>0</v>
      </c>
      <c r="BR62" s="72">
        <f>Tabela4[[#This Row],[Silvana Meneghini]]</f>
        <v>0</v>
      </c>
      <c r="BS62" s="72">
        <f>Tabela4[[#This Row],[Eficaz Engenharia Ltda]]</f>
        <v>0</v>
      </c>
      <c r="BT62" s="72">
        <f>SUM(Tabela4[[#Headers],[Tania Regina Schmaltz - 01]:[Tania Regina Schmaltz - 02]])</f>
        <v>0</v>
      </c>
      <c r="BU62" s="72">
        <f>Tabela4[[#This Row],[Camila Ceretta Segatto]]</f>
        <v>0</v>
      </c>
      <c r="BV62" s="72">
        <f>Tabela4[[#This Row],[Vagner Ribas Dos Santos]]</f>
        <v>0</v>
      </c>
      <c r="BW62" s="72">
        <f>Tabela4[[#This Row],[Claudio Alfredo Konrat]]</f>
        <v>0</v>
      </c>
    </row>
    <row r="63" spans="1:75" x14ac:dyDescent="0.25">
      <c r="A63" s="70">
        <v>44958</v>
      </c>
      <c r="B63" s="72">
        <f>SUM(Tabela4[[#This Row],[Marlon Colovini - 01]:[Marlon Colovini - 02]])</f>
        <v>0</v>
      </c>
      <c r="C63" s="72">
        <f>Tabela4[[#This Row],[Mara Barichello]]</f>
        <v>0</v>
      </c>
      <c r="D63" s="72">
        <f>Tabela4[[#This Row],[Jandira Dutra]]</f>
        <v>0</v>
      </c>
      <c r="E63" s="72">
        <f>Tabela4[[#This Row],[Luiz Fernando Kruger]]</f>
        <v>0</v>
      </c>
      <c r="F63" s="72">
        <f>SUM(Tabela4[[#This Row],[Paulo Bohn - 01]:[Paulo Bohn - 04]])</f>
        <v>0</v>
      </c>
      <c r="G63" s="72">
        <f>Tabela4[[#This Row],[Analia (Clodoaldo Entre-Ijuis)]]</f>
        <v>0</v>
      </c>
      <c r="H63" s="72">
        <f>Tabela4[[#This Row],[Biroh]]</f>
        <v>0</v>
      </c>
      <c r="I63" s="72">
        <f>Tabela4[[#This Row],[Gelson Posser]]</f>
        <v>0</v>
      </c>
      <c r="J63" s="72">
        <f>Tabela4[[#This Row],[Supermercado Caryone]]</f>
        <v>0</v>
      </c>
      <c r="K63" s="72">
        <f>Tabela4[[#This Row],[Ernani Minetto]]</f>
        <v>0</v>
      </c>
      <c r="L63" s="72">
        <f>Tabela4[[#This Row],[Jair Moscon]]</f>
        <v>0</v>
      </c>
      <c r="M63" s="72">
        <f>SUM(Tabela4[[#This Row],[Fabio Milke - 01]:[Fabio Milke - 02]])</f>
        <v>0</v>
      </c>
      <c r="N63" s="72">
        <f>Tabela4[[#This Row],[Piaia]]</f>
        <v>0</v>
      </c>
      <c r="O63" s="72">
        <f>Tabela4[[#This Row],[Osmar Veronese]]</f>
        <v>0</v>
      </c>
      <c r="P63" s="72">
        <f>Tabela4[[#This Row],[ José Luiz Moraes]]</f>
        <v>0</v>
      </c>
      <c r="Q63" s="72">
        <f>Tabela4[[#This Row],[Supermercado Cripy]]</f>
        <v>0</v>
      </c>
      <c r="R63" s="72">
        <f>Tabela4[[#This Row],[Gláucio Lipski (Giruá)]]</f>
        <v>0</v>
      </c>
      <c r="S63" s="72">
        <f>Tabela4[[#This Row],[Contri]]</f>
        <v>0</v>
      </c>
      <c r="T63" s="72">
        <f>Tabela4[[#This Row],[Cleci Rubi]]</f>
        <v>0</v>
      </c>
      <c r="U63" s="72">
        <f>Tabela4[[#This Row],[Betine Rost]]</f>
        <v>0</v>
      </c>
      <c r="V63" s="72">
        <f>SUM(Tabela4[[#This Row],[Robinson Fetter - 01]:[Robinson Fetter - 03]])</f>
        <v>0</v>
      </c>
      <c r="W63" s="72">
        <f>Tabela4[[#This Row],[Fabio De Moura]]</f>
        <v>0</v>
      </c>
      <c r="X63" s="72">
        <f>Tabela4[[#This Row],[Rochele Santos Moraes]]</f>
        <v>0</v>
      </c>
      <c r="Y63" s="72">
        <f>Tabela4[[#This Row],[Auto Posto Kairã]]</f>
        <v>0</v>
      </c>
      <c r="Z63" s="72">
        <f>Tabela4[[#This Row],[Erno Schiefelbain]]</f>
        <v>0</v>
      </c>
      <c r="AA63" s="72">
        <f>Tabela4[[#This Row],[José Paulo Backes]]</f>
        <v>0</v>
      </c>
      <c r="AB63" s="72">
        <f>Tabela4[[#This Row],[Gelso Tofolo]]</f>
        <v>0</v>
      </c>
      <c r="AC63" s="72">
        <f>Tabela4[[#This Row],[Diamantino]]</f>
        <v>0</v>
      </c>
      <c r="AD63" s="72">
        <f>Tabela4[[#This Row],[Mercado Bueno]]</f>
        <v>0</v>
      </c>
      <c r="AE63" s="72">
        <f>Tabela4[[#This Row],[Daniela Donadel Massalai]]</f>
        <v>0</v>
      </c>
      <c r="AF63" s="72">
        <f>Tabela4[[#This Row],[Comercio De Moto Peças Irmãos Guarani Ltda]]</f>
        <v>0</v>
      </c>
      <c r="AG63" s="72">
        <f>Tabela4[[#This Row],[Mauricio Luis Lunardi]]</f>
        <v>0</v>
      </c>
      <c r="AH63" s="72">
        <f>Tabela4[[#This Row],[Rosa Maria Restle Radunz]]</f>
        <v>0</v>
      </c>
      <c r="AI63" s="72">
        <f>Tabela4[[#This Row],[Ivo Amaral De Oliveira]]</f>
        <v>0</v>
      </c>
      <c r="AJ63" s="72">
        <f>Tabela4[[#This Row],[Silvio Robert Lemos Avila]]</f>
        <v>0</v>
      </c>
      <c r="AK63" s="72">
        <f>Tabela4[[#This Row],[Eldo Rost]]</f>
        <v>0</v>
      </c>
      <c r="AL63" s="72">
        <f>SUM(Tabela4[[#This Row],[Padaria Avenida - 01]:[Padaria Avenida - 02]])</f>
        <v>0</v>
      </c>
      <c r="AM63" s="72">
        <f>Tabela4[[#This Row],[Cristiano Anshau]]</f>
        <v>0</v>
      </c>
      <c r="AN63" s="72">
        <f>Tabela4[[#This Row],[Luciana Claudete Meirelles Correa]]</f>
        <v>0</v>
      </c>
      <c r="AO63" s="72">
        <f>Tabela4[[#This Row],[Marcio Jose Siqueira]]</f>
        <v>0</v>
      </c>
      <c r="AP63" s="72">
        <f>Tabela4[[#This Row],[Marcos Rogerio Kessler]]</f>
        <v>0</v>
      </c>
      <c r="AQ63" s="72">
        <f>SUM(Tabela4[[#This Row],[AABB - 01]:[AABB - 02]])</f>
        <v>0</v>
      </c>
      <c r="AR63" s="72">
        <f>SUM(Tabela4[[#This Row],[Wanda Burkard - 01]:[Wanda Burkard - 02]])</f>
        <v>0</v>
      </c>
      <c r="AS63" s="72">
        <f>Tabela4[[#This Row],[Silvio Robert Lemos Avila Me]]</f>
        <v>0</v>
      </c>
      <c r="AT63" s="72">
        <f>Tabela4[[#This Row],[Carmelo]]</f>
        <v>0</v>
      </c>
      <c r="AU63" s="72">
        <f>Tabela4[[#This Row],[Antonio Dal Forno]]</f>
        <v>0</v>
      </c>
      <c r="AV63" s="72">
        <f>Tabela4[[#This Row],[Marisane Paulus]]</f>
        <v>0</v>
      </c>
      <c r="AW63" s="72">
        <f>Tabela4[[#This Row],[Segatto Ceretta Ltda]]</f>
        <v>0</v>
      </c>
      <c r="AX63" s="72">
        <f>SUM(Tabela4[[#This Row],[APAE - 01]:[APAE - 02]])</f>
        <v>0</v>
      </c>
      <c r="AY63" s="72">
        <f>Tabela4[[#This Row],[Cássio Burin]]</f>
        <v>0</v>
      </c>
      <c r="AZ63" s="72">
        <f>Tabela4[[#This Row],[Patrick Kristoschek Da Silva]]</f>
        <v>0</v>
      </c>
      <c r="BA63" s="72">
        <f>Tabela4[[#This Row],[Silvio Robert Ávila - (Valmir)]]</f>
        <v>0</v>
      </c>
      <c r="BB63" s="72">
        <f>Tabela4[[#This Row],[Zederson Jose Della Flora]]</f>
        <v>0</v>
      </c>
      <c r="BC63" s="72">
        <f>Tabela4[[#This Row],[Carlos Walmir Larsão Rolim]]</f>
        <v>0</v>
      </c>
      <c r="BD63" s="72">
        <f>Tabela4[[#This Row],[Danieli Missio]]</f>
        <v>0</v>
      </c>
      <c r="BE63" s="72">
        <f>Tabela4[[#This Row],[José Vasconcellos]]</f>
        <v>0</v>
      </c>
      <c r="BF63" s="72">
        <f>Tabela4[[#This Row],[Linho Lev Alimentos]]</f>
        <v>0</v>
      </c>
      <c r="BG63" s="72">
        <f>Tabela4[[#This Row],[Ernani Czapla]]</f>
        <v>0</v>
      </c>
      <c r="BH63" s="72">
        <f>Tabela4[[#This Row],[Valesca Da Luz]]</f>
        <v>0</v>
      </c>
      <c r="BI63" s="72">
        <f>Tabela4[[#This Row],[Olavo Mildner]]</f>
        <v>0</v>
      </c>
      <c r="BJ63" s="72">
        <f>Tabela4[[#This Row],[Dilnei Rohled]]</f>
        <v>0</v>
      </c>
      <c r="BK63" s="72">
        <f>Tabela4[[#This Row],[Shaiana Signorini]]</f>
        <v>0</v>
      </c>
      <c r="BL63" s="72">
        <f>Tabela4[[#This Row],[Fonse Atacado]]</f>
        <v>0</v>
      </c>
      <c r="BM63" s="72">
        <f>Tabela4[[#This Row],[Comercial de Alimentos]]</f>
        <v>0</v>
      </c>
      <c r="BN63" s="72">
        <f>Tabela4[[#This Row],[Ivone Kasburg Serralheria]]</f>
        <v>0</v>
      </c>
      <c r="BO63" s="72">
        <f>Tabela4[[#This Row],[Mercado Ceretta]]</f>
        <v>0</v>
      </c>
      <c r="BP63" s="72">
        <f>Tabela4[[#This Row],[Antonio Carlos Dos Santos Pereira]]</f>
        <v>0</v>
      </c>
      <c r="BQ63" s="72">
        <f>Tabela4[[#This Row],[Volnei Lemos Avila - Me]]</f>
        <v>0</v>
      </c>
      <c r="BR63" s="72">
        <f>Tabela4[[#This Row],[Silvana Meneghini]]</f>
        <v>0</v>
      </c>
      <c r="BS63" s="72">
        <f>Tabela4[[#This Row],[Eficaz Engenharia Ltda]]</f>
        <v>0</v>
      </c>
      <c r="BT63" s="72">
        <f>SUM(Tabela4[[#Headers],[Tania Regina Schmaltz - 01]:[Tania Regina Schmaltz - 02]])</f>
        <v>0</v>
      </c>
      <c r="BU63" s="72">
        <f>Tabela4[[#This Row],[Camila Ceretta Segatto]]</f>
        <v>0</v>
      </c>
      <c r="BV63" s="72">
        <f>Tabela4[[#This Row],[Vagner Ribas Dos Santos]]</f>
        <v>0</v>
      </c>
      <c r="BW63" s="72">
        <f>Tabela4[[#This Row],[Claudio Alfredo Konrat]]</f>
        <v>0</v>
      </c>
    </row>
    <row r="64" spans="1:75" x14ac:dyDescent="0.25">
      <c r="A64" s="70">
        <v>44986</v>
      </c>
      <c r="B64" s="72">
        <f>SUM(Tabela4[[#This Row],[Marlon Colovini - 01]:[Marlon Colovini - 02]])</f>
        <v>0</v>
      </c>
      <c r="C64" s="72">
        <f>Tabela4[[#This Row],[Mara Barichello]]</f>
        <v>0</v>
      </c>
      <c r="D64" s="72">
        <f>Tabela4[[#This Row],[Jandira Dutra]]</f>
        <v>0</v>
      </c>
      <c r="E64" s="72">
        <f>Tabela4[[#This Row],[Luiz Fernando Kruger]]</f>
        <v>0</v>
      </c>
      <c r="F64" s="72">
        <f>SUM(Tabela4[[#This Row],[Paulo Bohn - 01]:[Paulo Bohn - 04]])</f>
        <v>0</v>
      </c>
      <c r="G64" s="72">
        <f>Tabela4[[#This Row],[Analia (Clodoaldo Entre-Ijuis)]]</f>
        <v>0</v>
      </c>
      <c r="H64" s="72">
        <f>Tabela4[[#This Row],[Biroh]]</f>
        <v>0</v>
      </c>
      <c r="I64" s="72">
        <f>Tabela4[[#This Row],[Gelson Posser]]</f>
        <v>0</v>
      </c>
      <c r="J64" s="72">
        <f>Tabela4[[#This Row],[Supermercado Caryone]]</f>
        <v>0</v>
      </c>
      <c r="K64" s="72">
        <f>Tabela4[[#This Row],[Ernani Minetto]]</f>
        <v>0</v>
      </c>
      <c r="L64" s="72">
        <f>Tabela4[[#This Row],[Jair Moscon]]</f>
        <v>0</v>
      </c>
      <c r="M64" s="72">
        <f>SUM(Tabela4[[#This Row],[Fabio Milke - 01]:[Fabio Milke - 02]])</f>
        <v>0</v>
      </c>
      <c r="N64" s="72">
        <f>Tabela4[[#This Row],[Piaia]]</f>
        <v>0</v>
      </c>
      <c r="O64" s="72">
        <f>Tabela4[[#This Row],[Osmar Veronese]]</f>
        <v>0</v>
      </c>
      <c r="P64" s="72">
        <f>Tabela4[[#This Row],[ José Luiz Moraes]]</f>
        <v>0</v>
      </c>
      <c r="Q64" s="72">
        <f>Tabela4[[#This Row],[Supermercado Cripy]]</f>
        <v>0</v>
      </c>
      <c r="R64" s="72">
        <f>Tabela4[[#This Row],[Gláucio Lipski (Giruá)]]</f>
        <v>0</v>
      </c>
      <c r="S64" s="72">
        <f>Tabela4[[#This Row],[Contri]]</f>
        <v>0</v>
      </c>
      <c r="T64" s="72">
        <f>Tabela4[[#This Row],[Cleci Rubi]]</f>
        <v>0</v>
      </c>
      <c r="U64" s="72">
        <f>Tabela4[[#This Row],[Betine Rost]]</f>
        <v>0</v>
      </c>
      <c r="V64" s="72">
        <f>SUM(Tabela4[[#This Row],[Robinson Fetter - 01]:[Robinson Fetter - 03]])</f>
        <v>0</v>
      </c>
      <c r="W64" s="72">
        <f>Tabela4[[#This Row],[Fabio De Moura]]</f>
        <v>0</v>
      </c>
      <c r="X64" s="72">
        <f>Tabela4[[#This Row],[Rochele Santos Moraes]]</f>
        <v>0</v>
      </c>
      <c r="Y64" s="72">
        <f>Tabela4[[#This Row],[Auto Posto Kairã]]</f>
        <v>0</v>
      </c>
      <c r="Z64" s="72">
        <f>Tabela4[[#This Row],[Erno Schiefelbain]]</f>
        <v>0</v>
      </c>
      <c r="AA64" s="72">
        <f>Tabela4[[#This Row],[José Paulo Backes]]</f>
        <v>0</v>
      </c>
      <c r="AB64" s="72">
        <f>Tabela4[[#This Row],[Gelso Tofolo]]</f>
        <v>0</v>
      </c>
      <c r="AC64" s="72">
        <f>Tabela4[[#This Row],[Diamantino]]</f>
        <v>0</v>
      </c>
      <c r="AD64" s="72">
        <f>Tabela4[[#This Row],[Mercado Bueno]]</f>
        <v>0</v>
      </c>
      <c r="AE64" s="72">
        <f>Tabela4[[#This Row],[Daniela Donadel Massalai]]</f>
        <v>0</v>
      </c>
      <c r="AF64" s="72">
        <f>Tabela4[[#This Row],[Comercio De Moto Peças Irmãos Guarani Ltda]]</f>
        <v>0</v>
      </c>
      <c r="AG64" s="72">
        <f>Tabela4[[#This Row],[Mauricio Luis Lunardi]]</f>
        <v>0</v>
      </c>
      <c r="AH64" s="72">
        <f>Tabela4[[#This Row],[Rosa Maria Restle Radunz]]</f>
        <v>0</v>
      </c>
      <c r="AI64" s="72">
        <f>Tabela4[[#This Row],[Ivo Amaral De Oliveira]]</f>
        <v>0</v>
      </c>
      <c r="AJ64" s="72">
        <f>Tabela4[[#This Row],[Silvio Robert Lemos Avila]]</f>
        <v>0</v>
      </c>
      <c r="AK64" s="72">
        <f>Tabela4[[#This Row],[Eldo Rost]]</f>
        <v>0</v>
      </c>
      <c r="AL64" s="72">
        <f>SUM(Tabela4[[#This Row],[Padaria Avenida - 01]:[Padaria Avenida - 02]])</f>
        <v>0</v>
      </c>
      <c r="AM64" s="72">
        <f>Tabela4[[#This Row],[Cristiano Anshau]]</f>
        <v>0</v>
      </c>
      <c r="AN64" s="72">
        <f>Tabela4[[#This Row],[Luciana Claudete Meirelles Correa]]</f>
        <v>0</v>
      </c>
      <c r="AO64" s="72">
        <f>Tabela4[[#This Row],[Marcio Jose Siqueira]]</f>
        <v>0</v>
      </c>
      <c r="AP64" s="72">
        <f>Tabela4[[#This Row],[Marcos Rogerio Kessler]]</f>
        <v>0</v>
      </c>
      <c r="AQ64" s="72">
        <f>SUM(Tabela4[[#This Row],[AABB - 01]:[AABB - 02]])</f>
        <v>0</v>
      </c>
      <c r="AR64" s="72">
        <f>SUM(Tabela4[[#This Row],[Wanda Burkard - 01]:[Wanda Burkard - 02]])</f>
        <v>0</v>
      </c>
      <c r="AS64" s="72">
        <f>Tabela4[[#This Row],[Silvio Robert Lemos Avila Me]]</f>
        <v>0</v>
      </c>
      <c r="AT64" s="72">
        <f>Tabela4[[#This Row],[Carmelo]]</f>
        <v>0</v>
      </c>
      <c r="AU64" s="72">
        <f>Tabela4[[#This Row],[Antonio Dal Forno]]</f>
        <v>0</v>
      </c>
      <c r="AV64" s="72">
        <f>Tabela4[[#This Row],[Marisane Paulus]]</f>
        <v>0</v>
      </c>
      <c r="AW64" s="72">
        <f>Tabela4[[#This Row],[Segatto Ceretta Ltda]]</f>
        <v>0</v>
      </c>
      <c r="AX64" s="72">
        <f>SUM(Tabela4[[#This Row],[APAE - 01]:[APAE - 02]])</f>
        <v>0</v>
      </c>
      <c r="AY64" s="72">
        <f>Tabela4[[#This Row],[Cássio Burin]]</f>
        <v>0</v>
      </c>
      <c r="AZ64" s="72">
        <f>Tabela4[[#This Row],[Patrick Kristoschek Da Silva]]</f>
        <v>0</v>
      </c>
      <c r="BA64" s="72">
        <f>Tabela4[[#This Row],[Silvio Robert Ávila - (Valmir)]]</f>
        <v>0</v>
      </c>
      <c r="BB64" s="72">
        <f>Tabela4[[#This Row],[Zederson Jose Della Flora]]</f>
        <v>0</v>
      </c>
      <c r="BC64" s="72">
        <f>Tabela4[[#This Row],[Carlos Walmir Larsão Rolim]]</f>
        <v>0</v>
      </c>
      <c r="BD64" s="72">
        <f>Tabela4[[#This Row],[Danieli Missio]]</f>
        <v>0</v>
      </c>
      <c r="BE64" s="72">
        <f>Tabela4[[#This Row],[José Vasconcellos]]</f>
        <v>0</v>
      </c>
      <c r="BF64" s="72">
        <f>Tabela4[[#This Row],[Linho Lev Alimentos]]</f>
        <v>0</v>
      </c>
      <c r="BG64" s="72">
        <f>Tabela4[[#This Row],[Ernani Czapla]]</f>
        <v>0</v>
      </c>
      <c r="BH64" s="72">
        <f>Tabela4[[#This Row],[Valesca Da Luz]]</f>
        <v>0</v>
      </c>
      <c r="BI64" s="72">
        <f>Tabela4[[#This Row],[Olavo Mildner]]</f>
        <v>0</v>
      </c>
      <c r="BJ64" s="72">
        <f>Tabela4[[#This Row],[Dilnei Rohled]]</f>
        <v>0</v>
      </c>
      <c r="BK64" s="72">
        <f>Tabela4[[#This Row],[Shaiana Signorini]]</f>
        <v>0</v>
      </c>
      <c r="BL64" s="72">
        <f>Tabela4[[#This Row],[Fonse Atacado]]</f>
        <v>0</v>
      </c>
      <c r="BM64" s="72">
        <f>Tabela4[[#This Row],[Comercial de Alimentos]]</f>
        <v>0</v>
      </c>
      <c r="BN64" s="72">
        <f>Tabela4[[#This Row],[Ivone Kasburg Serralheria]]</f>
        <v>0</v>
      </c>
      <c r="BO64" s="72">
        <f>Tabela4[[#This Row],[Mercado Ceretta]]</f>
        <v>0</v>
      </c>
      <c r="BP64" s="72">
        <f>Tabela4[[#This Row],[Antonio Carlos Dos Santos Pereira]]</f>
        <v>0</v>
      </c>
      <c r="BQ64" s="72">
        <f>Tabela4[[#This Row],[Volnei Lemos Avila - Me]]</f>
        <v>0</v>
      </c>
      <c r="BR64" s="72">
        <f>Tabela4[[#This Row],[Silvana Meneghini]]</f>
        <v>0</v>
      </c>
      <c r="BS64" s="72">
        <f>Tabela4[[#This Row],[Eficaz Engenharia Ltda]]</f>
        <v>0</v>
      </c>
      <c r="BT64" s="72">
        <f>SUM(Tabela4[[#Headers],[Tania Regina Schmaltz - 01]:[Tania Regina Schmaltz - 02]])</f>
        <v>0</v>
      </c>
      <c r="BU64" s="72">
        <f>Tabela4[[#This Row],[Camila Ceretta Segatto]]</f>
        <v>0</v>
      </c>
      <c r="BV64" s="72">
        <f>Tabela4[[#This Row],[Vagner Ribas Dos Santos]]</f>
        <v>0</v>
      </c>
      <c r="BW64" s="72">
        <f>Tabela4[[#This Row],[Claudio Alfredo Konrat]]</f>
        <v>0</v>
      </c>
    </row>
    <row r="65" spans="1:75" x14ac:dyDescent="0.25">
      <c r="A65" s="70">
        <v>45017</v>
      </c>
      <c r="B65" s="72">
        <f>SUM(Tabela4[[#This Row],[Marlon Colovini - 01]:[Marlon Colovini - 02]])</f>
        <v>0</v>
      </c>
      <c r="C65" s="72">
        <f>Tabela4[[#This Row],[Mara Barichello]]</f>
        <v>0</v>
      </c>
      <c r="D65" s="72">
        <f>Tabela4[[#This Row],[Jandira Dutra]]</f>
        <v>0</v>
      </c>
      <c r="E65" s="72">
        <f>Tabela4[[#This Row],[Luiz Fernando Kruger]]</f>
        <v>0</v>
      </c>
      <c r="F65" s="72">
        <f>SUM(Tabela4[[#This Row],[Paulo Bohn - 01]:[Paulo Bohn - 04]])</f>
        <v>0</v>
      </c>
      <c r="G65" s="72">
        <f>Tabela4[[#This Row],[Analia (Clodoaldo Entre-Ijuis)]]</f>
        <v>0</v>
      </c>
      <c r="H65" s="72">
        <f>Tabela4[[#This Row],[Biroh]]</f>
        <v>0</v>
      </c>
      <c r="I65" s="72">
        <f>Tabela4[[#This Row],[Gelson Posser]]</f>
        <v>0</v>
      </c>
      <c r="J65" s="72">
        <f>Tabela4[[#This Row],[Supermercado Caryone]]</f>
        <v>0</v>
      </c>
      <c r="K65" s="72">
        <f>Tabela4[[#This Row],[Ernani Minetto]]</f>
        <v>0</v>
      </c>
      <c r="L65" s="72">
        <f>Tabela4[[#This Row],[Jair Moscon]]</f>
        <v>0</v>
      </c>
      <c r="M65" s="72">
        <f>SUM(Tabela4[[#This Row],[Fabio Milke - 01]:[Fabio Milke - 02]])</f>
        <v>0</v>
      </c>
      <c r="N65" s="72">
        <f>Tabela4[[#This Row],[Piaia]]</f>
        <v>0</v>
      </c>
      <c r="O65" s="72">
        <f>Tabela4[[#This Row],[Osmar Veronese]]</f>
        <v>0</v>
      </c>
      <c r="P65" s="72">
        <f>Tabela4[[#This Row],[ José Luiz Moraes]]</f>
        <v>0</v>
      </c>
      <c r="Q65" s="72">
        <f>Tabela4[[#This Row],[Supermercado Cripy]]</f>
        <v>0</v>
      </c>
      <c r="R65" s="72">
        <f>Tabela4[[#This Row],[Gláucio Lipski (Giruá)]]</f>
        <v>0</v>
      </c>
      <c r="S65" s="72">
        <f>Tabela4[[#This Row],[Contri]]</f>
        <v>0</v>
      </c>
      <c r="T65" s="72">
        <f>Tabela4[[#This Row],[Cleci Rubi]]</f>
        <v>0</v>
      </c>
      <c r="U65" s="72">
        <f>Tabela4[[#This Row],[Betine Rost]]</f>
        <v>0</v>
      </c>
      <c r="V65" s="72">
        <f>SUM(Tabela4[[#This Row],[Robinson Fetter - 01]:[Robinson Fetter - 03]])</f>
        <v>0</v>
      </c>
      <c r="W65" s="72">
        <f>Tabela4[[#This Row],[Fabio De Moura]]</f>
        <v>0</v>
      </c>
      <c r="X65" s="72">
        <f>Tabela4[[#This Row],[Rochele Santos Moraes]]</f>
        <v>0</v>
      </c>
      <c r="Y65" s="72">
        <f>Tabela4[[#This Row],[Auto Posto Kairã]]</f>
        <v>0</v>
      </c>
      <c r="Z65" s="72">
        <f>Tabela4[[#This Row],[Erno Schiefelbain]]</f>
        <v>0</v>
      </c>
      <c r="AA65" s="72">
        <f>Tabela4[[#This Row],[José Paulo Backes]]</f>
        <v>0</v>
      </c>
      <c r="AB65" s="72">
        <f>Tabela4[[#This Row],[Gelso Tofolo]]</f>
        <v>0</v>
      </c>
      <c r="AC65" s="72">
        <f>Tabela4[[#This Row],[Diamantino]]</f>
        <v>0</v>
      </c>
      <c r="AD65" s="72">
        <f>Tabela4[[#This Row],[Mercado Bueno]]</f>
        <v>0</v>
      </c>
      <c r="AE65" s="72">
        <f>Tabela4[[#This Row],[Daniela Donadel Massalai]]</f>
        <v>0</v>
      </c>
      <c r="AF65" s="72">
        <f>Tabela4[[#This Row],[Comercio De Moto Peças Irmãos Guarani Ltda]]</f>
        <v>0</v>
      </c>
      <c r="AG65" s="72">
        <f>Tabela4[[#This Row],[Mauricio Luis Lunardi]]</f>
        <v>0</v>
      </c>
      <c r="AH65" s="72">
        <f>Tabela4[[#This Row],[Rosa Maria Restle Radunz]]</f>
        <v>0</v>
      </c>
      <c r="AI65" s="72">
        <f>Tabela4[[#This Row],[Ivo Amaral De Oliveira]]</f>
        <v>0</v>
      </c>
      <c r="AJ65" s="72">
        <f>Tabela4[[#This Row],[Silvio Robert Lemos Avila]]</f>
        <v>0</v>
      </c>
      <c r="AK65" s="72">
        <f>Tabela4[[#This Row],[Eldo Rost]]</f>
        <v>0</v>
      </c>
      <c r="AL65" s="72">
        <f>SUM(Tabela4[[#This Row],[Padaria Avenida - 01]:[Padaria Avenida - 02]])</f>
        <v>0</v>
      </c>
      <c r="AM65" s="72">
        <f>Tabela4[[#This Row],[Cristiano Anshau]]</f>
        <v>0</v>
      </c>
      <c r="AN65" s="72">
        <f>Tabela4[[#This Row],[Luciana Claudete Meirelles Correa]]</f>
        <v>0</v>
      </c>
      <c r="AO65" s="72">
        <f>Tabela4[[#This Row],[Marcio Jose Siqueira]]</f>
        <v>0</v>
      </c>
      <c r="AP65" s="72">
        <f>Tabela4[[#This Row],[Marcos Rogerio Kessler]]</f>
        <v>0</v>
      </c>
      <c r="AQ65" s="72">
        <f>SUM(Tabela4[[#This Row],[AABB - 01]:[AABB - 02]])</f>
        <v>0</v>
      </c>
      <c r="AR65" s="72">
        <f>SUM(Tabela4[[#This Row],[Wanda Burkard - 01]:[Wanda Burkard - 02]])</f>
        <v>0</v>
      </c>
      <c r="AS65" s="72">
        <f>Tabela4[[#This Row],[Silvio Robert Lemos Avila Me]]</f>
        <v>0</v>
      </c>
      <c r="AT65" s="72">
        <f>Tabela4[[#This Row],[Carmelo]]</f>
        <v>0</v>
      </c>
      <c r="AU65" s="72">
        <f>Tabela4[[#This Row],[Antonio Dal Forno]]</f>
        <v>0</v>
      </c>
      <c r="AV65" s="72">
        <f>Tabela4[[#This Row],[Marisane Paulus]]</f>
        <v>0</v>
      </c>
      <c r="AW65" s="72">
        <f>Tabela4[[#This Row],[Segatto Ceretta Ltda]]</f>
        <v>0</v>
      </c>
      <c r="AX65" s="72">
        <f>SUM(Tabela4[[#This Row],[APAE - 01]:[APAE - 02]])</f>
        <v>0</v>
      </c>
      <c r="AY65" s="72">
        <f>Tabela4[[#This Row],[Cássio Burin]]</f>
        <v>0</v>
      </c>
      <c r="AZ65" s="72">
        <f>Tabela4[[#This Row],[Patrick Kristoschek Da Silva]]</f>
        <v>0</v>
      </c>
      <c r="BA65" s="72">
        <f>Tabela4[[#This Row],[Silvio Robert Ávila - (Valmir)]]</f>
        <v>0</v>
      </c>
      <c r="BB65" s="72">
        <f>Tabela4[[#This Row],[Zederson Jose Della Flora]]</f>
        <v>0</v>
      </c>
      <c r="BC65" s="72">
        <f>Tabela4[[#This Row],[Carlos Walmir Larsão Rolim]]</f>
        <v>0</v>
      </c>
      <c r="BD65" s="72">
        <f>Tabela4[[#This Row],[Danieli Missio]]</f>
        <v>0</v>
      </c>
      <c r="BE65" s="72">
        <f>Tabela4[[#This Row],[José Vasconcellos]]</f>
        <v>0</v>
      </c>
      <c r="BF65" s="72">
        <f>Tabela4[[#This Row],[Linho Lev Alimentos]]</f>
        <v>0</v>
      </c>
      <c r="BG65" s="72">
        <f>Tabela4[[#This Row],[Ernani Czapla]]</f>
        <v>0</v>
      </c>
      <c r="BH65" s="72">
        <f>Tabela4[[#This Row],[Valesca Da Luz]]</f>
        <v>0</v>
      </c>
      <c r="BI65" s="72">
        <f>Tabela4[[#This Row],[Olavo Mildner]]</f>
        <v>0</v>
      </c>
      <c r="BJ65" s="72">
        <f>Tabela4[[#This Row],[Dilnei Rohled]]</f>
        <v>0</v>
      </c>
      <c r="BK65" s="72">
        <f>Tabela4[[#This Row],[Shaiana Signorini]]</f>
        <v>0</v>
      </c>
      <c r="BL65" s="72">
        <f>Tabela4[[#This Row],[Fonse Atacado]]</f>
        <v>0</v>
      </c>
      <c r="BM65" s="72">
        <f>Tabela4[[#This Row],[Comercial de Alimentos]]</f>
        <v>0</v>
      </c>
      <c r="BN65" s="72">
        <f>Tabela4[[#This Row],[Ivone Kasburg Serralheria]]</f>
        <v>0</v>
      </c>
      <c r="BO65" s="72">
        <f>Tabela4[[#This Row],[Mercado Ceretta]]</f>
        <v>0</v>
      </c>
      <c r="BP65" s="72">
        <f>Tabela4[[#This Row],[Antonio Carlos Dos Santos Pereira]]</f>
        <v>0</v>
      </c>
      <c r="BQ65" s="72">
        <f>Tabela4[[#This Row],[Volnei Lemos Avila - Me]]</f>
        <v>0</v>
      </c>
      <c r="BR65" s="72">
        <f>Tabela4[[#This Row],[Silvana Meneghini]]</f>
        <v>0</v>
      </c>
      <c r="BS65" s="72">
        <f>Tabela4[[#This Row],[Eficaz Engenharia Ltda]]</f>
        <v>0</v>
      </c>
      <c r="BT65" s="72">
        <f>SUM(Tabela4[[#Headers],[Tania Regina Schmaltz - 01]:[Tania Regina Schmaltz - 02]])</f>
        <v>0</v>
      </c>
      <c r="BU65" s="72">
        <f>Tabela4[[#This Row],[Camila Ceretta Segatto]]</f>
        <v>0</v>
      </c>
      <c r="BV65" s="72">
        <f>Tabela4[[#This Row],[Vagner Ribas Dos Santos]]</f>
        <v>0</v>
      </c>
      <c r="BW65" s="72">
        <f>Tabela4[[#This Row],[Claudio Alfredo Konrat]]</f>
        <v>0</v>
      </c>
    </row>
    <row r="66" spans="1:75" x14ac:dyDescent="0.25">
      <c r="A66" s="70">
        <v>45047</v>
      </c>
      <c r="B66" s="72">
        <f>SUM(Tabela4[[#This Row],[Marlon Colovini - 01]:[Marlon Colovini - 02]])</f>
        <v>0</v>
      </c>
      <c r="C66" s="72">
        <f>Tabela4[[#This Row],[Mara Barichello]]</f>
        <v>0</v>
      </c>
      <c r="D66" s="72">
        <f>Tabela4[[#This Row],[Jandira Dutra]]</f>
        <v>0</v>
      </c>
      <c r="E66" s="72">
        <f>Tabela4[[#This Row],[Luiz Fernando Kruger]]</f>
        <v>0</v>
      </c>
      <c r="F66" s="72">
        <f>SUM(Tabela4[[#This Row],[Paulo Bohn - 01]:[Paulo Bohn - 04]])</f>
        <v>0</v>
      </c>
      <c r="G66" s="72">
        <f>Tabela4[[#This Row],[Analia (Clodoaldo Entre-Ijuis)]]</f>
        <v>0</v>
      </c>
      <c r="H66" s="72">
        <f>Tabela4[[#This Row],[Biroh]]</f>
        <v>0</v>
      </c>
      <c r="I66" s="72">
        <f>Tabela4[[#This Row],[Gelson Posser]]</f>
        <v>0</v>
      </c>
      <c r="J66" s="72">
        <f>Tabela4[[#This Row],[Supermercado Caryone]]</f>
        <v>0</v>
      </c>
      <c r="K66" s="72">
        <f>Tabela4[[#This Row],[Ernani Minetto]]</f>
        <v>0</v>
      </c>
      <c r="L66" s="72">
        <f>Tabela4[[#This Row],[Jair Moscon]]</f>
        <v>0</v>
      </c>
      <c r="M66" s="72">
        <f>SUM(Tabela4[[#This Row],[Fabio Milke - 01]:[Fabio Milke - 02]])</f>
        <v>0</v>
      </c>
      <c r="N66" s="72">
        <f>Tabela4[[#This Row],[Piaia]]</f>
        <v>0</v>
      </c>
      <c r="O66" s="72">
        <f>Tabela4[[#This Row],[Osmar Veronese]]</f>
        <v>0</v>
      </c>
      <c r="P66" s="72">
        <f>Tabela4[[#This Row],[ José Luiz Moraes]]</f>
        <v>0</v>
      </c>
      <c r="Q66" s="72">
        <f>Tabela4[[#This Row],[Supermercado Cripy]]</f>
        <v>0</v>
      </c>
      <c r="R66" s="72">
        <f>Tabela4[[#This Row],[Gláucio Lipski (Giruá)]]</f>
        <v>0</v>
      </c>
      <c r="S66" s="72">
        <f>Tabela4[[#This Row],[Contri]]</f>
        <v>0</v>
      </c>
      <c r="T66" s="72">
        <f>Tabela4[[#This Row],[Cleci Rubi]]</f>
        <v>0</v>
      </c>
      <c r="U66" s="72">
        <f>Tabela4[[#This Row],[Betine Rost]]</f>
        <v>0</v>
      </c>
      <c r="V66" s="72">
        <f>SUM(Tabela4[[#This Row],[Robinson Fetter - 01]:[Robinson Fetter - 03]])</f>
        <v>0</v>
      </c>
      <c r="W66" s="72">
        <f>Tabela4[[#This Row],[Fabio De Moura]]</f>
        <v>0</v>
      </c>
      <c r="X66" s="72">
        <f>Tabela4[[#This Row],[Rochele Santos Moraes]]</f>
        <v>0</v>
      </c>
      <c r="Y66" s="72">
        <f>Tabela4[[#This Row],[Auto Posto Kairã]]</f>
        <v>0</v>
      </c>
      <c r="Z66" s="72">
        <f>Tabela4[[#This Row],[Erno Schiefelbain]]</f>
        <v>0</v>
      </c>
      <c r="AA66" s="72">
        <f>Tabela4[[#This Row],[José Paulo Backes]]</f>
        <v>0</v>
      </c>
      <c r="AB66" s="72">
        <f>Tabela4[[#This Row],[Gelso Tofolo]]</f>
        <v>0</v>
      </c>
      <c r="AC66" s="72">
        <f>Tabela4[[#This Row],[Diamantino]]</f>
        <v>0</v>
      </c>
      <c r="AD66" s="72">
        <f>Tabela4[[#This Row],[Mercado Bueno]]</f>
        <v>0</v>
      </c>
      <c r="AE66" s="72">
        <f>Tabela4[[#This Row],[Daniela Donadel Massalai]]</f>
        <v>0</v>
      </c>
      <c r="AF66" s="72">
        <f>Tabela4[[#This Row],[Comercio De Moto Peças Irmãos Guarani Ltda]]</f>
        <v>0</v>
      </c>
      <c r="AG66" s="72">
        <f>Tabela4[[#This Row],[Mauricio Luis Lunardi]]</f>
        <v>0</v>
      </c>
      <c r="AH66" s="72">
        <f>Tabela4[[#This Row],[Rosa Maria Restle Radunz]]</f>
        <v>0</v>
      </c>
      <c r="AI66" s="72">
        <f>Tabela4[[#This Row],[Ivo Amaral De Oliveira]]</f>
        <v>0</v>
      </c>
      <c r="AJ66" s="72">
        <f>Tabela4[[#This Row],[Silvio Robert Lemos Avila]]</f>
        <v>0</v>
      </c>
      <c r="AK66" s="72">
        <f>Tabela4[[#This Row],[Eldo Rost]]</f>
        <v>0</v>
      </c>
      <c r="AL66" s="72">
        <f>SUM(Tabela4[[#This Row],[Padaria Avenida - 01]:[Padaria Avenida - 02]])</f>
        <v>0</v>
      </c>
      <c r="AM66" s="72">
        <f>Tabela4[[#This Row],[Cristiano Anshau]]</f>
        <v>0</v>
      </c>
      <c r="AN66" s="72">
        <f>Tabela4[[#This Row],[Luciana Claudete Meirelles Correa]]</f>
        <v>0</v>
      </c>
      <c r="AO66" s="72">
        <f>Tabela4[[#This Row],[Marcio Jose Siqueira]]</f>
        <v>0</v>
      </c>
      <c r="AP66" s="72">
        <f>Tabela4[[#This Row],[Marcos Rogerio Kessler]]</f>
        <v>0</v>
      </c>
      <c r="AQ66" s="72">
        <f>SUM(Tabela4[[#This Row],[AABB - 01]:[AABB - 02]])</f>
        <v>0</v>
      </c>
      <c r="AR66" s="72">
        <f>SUM(Tabela4[[#This Row],[Wanda Burkard - 01]:[Wanda Burkard - 02]])</f>
        <v>0</v>
      </c>
      <c r="AS66" s="72">
        <f>Tabela4[[#This Row],[Silvio Robert Lemos Avila Me]]</f>
        <v>0</v>
      </c>
      <c r="AT66" s="72">
        <f>Tabela4[[#This Row],[Carmelo]]</f>
        <v>0</v>
      </c>
      <c r="AU66" s="72">
        <f>Tabela4[[#This Row],[Antonio Dal Forno]]</f>
        <v>0</v>
      </c>
      <c r="AV66" s="72">
        <f>Tabela4[[#This Row],[Marisane Paulus]]</f>
        <v>0</v>
      </c>
      <c r="AW66" s="72">
        <f>Tabela4[[#This Row],[Segatto Ceretta Ltda]]</f>
        <v>0</v>
      </c>
      <c r="AX66" s="72">
        <f>SUM(Tabela4[[#This Row],[APAE - 01]:[APAE - 02]])</f>
        <v>0</v>
      </c>
      <c r="AY66" s="72">
        <f>Tabela4[[#This Row],[Cássio Burin]]</f>
        <v>0</v>
      </c>
      <c r="AZ66" s="72">
        <f>Tabela4[[#This Row],[Patrick Kristoschek Da Silva]]</f>
        <v>0</v>
      </c>
      <c r="BA66" s="72">
        <f>Tabela4[[#This Row],[Silvio Robert Ávila - (Valmir)]]</f>
        <v>0</v>
      </c>
      <c r="BB66" s="72">
        <f>Tabela4[[#This Row],[Zederson Jose Della Flora]]</f>
        <v>0</v>
      </c>
      <c r="BC66" s="72">
        <f>Tabela4[[#This Row],[Carlos Walmir Larsão Rolim]]</f>
        <v>0</v>
      </c>
      <c r="BD66" s="72">
        <f>Tabela4[[#This Row],[Danieli Missio]]</f>
        <v>0</v>
      </c>
      <c r="BE66" s="72">
        <f>Tabela4[[#This Row],[José Vasconcellos]]</f>
        <v>0</v>
      </c>
      <c r="BF66" s="72">
        <f>Tabela4[[#This Row],[Linho Lev Alimentos]]</f>
        <v>0</v>
      </c>
      <c r="BG66" s="72">
        <f>Tabela4[[#This Row],[Ernani Czapla]]</f>
        <v>0</v>
      </c>
      <c r="BH66" s="72">
        <f>Tabela4[[#This Row],[Valesca Da Luz]]</f>
        <v>0</v>
      </c>
      <c r="BI66" s="72">
        <f>Tabela4[[#This Row],[Olavo Mildner]]</f>
        <v>0</v>
      </c>
      <c r="BJ66" s="72">
        <f>Tabela4[[#This Row],[Dilnei Rohled]]</f>
        <v>0</v>
      </c>
      <c r="BK66" s="72">
        <f>Tabela4[[#This Row],[Shaiana Signorini]]</f>
        <v>0</v>
      </c>
      <c r="BL66" s="72">
        <f>Tabela4[[#This Row],[Fonse Atacado]]</f>
        <v>0</v>
      </c>
      <c r="BM66" s="72">
        <f>Tabela4[[#This Row],[Comercial de Alimentos]]</f>
        <v>0</v>
      </c>
      <c r="BN66" s="72">
        <f>Tabela4[[#This Row],[Ivone Kasburg Serralheria]]</f>
        <v>0</v>
      </c>
      <c r="BO66" s="72">
        <f>Tabela4[[#This Row],[Mercado Ceretta]]</f>
        <v>0</v>
      </c>
      <c r="BP66" s="72">
        <f>Tabela4[[#This Row],[Antonio Carlos Dos Santos Pereira]]</f>
        <v>0</v>
      </c>
      <c r="BQ66" s="72">
        <f>Tabela4[[#This Row],[Volnei Lemos Avila - Me]]</f>
        <v>0</v>
      </c>
      <c r="BR66" s="72">
        <f>Tabela4[[#This Row],[Silvana Meneghini]]</f>
        <v>0</v>
      </c>
      <c r="BS66" s="72">
        <f>Tabela4[[#This Row],[Eficaz Engenharia Ltda]]</f>
        <v>0</v>
      </c>
      <c r="BT66" s="72">
        <f>SUM(Tabela4[[#Headers],[Tania Regina Schmaltz - 01]:[Tania Regina Schmaltz - 02]])</f>
        <v>0</v>
      </c>
      <c r="BU66" s="72">
        <f>Tabela4[[#This Row],[Camila Ceretta Segatto]]</f>
        <v>0</v>
      </c>
      <c r="BV66" s="72">
        <f>Tabela4[[#This Row],[Vagner Ribas Dos Santos]]</f>
        <v>0</v>
      </c>
      <c r="BW66" s="72">
        <f>Tabela4[[#This Row],[Claudio Alfredo Konrat]]</f>
        <v>0</v>
      </c>
    </row>
    <row r="67" spans="1:75" x14ac:dyDescent="0.25">
      <c r="A67" s="70">
        <v>45078</v>
      </c>
      <c r="B67" s="72">
        <f>SUM(Tabela4[[#This Row],[Marlon Colovini - 01]:[Marlon Colovini - 02]])</f>
        <v>0</v>
      </c>
      <c r="C67" s="72">
        <f>Tabela4[[#This Row],[Mara Barichello]]</f>
        <v>0</v>
      </c>
      <c r="D67" s="72">
        <f>Tabela4[[#This Row],[Jandira Dutra]]</f>
        <v>0</v>
      </c>
      <c r="E67" s="72">
        <f>Tabela4[[#This Row],[Luiz Fernando Kruger]]</f>
        <v>0</v>
      </c>
      <c r="F67" s="72">
        <f>SUM(Tabela4[[#This Row],[Paulo Bohn - 01]:[Paulo Bohn - 04]])</f>
        <v>0</v>
      </c>
      <c r="G67" s="72">
        <f>Tabela4[[#This Row],[Analia (Clodoaldo Entre-Ijuis)]]</f>
        <v>0</v>
      </c>
      <c r="H67" s="72">
        <f>Tabela4[[#This Row],[Biroh]]</f>
        <v>0</v>
      </c>
      <c r="I67" s="72">
        <f>Tabela4[[#This Row],[Gelson Posser]]</f>
        <v>0</v>
      </c>
      <c r="J67" s="72">
        <f>Tabela4[[#This Row],[Supermercado Caryone]]</f>
        <v>0</v>
      </c>
      <c r="K67" s="72">
        <f>Tabela4[[#This Row],[Ernani Minetto]]</f>
        <v>0</v>
      </c>
      <c r="L67" s="72">
        <f>Tabela4[[#This Row],[Jair Moscon]]</f>
        <v>0</v>
      </c>
      <c r="M67" s="72">
        <f>SUM(Tabela4[[#This Row],[Fabio Milke - 01]:[Fabio Milke - 02]])</f>
        <v>0</v>
      </c>
      <c r="N67" s="72">
        <f>Tabela4[[#This Row],[Piaia]]</f>
        <v>0</v>
      </c>
      <c r="O67" s="72">
        <f>Tabela4[[#This Row],[Osmar Veronese]]</f>
        <v>0</v>
      </c>
      <c r="P67" s="72">
        <f>Tabela4[[#This Row],[ José Luiz Moraes]]</f>
        <v>0</v>
      </c>
      <c r="Q67" s="72">
        <f>Tabela4[[#This Row],[Supermercado Cripy]]</f>
        <v>0</v>
      </c>
      <c r="R67" s="72">
        <f>Tabela4[[#This Row],[Gláucio Lipski (Giruá)]]</f>
        <v>0</v>
      </c>
      <c r="S67" s="72">
        <f>Tabela4[[#This Row],[Contri]]</f>
        <v>0</v>
      </c>
      <c r="T67" s="72">
        <f>Tabela4[[#This Row],[Cleci Rubi]]</f>
        <v>0</v>
      </c>
      <c r="U67" s="72">
        <f>Tabela4[[#This Row],[Betine Rost]]</f>
        <v>0</v>
      </c>
      <c r="V67" s="72">
        <f>SUM(Tabela4[[#This Row],[Robinson Fetter - 01]:[Robinson Fetter - 03]])</f>
        <v>0</v>
      </c>
      <c r="W67" s="72">
        <f>Tabela4[[#This Row],[Fabio De Moura]]</f>
        <v>0</v>
      </c>
      <c r="X67" s="72">
        <f>Tabela4[[#This Row],[Rochele Santos Moraes]]</f>
        <v>0</v>
      </c>
      <c r="Y67" s="72">
        <f>Tabela4[[#This Row],[Auto Posto Kairã]]</f>
        <v>0</v>
      </c>
      <c r="Z67" s="72">
        <f>Tabela4[[#This Row],[Erno Schiefelbain]]</f>
        <v>0</v>
      </c>
      <c r="AA67" s="72">
        <f>Tabela4[[#This Row],[José Paulo Backes]]</f>
        <v>0</v>
      </c>
      <c r="AB67" s="72">
        <f>Tabela4[[#This Row],[Gelso Tofolo]]</f>
        <v>0</v>
      </c>
      <c r="AC67" s="72">
        <f>Tabela4[[#This Row],[Diamantino]]</f>
        <v>0</v>
      </c>
      <c r="AD67" s="72">
        <f>Tabela4[[#This Row],[Mercado Bueno]]</f>
        <v>0</v>
      </c>
      <c r="AE67" s="72">
        <f>Tabela4[[#This Row],[Daniela Donadel Massalai]]</f>
        <v>0</v>
      </c>
      <c r="AF67" s="72">
        <f>Tabela4[[#This Row],[Comercio De Moto Peças Irmãos Guarani Ltda]]</f>
        <v>0</v>
      </c>
      <c r="AG67" s="72">
        <f>Tabela4[[#This Row],[Mauricio Luis Lunardi]]</f>
        <v>0</v>
      </c>
      <c r="AH67" s="72">
        <f>Tabela4[[#This Row],[Rosa Maria Restle Radunz]]</f>
        <v>0</v>
      </c>
      <c r="AI67" s="72">
        <f>Tabela4[[#This Row],[Ivo Amaral De Oliveira]]</f>
        <v>0</v>
      </c>
      <c r="AJ67" s="72">
        <f>Tabela4[[#This Row],[Silvio Robert Lemos Avila]]</f>
        <v>0</v>
      </c>
      <c r="AK67" s="72">
        <f>Tabela4[[#This Row],[Eldo Rost]]</f>
        <v>0</v>
      </c>
      <c r="AL67" s="72">
        <f>SUM(Tabela4[[#This Row],[Padaria Avenida - 01]:[Padaria Avenida - 02]])</f>
        <v>0</v>
      </c>
      <c r="AM67" s="72">
        <f>Tabela4[[#This Row],[Cristiano Anshau]]</f>
        <v>0</v>
      </c>
      <c r="AN67" s="72">
        <f>Tabela4[[#This Row],[Luciana Claudete Meirelles Correa]]</f>
        <v>0</v>
      </c>
      <c r="AO67" s="72">
        <f>Tabela4[[#This Row],[Marcio Jose Siqueira]]</f>
        <v>0</v>
      </c>
      <c r="AP67" s="72">
        <f>Tabela4[[#This Row],[Marcos Rogerio Kessler]]</f>
        <v>0</v>
      </c>
      <c r="AQ67" s="72">
        <f>SUM(Tabela4[[#This Row],[AABB - 01]:[AABB - 02]])</f>
        <v>0</v>
      </c>
      <c r="AR67" s="72">
        <f>SUM(Tabela4[[#This Row],[Wanda Burkard - 01]:[Wanda Burkard - 02]])</f>
        <v>0</v>
      </c>
      <c r="AS67" s="72">
        <f>Tabela4[[#This Row],[Silvio Robert Lemos Avila Me]]</f>
        <v>0</v>
      </c>
      <c r="AT67" s="72">
        <f>Tabela4[[#This Row],[Carmelo]]</f>
        <v>0</v>
      </c>
      <c r="AU67" s="72">
        <f>Tabela4[[#This Row],[Antonio Dal Forno]]</f>
        <v>0</v>
      </c>
      <c r="AV67" s="72">
        <f>Tabela4[[#This Row],[Marisane Paulus]]</f>
        <v>0</v>
      </c>
      <c r="AW67" s="72">
        <f>Tabela4[[#This Row],[Segatto Ceretta Ltda]]</f>
        <v>0</v>
      </c>
      <c r="AX67" s="72">
        <f>SUM(Tabela4[[#This Row],[APAE - 01]:[APAE - 02]])</f>
        <v>0</v>
      </c>
      <c r="AY67" s="72">
        <f>Tabela4[[#This Row],[Cássio Burin]]</f>
        <v>0</v>
      </c>
      <c r="AZ67" s="72">
        <f>Tabela4[[#This Row],[Patrick Kristoschek Da Silva]]</f>
        <v>0</v>
      </c>
      <c r="BA67" s="72">
        <f>Tabela4[[#This Row],[Silvio Robert Ávila - (Valmir)]]</f>
        <v>0</v>
      </c>
      <c r="BB67" s="72">
        <f>Tabela4[[#This Row],[Zederson Jose Della Flora]]</f>
        <v>0</v>
      </c>
      <c r="BC67" s="72">
        <f>Tabela4[[#This Row],[Carlos Walmir Larsão Rolim]]</f>
        <v>0</v>
      </c>
      <c r="BD67" s="72">
        <f>Tabela4[[#This Row],[Danieli Missio]]</f>
        <v>0</v>
      </c>
      <c r="BE67" s="72">
        <f>Tabela4[[#This Row],[José Vasconcellos]]</f>
        <v>0</v>
      </c>
      <c r="BF67" s="72">
        <f>Tabela4[[#This Row],[Linho Lev Alimentos]]</f>
        <v>0</v>
      </c>
      <c r="BG67" s="72">
        <f>Tabela4[[#This Row],[Ernani Czapla]]</f>
        <v>0</v>
      </c>
      <c r="BH67" s="72">
        <f>Tabela4[[#This Row],[Valesca Da Luz]]</f>
        <v>0</v>
      </c>
      <c r="BI67" s="72">
        <f>Tabela4[[#This Row],[Olavo Mildner]]</f>
        <v>0</v>
      </c>
      <c r="BJ67" s="72">
        <f>Tabela4[[#This Row],[Dilnei Rohled]]</f>
        <v>0</v>
      </c>
      <c r="BK67" s="72">
        <f>Tabela4[[#This Row],[Shaiana Signorini]]</f>
        <v>0</v>
      </c>
      <c r="BL67" s="72">
        <f>Tabela4[[#This Row],[Fonse Atacado]]</f>
        <v>0</v>
      </c>
      <c r="BM67" s="72">
        <f>Tabela4[[#This Row],[Comercial de Alimentos]]</f>
        <v>0</v>
      </c>
      <c r="BN67" s="72">
        <f>Tabela4[[#This Row],[Ivone Kasburg Serralheria]]</f>
        <v>0</v>
      </c>
      <c r="BO67" s="72">
        <f>Tabela4[[#This Row],[Mercado Ceretta]]</f>
        <v>0</v>
      </c>
      <c r="BP67" s="72">
        <f>Tabela4[[#This Row],[Antonio Carlos Dos Santos Pereira]]</f>
        <v>0</v>
      </c>
      <c r="BQ67" s="72">
        <f>Tabela4[[#This Row],[Volnei Lemos Avila - Me]]</f>
        <v>0</v>
      </c>
      <c r="BR67" s="72">
        <f>Tabela4[[#This Row],[Silvana Meneghini]]</f>
        <v>0</v>
      </c>
      <c r="BS67" s="72">
        <f>Tabela4[[#This Row],[Eficaz Engenharia Ltda]]</f>
        <v>0</v>
      </c>
      <c r="BT67" s="72">
        <f>SUM(Tabela4[[#Headers],[Tania Regina Schmaltz - 01]:[Tania Regina Schmaltz - 02]])</f>
        <v>0</v>
      </c>
      <c r="BU67" s="72">
        <f>Tabela4[[#This Row],[Camila Ceretta Segatto]]</f>
        <v>0</v>
      </c>
      <c r="BV67" s="72">
        <f>Tabela4[[#This Row],[Vagner Ribas Dos Santos]]</f>
        <v>0</v>
      </c>
      <c r="BW67" s="72">
        <f>Tabela4[[#This Row],[Claudio Alfredo Konrat]]</f>
        <v>0</v>
      </c>
    </row>
    <row r="68" spans="1:75" x14ac:dyDescent="0.25">
      <c r="A68" s="70">
        <v>45108</v>
      </c>
      <c r="B68" s="72">
        <f>SUM(Tabela4[[#This Row],[Marlon Colovini - 01]:[Marlon Colovini - 02]])</f>
        <v>0</v>
      </c>
      <c r="C68" s="72">
        <f>Tabela4[[#This Row],[Mara Barichello]]</f>
        <v>0</v>
      </c>
      <c r="D68" s="72">
        <f>Tabela4[[#This Row],[Jandira Dutra]]</f>
        <v>0</v>
      </c>
      <c r="E68" s="72">
        <f>Tabela4[[#This Row],[Luiz Fernando Kruger]]</f>
        <v>0</v>
      </c>
      <c r="F68" s="72">
        <f>SUM(Tabela4[[#This Row],[Paulo Bohn - 01]:[Paulo Bohn - 04]])</f>
        <v>0</v>
      </c>
      <c r="G68" s="72">
        <f>Tabela4[[#This Row],[Analia (Clodoaldo Entre-Ijuis)]]</f>
        <v>0</v>
      </c>
      <c r="H68" s="72">
        <f>Tabela4[[#This Row],[Biroh]]</f>
        <v>0</v>
      </c>
      <c r="I68" s="72">
        <f>Tabela4[[#This Row],[Gelson Posser]]</f>
        <v>0</v>
      </c>
      <c r="J68" s="72">
        <f>Tabela4[[#This Row],[Supermercado Caryone]]</f>
        <v>0</v>
      </c>
      <c r="K68" s="72">
        <f>Tabela4[[#This Row],[Ernani Minetto]]</f>
        <v>0</v>
      </c>
      <c r="L68" s="72">
        <f>Tabela4[[#This Row],[Jair Moscon]]</f>
        <v>0</v>
      </c>
      <c r="M68" s="72">
        <f>SUM(Tabela4[[#This Row],[Fabio Milke - 01]:[Fabio Milke - 02]])</f>
        <v>0</v>
      </c>
      <c r="N68" s="72">
        <f>Tabela4[[#This Row],[Piaia]]</f>
        <v>0</v>
      </c>
      <c r="O68" s="72">
        <f>Tabela4[[#This Row],[Osmar Veronese]]</f>
        <v>0</v>
      </c>
      <c r="P68" s="72">
        <f>Tabela4[[#This Row],[ José Luiz Moraes]]</f>
        <v>0</v>
      </c>
      <c r="Q68" s="72">
        <f>Tabela4[[#This Row],[Supermercado Cripy]]</f>
        <v>0</v>
      </c>
      <c r="R68" s="72">
        <f>Tabela4[[#This Row],[Gláucio Lipski (Giruá)]]</f>
        <v>0</v>
      </c>
      <c r="S68" s="72">
        <f>Tabela4[[#This Row],[Contri]]</f>
        <v>0</v>
      </c>
      <c r="T68" s="72">
        <f>Tabela4[[#This Row],[Cleci Rubi]]</f>
        <v>0</v>
      </c>
      <c r="U68" s="72">
        <f>Tabela4[[#This Row],[Betine Rost]]</f>
        <v>0</v>
      </c>
      <c r="V68" s="72">
        <f>SUM(Tabela4[[#This Row],[Robinson Fetter - 01]:[Robinson Fetter - 03]])</f>
        <v>0</v>
      </c>
      <c r="W68" s="72">
        <f>Tabela4[[#This Row],[Fabio De Moura]]</f>
        <v>0</v>
      </c>
      <c r="X68" s="72">
        <f>Tabela4[[#This Row],[Rochele Santos Moraes]]</f>
        <v>0</v>
      </c>
      <c r="Y68" s="72">
        <f>Tabela4[[#This Row],[Auto Posto Kairã]]</f>
        <v>0</v>
      </c>
      <c r="Z68" s="72">
        <f>Tabela4[[#This Row],[Erno Schiefelbain]]</f>
        <v>0</v>
      </c>
      <c r="AA68" s="72">
        <f>Tabela4[[#This Row],[José Paulo Backes]]</f>
        <v>0</v>
      </c>
      <c r="AB68" s="72">
        <f>Tabela4[[#This Row],[Gelso Tofolo]]</f>
        <v>0</v>
      </c>
      <c r="AC68" s="72">
        <f>Tabela4[[#This Row],[Diamantino]]</f>
        <v>0</v>
      </c>
      <c r="AD68" s="72">
        <f>Tabela4[[#This Row],[Mercado Bueno]]</f>
        <v>0</v>
      </c>
      <c r="AE68" s="72">
        <f>Tabela4[[#This Row],[Daniela Donadel Massalai]]</f>
        <v>0</v>
      </c>
      <c r="AF68" s="72">
        <f>Tabela4[[#This Row],[Comercio De Moto Peças Irmãos Guarani Ltda]]</f>
        <v>0</v>
      </c>
      <c r="AG68" s="72">
        <f>Tabela4[[#This Row],[Mauricio Luis Lunardi]]</f>
        <v>0</v>
      </c>
      <c r="AH68" s="72">
        <f>Tabela4[[#This Row],[Rosa Maria Restle Radunz]]</f>
        <v>0</v>
      </c>
      <c r="AI68" s="72">
        <f>Tabela4[[#This Row],[Ivo Amaral De Oliveira]]</f>
        <v>0</v>
      </c>
      <c r="AJ68" s="72">
        <f>Tabela4[[#This Row],[Silvio Robert Lemos Avila]]</f>
        <v>0</v>
      </c>
      <c r="AK68" s="72">
        <f>Tabela4[[#This Row],[Eldo Rost]]</f>
        <v>0</v>
      </c>
      <c r="AL68" s="72">
        <f>SUM(Tabela4[[#This Row],[Padaria Avenida - 01]:[Padaria Avenida - 02]])</f>
        <v>0</v>
      </c>
      <c r="AM68" s="72">
        <f>Tabela4[[#This Row],[Cristiano Anshau]]</f>
        <v>0</v>
      </c>
      <c r="AN68" s="72">
        <f>Tabela4[[#This Row],[Luciana Claudete Meirelles Correa]]</f>
        <v>0</v>
      </c>
      <c r="AO68" s="72">
        <f>Tabela4[[#This Row],[Marcio Jose Siqueira]]</f>
        <v>0</v>
      </c>
      <c r="AP68" s="72">
        <f>Tabela4[[#This Row],[Marcos Rogerio Kessler]]</f>
        <v>0</v>
      </c>
      <c r="AQ68" s="72">
        <f>SUM(Tabela4[[#This Row],[AABB - 01]:[AABB - 02]])</f>
        <v>0</v>
      </c>
      <c r="AR68" s="72">
        <f>SUM(Tabela4[[#This Row],[Wanda Burkard - 01]:[Wanda Burkard - 02]])</f>
        <v>0</v>
      </c>
      <c r="AS68" s="72">
        <f>Tabela4[[#This Row],[Silvio Robert Lemos Avila Me]]</f>
        <v>0</v>
      </c>
      <c r="AT68" s="72">
        <f>Tabela4[[#This Row],[Carmelo]]</f>
        <v>0</v>
      </c>
      <c r="AU68" s="72">
        <f>Tabela4[[#This Row],[Antonio Dal Forno]]</f>
        <v>0</v>
      </c>
      <c r="AV68" s="72">
        <f>Tabela4[[#This Row],[Marisane Paulus]]</f>
        <v>0</v>
      </c>
      <c r="AW68" s="72">
        <f>Tabela4[[#This Row],[Segatto Ceretta Ltda]]</f>
        <v>0</v>
      </c>
      <c r="AX68" s="72">
        <f>SUM(Tabela4[[#This Row],[APAE - 01]:[APAE - 02]])</f>
        <v>0</v>
      </c>
      <c r="AY68" s="72">
        <f>Tabela4[[#This Row],[Cássio Burin]]</f>
        <v>0</v>
      </c>
      <c r="AZ68" s="72">
        <f>Tabela4[[#This Row],[Patrick Kristoschek Da Silva]]</f>
        <v>0</v>
      </c>
      <c r="BA68" s="72">
        <f>Tabela4[[#This Row],[Silvio Robert Ávila - (Valmir)]]</f>
        <v>0</v>
      </c>
      <c r="BB68" s="72">
        <f>Tabela4[[#This Row],[Zederson Jose Della Flora]]</f>
        <v>0</v>
      </c>
      <c r="BC68" s="72">
        <f>Tabela4[[#This Row],[Carlos Walmir Larsão Rolim]]</f>
        <v>0</v>
      </c>
      <c r="BD68" s="72">
        <f>Tabela4[[#This Row],[Danieli Missio]]</f>
        <v>0</v>
      </c>
      <c r="BE68" s="72">
        <f>Tabela4[[#This Row],[José Vasconcellos]]</f>
        <v>0</v>
      </c>
      <c r="BF68" s="72">
        <f>Tabela4[[#This Row],[Linho Lev Alimentos]]</f>
        <v>0</v>
      </c>
      <c r="BG68" s="72">
        <f>Tabela4[[#This Row],[Ernani Czapla]]</f>
        <v>0</v>
      </c>
      <c r="BH68" s="72">
        <f>Tabela4[[#This Row],[Valesca Da Luz]]</f>
        <v>0</v>
      </c>
      <c r="BI68" s="72">
        <f>Tabela4[[#This Row],[Olavo Mildner]]</f>
        <v>0</v>
      </c>
      <c r="BJ68" s="72">
        <f>Tabela4[[#This Row],[Dilnei Rohled]]</f>
        <v>0</v>
      </c>
      <c r="BK68" s="72">
        <f>Tabela4[[#This Row],[Shaiana Signorini]]</f>
        <v>0</v>
      </c>
      <c r="BL68" s="72">
        <f>Tabela4[[#This Row],[Fonse Atacado]]</f>
        <v>0</v>
      </c>
      <c r="BM68" s="72">
        <f>Tabela4[[#This Row],[Comercial de Alimentos]]</f>
        <v>0</v>
      </c>
      <c r="BN68" s="72">
        <f>Tabela4[[#This Row],[Ivone Kasburg Serralheria]]</f>
        <v>0</v>
      </c>
      <c r="BO68" s="72">
        <f>Tabela4[[#This Row],[Mercado Ceretta]]</f>
        <v>0</v>
      </c>
      <c r="BP68" s="72">
        <f>Tabela4[[#This Row],[Antonio Carlos Dos Santos Pereira]]</f>
        <v>0</v>
      </c>
      <c r="BQ68" s="72">
        <f>Tabela4[[#This Row],[Volnei Lemos Avila - Me]]</f>
        <v>0</v>
      </c>
      <c r="BR68" s="72">
        <f>Tabela4[[#This Row],[Silvana Meneghini]]</f>
        <v>0</v>
      </c>
      <c r="BS68" s="72">
        <f>Tabela4[[#This Row],[Eficaz Engenharia Ltda]]</f>
        <v>0</v>
      </c>
      <c r="BT68" s="72">
        <f>SUM(Tabela4[[#Headers],[Tania Regina Schmaltz - 01]:[Tania Regina Schmaltz - 02]])</f>
        <v>0</v>
      </c>
      <c r="BU68" s="72">
        <f>Tabela4[[#This Row],[Camila Ceretta Segatto]]</f>
        <v>0</v>
      </c>
      <c r="BV68" s="72">
        <f>Tabela4[[#This Row],[Vagner Ribas Dos Santos]]</f>
        <v>0</v>
      </c>
      <c r="BW68" s="72">
        <f>Tabela4[[#This Row],[Claudio Alfredo Konrat]]</f>
        <v>0</v>
      </c>
    </row>
    <row r="69" spans="1:75" x14ac:dyDescent="0.25">
      <c r="A69" s="70">
        <v>45139</v>
      </c>
      <c r="B69" s="72">
        <f>SUM(Tabela4[[#This Row],[Marlon Colovini - 01]:[Marlon Colovini - 02]])</f>
        <v>0</v>
      </c>
      <c r="C69" s="72">
        <f>Tabela4[[#This Row],[Mara Barichello]]</f>
        <v>0</v>
      </c>
      <c r="D69" s="72">
        <f>Tabela4[[#This Row],[Jandira Dutra]]</f>
        <v>0</v>
      </c>
      <c r="E69" s="72">
        <f>Tabela4[[#This Row],[Luiz Fernando Kruger]]</f>
        <v>0</v>
      </c>
      <c r="F69" s="72">
        <f>SUM(Tabela4[[#This Row],[Paulo Bohn - 01]:[Paulo Bohn - 04]])</f>
        <v>0</v>
      </c>
      <c r="G69" s="72">
        <f>Tabela4[[#This Row],[Analia (Clodoaldo Entre-Ijuis)]]</f>
        <v>0</v>
      </c>
      <c r="H69" s="72">
        <f>Tabela4[[#This Row],[Biroh]]</f>
        <v>0</v>
      </c>
      <c r="I69" s="72">
        <f>Tabela4[[#This Row],[Gelson Posser]]</f>
        <v>0</v>
      </c>
      <c r="J69" s="72">
        <f>Tabela4[[#This Row],[Supermercado Caryone]]</f>
        <v>0</v>
      </c>
      <c r="K69" s="72">
        <f>Tabela4[[#This Row],[Ernani Minetto]]</f>
        <v>0</v>
      </c>
      <c r="L69" s="72">
        <f>Tabela4[[#This Row],[Jair Moscon]]</f>
        <v>0</v>
      </c>
      <c r="M69" s="72">
        <f>SUM(Tabela4[[#This Row],[Fabio Milke - 01]:[Fabio Milke - 02]])</f>
        <v>0</v>
      </c>
      <c r="N69" s="72">
        <f>Tabela4[[#This Row],[Piaia]]</f>
        <v>0</v>
      </c>
      <c r="O69" s="72">
        <f>Tabela4[[#This Row],[Osmar Veronese]]</f>
        <v>0</v>
      </c>
      <c r="P69" s="72">
        <f>Tabela4[[#This Row],[ José Luiz Moraes]]</f>
        <v>0</v>
      </c>
      <c r="Q69" s="72">
        <f>Tabela4[[#This Row],[Supermercado Cripy]]</f>
        <v>0</v>
      </c>
      <c r="R69" s="72">
        <f>Tabela4[[#This Row],[Gláucio Lipski (Giruá)]]</f>
        <v>0</v>
      </c>
      <c r="S69" s="72">
        <f>Tabela4[[#This Row],[Contri]]</f>
        <v>0</v>
      </c>
      <c r="T69" s="72">
        <f>Tabela4[[#This Row],[Cleci Rubi]]</f>
        <v>0</v>
      </c>
      <c r="U69" s="72">
        <f>Tabela4[[#This Row],[Betine Rost]]</f>
        <v>0</v>
      </c>
      <c r="V69" s="72">
        <f>SUM(Tabela4[[#This Row],[Robinson Fetter - 01]:[Robinson Fetter - 03]])</f>
        <v>0</v>
      </c>
      <c r="W69" s="72">
        <f>Tabela4[[#This Row],[Fabio De Moura]]</f>
        <v>0</v>
      </c>
      <c r="X69" s="72">
        <f>Tabela4[[#This Row],[Rochele Santos Moraes]]</f>
        <v>0</v>
      </c>
      <c r="Y69" s="72">
        <f>Tabela4[[#This Row],[Auto Posto Kairã]]</f>
        <v>0</v>
      </c>
      <c r="Z69" s="72">
        <f>Tabela4[[#This Row],[Erno Schiefelbain]]</f>
        <v>0</v>
      </c>
      <c r="AA69" s="72">
        <f>Tabela4[[#This Row],[José Paulo Backes]]</f>
        <v>0</v>
      </c>
      <c r="AB69" s="72">
        <f>Tabela4[[#This Row],[Gelso Tofolo]]</f>
        <v>0</v>
      </c>
      <c r="AC69" s="72">
        <f>Tabela4[[#This Row],[Diamantino]]</f>
        <v>0</v>
      </c>
      <c r="AD69" s="72">
        <f>Tabela4[[#This Row],[Mercado Bueno]]</f>
        <v>0</v>
      </c>
      <c r="AE69" s="72">
        <f>Tabela4[[#This Row],[Daniela Donadel Massalai]]</f>
        <v>0</v>
      </c>
      <c r="AF69" s="72">
        <f>Tabela4[[#This Row],[Comercio De Moto Peças Irmãos Guarani Ltda]]</f>
        <v>0</v>
      </c>
      <c r="AG69" s="72">
        <f>Tabela4[[#This Row],[Mauricio Luis Lunardi]]</f>
        <v>0</v>
      </c>
      <c r="AH69" s="72">
        <f>Tabela4[[#This Row],[Rosa Maria Restle Radunz]]</f>
        <v>0</v>
      </c>
      <c r="AI69" s="72">
        <f>Tabela4[[#This Row],[Ivo Amaral De Oliveira]]</f>
        <v>0</v>
      </c>
      <c r="AJ69" s="72">
        <f>Tabela4[[#This Row],[Silvio Robert Lemos Avila]]</f>
        <v>0</v>
      </c>
      <c r="AK69" s="72">
        <f>Tabela4[[#This Row],[Eldo Rost]]</f>
        <v>0</v>
      </c>
      <c r="AL69" s="72">
        <f>SUM(Tabela4[[#This Row],[Padaria Avenida - 01]:[Padaria Avenida - 02]])</f>
        <v>0</v>
      </c>
      <c r="AM69" s="72">
        <f>Tabela4[[#This Row],[Cristiano Anshau]]</f>
        <v>0</v>
      </c>
      <c r="AN69" s="72">
        <f>Tabela4[[#This Row],[Luciana Claudete Meirelles Correa]]</f>
        <v>0</v>
      </c>
      <c r="AO69" s="72">
        <f>Tabela4[[#This Row],[Marcio Jose Siqueira]]</f>
        <v>0</v>
      </c>
      <c r="AP69" s="72">
        <f>Tabela4[[#This Row],[Marcos Rogerio Kessler]]</f>
        <v>0</v>
      </c>
      <c r="AQ69" s="72">
        <f>SUM(Tabela4[[#This Row],[AABB - 01]:[AABB - 02]])</f>
        <v>0</v>
      </c>
      <c r="AR69" s="72">
        <f>SUM(Tabela4[[#This Row],[Wanda Burkard - 01]:[Wanda Burkard - 02]])</f>
        <v>0</v>
      </c>
      <c r="AS69" s="72">
        <f>Tabela4[[#This Row],[Silvio Robert Lemos Avila Me]]</f>
        <v>0</v>
      </c>
      <c r="AT69" s="72">
        <f>Tabela4[[#This Row],[Carmelo]]</f>
        <v>0</v>
      </c>
      <c r="AU69" s="72">
        <f>Tabela4[[#This Row],[Antonio Dal Forno]]</f>
        <v>0</v>
      </c>
      <c r="AV69" s="72">
        <f>Tabela4[[#This Row],[Marisane Paulus]]</f>
        <v>0</v>
      </c>
      <c r="AW69" s="72">
        <f>Tabela4[[#This Row],[Segatto Ceretta Ltda]]</f>
        <v>0</v>
      </c>
      <c r="AX69" s="72">
        <f>SUM(Tabela4[[#This Row],[APAE - 01]:[APAE - 02]])</f>
        <v>0</v>
      </c>
      <c r="AY69" s="72">
        <f>Tabela4[[#This Row],[Cássio Burin]]</f>
        <v>0</v>
      </c>
      <c r="AZ69" s="72">
        <f>Tabela4[[#This Row],[Patrick Kristoschek Da Silva]]</f>
        <v>0</v>
      </c>
      <c r="BA69" s="72">
        <f>Tabela4[[#This Row],[Silvio Robert Ávila - (Valmir)]]</f>
        <v>0</v>
      </c>
      <c r="BB69" s="72">
        <f>Tabela4[[#This Row],[Zederson Jose Della Flora]]</f>
        <v>0</v>
      </c>
      <c r="BC69" s="72">
        <f>Tabela4[[#This Row],[Carlos Walmir Larsão Rolim]]</f>
        <v>0</v>
      </c>
      <c r="BD69" s="72">
        <f>Tabela4[[#This Row],[Danieli Missio]]</f>
        <v>0</v>
      </c>
      <c r="BE69" s="72">
        <f>Tabela4[[#This Row],[José Vasconcellos]]</f>
        <v>0</v>
      </c>
      <c r="BF69" s="72">
        <f>Tabela4[[#This Row],[Linho Lev Alimentos]]</f>
        <v>0</v>
      </c>
      <c r="BG69" s="72">
        <f>Tabela4[[#This Row],[Ernani Czapla]]</f>
        <v>0</v>
      </c>
      <c r="BH69" s="72">
        <f>Tabela4[[#This Row],[Valesca Da Luz]]</f>
        <v>0</v>
      </c>
      <c r="BI69" s="72">
        <f>Tabela4[[#This Row],[Olavo Mildner]]</f>
        <v>0</v>
      </c>
      <c r="BJ69" s="72">
        <f>Tabela4[[#This Row],[Dilnei Rohled]]</f>
        <v>0</v>
      </c>
      <c r="BK69" s="72">
        <f>Tabela4[[#This Row],[Shaiana Signorini]]</f>
        <v>0</v>
      </c>
      <c r="BL69" s="72">
        <f>Tabela4[[#This Row],[Fonse Atacado]]</f>
        <v>0</v>
      </c>
      <c r="BM69" s="72">
        <f>Tabela4[[#This Row],[Comercial de Alimentos]]</f>
        <v>0</v>
      </c>
      <c r="BN69" s="72">
        <f>Tabela4[[#This Row],[Ivone Kasburg Serralheria]]</f>
        <v>0</v>
      </c>
      <c r="BO69" s="72">
        <f>Tabela4[[#This Row],[Mercado Ceretta]]</f>
        <v>0</v>
      </c>
      <c r="BP69" s="72">
        <f>Tabela4[[#This Row],[Antonio Carlos Dos Santos Pereira]]</f>
        <v>0</v>
      </c>
      <c r="BQ69" s="72">
        <f>Tabela4[[#This Row],[Volnei Lemos Avila - Me]]</f>
        <v>0</v>
      </c>
      <c r="BR69" s="72">
        <f>Tabela4[[#This Row],[Silvana Meneghini]]</f>
        <v>0</v>
      </c>
      <c r="BS69" s="72">
        <f>Tabela4[[#This Row],[Eficaz Engenharia Ltda]]</f>
        <v>0</v>
      </c>
      <c r="BT69" s="72">
        <f>SUM(Tabela4[[#Headers],[Tania Regina Schmaltz - 01]:[Tania Regina Schmaltz - 02]])</f>
        <v>0</v>
      </c>
      <c r="BU69" s="72">
        <f>Tabela4[[#This Row],[Camila Ceretta Segatto]]</f>
        <v>0</v>
      </c>
      <c r="BV69" s="72">
        <f>Tabela4[[#This Row],[Vagner Ribas Dos Santos]]</f>
        <v>0</v>
      </c>
      <c r="BW69" s="72">
        <f>Tabela4[[#This Row],[Claudio Alfredo Konrat]]</f>
        <v>0</v>
      </c>
    </row>
    <row r="70" spans="1:75" x14ac:dyDescent="0.25">
      <c r="A70" s="70">
        <v>45170</v>
      </c>
      <c r="B70" s="72">
        <f>SUM(Tabela4[[#This Row],[Marlon Colovini - 01]:[Marlon Colovini - 02]])</f>
        <v>0</v>
      </c>
      <c r="C70" s="72">
        <f>Tabela4[[#This Row],[Mara Barichello]]</f>
        <v>0</v>
      </c>
      <c r="D70" s="72">
        <f>Tabela4[[#This Row],[Jandira Dutra]]</f>
        <v>0</v>
      </c>
      <c r="E70" s="72">
        <f>Tabela4[[#This Row],[Luiz Fernando Kruger]]</f>
        <v>0</v>
      </c>
      <c r="F70" s="72">
        <f>SUM(Tabela4[[#This Row],[Paulo Bohn - 01]:[Paulo Bohn - 04]])</f>
        <v>0</v>
      </c>
      <c r="G70" s="72">
        <f>Tabela4[[#This Row],[Analia (Clodoaldo Entre-Ijuis)]]</f>
        <v>0</v>
      </c>
      <c r="H70" s="72">
        <f>Tabela4[[#This Row],[Biroh]]</f>
        <v>0</v>
      </c>
      <c r="I70" s="72">
        <f>Tabela4[[#This Row],[Gelson Posser]]</f>
        <v>0</v>
      </c>
      <c r="J70" s="72">
        <f>Tabela4[[#This Row],[Supermercado Caryone]]</f>
        <v>0</v>
      </c>
      <c r="K70" s="72">
        <f>Tabela4[[#This Row],[Ernani Minetto]]</f>
        <v>0</v>
      </c>
      <c r="L70" s="72">
        <f>Tabela4[[#This Row],[Jair Moscon]]</f>
        <v>0</v>
      </c>
      <c r="M70" s="72">
        <f>SUM(Tabela4[[#This Row],[Fabio Milke - 01]:[Fabio Milke - 02]])</f>
        <v>0</v>
      </c>
      <c r="N70" s="72">
        <f>Tabela4[[#This Row],[Piaia]]</f>
        <v>0</v>
      </c>
      <c r="O70" s="72">
        <f>Tabela4[[#This Row],[Osmar Veronese]]</f>
        <v>0</v>
      </c>
      <c r="P70" s="72">
        <f>Tabela4[[#This Row],[ José Luiz Moraes]]</f>
        <v>0</v>
      </c>
      <c r="Q70" s="72">
        <f>Tabela4[[#This Row],[Supermercado Cripy]]</f>
        <v>0</v>
      </c>
      <c r="R70" s="72">
        <f>Tabela4[[#This Row],[Gláucio Lipski (Giruá)]]</f>
        <v>0</v>
      </c>
      <c r="S70" s="72">
        <f>Tabela4[[#This Row],[Contri]]</f>
        <v>0</v>
      </c>
      <c r="T70" s="72">
        <f>Tabela4[[#This Row],[Cleci Rubi]]</f>
        <v>0</v>
      </c>
      <c r="U70" s="72">
        <f>Tabela4[[#This Row],[Betine Rost]]</f>
        <v>0</v>
      </c>
      <c r="V70" s="72">
        <f>SUM(Tabela4[[#This Row],[Robinson Fetter - 01]:[Robinson Fetter - 03]])</f>
        <v>0</v>
      </c>
      <c r="W70" s="72">
        <f>Tabela4[[#This Row],[Fabio De Moura]]</f>
        <v>0</v>
      </c>
      <c r="X70" s="72">
        <f>Tabela4[[#This Row],[Rochele Santos Moraes]]</f>
        <v>0</v>
      </c>
      <c r="Y70" s="72">
        <f>Tabela4[[#This Row],[Auto Posto Kairã]]</f>
        <v>0</v>
      </c>
      <c r="Z70" s="72">
        <f>Tabela4[[#This Row],[Erno Schiefelbain]]</f>
        <v>0</v>
      </c>
      <c r="AA70" s="72">
        <f>Tabela4[[#This Row],[José Paulo Backes]]</f>
        <v>0</v>
      </c>
      <c r="AB70" s="72">
        <f>Tabela4[[#This Row],[Gelso Tofolo]]</f>
        <v>0</v>
      </c>
      <c r="AC70" s="72">
        <f>Tabela4[[#This Row],[Diamantino]]</f>
        <v>0</v>
      </c>
      <c r="AD70" s="72">
        <f>Tabela4[[#This Row],[Mercado Bueno]]</f>
        <v>0</v>
      </c>
      <c r="AE70" s="72">
        <f>Tabela4[[#This Row],[Daniela Donadel Massalai]]</f>
        <v>0</v>
      </c>
      <c r="AF70" s="72">
        <f>Tabela4[[#This Row],[Comercio De Moto Peças Irmãos Guarani Ltda]]</f>
        <v>0</v>
      </c>
      <c r="AG70" s="72">
        <f>Tabela4[[#This Row],[Mauricio Luis Lunardi]]</f>
        <v>0</v>
      </c>
      <c r="AH70" s="72">
        <f>Tabela4[[#This Row],[Rosa Maria Restle Radunz]]</f>
        <v>0</v>
      </c>
      <c r="AI70" s="72">
        <f>Tabela4[[#This Row],[Ivo Amaral De Oliveira]]</f>
        <v>0</v>
      </c>
      <c r="AJ70" s="72">
        <f>Tabela4[[#This Row],[Silvio Robert Lemos Avila]]</f>
        <v>0</v>
      </c>
      <c r="AK70" s="72">
        <f>Tabela4[[#This Row],[Eldo Rost]]</f>
        <v>0</v>
      </c>
      <c r="AL70" s="72">
        <f>SUM(Tabela4[[#This Row],[Padaria Avenida - 01]:[Padaria Avenida - 02]])</f>
        <v>0</v>
      </c>
      <c r="AM70" s="72">
        <f>Tabela4[[#This Row],[Cristiano Anshau]]</f>
        <v>0</v>
      </c>
      <c r="AN70" s="72">
        <f>Tabela4[[#This Row],[Luciana Claudete Meirelles Correa]]</f>
        <v>0</v>
      </c>
      <c r="AO70" s="72">
        <f>Tabela4[[#This Row],[Marcio Jose Siqueira]]</f>
        <v>0</v>
      </c>
      <c r="AP70" s="72">
        <f>Tabela4[[#This Row],[Marcos Rogerio Kessler]]</f>
        <v>0</v>
      </c>
      <c r="AQ70" s="72">
        <f>SUM(Tabela4[[#This Row],[AABB - 01]:[AABB - 02]])</f>
        <v>0</v>
      </c>
      <c r="AR70" s="72">
        <f>SUM(Tabela4[[#This Row],[Wanda Burkard - 01]:[Wanda Burkard - 02]])</f>
        <v>0</v>
      </c>
      <c r="AS70" s="72">
        <f>Tabela4[[#This Row],[Silvio Robert Lemos Avila Me]]</f>
        <v>0</v>
      </c>
      <c r="AT70" s="72">
        <f>Tabela4[[#This Row],[Carmelo]]</f>
        <v>0</v>
      </c>
      <c r="AU70" s="72">
        <f>Tabela4[[#This Row],[Antonio Dal Forno]]</f>
        <v>0</v>
      </c>
      <c r="AV70" s="72">
        <f>Tabela4[[#This Row],[Marisane Paulus]]</f>
        <v>0</v>
      </c>
      <c r="AW70" s="72">
        <f>Tabela4[[#This Row],[Segatto Ceretta Ltda]]</f>
        <v>0</v>
      </c>
      <c r="AX70" s="72">
        <f>SUM(Tabela4[[#This Row],[APAE - 01]:[APAE - 02]])</f>
        <v>0</v>
      </c>
      <c r="AY70" s="72">
        <f>Tabela4[[#This Row],[Cássio Burin]]</f>
        <v>0</v>
      </c>
      <c r="AZ70" s="72">
        <f>Tabela4[[#This Row],[Patrick Kristoschek Da Silva]]</f>
        <v>0</v>
      </c>
      <c r="BA70" s="72">
        <f>Tabela4[[#This Row],[Silvio Robert Ávila - (Valmir)]]</f>
        <v>0</v>
      </c>
      <c r="BB70" s="72">
        <f>Tabela4[[#This Row],[Zederson Jose Della Flora]]</f>
        <v>0</v>
      </c>
      <c r="BC70" s="72">
        <f>Tabela4[[#This Row],[Carlos Walmir Larsão Rolim]]</f>
        <v>0</v>
      </c>
      <c r="BD70" s="72">
        <f>Tabela4[[#This Row],[Danieli Missio]]</f>
        <v>0</v>
      </c>
      <c r="BE70" s="72">
        <f>Tabela4[[#This Row],[José Vasconcellos]]</f>
        <v>0</v>
      </c>
      <c r="BF70" s="72">
        <f>Tabela4[[#This Row],[Linho Lev Alimentos]]</f>
        <v>0</v>
      </c>
      <c r="BG70" s="72">
        <f>Tabela4[[#This Row],[Ernani Czapla]]</f>
        <v>0</v>
      </c>
      <c r="BH70" s="72">
        <f>Tabela4[[#This Row],[Valesca Da Luz]]</f>
        <v>0</v>
      </c>
      <c r="BI70" s="72">
        <f>Tabela4[[#This Row],[Olavo Mildner]]</f>
        <v>0</v>
      </c>
      <c r="BJ70" s="72">
        <f>Tabela4[[#This Row],[Dilnei Rohled]]</f>
        <v>0</v>
      </c>
      <c r="BK70" s="72">
        <f>Tabela4[[#This Row],[Shaiana Signorini]]</f>
        <v>0</v>
      </c>
      <c r="BL70" s="72">
        <f>Tabela4[[#This Row],[Fonse Atacado]]</f>
        <v>0</v>
      </c>
      <c r="BM70" s="72">
        <f>Tabela4[[#This Row],[Comercial de Alimentos]]</f>
        <v>0</v>
      </c>
      <c r="BN70" s="72">
        <f>Tabela4[[#This Row],[Ivone Kasburg Serralheria]]</f>
        <v>0</v>
      </c>
      <c r="BO70" s="72">
        <f>Tabela4[[#This Row],[Mercado Ceretta]]</f>
        <v>0</v>
      </c>
      <c r="BP70" s="72">
        <f>Tabela4[[#This Row],[Antonio Carlos Dos Santos Pereira]]</f>
        <v>0</v>
      </c>
      <c r="BQ70" s="72">
        <f>Tabela4[[#This Row],[Volnei Lemos Avila - Me]]</f>
        <v>0</v>
      </c>
      <c r="BR70" s="72">
        <f>Tabela4[[#This Row],[Silvana Meneghini]]</f>
        <v>0</v>
      </c>
      <c r="BS70" s="72">
        <f>Tabela4[[#This Row],[Eficaz Engenharia Ltda]]</f>
        <v>0</v>
      </c>
      <c r="BT70" s="72">
        <f>SUM(Tabela4[[#Headers],[Tania Regina Schmaltz - 01]:[Tania Regina Schmaltz - 02]])</f>
        <v>0</v>
      </c>
      <c r="BU70" s="72">
        <f>Tabela4[[#This Row],[Camila Ceretta Segatto]]</f>
        <v>0</v>
      </c>
      <c r="BV70" s="72">
        <f>Tabela4[[#This Row],[Vagner Ribas Dos Santos]]</f>
        <v>0</v>
      </c>
      <c r="BW70" s="72">
        <f>Tabela4[[#This Row],[Claudio Alfredo Konrat]]</f>
        <v>0</v>
      </c>
    </row>
    <row r="71" spans="1:75" x14ac:dyDescent="0.25">
      <c r="A71" s="70">
        <v>45200</v>
      </c>
      <c r="B71" s="72">
        <f>SUM(Tabela4[[#This Row],[Marlon Colovini - 01]:[Marlon Colovini - 02]])</f>
        <v>0</v>
      </c>
      <c r="C71" s="72">
        <f>Tabela4[[#This Row],[Mara Barichello]]</f>
        <v>0</v>
      </c>
      <c r="D71" s="72">
        <f>Tabela4[[#This Row],[Jandira Dutra]]</f>
        <v>0</v>
      </c>
      <c r="E71" s="72">
        <f>Tabela4[[#This Row],[Luiz Fernando Kruger]]</f>
        <v>0</v>
      </c>
      <c r="F71" s="72">
        <f>SUM(Tabela4[[#This Row],[Paulo Bohn - 01]:[Paulo Bohn - 04]])</f>
        <v>0</v>
      </c>
      <c r="G71" s="72">
        <f>Tabela4[[#This Row],[Analia (Clodoaldo Entre-Ijuis)]]</f>
        <v>0</v>
      </c>
      <c r="H71" s="72">
        <f>Tabela4[[#This Row],[Biroh]]</f>
        <v>0</v>
      </c>
      <c r="I71" s="72">
        <f>Tabela4[[#This Row],[Gelson Posser]]</f>
        <v>0</v>
      </c>
      <c r="J71" s="72">
        <f>Tabela4[[#This Row],[Supermercado Caryone]]</f>
        <v>0</v>
      </c>
      <c r="K71" s="72">
        <f>Tabela4[[#This Row],[Ernani Minetto]]</f>
        <v>0</v>
      </c>
      <c r="L71" s="72">
        <f>Tabela4[[#This Row],[Jair Moscon]]</f>
        <v>0</v>
      </c>
      <c r="M71" s="72">
        <f>SUM(Tabela4[[#This Row],[Fabio Milke - 01]:[Fabio Milke - 02]])</f>
        <v>0</v>
      </c>
      <c r="N71" s="72">
        <f>Tabela4[[#This Row],[Piaia]]</f>
        <v>0</v>
      </c>
      <c r="O71" s="72">
        <f>Tabela4[[#This Row],[Osmar Veronese]]</f>
        <v>0</v>
      </c>
      <c r="P71" s="72">
        <f>Tabela4[[#This Row],[ José Luiz Moraes]]</f>
        <v>0</v>
      </c>
      <c r="Q71" s="72">
        <f>Tabela4[[#This Row],[Supermercado Cripy]]</f>
        <v>0</v>
      </c>
      <c r="R71" s="72">
        <f>Tabela4[[#This Row],[Gláucio Lipski (Giruá)]]</f>
        <v>0</v>
      </c>
      <c r="S71" s="72">
        <f>Tabela4[[#This Row],[Contri]]</f>
        <v>0</v>
      </c>
      <c r="T71" s="72">
        <f>Tabela4[[#This Row],[Cleci Rubi]]</f>
        <v>0</v>
      </c>
      <c r="U71" s="72">
        <f>Tabela4[[#This Row],[Betine Rost]]</f>
        <v>0</v>
      </c>
      <c r="V71" s="72">
        <f>SUM(Tabela4[[#This Row],[Robinson Fetter - 01]:[Robinson Fetter - 03]])</f>
        <v>0</v>
      </c>
      <c r="W71" s="72">
        <f>Tabela4[[#This Row],[Fabio De Moura]]</f>
        <v>0</v>
      </c>
      <c r="X71" s="72">
        <f>Tabela4[[#This Row],[Rochele Santos Moraes]]</f>
        <v>0</v>
      </c>
      <c r="Y71" s="72">
        <f>Tabela4[[#This Row],[Auto Posto Kairã]]</f>
        <v>0</v>
      </c>
      <c r="Z71" s="72">
        <f>Tabela4[[#This Row],[Erno Schiefelbain]]</f>
        <v>0</v>
      </c>
      <c r="AA71" s="72">
        <f>Tabela4[[#This Row],[José Paulo Backes]]</f>
        <v>0</v>
      </c>
      <c r="AB71" s="72">
        <f>Tabela4[[#This Row],[Gelso Tofolo]]</f>
        <v>0</v>
      </c>
      <c r="AC71" s="72">
        <f>Tabela4[[#This Row],[Diamantino]]</f>
        <v>0</v>
      </c>
      <c r="AD71" s="72">
        <f>Tabela4[[#This Row],[Mercado Bueno]]</f>
        <v>0</v>
      </c>
      <c r="AE71" s="72">
        <f>Tabela4[[#This Row],[Daniela Donadel Massalai]]</f>
        <v>0</v>
      </c>
      <c r="AF71" s="72">
        <f>Tabela4[[#This Row],[Comercio De Moto Peças Irmãos Guarani Ltda]]</f>
        <v>0</v>
      </c>
      <c r="AG71" s="72">
        <f>Tabela4[[#This Row],[Mauricio Luis Lunardi]]</f>
        <v>0</v>
      </c>
      <c r="AH71" s="72">
        <f>Tabela4[[#This Row],[Rosa Maria Restle Radunz]]</f>
        <v>0</v>
      </c>
      <c r="AI71" s="72">
        <f>Tabela4[[#This Row],[Ivo Amaral De Oliveira]]</f>
        <v>0</v>
      </c>
      <c r="AJ71" s="72">
        <f>Tabela4[[#This Row],[Silvio Robert Lemos Avila]]</f>
        <v>0</v>
      </c>
      <c r="AK71" s="72">
        <f>Tabela4[[#This Row],[Eldo Rost]]</f>
        <v>0</v>
      </c>
      <c r="AL71" s="72">
        <f>SUM(Tabela4[[#This Row],[Padaria Avenida - 01]:[Padaria Avenida - 02]])</f>
        <v>0</v>
      </c>
      <c r="AM71" s="72">
        <f>Tabela4[[#This Row],[Cristiano Anshau]]</f>
        <v>0</v>
      </c>
      <c r="AN71" s="72">
        <f>Tabela4[[#This Row],[Luciana Claudete Meirelles Correa]]</f>
        <v>0</v>
      </c>
      <c r="AO71" s="72">
        <f>Tabela4[[#This Row],[Marcio Jose Siqueira]]</f>
        <v>0</v>
      </c>
      <c r="AP71" s="72">
        <f>Tabela4[[#This Row],[Marcos Rogerio Kessler]]</f>
        <v>0</v>
      </c>
      <c r="AQ71" s="72">
        <f>SUM(Tabela4[[#This Row],[AABB - 01]:[AABB - 02]])</f>
        <v>0</v>
      </c>
      <c r="AR71" s="72">
        <f>SUM(Tabela4[[#This Row],[Wanda Burkard - 01]:[Wanda Burkard - 02]])</f>
        <v>0</v>
      </c>
      <c r="AS71" s="72">
        <f>Tabela4[[#This Row],[Silvio Robert Lemos Avila Me]]</f>
        <v>0</v>
      </c>
      <c r="AT71" s="72">
        <f>Tabela4[[#This Row],[Carmelo]]</f>
        <v>0</v>
      </c>
      <c r="AU71" s="72">
        <f>Tabela4[[#This Row],[Antonio Dal Forno]]</f>
        <v>0</v>
      </c>
      <c r="AV71" s="72">
        <f>Tabela4[[#This Row],[Marisane Paulus]]</f>
        <v>0</v>
      </c>
      <c r="AW71" s="72">
        <f>Tabela4[[#This Row],[Segatto Ceretta Ltda]]</f>
        <v>0</v>
      </c>
      <c r="AX71" s="72">
        <f>SUM(Tabela4[[#This Row],[APAE - 01]:[APAE - 02]])</f>
        <v>0</v>
      </c>
      <c r="AY71" s="72">
        <f>Tabela4[[#This Row],[Cássio Burin]]</f>
        <v>0</v>
      </c>
      <c r="AZ71" s="72">
        <f>Tabela4[[#This Row],[Patrick Kristoschek Da Silva]]</f>
        <v>0</v>
      </c>
      <c r="BA71" s="72">
        <f>Tabela4[[#This Row],[Silvio Robert Ávila - (Valmir)]]</f>
        <v>0</v>
      </c>
      <c r="BB71" s="72">
        <f>Tabela4[[#This Row],[Zederson Jose Della Flora]]</f>
        <v>0</v>
      </c>
      <c r="BC71" s="72">
        <f>Tabela4[[#This Row],[Carlos Walmir Larsão Rolim]]</f>
        <v>0</v>
      </c>
      <c r="BD71" s="72">
        <f>Tabela4[[#This Row],[Danieli Missio]]</f>
        <v>0</v>
      </c>
      <c r="BE71" s="72">
        <f>Tabela4[[#This Row],[José Vasconcellos]]</f>
        <v>0</v>
      </c>
      <c r="BF71" s="72">
        <f>Tabela4[[#This Row],[Linho Lev Alimentos]]</f>
        <v>0</v>
      </c>
      <c r="BG71" s="72">
        <f>Tabela4[[#This Row],[Ernani Czapla]]</f>
        <v>0</v>
      </c>
      <c r="BH71" s="72">
        <f>Tabela4[[#This Row],[Valesca Da Luz]]</f>
        <v>0</v>
      </c>
      <c r="BI71" s="72">
        <f>Tabela4[[#This Row],[Olavo Mildner]]</f>
        <v>0</v>
      </c>
      <c r="BJ71" s="72">
        <f>Tabela4[[#This Row],[Dilnei Rohled]]</f>
        <v>0</v>
      </c>
      <c r="BK71" s="72">
        <f>Tabela4[[#This Row],[Shaiana Signorini]]</f>
        <v>0</v>
      </c>
      <c r="BL71" s="72">
        <f>Tabela4[[#This Row],[Fonse Atacado]]</f>
        <v>0</v>
      </c>
      <c r="BM71" s="72">
        <f>Tabela4[[#This Row],[Comercial de Alimentos]]</f>
        <v>0</v>
      </c>
      <c r="BN71" s="72">
        <f>Tabela4[[#This Row],[Ivone Kasburg Serralheria]]</f>
        <v>0</v>
      </c>
      <c r="BO71" s="72">
        <f>Tabela4[[#This Row],[Mercado Ceretta]]</f>
        <v>0</v>
      </c>
      <c r="BP71" s="72">
        <f>Tabela4[[#This Row],[Antonio Carlos Dos Santos Pereira]]</f>
        <v>0</v>
      </c>
      <c r="BQ71" s="72">
        <f>Tabela4[[#This Row],[Volnei Lemos Avila - Me]]</f>
        <v>0</v>
      </c>
      <c r="BR71" s="72">
        <f>Tabela4[[#This Row],[Silvana Meneghini]]</f>
        <v>0</v>
      </c>
      <c r="BS71" s="72">
        <f>Tabela4[[#This Row],[Eficaz Engenharia Ltda]]</f>
        <v>0</v>
      </c>
      <c r="BT71" s="72">
        <f>SUM(Tabela4[[#Headers],[Tania Regina Schmaltz - 01]:[Tania Regina Schmaltz - 02]])</f>
        <v>0</v>
      </c>
      <c r="BU71" s="72">
        <f>Tabela4[[#This Row],[Camila Ceretta Segatto]]</f>
        <v>0</v>
      </c>
      <c r="BV71" s="72">
        <f>Tabela4[[#This Row],[Vagner Ribas Dos Santos]]</f>
        <v>0</v>
      </c>
      <c r="BW71" s="72">
        <f>Tabela4[[#This Row],[Claudio Alfredo Konrat]]</f>
        <v>0</v>
      </c>
    </row>
    <row r="72" spans="1:75" x14ac:dyDescent="0.25">
      <c r="A72" s="70">
        <v>45231</v>
      </c>
      <c r="B72" s="72">
        <f>SUM(Tabela4[[#This Row],[Marlon Colovini - 01]:[Marlon Colovini - 02]])</f>
        <v>0</v>
      </c>
      <c r="C72" s="72">
        <f>Tabela4[[#This Row],[Mara Barichello]]</f>
        <v>0</v>
      </c>
      <c r="D72" s="72">
        <f>Tabela4[[#This Row],[Jandira Dutra]]</f>
        <v>0</v>
      </c>
      <c r="E72" s="72">
        <f>Tabela4[[#This Row],[Luiz Fernando Kruger]]</f>
        <v>0</v>
      </c>
      <c r="F72" s="72">
        <f>SUM(Tabela4[[#This Row],[Paulo Bohn - 01]:[Paulo Bohn - 04]])</f>
        <v>0</v>
      </c>
      <c r="G72" s="72">
        <f>Tabela4[[#This Row],[Analia (Clodoaldo Entre-Ijuis)]]</f>
        <v>0</v>
      </c>
      <c r="H72" s="72">
        <f>Tabela4[[#This Row],[Biroh]]</f>
        <v>0</v>
      </c>
      <c r="I72" s="72">
        <f>Tabela4[[#This Row],[Gelson Posser]]</f>
        <v>0</v>
      </c>
      <c r="J72" s="72">
        <f>Tabela4[[#This Row],[Supermercado Caryone]]</f>
        <v>0</v>
      </c>
      <c r="K72" s="72">
        <f>Tabela4[[#This Row],[Ernani Minetto]]</f>
        <v>0</v>
      </c>
      <c r="L72" s="72">
        <f>Tabela4[[#This Row],[Jair Moscon]]</f>
        <v>0</v>
      </c>
      <c r="M72" s="72">
        <f>SUM(Tabela4[[#This Row],[Fabio Milke - 01]:[Fabio Milke - 02]])</f>
        <v>0</v>
      </c>
      <c r="N72" s="72">
        <f>Tabela4[[#This Row],[Piaia]]</f>
        <v>0</v>
      </c>
      <c r="O72" s="72">
        <f>Tabela4[[#This Row],[Osmar Veronese]]</f>
        <v>0</v>
      </c>
      <c r="P72" s="72">
        <f>Tabela4[[#This Row],[ José Luiz Moraes]]</f>
        <v>0</v>
      </c>
      <c r="Q72" s="72">
        <f>Tabela4[[#This Row],[Supermercado Cripy]]</f>
        <v>0</v>
      </c>
      <c r="R72" s="72">
        <f>Tabela4[[#This Row],[Gláucio Lipski (Giruá)]]</f>
        <v>0</v>
      </c>
      <c r="S72" s="72">
        <f>Tabela4[[#This Row],[Contri]]</f>
        <v>0</v>
      </c>
      <c r="T72" s="72">
        <f>Tabela4[[#This Row],[Cleci Rubi]]</f>
        <v>0</v>
      </c>
      <c r="U72" s="72">
        <f>Tabela4[[#This Row],[Betine Rost]]</f>
        <v>0</v>
      </c>
      <c r="V72" s="72">
        <f>SUM(Tabela4[[#This Row],[Robinson Fetter - 01]:[Robinson Fetter - 03]])</f>
        <v>0</v>
      </c>
      <c r="W72" s="72">
        <f>Tabela4[[#This Row],[Fabio De Moura]]</f>
        <v>0</v>
      </c>
      <c r="X72" s="72">
        <f>Tabela4[[#This Row],[Rochele Santos Moraes]]</f>
        <v>0</v>
      </c>
      <c r="Y72" s="72">
        <f>Tabela4[[#This Row],[Auto Posto Kairã]]</f>
        <v>0</v>
      </c>
      <c r="Z72" s="72">
        <f>Tabela4[[#This Row],[Erno Schiefelbain]]</f>
        <v>0</v>
      </c>
      <c r="AA72" s="72">
        <f>Tabela4[[#This Row],[José Paulo Backes]]</f>
        <v>0</v>
      </c>
      <c r="AB72" s="72">
        <f>Tabela4[[#This Row],[Gelso Tofolo]]</f>
        <v>0</v>
      </c>
      <c r="AC72" s="72">
        <f>Tabela4[[#This Row],[Diamantino]]</f>
        <v>0</v>
      </c>
      <c r="AD72" s="72">
        <f>Tabela4[[#This Row],[Mercado Bueno]]</f>
        <v>0</v>
      </c>
      <c r="AE72" s="72">
        <f>Tabela4[[#This Row],[Daniela Donadel Massalai]]</f>
        <v>0</v>
      </c>
      <c r="AF72" s="72">
        <f>Tabela4[[#This Row],[Comercio De Moto Peças Irmãos Guarani Ltda]]</f>
        <v>0</v>
      </c>
      <c r="AG72" s="72">
        <f>Tabela4[[#This Row],[Mauricio Luis Lunardi]]</f>
        <v>0</v>
      </c>
      <c r="AH72" s="72">
        <f>Tabela4[[#This Row],[Rosa Maria Restle Radunz]]</f>
        <v>0</v>
      </c>
      <c r="AI72" s="72">
        <f>Tabela4[[#This Row],[Ivo Amaral De Oliveira]]</f>
        <v>0</v>
      </c>
      <c r="AJ72" s="72">
        <f>Tabela4[[#This Row],[Silvio Robert Lemos Avila]]</f>
        <v>0</v>
      </c>
      <c r="AK72" s="72">
        <f>Tabela4[[#This Row],[Eldo Rost]]</f>
        <v>0</v>
      </c>
      <c r="AL72" s="72">
        <f>SUM(Tabela4[[#This Row],[Padaria Avenida - 01]:[Padaria Avenida - 02]])</f>
        <v>0</v>
      </c>
      <c r="AM72" s="72">
        <f>Tabela4[[#This Row],[Cristiano Anshau]]</f>
        <v>0</v>
      </c>
      <c r="AN72" s="72">
        <f>Tabela4[[#This Row],[Luciana Claudete Meirelles Correa]]</f>
        <v>0</v>
      </c>
      <c r="AO72" s="72">
        <f>Tabela4[[#This Row],[Marcio Jose Siqueira]]</f>
        <v>0</v>
      </c>
      <c r="AP72" s="72">
        <f>Tabela4[[#This Row],[Marcos Rogerio Kessler]]</f>
        <v>0</v>
      </c>
      <c r="AQ72" s="72">
        <f>SUM(Tabela4[[#This Row],[AABB - 01]:[AABB - 02]])</f>
        <v>0</v>
      </c>
      <c r="AR72" s="72">
        <f>SUM(Tabela4[[#This Row],[Wanda Burkard - 01]:[Wanda Burkard - 02]])</f>
        <v>0</v>
      </c>
      <c r="AS72" s="72">
        <f>Tabela4[[#This Row],[Silvio Robert Lemos Avila Me]]</f>
        <v>0</v>
      </c>
      <c r="AT72" s="72">
        <f>Tabela4[[#This Row],[Carmelo]]</f>
        <v>0</v>
      </c>
      <c r="AU72" s="72">
        <f>Tabela4[[#This Row],[Antonio Dal Forno]]</f>
        <v>0</v>
      </c>
      <c r="AV72" s="72">
        <f>Tabela4[[#This Row],[Marisane Paulus]]</f>
        <v>0</v>
      </c>
      <c r="AW72" s="72">
        <f>Tabela4[[#This Row],[Segatto Ceretta Ltda]]</f>
        <v>0</v>
      </c>
      <c r="AX72" s="72">
        <f>SUM(Tabela4[[#This Row],[APAE - 01]:[APAE - 02]])</f>
        <v>0</v>
      </c>
      <c r="AY72" s="72">
        <f>Tabela4[[#This Row],[Cássio Burin]]</f>
        <v>0</v>
      </c>
      <c r="AZ72" s="72">
        <f>Tabela4[[#This Row],[Patrick Kristoschek Da Silva]]</f>
        <v>0</v>
      </c>
      <c r="BA72" s="72">
        <f>Tabela4[[#This Row],[Silvio Robert Ávila - (Valmir)]]</f>
        <v>0</v>
      </c>
      <c r="BB72" s="72">
        <f>Tabela4[[#This Row],[Zederson Jose Della Flora]]</f>
        <v>0</v>
      </c>
      <c r="BC72" s="72">
        <f>Tabela4[[#This Row],[Carlos Walmir Larsão Rolim]]</f>
        <v>0</v>
      </c>
      <c r="BD72" s="72">
        <f>Tabela4[[#This Row],[Danieli Missio]]</f>
        <v>0</v>
      </c>
      <c r="BE72" s="72">
        <f>Tabela4[[#This Row],[José Vasconcellos]]</f>
        <v>0</v>
      </c>
      <c r="BF72" s="72">
        <f>Tabela4[[#This Row],[Linho Lev Alimentos]]</f>
        <v>0</v>
      </c>
      <c r="BG72" s="72">
        <f>Tabela4[[#This Row],[Ernani Czapla]]</f>
        <v>0</v>
      </c>
      <c r="BH72" s="72">
        <f>Tabela4[[#This Row],[Valesca Da Luz]]</f>
        <v>0</v>
      </c>
      <c r="BI72" s="72">
        <f>Tabela4[[#This Row],[Olavo Mildner]]</f>
        <v>0</v>
      </c>
      <c r="BJ72" s="72">
        <f>Tabela4[[#This Row],[Dilnei Rohled]]</f>
        <v>0</v>
      </c>
      <c r="BK72" s="72">
        <f>Tabela4[[#This Row],[Shaiana Signorini]]</f>
        <v>0</v>
      </c>
      <c r="BL72" s="72">
        <f>Tabela4[[#This Row],[Fonse Atacado]]</f>
        <v>0</v>
      </c>
      <c r="BM72" s="72">
        <f>Tabela4[[#This Row],[Comercial de Alimentos]]</f>
        <v>0</v>
      </c>
      <c r="BN72" s="72">
        <f>Tabela4[[#This Row],[Ivone Kasburg Serralheria]]</f>
        <v>0</v>
      </c>
      <c r="BO72" s="72">
        <f>Tabela4[[#This Row],[Mercado Ceretta]]</f>
        <v>0</v>
      </c>
      <c r="BP72" s="72">
        <f>Tabela4[[#This Row],[Antonio Carlos Dos Santos Pereira]]</f>
        <v>0</v>
      </c>
      <c r="BQ72" s="72">
        <f>Tabela4[[#This Row],[Volnei Lemos Avila - Me]]</f>
        <v>0</v>
      </c>
      <c r="BR72" s="72">
        <f>Tabela4[[#This Row],[Silvana Meneghini]]</f>
        <v>0</v>
      </c>
      <c r="BS72" s="72">
        <f>Tabela4[[#This Row],[Eficaz Engenharia Ltda]]</f>
        <v>0</v>
      </c>
      <c r="BT72" s="72">
        <f>SUM(Tabela4[[#Headers],[Tania Regina Schmaltz - 01]:[Tania Regina Schmaltz - 02]])</f>
        <v>0</v>
      </c>
      <c r="BU72" s="72">
        <f>Tabela4[[#This Row],[Camila Ceretta Segatto]]</f>
        <v>0</v>
      </c>
      <c r="BV72" s="72">
        <f>Tabela4[[#This Row],[Vagner Ribas Dos Santos]]</f>
        <v>0</v>
      </c>
      <c r="BW72" s="72">
        <f>Tabela4[[#This Row],[Claudio Alfredo Konrat]]</f>
        <v>0</v>
      </c>
    </row>
    <row r="73" spans="1:75" x14ac:dyDescent="0.25">
      <c r="A73" s="70">
        <v>45261</v>
      </c>
      <c r="B73" s="72">
        <f>SUM(Tabela4[[#This Row],[Marlon Colovini - 01]:[Marlon Colovini - 02]])</f>
        <v>0</v>
      </c>
      <c r="C73" s="72">
        <f>Tabela4[[#This Row],[Mara Barichello]]</f>
        <v>0</v>
      </c>
      <c r="D73" s="72">
        <f>Tabela4[[#This Row],[Jandira Dutra]]</f>
        <v>0</v>
      </c>
      <c r="E73" s="72">
        <f>Tabela4[[#This Row],[Luiz Fernando Kruger]]</f>
        <v>0</v>
      </c>
      <c r="F73" s="72">
        <f>SUM(Tabela4[[#This Row],[Paulo Bohn - 01]:[Paulo Bohn - 04]])</f>
        <v>0</v>
      </c>
      <c r="G73" s="72">
        <f>Tabela4[[#This Row],[Analia (Clodoaldo Entre-Ijuis)]]</f>
        <v>0</v>
      </c>
      <c r="H73" s="72">
        <f>Tabela4[[#This Row],[Biroh]]</f>
        <v>0</v>
      </c>
      <c r="I73" s="72">
        <f>Tabela4[[#This Row],[Gelson Posser]]</f>
        <v>0</v>
      </c>
      <c r="J73" s="72">
        <f>Tabela4[[#This Row],[Supermercado Caryone]]</f>
        <v>0</v>
      </c>
      <c r="K73" s="72">
        <f>Tabela4[[#This Row],[Ernani Minetto]]</f>
        <v>0</v>
      </c>
      <c r="L73" s="72">
        <f>Tabela4[[#This Row],[Jair Moscon]]</f>
        <v>0</v>
      </c>
      <c r="M73" s="72">
        <f>SUM(Tabela4[[#This Row],[Fabio Milke - 01]:[Fabio Milke - 02]])</f>
        <v>0</v>
      </c>
      <c r="N73" s="72">
        <f>Tabela4[[#This Row],[Piaia]]</f>
        <v>0</v>
      </c>
      <c r="O73" s="72">
        <f>Tabela4[[#This Row],[Osmar Veronese]]</f>
        <v>0</v>
      </c>
      <c r="P73" s="72">
        <f>Tabela4[[#This Row],[ José Luiz Moraes]]</f>
        <v>0</v>
      </c>
      <c r="Q73" s="72">
        <f>Tabela4[[#This Row],[Supermercado Cripy]]</f>
        <v>0</v>
      </c>
      <c r="R73" s="72">
        <f>Tabela4[[#This Row],[Gláucio Lipski (Giruá)]]</f>
        <v>0</v>
      </c>
      <c r="S73" s="72">
        <f>Tabela4[[#This Row],[Contri]]</f>
        <v>0</v>
      </c>
      <c r="T73" s="72">
        <f>Tabela4[[#This Row],[Cleci Rubi]]</f>
        <v>0</v>
      </c>
      <c r="U73" s="72">
        <f>Tabela4[[#This Row],[Betine Rost]]</f>
        <v>0</v>
      </c>
      <c r="V73" s="72">
        <f>SUM(Tabela4[[#This Row],[Robinson Fetter - 01]:[Robinson Fetter - 03]])</f>
        <v>0</v>
      </c>
      <c r="W73" s="72">
        <f>Tabela4[[#This Row],[Fabio De Moura]]</f>
        <v>0</v>
      </c>
      <c r="X73" s="72">
        <f>Tabela4[[#This Row],[Rochele Santos Moraes]]</f>
        <v>0</v>
      </c>
      <c r="Y73" s="72">
        <f>Tabela4[[#This Row],[Auto Posto Kairã]]</f>
        <v>0</v>
      </c>
      <c r="Z73" s="72">
        <f>Tabela4[[#This Row],[Erno Schiefelbain]]</f>
        <v>0</v>
      </c>
      <c r="AA73" s="72">
        <f>Tabela4[[#This Row],[José Paulo Backes]]</f>
        <v>0</v>
      </c>
      <c r="AB73" s="72">
        <f>Tabela4[[#This Row],[Gelso Tofolo]]</f>
        <v>0</v>
      </c>
      <c r="AC73" s="72">
        <f>Tabela4[[#This Row],[Diamantino]]</f>
        <v>0</v>
      </c>
      <c r="AD73" s="72">
        <f>Tabela4[[#This Row],[Mercado Bueno]]</f>
        <v>0</v>
      </c>
      <c r="AE73" s="72">
        <f>Tabela4[[#This Row],[Daniela Donadel Massalai]]</f>
        <v>0</v>
      </c>
      <c r="AF73" s="72">
        <f>Tabela4[[#This Row],[Comercio De Moto Peças Irmãos Guarani Ltda]]</f>
        <v>0</v>
      </c>
      <c r="AG73" s="72">
        <f>Tabela4[[#This Row],[Mauricio Luis Lunardi]]</f>
        <v>0</v>
      </c>
      <c r="AH73" s="72">
        <f>Tabela4[[#This Row],[Rosa Maria Restle Radunz]]</f>
        <v>0</v>
      </c>
      <c r="AI73" s="72">
        <f>Tabela4[[#This Row],[Ivo Amaral De Oliveira]]</f>
        <v>0</v>
      </c>
      <c r="AJ73" s="72">
        <f>Tabela4[[#This Row],[Silvio Robert Lemos Avila]]</f>
        <v>0</v>
      </c>
      <c r="AK73" s="72">
        <f>Tabela4[[#This Row],[Eldo Rost]]</f>
        <v>0</v>
      </c>
      <c r="AL73" s="72">
        <f>SUM(Tabela4[[#This Row],[Padaria Avenida - 01]:[Padaria Avenida - 02]])</f>
        <v>0</v>
      </c>
      <c r="AM73" s="72">
        <f>Tabela4[[#This Row],[Cristiano Anshau]]</f>
        <v>0</v>
      </c>
      <c r="AN73" s="72">
        <f>Tabela4[[#This Row],[Luciana Claudete Meirelles Correa]]</f>
        <v>0</v>
      </c>
      <c r="AO73" s="72">
        <f>Tabela4[[#This Row],[Marcio Jose Siqueira]]</f>
        <v>0</v>
      </c>
      <c r="AP73" s="72">
        <f>Tabela4[[#This Row],[Marcos Rogerio Kessler]]</f>
        <v>0</v>
      </c>
      <c r="AQ73" s="72">
        <f>SUM(Tabela4[[#This Row],[AABB - 01]:[AABB - 02]])</f>
        <v>0</v>
      </c>
      <c r="AR73" s="72">
        <f>SUM(Tabela4[[#This Row],[Wanda Burkard - 01]:[Wanda Burkard - 02]])</f>
        <v>0</v>
      </c>
      <c r="AS73" s="72">
        <f>Tabela4[[#This Row],[Silvio Robert Lemos Avila Me]]</f>
        <v>0</v>
      </c>
      <c r="AT73" s="72">
        <f>Tabela4[[#This Row],[Carmelo]]</f>
        <v>0</v>
      </c>
      <c r="AU73" s="72">
        <f>Tabela4[[#This Row],[Antonio Dal Forno]]</f>
        <v>0</v>
      </c>
      <c r="AV73" s="72">
        <f>Tabela4[[#This Row],[Marisane Paulus]]</f>
        <v>0</v>
      </c>
      <c r="AW73" s="72">
        <f>Tabela4[[#This Row],[Segatto Ceretta Ltda]]</f>
        <v>0</v>
      </c>
      <c r="AX73" s="72">
        <f>SUM(Tabela4[[#This Row],[APAE - 01]:[APAE - 02]])</f>
        <v>0</v>
      </c>
      <c r="AY73" s="72">
        <f>Tabela4[[#This Row],[Cássio Burin]]</f>
        <v>0</v>
      </c>
      <c r="AZ73" s="72">
        <f>Tabela4[[#This Row],[Patrick Kristoschek Da Silva]]</f>
        <v>0</v>
      </c>
      <c r="BA73" s="72">
        <f>Tabela4[[#This Row],[Silvio Robert Ávila - (Valmir)]]</f>
        <v>0</v>
      </c>
      <c r="BB73" s="72">
        <f>Tabela4[[#This Row],[Zederson Jose Della Flora]]</f>
        <v>0</v>
      </c>
      <c r="BC73" s="72">
        <f>Tabela4[[#This Row],[Carlos Walmir Larsão Rolim]]</f>
        <v>0</v>
      </c>
      <c r="BD73" s="72">
        <f>Tabela4[[#This Row],[Danieli Missio]]</f>
        <v>0</v>
      </c>
      <c r="BE73" s="72">
        <f>Tabela4[[#This Row],[José Vasconcellos]]</f>
        <v>0</v>
      </c>
      <c r="BF73" s="72">
        <f>Tabela4[[#This Row],[Linho Lev Alimentos]]</f>
        <v>0</v>
      </c>
      <c r="BG73" s="72">
        <f>Tabela4[[#This Row],[Ernani Czapla]]</f>
        <v>0</v>
      </c>
      <c r="BH73" s="72">
        <f>Tabela4[[#This Row],[Valesca Da Luz]]</f>
        <v>0</v>
      </c>
      <c r="BI73" s="72">
        <f>Tabela4[[#This Row],[Olavo Mildner]]</f>
        <v>0</v>
      </c>
      <c r="BJ73" s="72">
        <f>Tabela4[[#This Row],[Dilnei Rohled]]</f>
        <v>0</v>
      </c>
      <c r="BK73" s="72">
        <f>Tabela4[[#This Row],[Shaiana Signorini]]</f>
        <v>0</v>
      </c>
      <c r="BL73" s="72">
        <f>Tabela4[[#This Row],[Fonse Atacado]]</f>
        <v>0</v>
      </c>
      <c r="BM73" s="72">
        <f>Tabela4[[#This Row],[Comercial de Alimentos]]</f>
        <v>0</v>
      </c>
      <c r="BN73" s="72">
        <f>Tabela4[[#This Row],[Ivone Kasburg Serralheria]]</f>
        <v>0</v>
      </c>
      <c r="BO73" s="72">
        <f>Tabela4[[#This Row],[Mercado Ceretta]]</f>
        <v>0</v>
      </c>
      <c r="BP73" s="72">
        <f>Tabela4[[#This Row],[Antonio Carlos Dos Santos Pereira]]</f>
        <v>0</v>
      </c>
      <c r="BQ73" s="72">
        <f>Tabela4[[#This Row],[Volnei Lemos Avila - Me]]</f>
        <v>0</v>
      </c>
      <c r="BR73" s="72">
        <f>Tabela4[[#This Row],[Silvana Meneghini]]</f>
        <v>0</v>
      </c>
      <c r="BS73" s="72">
        <f>Tabela4[[#This Row],[Eficaz Engenharia Ltda]]</f>
        <v>0</v>
      </c>
      <c r="BT73" s="72">
        <f>SUM(Tabela4[[#Headers],[Tania Regina Schmaltz - 01]:[Tania Regina Schmaltz - 02]])</f>
        <v>0</v>
      </c>
      <c r="BU73" s="72">
        <f>Tabela4[[#This Row],[Camila Ceretta Segatto]]</f>
        <v>0</v>
      </c>
      <c r="BV73" s="72">
        <f>Tabela4[[#This Row],[Vagner Ribas Dos Santos]]</f>
        <v>0</v>
      </c>
      <c r="BW73" s="72">
        <f>Tabela4[[#This Row],[Claudio Alfredo Konrat]]</f>
        <v>0</v>
      </c>
    </row>
    <row r="74" spans="1:75" x14ac:dyDescent="0.25">
      <c r="A74" s="70">
        <v>45292</v>
      </c>
      <c r="B74" s="72">
        <f>SUM(Tabela4[[#This Row],[Marlon Colovini - 01]:[Marlon Colovini - 02]])</f>
        <v>0</v>
      </c>
      <c r="C74" s="72">
        <f>Tabela4[[#This Row],[Mara Barichello]]</f>
        <v>0</v>
      </c>
      <c r="D74" s="72">
        <f>Tabela4[[#This Row],[Jandira Dutra]]</f>
        <v>0</v>
      </c>
      <c r="E74" s="72">
        <f>Tabela4[[#This Row],[Luiz Fernando Kruger]]</f>
        <v>0</v>
      </c>
      <c r="F74" s="72">
        <f>SUM(Tabela4[[#This Row],[Paulo Bohn - 01]:[Paulo Bohn - 04]])</f>
        <v>0</v>
      </c>
      <c r="G74" s="72">
        <f>Tabela4[[#This Row],[Analia (Clodoaldo Entre-Ijuis)]]</f>
        <v>0</v>
      </c>
      <c r="H74" s="72">
        <f>Tabela4[[#This Row],[Biroh]]</f>
        <v>0</v>
      </c>
      <c r="I74" s="72">
        <f>Tabela4[[#This Row],[Gelson Posser]]</f>
        <v>0</v>
      </c>
      <c r="J74" s="72">
        <f>Tabela4[[#This Row],[Supermercado Caryone]]</f>
        <v>0</v>
      </c>
      <c r="K74" s="72">
        <f>Tabela4[[#This Row],[Ernani Minetto]]</f>
        <v>0</v>
      </c>
      <c r="L74" s="72">
        <f>Tabela4[[#This Row],[Jair Moscon]]</f>
        <v>0</v>
      </c>
      <c r="M74" s="72">
        <f>SUM(Tabela4[[#This Row],[Fabio Milke - 01]:[Fabio Milke - 02]])</f>
        <v>0</v>
      </c>
      <c r="N74" s="72">
        <f>Tabela4[[#This Row],[Piaia]]</f>
        <v>0</v>
      </c>
      <c r="O74" s="72">
        <f>Tabela4[[#This Row],[Osmar Veronese]]</f>
        <v>0</v>
      </c>
      <c r="P74" s="72">
        <f>Tabela4[[#This Row],[ José Luiz Moraes]]</f>
        <v>0</v>
      </c>
      <c r="Q74" s="72">
        <f>Tabela4[[#This Row],[Supermercado Cripy]]</f>
        <v>0</v>
      </c>
      <c r="R74" s="72">
        <f>Tabela4[[#This Row],[Gláucio Lipski (Giruá)]]</f>
        <v>0</v>
      </c>
      <c r="S74" s="72">
        <f>Tabela4[[#This Row],[Contri]]</f>
        <v>0</v>
      </c>
      <c r="T74" s="72">
        <f>Tabela4[[#This Row],[Cleci Rubi]]</f>
        <v>0</v>
      </c>
      <c r="U74" s="72">
        <f>Tabela4[[#This Row],[Betine Rost]]</f>
        <v>0</v>
      </c>
      <c r="V74" s="72">
        <f>SUM(Tabela4[[#This Row],[Robinson Fetter - 01]:[Robinson Fetter - 03]])</f>
        <v>0</v>
      </c>
      <c r="W74" s="72">
        <f>Tabela4[[#This Row],[Fabio De Moura]]</f>
        <v>0</v>
      </c>
      <c r="X74" s="72">
        <f>Tabela4[[#This Row],[Rochele Santos Moraes]]</f>
        <v>0</v>
      </c>
      <c r="Y74" s="72">
        <f>Tabela4[[#This Row],[Auto Posto Kairã]]</f>
        <v>0</v>
      </c>
      <c r="Z74" s="72">
        <f>Tabela4[[#This Row],[Erno Schiefelbain]]</f>
        <v>0</v>
      </c>
      <c r="AA74" s="72">
        <f>Tabela4[[#This Row],[José Paulo Backes]]</f>
        <v>0</v>
      </c>
      <c r="AB74" s="72">
        <f>Tabela4[[#This Row],[Gelso Tofolo]]</f>
        <v>0</v>
      </c>
      <c r="AC74" s="72">
        <f>Tabela4[[#This Row],[Diamantino]]</f>
        <v>0</v>
      </c>
      <c r="AD74" s="72">
        <f>Tabela4[[#This Row],[Mercado Bueno]]</f>
        <v>0</v>
      </c>
      <c r="AE74" s="72">
        <f>Tabela4[[#This Row],[Daniela Donadel Massalai]]</f>
        <v>0</v>
      </c>
      <c r="AF74" s="72">
        <f>Tabela4[[#This Row],[Comercio De Moto Peças Irmãos Guarani Ltda]]</f>
        <v>0</v>
      </c>
      <c r="AG74" s="72">
        <f>Tabela4[[#This Row],[Mauricio Luis Lunardi]]</f>
        <v>0</v>
      </c>
      <c r="AH74" s="72">
        <f>Tabela4[[#This Row],[Rosa Maria Restle Radunz]]</f>
        <v>0</v>
      </c>
      <c r="AI74" s="72">
        <f>Tabela4[[#This Row],[Ivo Amaral De Oliveira]]</f>
        <v>0</v>
      </c>
      <c r="AJ74" s="72">
        <f>Tabela4[[#This Row],[Silvio Robert Lemos Avila]]</f>
        <v>0</v>
      </c>
      <c r="AK74" s="72">
        <f>Tabela4[[#This Row],[Eldo Rost]]</f>
        <v>0</v>
      </c>
      <c r="AL74" s="72">
        <f>SUM(Tabela4[[#This Row],[Padaria Avenida - 01]:[Padaria Avenida - 02]])</f>
        <v>0</v>
      </c>
      <c r="AM74" s="72">
        <f>Tabela4[[#This Row],[Cristiano Anshau]]</f>
        <v>0</v>
      </c>
      <c r="AN74" s="72">
        <f>Tabela4[[#This Row],[Luciana Claudete Meirelles Correa]]</f>
        <v>0</v>
      </c>
      <c r="AO74" s="72">
        <f>Tabela4[[#This Row],[Marcio Jose Siqueira]]</f>
        <v>0</v>
      </c>
      <c r="AP74" s="72">
        <f>Tabela4[[#This Row],[Marcos Rogerio Kessler]]</f>
        <v>0</v>
      </c>
      <c r="AQ74" s="72">
        <f>SUM(Tabela4[[#This Row],[AABB - 01]:[AABB - 02]])</f>
        <v>0</v>
      </c>
      <c r="AR74" s="72">
        <f>SUM(Tabela4[[#This Row],[Wanda Burkard - 01]:[Wanda Burkard - 02]])</f>
        <v>0</v>
      </c>
      <c r="AS74" s="72">
        <f>Tabela4[[#This Row],[Silvio Robert Lemos Avila Me]]</f>
        <v>0</v>
      </c>
      <c r="AT74" s="72">
        <f>Tabela4[[#This Row],[Carmelo]]</f>
        <v>0</v>
      </c>
      <c r="AU74" s="72">
        <f>Tabela4[[#This Row],[Antonio Dal Forno]]</f>
        <v>0</v>
      </c>
      <c r="AV74" s="72">
        <f>Tabela4[[#This Row],[Marisane Paulus]]</f>
        <v>0</v>
      </c>
      <c r="AW74" s="72">
        <f>Tabela4[[#This Row],[Segatto Ceretta Ltda]]</f>
        <v>0</v>
      </c>
      <c r="AX74" s="72">
        <f>SUM(Tabela4[[#This Row],[APAE - 01]:[APAE - 02]])</f>
        <v>0</v>
      </c>
      <c r="AY74" s="72">
        <f>Tabela4[[#This Row],[Cássio Burin]]</f>
        <v>0</v>
      </c>
      <c r="AZ74" s="72">
        <f>Tabela4[[#This Row],[Patrick Kristoschek Da Silva]]</f>
        <v>0</v>
      </c>
      <c r="BA74" s="72">
        <f>Tabela4[[#This Row],[Silvio Robert Ávila - (Valmir)]]</f>
        <v>0</v>
      </c>
      <c r="BB74" s="72">
        <f>Tabela4[[#This Row],[Zederson Jose Della Flora]]</f>
        <v>0</v>
      </c>
      <c r="BC74" s="72">
        <f>Tabela4[[#This Row],[Carlos Walmir Larsão Rolim]]</f>
        <v>0</v>
      </c>
      <c r="BD74" s="72">
        <f>Tabela4[[#This Row],[Danieli Missio]]</f>
        <v>0</v>
      </c>
      <c r="BE74" s="72">
        <f>Tabela4[[#This Row],[José Vasconcellos]]</f>
        <v>0</v>
      </c>
      <c r="BF74" s="72">
        <f>Tabela4[[#This Row],[Linho Lev Alimentos]]</f>
        <v>0</v>
      </c>
      <c r="BG74" s="72">
        <f>Tabela4[[#This Row],[Ernani Czapla]]</f>
        <v>0</v>
      </c>
      <c r="BH74" s="72">
        <f>Tabela4[[#This Row],[Valesca Da Luz]]</f>
        <v>0</v>
      </c>
      <c r="BI74" s="72">
        <f>Tabela4[[#This Row],[Olavo Mildner]]</f>
        <v>0</v>
      </c>
      <c r="BJ74" s="72">
        <f>Tabela4[[#This Row],[Dilnei Rohled]]</f>
        <v>0</v>
      </c>
      <c r="BK74" s="72">
        <f>Tabela4[[#This Row],[Shaiana Signorini]]</f>
        <v>0</v>
      </c>
      <c r="BL74" s="72">
        <f>Tabela4[[#This Row],[Fonse Atacado]]</f>
        <v>0</v>
      </c>
      <c r="BM74" s="72">
        <f>Tabela4[[#This Row],[Comercial de Alimentos]]</f>
        <v>0</v>
      </c>
      <c r="BN74" s="72">
        <f>Tabela4[[#This Row],[Ivone Kasburg Serralheria]]</f>
        <v>0</v>
      </c>
      <c r="BO74" s="72">
        <f>Tabela4[[#This Row],[Mercado Ceretta]]</f>
        <v>0</v>
      </c>
      <c r="BP74" s="72">
        <f>Tabela4[[#This Row],[Antonio Carlos Dos Santos Pereira]]</f>
        <v>0</v>
      </c>
      <c r="BQ74" s="72">
        <f>Tabela4[[#This Row],[Volnei Lemos Avila - Me]]</f>
        <v>0</v>
      </c>
      <c r="BR74" s="72">
        <f>Tabela4[[#This Row],[Silvana Meneghini]]</f>
        <v>0</v>
      </c>
      <c r="BS74" s="72">
        <f>Tabela4[[#This Row],[Eficaz Engenharia Ltda]]</f>
        <v>0</v>
      </c>
      <c r="BT74" s="72">
        <f>SUM(Tabela4[[#Headers],[Tania Regina Schmaltz - 01]:[Tania Regina Schmaltz - 02]])</f>
        <v>0</v>
      </c>
      <c r="BU74" s="72">
        <f>Tabela4[[#This Row],[Camila Ceretta Segatto]]</f>
        <v>0</v>
      </c>
      <c r="BV74" s="72">
        <f>Tabela4[[#This Row],[Vagner Ribas Dos Santos]]</f>
        <v>0</v>
      </c>
      <c r="BW74" s="72">
        <f>Tabela4[[#This Row],[Claudio Alfredo Konrat]]</f>
        <v>0</v>
      </c>
    </row>
    <row r="75" spans="1:75" x14ac:dyDescent="0.25">
      <c r="A75" s="70">
        <v>45323</v>
      </c>
      <c r="B75" s="72">
        <f>SUM(Tabela4[[#This Row],[Marlon Colovini - 01]:[Marlon Colovini - 02]])</f>
        <v>0</v>
      </c>
      <c r="C75" s="72">
        <f>Tabela4[[#This Row],[Mara Barichello]]</f>
        <v>0</v>
      </c>
      <c r="D75" s="72">
        <f>Tabela4[[#This Row],[Jandira Dutra]]</f>
        <v>0</v>
      </c>
      <c r="E75" s="72">
        <f>Tabela4[[#This Row],[Luiz Fernando Kruger]]</f>
        <v>0</v>
      </c>
      <c r="F75" s="72">
        <f>SUM(Tabela4[[#This Row],[Paulo Bohn - 01]:[Paulo Bohn - 04]])</f>
        <v>0</v>
      </c>
      <c r="G75" s="72">
        <f>Tabela4[[#This Row],[Analia (Clodoaldo Entre-Ijuis)]]</f>
        <v>0</v>
      </c>
      <c r="H75" s="72">
        <f>Tabela4[[#This Row],[Biroh]]</f>
        <v>0</v>
      </c>
      <c r="I75" s="72">
        <f>Tabela4[[#This Row],[Gelson Posser]]</f>
        <v>0</v>
      </c>
      <c r="J75" s="72">
        <f>Tabela4[[#This Row],[Supermercado Caryone]]</f>
        <v>0</v>
      </c>
      <c r="K75" s="72">
        <f>Tabela4[[#This Row],[Ernani Minetto]]</f>
        <v>0</v>
      </c>
      <c r="L75" s="72">
        <f>Tabela4[[#This Row],[Jair Moscon]]</f>
        <v>0</v>
      </c>
      <c r="M75" s="72">
        <f>SUM(Tabela4[[#This Row],[Fabio Milke - 01]:[Fabio Milke - 02]])</f>
        <v>0</v>
      </c>
      <c r="N75" s="72">
        <f>Tabela4[[#This Row],[Piaia]]</f>
        <v>0</v>
      </c>
      <c r="O75" s="72">
        <f>Tabela4[[#This Row],[Osmar Veronese]]</f>
        <v>0</v>
      </c>
      <c r="P75" s="72">
        <f>Tabela4[[#This Row],[ José Luiz Moraes]]</f>
        <v>0</v>
      </c>
      <c r="Q75" s="72">
        <f>Tabela4[[#This Row],[Supermercado Cripy]]</f>
        <v>0</v>
      </c>
      <c r="R75" s="72">
        <f>Tabela4[[#This Row],[Gláucio Lipski (Giruá)]]</f>
        <v>0</v>
      </c>
      <c r="S75" s="72">
        <f>Tabela4[[#This Row],[Contri]]</f>
        <v>0</v>
      </c>
      <c r="T75" s="72">
        <f>Tabela4[[#This Row],[Cleci Rubi]]</f>
        <v>0</v>
      </c>
      <c r="U75" s="72">
        <f>Tabela4[[#This Row],[Betine Rost]]</f>
        <v>0</v>
      </c>
      <c r="V75" s="72">
        <f>SUM(Tabela4[[#This Row],[Robinson Fetter - 01]:[Robinson Fetter - 03]])</f>
        <v>0</v>
      </c>
      <c r="W75" s="72">
        <f>Tabela4[[#This Row],[Fabio De Moura]]</f>
        <v>0</v>
      </c>
      <c r="X75" s="72">
        <f>Tabela4[[#This Row],[Rochele Santos Moraes]]</f>
        <v>0</v>
      </c>
      <c r="Y75" s="72">
        <f>Tabela4[[#This Row],[Auto Posto Kairã]]</f>
        <v>0</v>
      </c>
      <c r="Z75" s="72">
        <f>Tabela4[[#This Row],[Erno Schiefelbain]]</f>
        <v>0</v>
      </c>
      <c r="AA75" s="72">
        <f>Tabela4[[#This Row],[José Paulo Backes]]</f>
        <v>0</v>
      </c>
      <c r="AB75" s="72">
        <f>Tabela4[[#This Row],[Gelso Tofolo]]</f>
        <v>0</v>
      </c>
      <c r="AC75" s="72">
        <f>Tabela4[[#This Row],[Diamantino]]</f>
        <v>0</v>
      </c>
      <c r="AD75" s="72">
        <f>Tabela4[[#This Row],[Mercado Bueno]]</f>
        <v>0</v>
      </c>
      <c r="AE75" s="72">
        <f>Tabela4[[#This Row],[Daniela Donadel Massalai]]</f>
        <v>0</v>
      </c>
      <c r="AF75" s="72">
        <f>Tabela4[[#This Row],[Comercio De Moto Peças Irmãos Guarani Ltda]]</f>
        <v>0</v>
      </c>
      <c r="AG75" s="72">
        <f>Tabela4[[#This Row],[Mauricio Luis Lunardi]]</f>
        <v>0</v>
      </c>
      <c r="AH75" s="72">
        <f>Tabela4[[#This Row],[Rosa Maria Restle Radunz]]</f>
        <v>0</v>
      </c>
      <c r="AI75" s="72">
        <f>Tabela4[[#This Row],[Ivo Amaral De Oliveira]]</f>
        <v>0</v>
      </c>
      <c r="AJ75" s="72">
        <f>Tabela4[[#This Row],[Silvio Robert Lemos Avila]]</f>
        <v>0</v>
      </c>
      <c r="AK75" s="72">
        <f>Tabela4[[#This Row],[Eldo Rost]]</f>
        <v>0</v>
      </c>
      <c r="AL75" s="72">
        <f>SUM(Tabela4[[#This Row],[Padaria Avenida - 01]:[Padaria Avenida - 02]])</f>
        <v>0</v>
      </c>
      <c r="AM75" s="72">
        <f>Tabela4[[#This Row],[Cristiano Anshau]]</f>
        <v>0</v>
      </c>
      <c r="AN75" s="72">
        <f>Tabela4[[#This Row],[Luciana Claudete Meirelles Correa]]</f>
        <v>0</v>
      </c>
      <c r="AO75" s="72">
        <f>Tabela4[[#This Row],[Marcio Jose Siqueira]]</f>
        <v>0</v>
      </c>
      <c r="AP75" s="72">
        <f>Tabela4[[#This Row],[Marcos Rogerio Kessler]]</f>
        <v>0</v>
      </c>
      <c r="AQ75" s="72">
        <f>SUM(Tabela4[[#This Row],[AABB - 01]:[AABB - 02]])</f>
        <v>0</v>
      </c>
      <c r="AR75" s="72">
        <f>SUM(Tabela4[[#This Row],[Wanda Burkard - 01]:[Wanda Burkard - 02]])</f>
        <v>0</v>
      </c>
      <c r="AS75" s="72">
        <f>Tabela4[[#This Row],[Silvio Robert Lemos Avila Me]]</f>
        <v>0</v>
      </c>
      <c r="AT75" s="72">
        <f>Tabela4[[#This Row],[Carmelo]]</f>
        <v>0</v>
      </c>
      <c r="AU75" s="72">
        <f>Tabela4[[#This Row],[Antonio Dal Forno]]</f>
        <v>0</v>
      </c>
      <c r="AV75" s="72">
        <f>Tabela4[[#This Row],[Marisane Paulus]]</f>
        <v>0</v>
      </c>
      <c r="AW75" s="72">
        <f>Tabela4[[#This Row],[Segatto Ceretta Ltda]]</f>
        <v>0</v>
      </c>
      <c r="AX75" s="72">
        <f>SUM(Tabela4[[#This Row],[APAE - 01]:[APAE - 02]])</f>
        <v>0</v>
      </c>
      <c r="AY75" s="72">
        <f>Tabela4[[#This Row],[Cássio Burin]]</f>
        <v>0</v>
      </c>
      <c r="AZ75" s="72">
        <f>Tabela4[[#This Row],[Patrick Kristoschek Da Silva]]</f>
        <v>0</v>
      </c>
      <c r="BA75" s="72">
        <f>Tabela4[[#This Row],[Silvio Robert Ávila - (Valmir)]]</f>
        <v>0</v>
      </c>
      <c r="BB75" s="72">
        <f>Tabela4[[#This Row],[Zederson Jose Della Flora]]</f>
        <v>0</v>
      </c>
      <c r="BC75" s="72">
        <f>Tabela4[[#This Row],[Carlos Walmir Larsão Rolim]]</f>
        <v>0</v>
      </c>
      <c r="BD75" s="72">
        <f>Tabela4[[#This Row],[Danieli Missio]]</f>
        <v>0</v>
      </c>
      <c r="BE75" s="72">
        <f>Tabela4[[#This Row],[José Vasconcellos]]</f>
        <v>0</v>
      </c>
      <c r="BF75" s="72">
        <f>Tabela4[[#This Row],[Linho Lev Alimentos]]</f>
        <v>0</v>
      </c>
      <c r="BG75" s="72">
        <f>Tabela4[[#This Row],[Ernani Czapla]]</f>
        <v>0</v>
      </c>
      <c r="BH75" s="72">
        <f>Tabela4[[#This Row],[Valesca Da Luz]]</f>
        <v>0</v>
      </c>
      <c r="BI75" s="72">
        <f>Tabela4[[#This Row],[Olavo Mildner]]</f>
        <v>0</v>
      </c>
      <c r="BJ75" s="72">
        <f>Tabela4[[#This Row],[Dilnei Rohled]]</f>
        <v>0</v>
      </c>
      <c r="BK75" s="72">
        <f>Tabela4[[#This Row],[Shaiana Signorini]]</f>
        <v>0</v>
      </c>
      <c r="BL75" s="72">
        <f>Tabela4[[#This Row],[Fonse Atacado]]</f>
        <v>0</v>
      </c>
      <c r="BM75" s="72">
        <f>Tabela4[[#This Row],[Comercial de Alimentos]]</f>
        <v>0</v>
      </c>
      <c r="BN75" s="72">
        <f>Tabela4[[#This Row],[Ivone Kasburg Serralheria]]</f>
        <v>0</v>
      </c>
      <c r="BO75" s="72">
        <f>Tabela4[[#This Row],[Mercado Ceretta]]</f>
        <v>0</v>
      </c>
      <c r="BP75" s="72">
        <f>Tabela4[[#This Row],[Antonio Carlos Dos Santos Pereira]]</f>
        <v>0</v>
      </c>
      <c r="BQ75" s="72">
        <f>Tabela4[[#This Row],[Volnei Lemos Avila - Me]]</f>
        <v>0</v>
      </c>
      <c r="BR75" s="72">
        <f>Tabela4[[#This Row],[Silvana Meneghini]]</f>
        <v>0</v>
      </c>
      <c r="BS75" s="72">
        <f>Tabela4[[#This Row],[Eficaz Engenharia Ltda]]</f>
        <v>0</v>
      </c>
      <c r="BT75" s="72">
        <f>SUM(Tabela4[[#Headers],[Tania Regina Schmaltz - 01]:[Tania Regina Schmaltz - 02]])</f>
        <v>0</v>
      </c>
      <c r="BU75" s="72">
        <f>Tabela4[[#This Row],[Camila Ceretta Segatto]]</f>
        <v>0</v>
      </c>
      <c r="BV75" s="72">
        <f>Tabela4[[#This Row],[Vagner Ribas Dos Santos]]</f>
        <v>0</v>
      </c>
      <c r="BW75" s="72">
        <f>Tabela4[[#This Row],[Claudio Alfredo Konrat]]</f>
        <v>0</v>
      </c>
    </row>
    <row r="76" spans="1:75" x14ac:dyDescent="0.25">
      <c r="A76" s="70">
        <v>45352</v>
      </c>
      <c r="B76" s="72">
        <f>SUM(Tabela4[[#This Row],[Marlon Colovini - 01]:[Marlon Colovini - 02]])</f>
        <v>0</v>
      </c>
      <c r="C76" s="72">
        <f>Tabela4[[#This Row],[Mara Barichello]]</f>
        <v>0</v>
      </c>
      <c r="D76" s="72">
        <f>Tabela4[[#This Row],[Jandira Dutra]]</f>
        <v>0</v>
      </c>
      <c r="E76" s="72">
        <f>Tabela4[[#This Row],[Luiz Fernando Kruger]]</f>
        <v>0</v>
      </c>
      <c r="F76" s="72">
        <f>SUM(Tabela4[[#This Row],[Paulo Bohn - 01]:[Paulo Bohn - 04]])</f>
        <v>0</v>
      </c>
      <c r="G76" s="72">
        <f>Tabela4[[#This Row],[Analia (Clodoaldo Entre-Ijuis)]]</f>
        <v>0</v>
      </c>
      <c r="H76" s="72">
        <f>Tabela4[[#This Row],[Biroh]]</f>
        <v>0</v>
      </c>
      <c r="I76" s="72">
        <f>Tabela4[[#This Row],[Gelson Posser]]</f>
        <v>0</v>
      </c>
      <c r="J76" s="72">
        <f>Tabela4[[#This Row],[Supermercado Caryone]]</f>
        <v>0</v>
      </c>
      <c r="K76" s="72">
        <f>Tabela4[[#This Row],[Ernani Minetto]]</f>
        <v>0</v>
      </c>
      <c r="L76" s="72">
        <f>Tabela4[[#This Row],[Jair Moscon]]</f>
        <v>0</v>
      </c>
      <c r="M76" s="72">
        <f>SUM(Tabela4[[#This Row],[Fabio Milke - 01]:[Fabio Milke - 02]])</f>
        <v>0</v>
      </c>
      <c r="N76" s="72">
        <f>Tabela4[[#This Row],[Piaia]]</f>
        <v>0</v>
      </c>
      <c r="O76" s="72">
        <f>Tabela4[[#This Row],[Osmar Veronese]]</f>
        <v>0</v>
      </c>
      <c r="P76" s="72">
        <f>Tabela4[[#This Row],[ José Luiz Moraes]]</f>
        <v>0</v>
      </c>
      <c r="Q76" s="72">
        <f>Tabela4[[#This Row],[Supermercado Cripy]]</f>
        <v>0</v>
      </c>
      <c r="R76" s="72">
        <f>Tabela4[[#This Row],[Gláucio Lipski (Giruá)]]</f>
        <v>0</v>
      </c>
      <c r="S76" s="72">
        <f>Tabela4[[#This Row],[Contri]]</f>
        <v>0</v>
      </c>
      <c r="T76" s="72">
        <f>Tabela4[[#This Row],[Cleci Rubi]]</f>
        <v>0</v>
      </c>
      <c r="U76" s="72">
        <f>Tabela4[[#This Row],[Betine Rost]]</f>
        <v>0</v>
      </c>
      <c r="V76" s="72">
        <f>SUM(Tabela4[[#This Row],[Robinson Fetter - 01]:[Robinson Fetter - 03]])</f>
        <v>0</v>
      </c>
      <c r="W76" s="72">
        <f>Tabela4[[#This Row],[Fabio De Moura]]</f>
        <v>0</v>
      </c>
      <c r="X76" s="72">
        <f>Tabela4[[#This Row],[Rochele Santos Moraes]]</f>
        <v>0</v>
      </c>
      <c r="Y76" s="72">
        <f>Tabela4[[#This Row],[Auto Posto Kairã]]</f>
        <v>0</v>
      </c>
      <c r="Z76" s="72">
        <f>Tabela4[[#This Row],[Erno Schiefelbain]]</f>
        <v>0</v>
      </c>
      <c r="AA76" s="72">
        <f>Tabela4[[#This Row],[José Paulo Backes]]</f>
        <v>0</v>
      </c>
      <c r="AB76" s="72">
        <f>Tabela4[[#This Row],[Gelso Tofolo]]</f>
        <v>0</v>
      </c>
      <c r="AC76" s="72">
        <f>Tabela4[[#This Row],[Diamantino]]</f>
        <v>0</v>
      </c>
      <c r="AD76" s="72">
        <f>Tabela4[[#This Row],[Mercado Bueno]]</f>
        <v>0</v>
      </c>
      <c r="AE76" s="72">
        <f>Tabela4[[#This Row],[Daniela Donadel Massalai]]</f>
        <v>0</v>
      </c>
      <c r="AF76" s="72">
        <f>Tabela4[[#This Row],[Comercio De Moto Peças Irmãos Guarani Ltda]]</f>
        <v>0</v>
      </c>
      <c r="AG76" s="72">
        <f>Tabela4[[#This Row],[Mauricio Luis Lunardi]]</f>
        <v>0</v>
      </c>
      <c r="AH76" s="72">
        <f>Tabela4[[#This Row],[Rosa Maria Restle Radunz]]</f>
        <v>0</v>
      </c>
      <c r="AI76" s="72">
        <f>Tabela4[[#This Row],[Ivo Amaral De Oliveira]]</f>
        <v>0</v>
      </c>
      <c r="AJ76" s="72">
        <f>Tabela4[[#This Row],[Silvio Robert Lemos Avila]]</f>
        <v>0</v>
      </c>
      <c r="AK76" s="72">
        <f>Tabela4[[#This Row],[Eldo Rost]]</f>
        <v>0</v>
      </c>
      <c r="AL76" s="72">
        <f>SUM(Tabela4[[#This Row],[Padaria Avenida - 01]:[Padaria Avenida - 02]])</f>
        <v>0</v>
      </c>
      <c r="AM76" s="72">
        <f>Tabela4[[#This Row],[Cristiano Anshau]]</f>
        <v>0</v>
      </c>
      <c r="AN76" s="72">
        <f>Tabela4[[#This Row],[Luciana Claudete Meirelles Correa]]</f>
        <v>0</v>
      </c>
      <c r="AO76" s="72">
        <f>Tabela4[[#This Row],[Marcio Jose Siqueira]]</f>
        <v>0</v>
      </c>
      <c r="AP76" s="72">
        <f>Tabela4[[#This Row],[Marcos Rogerio Kessler]]</f>
        <v>0</v>
      </c>
      <c r="AQ76" s="72">
        <f>SUM(Tabela4[[#This Row],[AABB - 01]:[AABB - 02]])</f>
        <v>0</v>
      </c>
      <c r="AR76" s="72">
        <f>SUM(Tabela4[[#This Row],[Wanda Burkard - 01]:[Wanda Burkard - 02]])</f>
        <v>0</v>
      </c>
      <c r="AS76" s="72">
        <f>Tabela4[[#This Row],[Silvio Robert Lemos Avila Me]]</f>
        <v>0</v>
      </c>
      <c r="AT76" s="72">
        <f>Tabela4[[#This Row],[Carmelo]]</f>
        <v>0</v>
      </c>
      <c r="AU76" s="72">
        <f>Tabela4[[#This Row],[Antonio Dal Forno]]</f>
        <v>0</v>
      </c>
      <c r="AV76" s="72">
        <f>Tabela4[[#This Row],[Marisane Paulus]]</f>
        <v>0</v>
      </c>
      <c r="AW76" s="72">
        <f>Tabela4[[#This Row],[Segatto Ceretta Ltda]]</f>
        <v>0</v>
      </c>
      <c r="AX76" s="72">
        <f>SUM(Tabela4[[#This Row],[APAE - 01]:[APAE - 02]])</f>
        <v>0</v>
      </c>
      <c r="AY76" s="72">
        <f>Tabela4[[#This Row],[Cássio Burin]]</f>
        <v>0</v>
      </c>
      <c r="AZ76" s="72">
        <f>Tabela4[[#This Row],[Patrick Kristoschek Da Silva]]</f>
        <v>0</v>
      </c>
      <c r="BA76" s="72">
        <f>Tabela4[[#This Row],[Silvio Robert Ávila - (Valmir)]]</f>
        <v>0</v>
      </c>
      <c r="BB76" s="72">
        <f>Tabela4[[#This Row],[Zederson Jose Della Flora]]</f>
        <v>0</v>
      </c>
      <c r="BC76" s="72">
        <f>Tabela4[[#This Row],[Carlos Walmir Larsão Rolim]]</f>
        <v>0</v>
      </c>
      <c r="BD76" s="72">
        <f>Tabela4[[#This Row],[Danieli Missio]]</f>
        <v>0</v>
      </c>
      <c r="BE76" s="72">
        <f>Tabela4[[#This Row],[José Vasconcellos]]</f>
        <v>0</v>
      </c>
      <c r="BF76" s="72">
        <f>Tabela4[[#This Row],[Linho Lev Alimentos]]</f>
        <v>0</v>
      </c>
      <c r="BG76" s="72">
        <f>Tabela4[[#This Row],[Ernani Czapla]]</f>
        <v>0</v>
      </c>
      <c r="BH76" s="72">
        <f>Tabela4[[#This Row],[Valesca Da Luz]]</f>
        <v>0</v>
      </c>
      <c r="BI76" s="72">
        <f>Tabela4[[#This Row],[Olavo Mildner]]</f>
        <v>0</v>
      </c>
      <c r="BJ76" s="72">
        <f>Tabela4[[#This Row],[Dilnei Rohled]]</f>
        <v>0</v>
      </c>
      <c r="BK76" s="72">
        <f>Tabela4[[#This Row],[Shaiana Signorini]]</f>
        <v>0</v>
      </c>
      <c r="BL76" s="72">
        <f>Tabela4[[#This Row],[Fonse Atacado]]</f>
        <v>0</v>
      </c>
      <c r="BM76" s="72">
        <f>Tabela4[[#This Row],[Comercial de Alimentos]]</f>
        <v>0</v>
      </c>
      <c r="BN76" s="72">
        <f>Tabela4[[#This Row],[Ivone Kasburg Serralheria]]</f>
        <v>0</v>
      </c>
      <c r="BO76" s="72">
        <f>Tabela4[[#This Row],[Mercado Ceretta]]</f>
        <v>0</v>
      </c>
      <c r="BP76" s="72">
        <f>Tabela4[[#This Row],[Antonio Carlos Dos Santos Pereira]]</f>
        <v>0</v>
      </c>
      <c r="BQ76" s="72">
        <f>Tabela4[[#This Row],[Volnei Lemos Avila - Me]]</f>
        <v>0</v>
      </c>
      <c r="BR76" s="72">
        <f>Tabela4[[#This Row],[Silvana Meneghini]]</f>
        <v>0</v>
      </c>
      <c r="BS76" s="72">
        <f>Tabela4[[#This Row],[Eficaz Engenharia Ltda]]</f>
        <v>0</v>
      </c>
      <c r="BT76" s="72">
        <f>SUM(Tabela4[[#Headers],[Tania Regina Schmaltz - 01]:[Tania Regina Schmaltz - 02]])</f>
        <v>0</v>
      </c>
      <c r="BU76" s="72">
        <f>Tabela4[[#This Row],[Camila Ceretta Segatto]]</f>
        <v>0</v>
      </c>
      <c r="BV76" s="72">
        <f>Tabela4[[#This Row],[Vagner Ribas Dos Santos]]</f>
        <v>0</v>
      </c>
      <c r="BW76" s="72">
        <f>Tabela4[[#This Row],[Claudio Alfredo Konrat]]</f>
        <v>0</v>
      </c>
    </row>
    <row r="77" spans="1:75" x14ac:dyDescent="0.25">
      <c r="A77" s="70">
        <v>45383</v>
      </c>
      <c r="B77" s="72">
        <f>SUM(Tabela4[[#This Row],[Marlon Colovini - 01]:[Marlon Colovini - 02]])</f>
        <v>0</v>
      </c>
      <c r="C77" s="72">
        <f>Tabela4[[#This Row],[Mara Barichello]]</f>
        <v>0</v>
      </c>
      <c r="D77" s="72">
        <f>Tabela4[[#This Row],[Jandira Dutra]]</f>
        <v>0</v>
      </c>
      <c r="E77" s="72">
        <f>Tabela4[[#This Row],[Luiz Fernando Kruger]]</f>
        <v>0</v>
      </c>
      <c r="F77" s="72">
        <f>SUM(Tabela4[[#This Row],[Paulo Bohn - 01]:[Paulo Bohn - 04]])</f>
        <v>0</v>
      </c>
      <c r="G77" s="72">
        <f>Tabela4[[#This Row],[Analia (Clodoaldo Entre-Ijuis)]]</f>
        <v>0</v>
      </c>
      <c r="H77" s="72">
        <f>Tabela4[[#This Row],[Biroh]]</f>
        <v>0</v>
      </c>
      <c r="I77" s="72">
        <f>Tabela4[[#This Row],[Gelson Posser]]</f>
        <v>0</v>
      </c>
      <c r="J77" s="72">
        <f>Tabela4[[#This Row],[Supermercado Caryone]]</f>
        <v>0</v>
      </c>
      <c r="K77" s="72">
        <f>Tabela4[[#This Row],[Ernani Minetto]]</f>
        <v>0</v>
      </c>
      <c r="L77" s="72">
        <f>Tabela4[[#This Row],[Jair Moscon]]</f>
        <v>0</v>
      </c>
      <c r="M77" s="72">
        <f>SUM(Tabela4[[#This Row],[Fabio Milke - 01]:[Fabio Milke - 02]])</f>
        <v>0</v>
      </c>
      <c r="N77" s="72">
        <f>Tabela4[[#This Row],[Piaia]]</f>
        <v>0</v>
      </c>
      <c r="O77" s="72">
        <f>Tabela4[[#This Row],[Osmar Veronese]]</f>
        <v>0</v>
      </c>
      <c r="P77" s="72">
        <f>Tabela4[[#This Row],[ José Luiz Moraes]]</f>
        <v>0</v>
      </c>
      <c r="Q77" s="72">
        <f>Tabela4[[#This Row],[Supermercado Cripy]]</f>
        <v>0</v>
      </c>
      <c r="R77" s="72">
        <f>Tabela4[[#This Row],[Gláucio Lipski (Giruá)]]</f>
        <v>0</v>
      </c>
      <c r="S77" s="72">
        <f>Tabela4[[#This Row],[Contri]]</f>
        <v>0</v>
      </c>
      <c r="T77" s="72">
        <f>Tabela4[[#This Row],[Cleci Rubi]]</f>
        <v>0</v>
      </c>
      <c r="U77" s="72">
        <f>Tabela4[[#This Row],[Betine Rost]]</f>
        <v>0</v>
      </c>
      <c r="V77" s="72">
        <f>SUM(Tabela4[[#This Row],[Robinson Fetter - 01]:[Robinson Fetter - 03]])</f>
        <v>0</v>
      </c>
      <c r="W77" s="72">
        <f>Tabela4[[#This Row],[Fabio De Moura]]</f>
        <v>0</v>
      </c>
      <c r="X77" s="72">
        <f>Tabela4[[#This Row],[Rochele Santos Moraes]]</f>
        <v>0</v>
      </c>
      <c r="Y77" s="72">
        <f>Tabela4[[#This Row],[Auto Posto Kairã]]</f>
        <v>0</v>
      </c>
      <c r="Z77" s="72">
        <f>Tabela4[[#This Row],[Erno Schiefelbain]]</f>
        <v>0</v>
      </c>
      <c r="AA77" s="72">
        <f>Tabela4[[#This Row],[José Paulo Backes]]</f>
        <v>0</v>
      </c>
      <c r="AB77" s="72">
        <f>Tabela4[[#This Row],[Gelso Tofolo]]</f>
        <v>0</v>
      </c>
      <c r="AC77" s="72">
        <f>Tabela4[[#This Row],[Diamantino]]</f>
        <v>0</v>
      </c>
      <c r="AD77" s="72">
        <f>Tabela4[[#This Row],[Mercado Bueno]]</f>
        <v>0</v>
      </c>
      <c r="AE77" s="72">
        <f>Tabela4[[#This Row],[Daniela Donadel Massalai]]</f>
        <v>0</v>
      </c>
      <c r="AF77" s="72">
        <f>Tabela4[[#This Row],[Comercio De Moto Peças Irmãos Guarani Ltda]]</f>
        <v>0</v>
      </c>
      <c r="AG77" s="72">
        <f>Tabela4[[#This Row],[Mauricio Luis Lunardi]]</f>
        <v>0</v>
      </c>
      <c r="AH77" s="72">
        <f>Tabela4[[#This Row],[Rosa Maria Restle Radunz]]</f>
        <v>0</v>
      </c>
      <c r="AI77" s="72">
        <f>Tabela4[[#This Row],[Ivo Amaral De Oliveira]]</f>
        <v>0</v>
      </c>
      <c r="AJ77" s="72">
        <f>Tabela4[[#This Row],[Silvio Robert Lemos Avila]]</f>
        <v>0</v>
      </c>
      <c r="AK77" s="72">
        <f>Tabela4[[#This Row],[Eldo Rost]]</f>
        <v>0</v>
      </c>
      <c r="AL77" s="72">
        <f>SUM(Tabela4[[#This Row],[Padaria Avenida - 01]:[Padaria Avenida - 02]])</f>
        <v>0</v>
      </c>
      <c r="AM77" s="72">
        <f>Tabela4[[#This Row],[Cristiano Anshau]]</f>
        <v>0</v>
      </c>
      <c r="AN77" s="72">
        <f>Tabela4[[#This Row],[Luciana Claudete Meirelles Correa]]</f>
        <v>0</v>
      </c>
      <c r="AO77" s="72">
        <f>Tabela4[[#This Row],[Marcio Jose Siqueira]]</f>
        <v>0</v>
      </c>
      <c r="AP77" s="72">
        <f>Tabela4[[#This Row],[Marcos Rogerio Kessler]]</f>
        <v>0</v>
      </c>
      <c r="AQ77" s="72">
        <f>SUM(Tabela4[[#This Row],[AABB - 01]:[AABB - 02]])</f>
        <v>0</v>
      </c>
      <c r="AR77" s="72">
        <f>SUM(Tabela4[[#This Row],[Wanda Burkard - 01]:[Wanda Burkard - 02]])</f>
        <v>0</v>
      </c>
      <c r="AS77" s="72">
        <f>Tabela4[[#This Row],[Silvio Robert Lemos Avila Me]]</f>
        <v>0</v>
      </c>
      <c r="AT77" s="72">
        <f>Tabela4[[#This Row],[Carmelo]]</f>
        <v>0</v>
      </c>
      <c r="AU77" s="72">
        <f>Tabela4[[#This Row],[Antonio Dal Forno]]</f>
        <v>0</v>
      </c>
      <c r="AV77" s="72">
        <f>Tabela4[[#This Row],[Marisane Paulus]]</f>
        <v>0</v>
      </c>
      <c r="AW77" s="72">
        <f>Tabela4[[#This Row],[Segatto Ceretta Ltda]]</f>
        <v>0</v>
      </c>
      <c r="AX77" s="72">
        <f>SUM(Tabela4[[#This Row],[APAE - 01]:[APAE - 02]])</f>
        <v>0</v>
      </c>
      <c r="AY77" s="72">
        <f>Tabela4[[#This Row],[Cássio Burin]]</f>
        <v>0</v>
      </c>
      <c r="AZ77" s="72">
        <f>Tabela4[[#This Row],[Patrick Kristoschek Da Silva]]</f>
        <v>0</v>
      </c>
      <c r="BA77" s="72">
        <f>Tabela4[[#This Row],[Silvio Robert Ávila - (Valmir)]]</f>
        <v>0</v>
      </c>
      <c r="BB77" s="72">
        <f>Tabela4[[#This Row],[Zederson Jose Della Flora]]</f>
        <v>0</v>
      </c>
      <c r="BC77" s="72">
        <f>Tabela4[[#This Row],[Carlos Walmir Larsão Rolim]]</f>
        <v>0</v>
      </c>
      <c r="BD77" s="72">
        <f>Tabela4[[#This Row],[Danieli Missio]]</f>
        <v>0</v>
      </c>
      <c r="BE77" s="72">
        <f>Tabela4[[#This Row],[José Vasconcellos]]</f>
        <v>0</v>
      </c>
      <c r="BF77" s="72">
        <f>Tabela4[[#This Row],[Linho Lev Alimentos]]</f>
        <v>0</v>
      </c>
      <c r="BG77" s="72">
        <f>Tabela4[[#This Row],[Ernani Czapla]]</f>
        <v>0</v>
      </c>
      <c r="BH77" s="72">
        <f>Tabela4[[#This Row],[Valesca Da Luz]]</f>
        <v>0</v>
      </c>
      <c r="BI77" s="72">
        <f>Tabela4[[#This Row],[Olavo Mildner]]</f>
        <v>0</v>
      </c>
      <c r="BJ77" s="72">
        <f>Tabela4[[#This Row],[Dilnei Rohled]]</f>
        <v>0</v>
      </c>
      <c r="BK77" s="72">
        <f>Tabela4[[#This Row],[Shaiana Signorini]]</f>
        <v>0</v>
      </c>
      <c r="BL77" s="72">
        <f>Tabela4[[#This Row],[Fonse Atacado]]</f>
        <v>0</v>
      </c>
      <c r="BM77" s="72">
        <f>Tabela4[[#This Row],[Comercial de Alimentos]]</f>
        <v>0</v>
      </c>
      <c r="BN77" s="72">
        <f>Tabela4[[#This Row],[Ivone Kasburg Serralheria]]</f>
        <v>0</v>
      </c>
      <c r="BO77" s="72">
        <f>Tabela4[[#This Row],[Mercado Ceretta]]</f>
        <v>0</v>
      </c>
      <c r="BP77" s="72">
        <f>Tabela4[[#This Row],[Antonio Carlos Dos Santos Pereira]]</f>
        <v>0</v>
      </c>
      <c r="BQ77" s="72">
        <f>Tabela4[[#This Row],[Volnei Lemos Avila - Me]]</f>
        <v>0</v>
      </c>
      <c r="BR77" s="72">
        <f>Tabela4[[#This Row],[Silvana Meneghini]]</f>
        <v>0</v>
      </c>
      <c r="BS77" s="72">
        <f>Tabela4[[#This Row],[Eficaz Engenharia Ltda]]</f>
        <v>0</v>
      </c>
      <c r="BT77" s="72">
        <f>SUM(Tabela4[[#Headers],[Tania Regina Schmaltz - 01]:[Tania Regina Schmaltz - 02]])</f>
        <v>0</v>
      </c>
      <c r="BU77" s="72">
        <f>Tabela4[[#This Row],[Camila Ceretta Segatto]]</f>
        <v>0</v>
      </c>
      <c r="BV77" s="72">
        <f>Tabela4[[#This Row],[Vagner Ribas Dos Santos]]</f>
        <v>0</v>
      </c>
      <c r="BW77" s="72">
        <f>Tabela4[[#This Row],[Claudio Alfredo Konrat]]</f>
        <v>0</v>
      </c>
    </row>
    <row r="78" spans="1:75" x14ac:dyDescent="0.25">
      <c r="A78" s="70">
        <v>45413</v>
      </c>
      <c r="B78" s="72">
        <f>SUM(Tabela4[[#This Row],[Marlon Colovini - 01]:[Marlon Colovini - 02]])</f>
        <v>0</v>
      </c>
      <c r="C78" s="72">
        <f>Tabela4[[#This Row],[Mara Barichello]]</f>
        <v>0</v>
      </c>
      <c r="D78" s="72">
        <f>Tabela4[[#This Row],[Jandira Dutra]]</f>
        <v>0</v>
      </c>
      <c r="E78" s="72">
        <f>Tabela4[[#This Row],[Luiz Fernando Kruger]]</f>
        <v>0</v>
      </c>
      <c r="F78" s="72">
        <f>SUM(Tabela4[[#This Row],[Paulo Bohn - 01]:[Paulo Bohn - 04]])</f>
        <v>0</v>
      </c>
      <c r="G78" s="72">
        <f>Tabela4[[#This Row],[Analia (Clodoaldo Entre-Ijuis)]]</f>
        <v>0</v>
      </c>
      <c r="H78" s="72">
        <f>Tabela4[[#This Row],[Biroh]]</f>
        <v>0</v>
      </c>
      <c r="I78" s="72">
        <f>Tabela4[[#This Row],[Gelson Posser]]</f>
        <v>0</v>
      </c>
      <c r="J78" s="72">
        <f>Tabela4[[#This Row],[Supermercado Caryone]]</f>
        <v>0</v>
      </c>
      <c r="K78" s="72">
        <f>Tabela4[[#This Row],[Ernani Minetto]]</f>
        <v>0</v>
      </c>
      <c r="L78" s="72">
        <f>Tabela4[[#This Row],[Jair Moscon]]</f>
        <v>0</v>
      </c>
      <c r="M78" s="72">
        <f>SUM(Tabela4[[#This Row],[Fabio Milke - 01]:[Fabio Milke - 02]])</f>
        <v>0</v>
      </c>
      <c r="N78" s="72">
        <f>Tabela4[[#This Row],[Piaia]]</f>
        <v>0</v>
      </c>
      <c r="O78" s="72">
        <f>Tabela4[[#This Row],[Osmar Veronese]]</f>
        <v>0</v>
      </c>
      <c r="P78" s="72">
        <f>Tabela4[[#This Row],[ José Luiz Moraes]]</f>
        <v>0</v>
      </c>
      <c r="Q78" s="72">
        <f>Tabela4[[#This Row],[Supermercado Cripy]]</f>
        <v>0</v>
      </c>
      <c r="R78" s="72">
        <f>Tabela4[[#This Row],[Gláucio Lipski (Giruá)]]</f>
        <v>0</v>
      </c>
      <c r="S78" s="72">
        <f>Tabela4[[#This Row],[Contri]]</f>
        <v>0</v>
      </c>
      <c r="T78" s="72">
        <f>Tabela4[[#This Row],[Cleci Rubi]]</f>
        <v>0</v>
      </c>
      <c r="U78" s="72">
        <f>Tabela4[[#This Row],[Betine Rost]]</f>
        <v>0</v>
      </c>
      <c r="V78" s="72">
        <f>SUM(Tabela4[[#This Row],[Robinson Fetter - 01]:[Robinson Fetter - 03]])</f>
        <v>0</v>
      </c>
      <c r="W78" s="72">
        <f>Tabela4[[#This Row],[Fabio De Moura]]</f>
        <v>0</v>
      </c>
      <c r="X78" s="72">
        <f>Tabela4[[#This Row],[Rochele Santos Moraes]]</f>
        <v>0</v>
      </c>
      <c r="Y78" s="72">
        <f>Tabela4[[#This Row],[Auto Posto Kairã]]</f>
        <v>0</v>
      </c>
      <c r="Z78" s="72">
        <f>Tabela4[[#This Row],[Erno Schiefelbain]]</f>
        <v>0</v>
      </c>
      <c r="AA78" s="72">
        <f>Tabela4[[#This Row],[José Paulo Backes]]</f>
        <v>0</v>
      </c>
      <c r="AB78" s="72">
        <f>Tabela4[[#This Row],[Gelso Tofolo]]</f>
        <v>0</v>
      </c>
      <c r="AC78" s="72">
        <f>Tabela4[[#This Row],[Diamantino]]</f>
        <v>0</v>
      </c>
      <c r="AD78" s="72">
        <f>Tabela4[[#This Row],[Mercado Bueno]]</f>
        <v>0</v>
      </c>
      <c r="AE78" s="72">
        <f>Tabela4[[#This Row],[Daniela Donadel Massalai]]</f>
        <v>0</v>
      </c>
      <c r="AF78" s="72">
        <f>Tabela4[[#This Row],[Comercio De Moto Peças Irmãos Guarani Ltda]]</f>
        <v>0</v>
      </c>
      <c r="AG78" s="72">
        <f>Tabela4[[#This Row],[Mauricio Luis Lunardi]]</f>
        <v>0</v>
      </c>
      <c r="AH78" s="72">
        <f>Tabela4[[#This Row],[Rosa Maria Restle Radunz]]</f>
        <v>0</v>
      </c>
      <c r="AI78" s="72">
        <f>Tabela4[[#This Row],[Ivo Amaral De Oliveira]]</f>
        <v>0</v>
      </c>
      <c r="AJ78" s="72">
        <f>Tabela4[[#This Row],[Silvio Robert Lemos Avila]]</f>
        <v>0</v>
      </c>
      <c r="AK78" s="72">
        <f>Tabela4[[#This Row],[Eldo Rost]]</f>
        <v>0</v>
      </c>
      <c r="AL78" s="72">
        <f>SUM(Tabela4[[#This Row],[Padaria Avenida - 01]:[Padaria Avenida - 02]])</f>
        <v>0</v>
      </c>
      <c r="AM78" s="72">
        <f>Tabela4[[#This Row],[Cristiano Anshau]]</f>
        <v>0</v>
      </c>
      <c r="AN78" s="72">
        <f>Tabela4[[#This Row],[Luciana Claudete Meirelles Correa]]</f>
        <v>0</v>
      </c>
      <c r="AO78" s="72">
        <f>Tabela4[[#This Row],[Marcio Jose Siqueira]]</f>
        <v>0</v>
      </c>
      <c r="AP78" s="72">
        <f>Tabela4[[#This Row],[Marcos Rogerio Kessler]]</f>
        <v>0</v>
      </c>
      <c r="AQ78" s="72">
        <f>SUM(Tabela4[[#This Row],[AABB - 01]:[AABB - 02]])</f>
        <v>0</v>
      </c>
      <c r="AR78" s="72">
        <f>SUM(Tabela4[[#This Row],[Wanda Burkard - 01]:[Wanda Burkard - 02]])</f>
        <v>0</v>
      </c>
      <c r="AS78" s="72">
        <f>Tabela4[[#This Row],[Silvio Robert Lemos Avila Me]]</f>
        <v>0</v>
      </c>
      <c r="AT78" s="72">
        <f>Tabela4[[#This Row],[Carmelo]]</f>
        <v>0</v>
      </c>
      <c r="AU78" s="72">
        <f>Tabela4[[#This Row],[Antonio Dal Forno]]</f>
        <v>0</v>
      </c>
      <c r="AV78" s="72">
        <f>Tabela4[[#This Row],[Marisane Paulus]]</f>
        <v>0</v>
      </c>
      <c r="AW78" s="72">
        <f>Tabela4[[#This Row],[Segatto Ceretta Ltda]]</f>
        <v>0</v>
      </c>
      <c r="AX78" s="72">
        <f>SUM(Tabela4[[#This Row],[APAE - 01]:[APAE - 02]])</f>
        <v>0</v>
      </c>
      <c r="AY78" s="72">
        <f>Tabela4[[#This Row],[Cássio Burin]]</f>
        <v>0</v>
      </c>
      <c r="AZ78" s="72">
        <f>Tabela4[[#This Row],[Patrick Kristoschek Da Silva]]</f>
        <v>0</v>
      </c>
      <c r="BA78" s="72">
        <f>Tabela4[[#This Row],[Silvio Robert Ávila - (Valmir)]]</f>
        <v>0</v>
      </c>
      <c r="BB78" s="72">
        <f>Tabela4[[#This Row],[Zederson Jose Della Flora]]</f>
        <v>0</v>
      </c>
      <c r="BC78" s="72">
        <f>Tabela4[[#This Row],[Carlos Walmir Larsão Rolim]]</f>
        <v>0</v>
      </c>
      <c r="BD78" s="72">
        <f>Tabela4[[#This Row],[Danieli Missio]]</f>
        <v>0</v>
      </c>
      <c r="BE78" s="72">
        <f>Tabela4[[#This Row],[José Vasconcellos]]</f>
        <v>0</v>
      </c>
      <c r="BF78" s="72">
        <f>Tabela4[[#This Row],[Linho Lev Alimentos]]</f>
        <v>0</v>
      </c>
      <c r="BG78" s="72">
        <f>Tabela4[[#This Row],[Ernani Czapla]]</f>
        <v>0</v>
      </c>
      <c r="BH78" s="72">
        <f>Tabela4[[#This Row],[Valesca Da Luz]]</f>
        <v>0</v>
      </c>
      <c r="BI78" s="72">
        <f>Tabela4[[#This Row],[Olavo Mildner]]</f>
        <v>0</v>
      </c>
      <c r="BJ78" s="72">
        <f>Tabela4[[#This Row],[Dilnei Rohled]]</f>
        <v>0</v>
      </c>
      <c r="BK78" s="72">
        <f>Tabela4[[#This Row],[Shaiana Signorini]]</f>
        <v>0</v>
      </c>
      <c r="BL78" s="72">
        <f>Tabela4[[#This Row],[Fonse Atacado]]</f>
        <v>0</v>
      </c>
      <c r="BM78" s="72">
        <f>Tabela4[[#This Row],[Comercial de Alimentos]]</f>
        <v>0</v>
      </c>
      <c r="BN78" s="72">
        <f>Tabela4[[#This Row],[Ivone Kasburg Serralheria]]</f>
        <v>0</v>
      </c>
      <c r="BO78" s="72">
        <f>Tabela4[[#This Row],[Mercado Ceretta]]</f>
        <v>0</v>
      </c>
      <c r="BP78" s="72">
        <f>Tabela4[[#This Row],[Antonio Carlos Dos Santos Pereira]]</f>
        <v>0</v>
      </c>
      <c r="BQ78" s="72">
        <f>Tabela4[[#This Row],[Volnei Lemos Avila - Me]]</f>
        <v>0</v>
      </c>
      <c r="BR78" s="72">
        <f>Tabela4[[#This Row],[Silvana Meneghini]]</f>
        <v>0</v>
      </c>
      <c r="BS78" s="72">
        <f>Tabela4[[#This Row],[Eficaz Engenharia Ltda]]</f>
        <v>0</v>
      </c>
      <c r="BT78" s="72">
        <f>SUM(Tabela4[[#Headers],[Tania Regina Schmaltz - 01]:[Tania Regina Schmaltz - 02]])</f>
        <v>0</v>
      </c>
      <c r="BU78" s="72">
        <f>Tabela4[[#This Row],[Camila Ceretta Segatto]]</f>
        <v>0</v>
      </c>
      <c r="BV78" s="72">
        <f>Tabela4[[#This Row],[Vagner Ribas Dos Santos]]</f>
        <v>0</v>
      </c>
      <c r="BW78" s="72">
        <f>Tabela4[[#This Row],[Claudio Alfredo Konrat]]</f>
        <v>0</v>
      </c>
    </row>
    <row r="79" spans="1:75" x14ac:dyDescent="0.25">
      <c r="A79" s="70">
        <v>45444</v>
      </c>
      <c r="B79" s="72">
        <f>SUM(Tabela4[[#This Row],[Marlon Colovini - 01]:[Marlon Colovini - 02]])</f>
        <v>0</v>
      </c>
      <c r="C79" s="72">
        <f>Tabela4[[#This Row],[Mara Barichello]]</f>
        <v>0</v>
      </c>
      <c r="D79" s="72">
        <f>Tabela4[[#This Row],[Jandira Dutra]]</f>
        <v>0</v>
      </c>
      <c r="E79" s="72">
        <f>Tabela4[[#This Row],[Luiz Fernando Kruger]]</f>
        <v>0</v>
      </c>
      <c r="F79" s="72">
        <f>SUM(Tabela4[[#This Row],[Paulo Bohn - 01]:[Paulo Bohn - 04]])</f>
        <v>0</v>
      </c>
      <c r="G79" s="72">
        <f>Tabela4[[#This Row],[Analia (Clodoaldo Entre-Ijuis)]]</f>
        <v>0</v>
      </c>
      <c r="H79" s="72">
        <f>Tabela4[[#This Row],[Biroh]]</f>
        <v>0</v>
      </c>
      <c r="I79" s="72">
        <f>Tabela4[[#This Row],[Gelson Posser]]</f>
        <v>0</v>
      </c>
      <c r="J79" s="72">
        <f>Tabela4[[#This Row],[Supermercado Caryone]]</f>
        <v>0</v>
      </c>
      <c r="K79" s="72">
        <f>Tabela4[[#This Row],[Ernani Minetto]]</f>
        <v>0</v>
      </c>
      <c r="L79" s="72">
        <f>Tabela4[[#This Row],[Jair Moscon]]</f>
        <v>0</v>
      </c>
      <c r="M79" s="72">
        <f>SUM(Tabela4[[#This Row],[Fabio Milke - 01]:[Fabio Milke - 02]])</f>
        <v>0</v>
      </c>
      <c r="N79" s="72">
        <f>Tabela4[[#This Row],[Piaia]]</f>
        <v>0</v>
      </c>
      <c r="O79" s="72">
        <f>Tabela4[[#This Row],[Osmar Veronese]]</f>
        <v>0</v>
      </c>
      <c r="P79" s="72">
        <f>Tabela4[[#This Row],[ José Luiz Moraes]]</f>
        <v>0</v>
      </c>
      <c r="Q79" s="72">
        <f>Tabela4[[#This Row],[Supermercado Cripy]]</f>
        <v>0</v>
      </c>
      <c r="R79" s="72">
        <f>Tabela4[[#This Row],[Gláucio Lipski (Giruá)]]</f>
        <v>0</v>
      </c>
      <c r="S79" s="72">
        <f>Tabela4[[#This Row],[Contri]]</f>
        <v>0</v>
      </c>
      <c r="T79" s="72">
        <f>Tabela4[[#This Row],[Cleci Rubi]]</f>
        <v>0</v>
      </c>
      <c r="U79" s="72">
        <f>Tabela4[[#This Row],[Betine Rost]]</f>
        <v>0</v>
      </c>
      <c r="V79" s="72">
        <f>SUM(Tabela4[[#This Row],[Robinson Fetter - 01]:[Robinson Fetter - 03]])</f>
        <v>0</v>
      </c>
      <c r="W79" s="72">
        <f>Tabela4[[#This Row],[Fabio De Moura]]</f>
        <v>0</v>
      </c>
      <c r="X79" s="72">
        <f>Tabela4[[#This Row],[Rochele Santos Moraes]]</f>
        <v>0</v>
      </c>
      <c r="Y79" s="72">
        <f>Tabela4[[#This Row],[Auto Posto Kairã]]</f>
        <v>0</v>
      </c>
      <c r="Z79" s="72">
        <f>Tabela4[[#This Row],[Erno Schiefelbain]]</f>
        <v>0</v>
      </c>
      <c r="AA79" s="72">
        <f>Tabela4[[#This Row],[José Paulo Backes]]</f>
        <v>0</v>
      </c>
      <c r="AB79" s="72">
        <f>Tabela4[[#This Row],[Gelso Tofolo]]</f>
        <v>0</v>
      </c>
      <c r="AC79" s="72">
        <f>Tabela4[[#This Row],[Diamantino]]</f>
        <v>0</v>
      </c>
      <c r="AD79" s="72">
        <f>Tabela4[[#This Row],[Mercado Bueno]]</f>
        <v>0</v>
      </c>
      <c r="AE79" s="72">
        <f>Tabela4[[#This Row],[Daniela Donadel Massalai]]</f>
        <v>0</v>
      </c>
      <c r="AF79" s="72">
        <f>Tabela4[[#This Row],[Comercio De Moto Peças Irmãos Guarani Ltda]]</f>
        <v>0</v>
      </c>
      <c r="AG79" s="72">
        <f>Tabela4[[#This Row],[Mauricio Luis Lunardi]]</f>
        <v>0</v>
      </c>
      <c r="AH79" s="72">
        <f>Tabela4[[#This Row],[Rosa Maria Restle Radunz]]</f>
        <v>0</v>
      </c>
      <c r="AI79" s="72">
        <f>Tabela4[[#This Row],[Ivo Amaral De Oliveira]]</f>
        <v>0</v>
      </c>
      <c r="AJ79" s="72">
        <f>Tabela4[[#This Row],[Silvio Robert Lemos Avila]]</f>
        <v>0</v>
      </c>
      <c r="AK79" s="72">
        <f>Tabela4[[#This Row],[Eldo Rost]]</f>
        <v>0</v>
      </c>
      <c r="AL79" s="72">
        <f>SUM(Tabela4[[#This Row],[Padaria Avenida - 01]:[Padaria Avenida - 02]])</f>
        <v>0</v>
      </c>
      <c r="AM79" s="72">
        <f>Tabela4[[#This Row],[Cristiano Anshau]]</f>
        <v>0</v>
      </c>
      <c r="AN79" s="72">
        <f>Tabela4[[#This Row],[Luciana Claudete Meirelles Correa]]</f>
        <v>0</v>
      </c>
      <c r="AO79" s="72">
        <f>Tabela4[[#This Row],[Marcio Jose Siqueira]]</f>
        <v>0</v>
      </c>
      <c r="AP79" s="72">
        <f>Tabela4[[#This Row],[Marcos Rogerio Kessler]]</f>
        <v>0</v>
      </c>
      <c r="AQ79" s="72">
        <f>SUM(Tabela4[[#This Row],[AABB - 01]:[AABB - 02]])</f>
        <v>0</v>
      </c>
      <c r="AR79" s="72">
        <f>SUM(Tabela4[[#This Row],[Wanda Burkard - 01]:[Wanda Burkard - 02]])</f>
        <v>0</v>
      </c>
      <c r="AS79" s="72">
        <f>Tabela4[[#This Row],[Silvio Robert Lemos Avila Me]]</f>
        <v>0</v>
      </c>
      <c r="AT79" s="72">
        <f>Tabela4[[#This Row],[Carmelo]]</f>
        <v>0</v>
      </c>
      <c r="AU79" s="72">
        <f>Tabela4[[#This Row],[Antonio Dal Forno]]</f>
        <v>0</v>
      </c>
      <c r="AV79" s="72">
        <f>Tabela4[[#This Row],[Marisane Paulus]]</f>
        <v>0</v>
      </c>
      <c r="AW79" s="72">
        <f>Tabela4[[#This Row],[Segatto Ceretta Ltda]]</f>
        <v>0</v>
      </c>
      <c r="AX79" s="72">
        <f>SUM(Tabela4[[#This Row],[APAE - 01]:[APAE - 02]])</f>
        <v>0</v>
      </c>
      <c r="AY79" s="72">
        <f>Tabela4[[#This Row],[Cássio Burin]]</f>
        <v>0</v>
      </c>
      <c r="AZ79" s="72">
        <f>Tabela4[[#This Row],[Patrick Kristoschek Da Silva]]</f>
        <v>0</v>
      </c>
      <c r="BA79" s="72">
        <f>Tabela4[[#This Row],[Silvio Robert Ávila - (Valmir)]]</f>
        <v>0</v>
      </c>
      <c r="BB79" s="72">
        <f>Tabela4[[#This Row],[Zederson Jose Della Flora]]</f>
        <v>0</v>
      </c>
      <c r="BC79" s="72">
        <f>Tabela4[[#This Row],[Carlos Walmir Larsão Rolim]]</f>
        <v>0</v>
      </c>
      <c r="BD79" s="72">
        <f>Tabela4[[#This Row],[Danieli Missio]]</f>
        <v>0</v>
      </c>
      <c r="BE79" s="72">
        <f>Tabela4[[#This Row],[José Vasconcellos]]</f>
        <v>0</v>
      </c>
      <c r="BF79" s="72">
        <f>Tabela4[[#This Row],[Linho Lev Alimentos]]</f>
        <v>0</v>
      </c>
      <c r="BG79" s="72">
        <f>Tabela4[[#This Row],[Ernani Czapla]]</f>
        <v>0</v>
      </c>
      <c r="BH79" s="72">
        <f>Tabela4[[#This Row],[Valesca Da Luz]]</f>
        <v>0</v>
      </c>
      <c r="BI79" s="72">
        <f>Tabela4[[#This Row],[Olavo Mildner]]</f>
        <v>0</v>
      </c>
      <c r="BJ79" s="72">
        <f>Tabela4[[#This Row],[Dilnei Rohled]]</f>
        <v>0</v>
      </c>
      <c r="BK79" s="72">
        <f>Tabela4[[#This Row],[Shaiana Signorini]]</f>
        <v>0</v>
      </c>
      <c r="BL79" s="72">
        <f>Tabela4[[#This Row],[Fonse Atacado]]</f>
        <v>0</v>
      </c>
      <c r="BM79" s="72">
        <f>Tabela4[[#This Row],[Comercial de Alimentos]]</f>
        <v>0</v>
      </c>
      <c r="BN79" s="72">
        <f>Tabela4[[#This Row],[Ivone Kasburg Serralheria]]</f>
        <v>0</v>
      </c>
      <c r="BO79" s="72">
        <f>Tabela4[[#This Row],[Mercado Ceretta]]</f>
        <v>0</v>
      </c>
      <c r="BP79" s="72">
        <f>Tabela4[[#This Row],[Antonio Carlos Dos Santos Pereira]]</f>
        <v>0</v>
      </c>
      <c r="BQ79" s="72">
        <f>Tabela4[[#This Row],[Volnei Lemos Avila - Me]]</f>
        <v>0</v>
      </c>
      <c r="BR79" s="72">
        <f>Tabela4[[#This Row],[Silvana Meneghini]]</f>
        <v>0</v>
      </c>
      <c r="BS79" s="72">
        <f>Tabela4[[#This Row],[Eficaz Engenharia Ltda]]</f>
        <v>0</v>
      </c>
      <c r="BT79" s="72">
        <f>SUM(Tabela4[[#Headers],[Tania Regina Schmaltz - 01]:[Tania Regina Schmaltz - 02]])</f>
        <v>0</v>
      </c>
      <c r="BU79" s="72">
        <f>Tabela4[[#This Row],[Camila Ceretta Segatto]]</f>
        <v>0</v>
      </c>
      <c r="BV79" s="72">
        <f>Tabela4[[#This Row],[Vagner Ribas Dos Santos]]</f>
        <v>0</v>
      </c>
      <c r="BW79" s="72">
        <f>Tabela4[[#This Row],[Claudio Alfredo Konrat]]</f>
        <v>0</v>
      </c>
    </row>
    <row r="80" spans="1:75" x14ac:dyDescent="0.25">
      <c r="A80" s="70">
        <v>45474</v>
      </c>
      <c r="B80" s="72">
        <f>SUM(Tabela4[[#This Row],[Marlon Colovini - 01]:[Marlon Colovini - 02]])</f>
        <v>0</v>
      </c>
      <c r="C80" s="72">
        <f>Tabela4[[#This Row],[Mara Barichello]]</f>
        <v>0</v>
      </c>
      <c r="D80" s="72">
        <f>Tabela4[[#This Row],[Jandira Dutra]]</f>
        <v>0</v>
      </c>
      <c r="E80" s="72">
        <f>Tabela4[[#This Row],[Luiz Fernando Kruger]]</f>
        <v>0</v>
      </c>
      <c r="F80" s="72">
        <f>SUM(Tabela4[[#This Row],[Paulo Bohn - 01]:[Paulo Bohn - 04]])</f>
        <v>0</v>
      </c>
      <c r="G80" s="72">
        <f>Tabela4[[#This Row],[Analia (Clodoaldo Entre-Ijuis)]]</f>
        <v>0</v>
      </c>
      <c r="H80" s="72">
        <f>Tabela4[[#This Row],[Biroh]]</f>
        <v>0</v>
      </c>
      <c r="I80" s="72">
        <f>Tabela4[[#This Row],[Gelson Posser]]</f>
        <v>0</v>
      </c>
      <c r="J80" s="72">
        <f>Tabela4[[#This Row],[Supermercado Caryone]]</f>
        <v>0</v>
      </c>
      <c r="K80" s="72">
        <f>Tabela4[[#This Row],[Ernani Minetto]]</f>
        <v>0</v>
      </c>
      <c r="L80" s="72">
        <f>Tabela4[[#This Row],[Jair Moscon]]</f>
        <v>0</v>
      </c>
      <c r="M80" s="72">
        <f>SUM(Tabela4[[#This Row],[Fabio Milke - 01]:[Fabio Milke - 02]])</f>
        <v>0</v>
      </c>
      <c r="N80" s="72">
        <f>Tabela4[[#This Row],[Piaia]]</f>
        <v>0</v>
      </c>
      <c r="O80" s="72">
        <f>Tabela4[[#This Row],[Osmar Veronese]]</f>
        <v>0</v>
      </c>
      <c r="P80" s="72">
        <f>Tabela4[[#This Row],[ José Luiz Moraes]]</f>
        <v>0</v>
      </c>
      <c r="Q80" s="72">
        <f>Tabela4[[#This Row],[Supermercado Cripy]]</f>
        <v>0</v>
      </c>
      <c r="R80" s="72">
        <f>Tabela4[[#This Row],[Gláucio Lipski (Giruá)]]</f>
        <v>0</v>
      </c>
      <c r="S80" s="72">
        <f>Tabela4[[#This Row],[Contri]]</f>
        <v>0</v>
      </c>
      <c r="T80" s="72">
        <f>Tabela4[[#This Row],[Cleci Rubi]]</f>
        <v>0</v>
      </c>
      <c r="U80" s="72">
        <f>Tabela4[[#This Row],[Betine Rost]]</f>
        <v>0</v>
      </c>
      <c r="V80" s="72">
        <f>SUM(Tabela4[[#This Row],[Robinson Fetter - 01]:[Robinson Fetter - 03]])</f>
        <v>0</v>
      </c>
      <c r="W80" s="72">
        <f>Tabela4[[#This Row],[Fabio De Moura]]</f>
        <v>0</v>
      </c>
      <c r="X80" s="72">
        <f>Tabela4[[#This Row],[Rochele Santos Moraes]]</f>
        <v>0</v>
      </c>
      <c r="Y80" s="72">
        <f>Tabela4[[#This Row],[Auto Posto Kairã]]</f>
        <v>0</v>
      </c>
      <c r="Z80" s="72">
        <f>Tabela4[[#This Row],[Erno Schiefelbain]]</f>
        <v>0</v>
      </c>
      <c r="AA80" s="72">
        <f>Tabela4[[#This Row],[José Paulo Backes]]</f>
        <v>0</v>
      </c>
      <c r="AB80" s="72">
        <f>Tabela4[[#This Row],[Gelso Tofolo]]</f>
        <v>0</v>
      </c>
      <c r="AC80" s="72">
        <f>Tabela4[[#This Row],[Diamantino]]</f>
        <v>0</v>
      </c>
      <c r="AD80" s="72">
        <f>Tabela4[[#This Row],[Mercado Bueno]]</f>
        <v>0</v>
      </c>
      <c r="AE80" s="72">
        <f>Tabela4[[#This Row],[Daniela Donadel Massalai]]</f>
        <v>0</v>
      </c>
      <c r="AF80" s="72">
        <f>Tabela4[[#This Row],[Comercio De Moto Peças Irmãos Guarani Ltda]]</f>
        <v>0</v>
      </c>
      <c r="AG80" s="72">
        <f>Tabela4[[#This Row],[Mauricio Luis Lunardi]]</f>
        <v>0</v>
      </c>
      <c r="AH80" s="72">
        <f>Tabela4[[#This Row],[Rosa Maria Restle Radunz]]</f>
        <v>0</v>
      </c>
      <c r="AI80" s="72">
        <f>Tabela4[[#This Row],[Ivo Amaral De Oliveira]]</f>
        <v>0</v>
      </c>
      <c r="AJ80" s="72">
        <f>Tabela4[[#This Row],[Silvio Robert Lemos Avila]]</f>
        <v>0</v>
      </c>
      <c r="AK80" s="72">
        <f>Tabela4[[#This Row],[Eldo Rost]]</f>
        <v>0</v>
      </c>
      <c r="AL80" s="72">
        <f>SUM(Tabela4[[#This Row],[Padaria Avenida - 01]:[Padaria Avenida - 02]])</f>
        <v>0</v>
      </c>
      <c r="AM80" s="72">
        <f>Tabela4[[#This Row],[Cristiano Anshau]]</f>
        <v>0</v>
      </c>
      <c r="AN80" s="72">
        <f>Tabela4[[#This Row],[Luciana Claudete Meirelles Correa]]</f>
        <v>0</v>
      </c>
      <c r="AO80" s="72">
        <f>Tabela4[[#This Row],[Marcio Jose Siqueira]]</f>
        <v>0</v>
      </c>
      <c r="AP80" s="72">
        <f>Tabela4[[#This Row],[Marcos Rogerio Kessler]]</f>
        <v>0</v>
      </c>
      <c r="AQ80" s="72">
        <f>SUM(Tabela4[[#This Row],[AABB - 01]:[AABB - 02]])</f>
        <v>0</v>
      </c>
      <c r="AR80" s="72">
        <f>SUM(Tabela4[[#This Row],[Wanda Burkard - 01]:[Wanda Burkard - 02]])</f>
        <v>0</v>
      </c>
      <c r="AS80" s="72">
        <f>Tabela4[[#This Row],[Silvio Robert Lemos Avila Me]]</f>
        <v>0</v>
      </c>
      <c r="AT80" s="72">
        <f>Tabela4[[#This Row],[Carmelo]]</f>
        <v>0</v>
      </c>
      <c r="AU80" s="72">
        <f>Tabela4[[#This Row],[Antonio Dal Forno]]</f>
        <v>0</v>
      </c>
      <c r="AV80" s="72">
        <f>Tabela4[[#This Row],[Marisane Paulus]]</f>
        <v>0</v>
      </c>
      <c r="AW80" s="72">
        <f>Tabela4[[#This Row],[Segatto Ceretta Ltda]]</f>
        <v>0</v>
      </c>
      <c r="AX80" s="72">
        <f>SUM(Tabela4[[#This Row],[APAE - 01]:[APAE - 02]])</f>
        <v>0</v>
      </c>
      <c r="AY80" s="72">
        <f>Tabela4[[#This Row],[Cássio Burin]]</f>
        <v>0</v>
      </c>
      <c r="AZ80" s="72">
        <f>Tabela4[[#This Row],[Patrick Kristoschek Da Silva]]</f>
        <v>0</v>
      </c>
      <c r="BA80" s="72">
        <f>Tabela4[[#This Row],[Silvio Robert Ávila - (Valmir)]]</f>
        <v>0</v>
      </c>
      <c r="BB80" s="72">
        <f>Tabela4[[#This Row],[Zederson Jose Della Flora]]</f>
        <v>0</v>
      </c>
      <c r="BC80" s="72">
        <f>Tabela4[[#This Row],[Carlos Walmir Larsão Rolim]]</f>
        <v>0</v>
      </c>
      <c r="BD80" s="72">
        <f>Tabela4[[#This Row],[Danieli Missio]]</f>
        <v>0</v>
      </c>
      <c r="BE80" s="72">
        <f>Tabela4[[#This Row],[José Vasconcellos]]</f>
        <v>0</v>
      </c>
      <c r="BF80" s="72">
        <f>Tabela4[[#This Row],[Linho Lev Alimentos]]</f>
        <v>0</v>
      </c>
      <c r="BG80" s="72">
        <f>Tabela4[[#This Row],[Ernani Czapla]]</f>
        <v>0</v>
      </c>
      <c r="BH80" s="72">
        <f>Tabela4[[#This Row],[Valesca Da Luz]]</f>
        <v>0</v>
      </c>
      <c r="BI80" s="72">
        <f>Tabela4[[#This Row],[Olavo Mildner]]</f>
        <v>0</v>
      </c>
      <c r="BJ80" s="72">
        <f>Tabela4[[#This Row],[Dilnei Rohled]]</f>
        <v>0</v>
      </c>
      <c r="BK80" s="72">
        <f>Tabela4[[#This Row],[Shaiana Signorini]]</f>
        <v>0</v>
      </c>
      <c r="BL80" s="72">
        <f>Tabela4[[#This Row],[Fonse Atacado]]</f>
        <v>0</v>
      </c>
      <c r="BM80" s="72">
        <f>Tabela4[[#This Row],[Comercial de Alimentos]]</f>
        <v>0</v>
      </c>
      <c r="BN80" s="72">
        <f>Tabela4[[#This Row],[Ivone Kasburg Serralheria]]</f>
        <v>0</v>
      </c>
      <c r="BO80" s="72">
        <f>Tabela4[[#This Row],[Mercado Ceretta]]</f>
        <v>0</v>
      </c>
      <c r="BP80" s="72">
        <f>Tabela4[[#This Row],[Antonio Carlos Dos Santos Pereira]]</f>
        <v>0</v>
      </c>
      <c r="BQ80" s="72">
        <f>Tabela4[[#This Row],[Volnei Lemos Avila - Me]]</f>
        <v>0</v>
      </c>
      <c r="BR80" s="72">
        <f>Tabela4[[#This Row],[Silvana Meneghini]]</f>
        <v>0</v>
      </c>
      <c r="BS80" s="72">
        <f>Tabela4[[#This Row],[Eficaz Engenharia Ltda]]</f>
        <v>0</v>
      </c>
      <c r="BT80" s="72">
        <f>SUM(Tabela4[[#Headers],[Tania Regina Schmaltz - 01]:[Tania Regina Schmaltz - 02]])</f>
        <v>0</v>
      </c>
      <c r="BU80" s="72">
        <f>Tabela4[[#This Row],[Camila Ceretta Segatto]]</f>
        <v>0</v>
      </c>
      <c r="BV80" s="72">
        <f>Tabela4[[#This Row],[Vagner Ribas Dos Santos]]</f>
        <v>0</v>
      </c>
      <c r="BW80" s="72">
        <f>Tabela4[[#This Row],[Claudio Alfredo Konrat]]</f>
        <v>0</v>
      </c>
    </row>
    <row r="81" spans="1:75" x14ac:dyDescent="0.25">
      <c r="A81" s="70">
        <v>45505</v>
      </c>
      <c r="B81" s="72">
        <f>SUM(Tabela4[[#This Row],[Marlon Colovini - 01]:[Marlon Colovini - 02]])</f>
        <v>0</v>
      </c>
      <c r="C81" s="72">
        <f>Tabela4[[#This Row],[Mara Barichello]]</f>
        <v>0</v>
      </c>
      <c r="D81" s="72">
        <f>Tabela4[[#This Row],[Jandira Dutra]]</f>
        <v>0</v>
      </c>
      <c r="E81" s="72">
        <f>Tabela4[[#This Row],[Luiz Fernando Kruger]]</f>
        <v>0</v>
      </c>
      <c r="F81" s="72">
        <f>SUM(Tabela4[[#This Row],[Paulo Bohn - 01]:[Paulo Bohn - 04]])</f>
        <v>0</v>
      </c>
      <c r="G81" s="72">
        <f>Tabela4[[#This Row],[Analia (Clodoaldo Entre-Ijuis)]]</f>
        <v>0</v>
      </c>
      <c r="H81" s="72">
        <f>Tabela4[[#This Row],[Biroh]]</f>
        <v>0</v>
      </c>
      <c r="I81" s="72">
        <f>Tabela4[[#This Row],[Gelson Posser]]</f>
        <v>0</v>
      </c>
      <c r="J81" s="72">
        <f>Tabela4[[#This Row],[Supermercado Caryone]]</f>
        <v>0</v>
      </c>
      <c r="K81" s="72">
        <f>Tabela4[[#This Row],[Ernani Minetto]]</f>
        <v>0</v>
      </c>
      <c r="L81" s="72">
        <f>Tabela4[[#This Row],[Jair Moscon]]</f>
        <v>0</v>
      </c>
      <c r="M81" s="72">
        <f>SUM(Tabela4[[#This Row],[Fabio Milke - 01]:[Fabio Milke - 02]])</f>
        <v>0</v>
      </c>
      <c r="N81" s="72">
        <f>Tabela4[[#This Row],[Piaia]]</f>
        <v>0</v>
      </c>
      <c r="O81" s="72">
        <f>Tabela4[[#This Row],[Osmar Veronese]]</f>
        <v>0</v>
      </c>
      <c r="P81" s="72">
        <f>Tabela4[[#This Row],[ José Luiz Moraes]]</f>
        <v>0</v>
      </c>
      <c r="Q81" s="72">
        <f>Tabela4[[#This Row],[Supermercado Cripy]]</f>
        <v>0</v>
      </c>
      <c r="R81" s="72">
        <f>Tabela4[[#This Row],[Gláucio Lipski (Giruá)]]</f>
        <v>0</v>
      </c>
      <c r="S81" s="72">
        <f>Tabela4[[#This Row],[Contri]]</f>
        <v>0</v>
      </c>
      <c r="T81" s="72">
        <f>Tabela4[[#This Row],[Cleci Rubi]]</f>
        <v>0</v>
      </c>
      <c r="U81" s="72">
        <f>Tabela4[[#This Row],[Betine Rost]]</f>
        <v>0</v>
      </c>
      <c r="V81" s="72">
        <f>SUM(Tabela4[[#This Row],[Robinson Fetter - 01]:[Robinson Fetter - 03]])</f>
        <v>0</v>
      </c>
      <c r="W81" s="72">
        <f>Tabela4[[#This Row],[Fabio De Moura]]</f>
        <v>0</v>
      </c>
      <c r="X81" s="72">
        <f>Tabela4[[#This Row],[Rochele Santos Moraes]]</f>
        <v>0</v>
      </c>
      <c r="Y81" s="72">
        <f>Tabela4[[#This Row],[Auto Posto Kairã]]</f>
        <v>0</v>
      </c>
      <c r="Z81" s="72">
        <f>Tabela4[[#This Row],[Erno Schiefelbain]]</f>
        <v>0</v>
      </c>
      <c r="AA81" s="72">
        <f>Tabela4[[#This Row],[José Paulo Backes]]</f>
        <v>0</v>
      </c>
      <c r="AB81" s="72">
        <f>Tabela4[[#This Row],[Gelso Tofolo]]</f>
        <v>0</v>
      </c>
      <c r="AC81" s="72">
        <f>Tabela4[[#This Row],[Diamantino]]</f>
        <v>0</v>
      </c>
      <c r="AD81" s="72">
        <f>Tabela4[[#This Row],[Mercado Bueno]]</f>
        <v>0</v>
      </c>
      <c r="AE81" s="72">
        <f>Tabela4[[#This Row],[Daniela Donadel Massalai]]</f>
        <v>0</v>
      </c>
      <c r="AF81" s="72">
        <f>Tabela4[[#This Row],[Comercio De Moto Peças Irmãos Guarani Ltda]]</f>
        <v>0</v>
      </c>
      <c r="AG81" s="72">
        <f>Tabela4[[#This Row],[Mauricio Luis Lunardi]]</f>
        <v>0</v>
      </c>
      <c r="AH81" s="72">
        <f>Tabela4[[#This Row],[Rosa Maria Restle Radunz]]</f>
        <v>0</v>
      </c>
      <c r="AI81" s="72">
        <f>Tabela4[[#This Row],[Ivo Amaral De Oliveira]]</f>
        <v>0</v>
      </c>
      <c r="AJ81" s="72">
        <f>Tabela4[[#This Row],[Silvio Robert Lemos Avila]]</f>
        <v>0</v>
      </c>
      <c r="AK81" s="72">
        <f>Tabela4[[#This Row],[Eldo Rost]]</f>
        <v>0</v>
      </c>
      <c r="AL81" s="72">
        <f>SUM(Tabela4[[#This Row],[Padaria Avenida - 01]:[Padaria Avenida - 02]])</f>
        <v>0</v>
      </c>
      <c r="AM81" s="72">
        <f>Tabela4[[#This Row],[Cristiano Anshau]]</f>
        <v>0</v>
      </c>
      <c r="AN81" s="72">
        <f>Tabela4[[#This Row],[Luciana Claudete Meirelles Correa]]</f>
        <v>0</v>
      </c>
      <c r="AO81" s="72">
        <f>Tabela4[[#This Row],[Marcio Jose Siqueira]]</f>
        <v>0</v>
      </c>
      <c r="AP81" s="72">
        <f>Tabela4[[#This Row],[Marcos Rogerio Kessler]]</f>
        <v>0</v>
      </c>
      <c r="AQ81" s="72">
        <f>SUM(Tabela4[[#This Row],[AABB - 01]:[AABB - 02]])</f>
        <v>0</v>
      </c>
      <c r="AR81" s="72">
        <f>SUM(Tabela4[[#This Row],[Wanda Burkard - 01]:[Wanda Burkard - 02]])</f>
        <v>0</v>
      </c>
      <c r="AS81" s="72">
        <f>Tabela4[[#This Row],[Silvio Robert Lemos Avila Me]]</f>
        <v>0</v>
      </c>
      <c r="AT81" s="72">
        <f>Tabela4[[#This Row],[Carmelo]]</f>
        <v>0</v>
      </c>
      <c r="AU81" s="72">
        <f>Tabela4[[#This Row],[Antonio Dal Forno]]</f>
        <v>0</v>
      </c>
      <c r="AV81" s="72">
        <f>Tabela4[[#This Row],[Marisane Paulus]]</f>
        <v>0</v>
      </c>
      <c r="AW81" s="72">
        <f>Tabela4[[#This Row],[Segatto Ceretta Ltda]]</f>
        <v>0</v>
      </c>
      <c r="AX81" s="72">
        <f>SUM(Tabela4[[#This Row],[APAE - 01]:[APAE - 02]])</f>
        <v>0</v>
      </c>
      <c r="AY81" s="72">
        <f>Tabela4[[#This Row],[Cássio Burin]]</f>
        <v>0</v>
      </c>
      <c r="AZ81" s="72">
        <f>Tabela4[[#This Row],[Patrick Kristoschek Da Silva]]</f>
        <v>0</v>
      </c>
      <c r="BA81" s="72">
        <f>Tabela4[[#This Row],[Silvio Robert Ávila - (Valmir)]]</f>
        <v>0</v>
      </c>
      <c r="BB81" s="72">
        <f>Tabela4[[#This Row],[Zederson Jose Della Flora]]</f>
        <v>0</v>
      </c>
      <c r="BC81" s="72">
        <f>Tabela4[[#This Row],[Carlos Walmir Larsão Rolim]]</f>
        <v>0</v>
      </c>
      <c r="BD81" s="72">
        <f>Tabela4[[#This Row],[Danieli Missio]]</f>
        <v>0</v>
      </c>
      <c r="BE81" s="72">
        <f>Tabela4[[#This Row],[José Vasconcellos]]</f>
        <v>0</v>
      </c>
      <c r="BF81" s="72">
        <f>Tabela4[[#This Row],[Linho Lev Alimentos]]</f>
        <v>0</v>
      </c>
      <c r="BG81" s="72">
        <f>Tabela4[[#This Row],[Ernani Czapla]]</f>
        <v>0</v>
      </c>
      <c r="BH81" s="72">
        <f>Tabela4[[#This Row],[Valesca Da Luz]]</f>
        <v>0</v>
      </c>
      <c r="BI81" s="72">
        <f>Tabela4[[#This Row],[Olavo Mildner]]</f>
        <v>0</v>
      </c>
      <c r="BJ81" s="72">
        <f>Tabela4[[#This Row],[Dilnei Rohled]]</f>
        <v>0</v>
      </c>
      <c r="BK81" s="72">
        <f>Tabela4[[#This Row],[Shaiana Signorini]]</f>
        <v>0</v>
      </c>
      <c r="BL81" s="72">
        <f>Tabela4[[#This Row],[Fonse Atacado]]</f>
        <v>0</v>
      </c>
      <c r="BM81" s="72">
        <f>Tabela4[[#This Row],[Comercial de Alimentos]]</f>
        <v>0</v>
      </c>
      <c r="BN81" s="72">
        <f>Tabela4[[#This Row],[Ivone Kasburg Serralheria]]</f>
        <v>0</v>
      </c>
      <c r="BO81" s="72">
        <f>Tabela4[[#This Row],[Mercado Ceretta]]</f>
        <v>0</v>
      </c>
      <c r="BP81" s="72">
        <f>Tabela4[[#This Row],[Antonio Carlos Dos Santos Pereira]]</f>
        <v>0</v>
      </c>
      <c r="BQ81" s="72">
        <f>Tabela4[[#This Row],[Volnei Lemos Avila - Me]]</f>
        <v>0</v>
      </c>
      <c r="BR81" s="72">
        <f>Tabela4[[#This Row],[Silvana Meneghini]]</f>
        <v>0</v>
      </c>
      <c r="BS81" s="72">
        <f>Tabela4[[#This Row],[Eficaz Engenharia Ltda]]</f>
        <v>0</v>
      </c>
      <c r="BT81" s="72">
        <f>SUM(Tabela4[[#Headers],[Tania Regina Schmaltz - 01]:[Tania Regina Schmaltz - 02]])</f>
        <v>0</v>
      </c>
      <c r="BU81" s="72">
        <f>Tabela4[[#This Row],[Camila Ceretta Segatto]]</f>
        <v>0</v>
      </c>
      <c r="BV81" s="72">
        <f>Tabela4[[#This Row],[Vagner Ribas Dos Santos]]</f>
        <v>0</v>
      </c>
      <c r="BW81" s="72">
        <f>Tabela4[[#This Row],[Claudio Alfredo Konrat]]</f>
        <v>0</v>
      </c>
    </row>
    <row r="82" spans="1:75" x14ac:dyDescent="0.25">
      <c r="A82" s="70">
        <v>45536</v>
      </c>
      <c r="B82" s="72">
        <f>SUM(Tabela4[[#This Row],[Marlon Colovini - 01]:[Marlon Colovini - 02]])</f>
        <v>0</v>
      </c>
      <c r="C82" s="72">
        <f>Tabela4[[#This Row],[Mara Barichello]]</f>
        <v>0</v>
      </c>
      <c r="D82" s="72">
        <f>Tabela4[[#This Row],[Jandira Dutra]]</f>
        <v>0</v>
      </c>
      <c r="E82" s="72">
        <f>Tabela4[[#This Row],[Luiz Fernando Kruger]]</f>
        <v>0</v>
      </c>
      <c r="F82" s="72">
        <f>SUM(Tabela4[[#This Row],[Paulo Bohn - 01]:[Paulo Bohn - 04]])</f>
        <v>0</v>
      </c>
      <c r="G82" s="72">
        <f>Tabela4[[#This Row],[Analia (Clodoaldo Entre-Ijuis)]]</f>
        <v>0</v>
      </c>
      <c r="H82" s="72">
        <f>Tabela4[[#This Row],[Biroh]]</f>
        <v>0</v>
      </c>
      <c r="I82" s="72">
        <f>Tabela4[[#This Row],[Gelson Posser]]</f>
        <v>0</v>
      </c>
      <c r="J82" s="72">
        <f>Tabela4[[#This Row],[Supermercado Caryone]]</f>
        <v>0</v>
      </c>
      <c r="K82" s="72">
        <f>Tabela4[[#This Row],[Ernani Minetto]]</f>
        <v>0</v>
      </c>
      <c r="L82" s="72">
        <f>Tabela4[[#This Row],[Jair Moscon]]</f>
        <v>0</v>
      </c>
      <c r="M82" s="72">
        <f>SUM(Tabela4[[#This Row],[Fabio Milke - 01]:[Fabio Milke - 02]])</f>
        <v>0</v>
      </c>
      <c r="N82" s="72">
        <f>Tabela4[[#This Row],[Piaia]]</f>
        <v>0</v>
      </c>
      <c r="O82" s="72">
        <f>Tabela4[[#This Row],[Osmar Veronese]]</f>
        <v>0</v>
      </c>
      <c r="P82" s="72">
        <f>Tabela4[[#This Row],[ José Luiz Moraes]]</f>
        <v>0</v>
      </c>
      <c r="Q82" s="72">
        <f>Tabela4[[#This Row],[Supermercado Cripy]]</f>
        <v>0</v>
      </c>
      <c r="R82" s="72">
        <f>Tabela4[[#This Row],[Gláucio Lipski (Giruá)]]</f>
        <v>0</v>
      </c>
      <c r="S82" s="72">
        <f>Tabela4[[#This Row],[Contri]]</f>
        <v>0</v>
      </c>
      <c r="T82" s="72">
        <f>Tabela4[[#This Row],[Cleci Rubi]]</f>
        <v>0</v>
      </c>
      <c r="U82" s="72">
        <f>Tabela4[[#This Row],[Betine Rost]]</f>
        <v>0</v>
      </c>
      <c r="V82" s="72">
        <f>SUM(Tabela4[[#This Row],[Robinson Fetter - 01]:[Robinson Fetter - 03]])</f>
        <v>0</v>
      </c>
      <c r="W82" s="72">
        <f>Tabela4[[#This Row],[Fabio De Moura]]</f>
        <v>0</v>
      </c>
      <c r="X82" s="72">
        <f>Tabela4[[#This Row],[Rochele Santos Moraes]]</f>
        <v>0</v>
      </c>
      <c r="Y82" s="72">
        <f>Tabela4[[#This Row],[Auto Posto Kairã]]</f>
        <v>0</v>
      </c>
      <c r="Z82" s="72">
        <f>Tabela4[[#This Row],[Erno Schiefelbain]]</f>
        <v>0</v>
      </c>
      <c r="AA82" s="72">
        <f>Tabela4[[#This Row],[José Paulo Backes]]</f>
        <v>0</v>
      </c>
      <c r="AB82" s="72">
        <f>Tabela4[[#This Row],[Gelso Tofolo]]</f>
        <v>0</v>
      </c>
      <c r="AC82" s="72">
        <f>Tabela4[[#This Row],[Diamantino]]</f>
        <v>0</v>
      </c>
      <c r="AD82" s="72">
        <f>Tabela4[[#This Row],[Mercado Bueno]]</f>
        <v>0</v>
      </c>
      <c r="AE82" s="72">
        <f>Tabela4[[#This Row],[Daniela Donadel Massalai]]</f>
        <v>0</v>
      </c>
      <c r="AF82" s="72">
        <f>Tabela4[[#This Row],[Comercio De Moto Peças Irmãos Guarani Ltda]]</f>
        <v>0</v>
      </c>
      <c r="AG82" s="72">
        <f>Tabela4[[#This Row],[Mauricio Luis Lunardi]]</f>
        <v>0</v>
      </c>
      <c r="AH82" s="72">
        <f>Tabela4[[#This Row],[Rosa Maria Restle Radunz]]</f>
        <v>0</v>
      </c>
      <c r="AI82" s="72">
        <f>Tabela4[[#This Row],[Ivo Amaral De Oliveira]]</f>
        <v>0</v>
      </c>
      <c r="AJ82" s="72">
        <f>Tabela4[[#This Row],[Silvio Robert Lemos Avila]]</f>
        <v>0</v>
      </c>
      <c r="AK82" s="72">
        <f>Tabela4[[#This Row],[Eldo Rost]]</f>
        <v>0</v>
      </c>
      <c r="AL82" s="72">
        <f>SUM(Tabela4[[#This Row],[Padaria Avenida - 01]:[Padaria Avenida - 02]])</f>
        <v>0</v>
      </c>
      <c r="AM82" s="72">
        <f>Tabela4[[#This Row],[Cristiano Anshau]]</f>
        <v>0</v>
      </c>
      <c r="AN82" s="72">
        <f>Tabela4[[#This Row],[Luciana Claudete Meirelles Correa]]</f>
        <v>0</v>
      </c>
      <c r="AO82" s="72">
        <f>Tabela4[[#This Row],[Marcio Jose Siqueira]]</f>
        <v>0</v>
      </c>
      <c r="AP82" s="72">
        <f>Tabela4[[#This Row],[Marcos Rogerio Kessler]]</f>
        <v>0</v>
      </c>
      <c r="AQ82" s="72">
        <f>SUM(Tabela4[[#This Row],[AABB - 01]:[AABB - 02]])</f>
        <v>0</v>
      </c>
      <c r="AR82" s="72">
        <f>SUM(Tabela4[[#This Row],[Wanda Burkard - 01]:[Wanda Burkard - 02]])</f>
        <v>0</v>
      </c>
      <c r="AS82" s="72">
        <f>Tabela4[[#This Row],[Silvio Robert Lemos Avila Me]]</f>
        <v>0</v>
      </c>
      <c r="AT82" s="72">
        <f>Tabela4[[#This Row],[Carmelo]]</f>
        <v>0</v>
      </c>
      <c r="AU82" s="72">
        <f>Tabela4[[#This Row],[Antonio Dal Forno]]</f>
        <v>0</v>
      </c>
      <c r="AV82" s="72">
        <f>Tabela4[[#This Row],[Marisane Paulus]]</f>
        <v>0</v>
      </c>
      <c r="AW82" s="72">
        <f>Tabela4[[#This Row],[Segatto Ceretta Ltda]]</f>
        <v>0</v>
      </c>
      <c r="AX82" s="72">
        <f>SUM(Tabela4[[#This Row],[APAE - 01]:[APAE - 02]])</f>
        <v>0</v>
      </c>
      <c r="AY82" s="72">
        <f>Tabela4[[#This Row],[Cássio Burin]]</f>
        <v>0</v>
      </c>
      <c r="AZ82" s="72">
        <f>Tabela4[[#This Row],[Patrick Kristoschek Da Silva]]</f>
        <v>0</v>
      </c>
      <c r="BA82" s="72">
        <f>Tabela4[[#This Row],[Silvio Robert Ávila - (Valmir)]]</f>
        <v>0</v>
      </c>
      <c r="BB82" s="72">
        <f>Tabela4[[#This Row],[Zederson Jose Della Flora]]</f>
        <v>0</v>
      </c>
      <c r="BC82" s="72">
        <f>Tabela4[[#This Row],[Carlos Walmir Larsão Rolim]]</f>
        <v>0</v>
      </c>
      <c r="BD82" s="72">
        <f>Tabela4[[#This Row],[Danieli Missio]]</f>
        <v>0</v>
      </c>
      <c r="BE82" s="72">
        <f>Tabela4[[#This Row],[José Vasconcellos]]</f>
        <v>0</v>
      </c>
      <c r="BF82" s="72">
        <f>Tabela4[[#This Row],[Linho Lev Alimentos]]</f>
        <v>0</v>
      </c>
      <c r="BG82" s="72">
        <f>Tabela4[[#This Row],[Ernani Czapla]]</f>
        <v>0</v>
      </c>
      <c r="BH82" s="72">
        <f>Tabela4[[#This Row],[Valesca Da Luz]]</f>
        <v>0</v>
      </c>
      <c r="BI82" s="72">
        <f>Tabela4[[#This Row],[Olavo Mildner]]</f>
        <v>0</v>
      </c>
      <c r="BJ82" s="72">
        <f>Tabela4[[#This Row],[Dilnei Rohled]]</f>
        <v>0</v>
      </c>
      <c r="BK82" s="72">
        <f>Tabela4[[#This Row],[Shaiana Signorini]]</f>
        <v>0</v>
      </c>
      <c r="BL82" s="72">
        <f>Tabela4[[#This Row],[Fonse Atacado]]</f>
        <v>0</v>
      </c>
      <c r="BM82" s="72">
        <f>Tabela4[[#This Row],[Comercial de Alimentos]]</f>
        <v>0</v>
      </c>
      <c r="BN82" s="72">
        <f>Tabela4[[#This Row],[Ivone Kasburg Serralheria]]</f>
        <v>0</v>
      </c>
      <c r="BO82" s="72">
        <f>Tabela4[[#This Row],[Mercado Ceretta]]</f>
        <v>0</v>
      </c>
      <c r="BP82" s="72">
        <f>Tabela4[[#This Row],[Antonio Carlos Dos Santos Pereira]]</f>
        <v>0</v>
      </c>
      <c r="BQ82" s="72">
        <f>Tabela4[[#This Row],[Volnei Lemos Avila - Me]]</f>
        <v>0</v>
      </c>
      <c r="BR82" s="72">
        <f>Tabela4[[#This Row],[Silvana Meneghini]]</f>
        <v>0</v>
      </c>
      <c r="BS82" s="72">
        <f>Tabela4[[#This Row],[Eficaz Engenharia Ltda]]</f>
        <v>0</v>
      </c>
      <c r="BT82" s="72">
        <f>SUM(Tabela4[[#Headers],[Tania Regina Schmaltz - 01]:[Tania Regina Schmaltz - 02]])</f>
        <v>0</v>
      </c>
      <c r="BU82" s="72">
        <f>Tabela4[[#This Row],[Camila Ceretta Segatto]]</f>
        <v>0</v>
      </c>
      <c r="BV82" s="72">
        <f>Tabela4[[#This Row],[Vagner Ribas Dos Santos]]</f>
        <v>0</v>
      </c>
      <c r="BW82" s="72">
        <f>Tabela4[[#This Row],[Claudio Alfredo Konrat]]</f>
        <v>0</v>
      </c>
    </row>
    <row r="83" spans="1:75" x14ac:dyDescent="0.25">
      <c r="A83" s="70">
        <v>45566</v>
      </c>
      <c r="B83" s="72">
        <f>SUM(Tabela4[[#This Row],[Marlon Colovini - 01]:[Marlon Colovini - 02]])</f>
        <v>0</v>
      </c>
      <c r="C83" s="72">
        <f>Tabela4[[#This Row],[Mara Barichello]]</f>
        <v>0</v>
      </c>
      <c r="D83" s="72">
        <f>Tabela4[[#This Row],[Jandira Dutra]]</f>
        <v>0</v>
      </c>
      <c r="E83" s="72">
        <f>Tabela4[[#This Row],[Luiz Fernando Kruger]]</f>
        <v>0</v>
      </c>
      <c r="F83" s="72">
        <f>SUM(Tabela4[[#This Row],[Paulo Bohn - 01]:[Paulo Bohn - 04]])</f>
        <v>0</v>
      </c>
      <c r="G83" s="72">
        <f>Tabela4[[#This Row],[Analia (Clodoaldo Entre-Ijuis)]]</f>
        <v>0</v>
      </c>
      <c r="H83" s="72">
        <f>Tabela4[[#This Row],[Biroh]]</f>
        <v>0</v>
      </c>
      <c r="I83" s="72">
        <f>Tabela4[[#This Row],[Gelson Posser]]</f>
        <v>0</v>
      </c>
      <c r="J83" s="72">
        <f>Tabela4[[#This Row],[Supermercado Caryone]]</f>
        <v>0</v>
      </c>
      <c r="K83" s="72">
        <f>Tabela4[[#This Row],[Ernani Minetto]]</f>
        <v>0</v>
      </c>
      <c r="L83" s="72">
        <f>Tabela4[[#This Row],[Jair Moscon]]</f>
        <v>0</v>
      </c>
      <c r="M83" s="72">
        <f>SUM(Tabela4[[#This Row],[Fabio Milke - 01]:[Fabio Milke - 02]])</f>
        <v>0</v>
      </c>
      <c r="N83" s="72">
        <f>Tabela4[[#This Row],[Piaia]]</f>
        <v>0</v>
      </c>
      <c r="O83" s="72">
        <f>Tabela4[[#This Row],[Osmar Veronese]]</f>
        <v>0</v>
      </c>
      <c r="P83" s="72">
        <f>Tabela4[[#This Row],[ José Luiz Moraes]]</f>
        <v>0</v>
      </c>
      <c r="Q83" s="72">
        <f>Tabela4[[#This Row],[Supermercado Cripy]]</f>
        <v>0</v>
      </c>
      <c r="R83" s="72">
        <f>Tabela4[[#This Row],[Gláucio Lipski (Giruá)]]</f>
        <v>0</v>
      </c>
      <c r="S83" s="72">
        <f>Tabela4[[#This Row],[Contri]]</f>
        <v>0</v>
      </c>
      <c r="T83" s="72">
        <f>Tabela4[[#This Row],[Cleci Rubi]]</f>
        <v>0</v>
      </c>
      <c r="U83" s="72">
        <f>Tabela4[[#This Row],[Betine Rost]]</f>
        <v>0</v>
      </c>
      <c r="V83" s="72">
        <f>SUM(Tabela4[[#This Row],[Robinson Fetter - 01]:[Robinson Fetter - 03]])</f>
        <v>0</v>
      </c>
      <c r="W83" s="72">
        <f>Tabela4[[#This Row],[Fabio De Moura]]</f>
        <v>0</v>
      </c>
      <c r="X83" s="72">
        <f>Tabela4[[#This Row],[Rochele Santos Moraes]]</f>
        <v>0</v>
      </c>
      <c r="Y83" s="72">
        <f>Tabela4[[#This Row],[Auto Posto Kairã]]</f>
        <v>0</v>
      </c>
      <c r="Z83" s="72">
        <f>Tabela4[[#This Row],[Erno Schiefelbain]]</f>
        <v>0</v>
      </c>
      <c r="AA83" s="72">
        <f>Tabela4[[#This Row],[José Paulo Backes]]</f>
        <v>0</v>
      </c>
      <c r="AB83" s="72">
        <f>Tabela4[[#This Row],[Gelso Tofolo]]</f>
        <v>0</v>
      </c>
      <c r="AC83" s="72">
        <f>Tabela4[[#This Row],[Diamantino]]</f>
        <v>0</v>
      </c>
      <c r="AD83" s="72">
        <f>Tabela4[[#This Row],[Mercado Bueno]]</f>
        <v>0</v>
      </c>
      <c r="AE83" s="72">
        <f>Tabela4[[#This Row],[Daniela Donadel Massalai]]</f>
        <v>0</v>
      </c>
      <c r="AF83" s="72">
        <f>Tabela4[[#This Row],[Comercio De Moto Peças Irmãos Guarani Ltda]]</f>
        <v>0</v>
      </c>
      <c r="AG83" s="72">
        <f>Tabela4[[#This Row],[Mauricio Luis Lunardi]]</f>
        <v>0</v>
      </c>
      <c r="AH83" s="72">
        <f>Tabela4[[#This Row],[Rosa Maria Restle Radunz]]</f>
        <v>0</v>
      </c>
      <c r="AI83" s="72">
        <f>Tabela4[[#This Row],[Ivo Amaral De Oliveira]]</f>
        <v>0</v>
      </c>
      <c r="AJ83" s="72">
        <f>Tabela4[[#This Row],[Silvio Robert Lemos Avila]]</f>
        <v>0</v>
      </c>
      <c r="AK83" s="72">
        <f>Tabela4[[#This Row],[Eldo Rost]]</f>
        <v>0</v>
      </c>
      <c r="AL83" s="72">
        <f>SUM(Tabela4[[#This Row],[Padaria Avenida - 01]:[Padaria Avenida - 02]])</f>
        <v>0</v>
      </c>
      <c r="AM83" s="72">
        <f>Tabela4[[#This Row],[Cristiano Anshau]]</f>
        <v>0</v>
      </c>
      <c r="AN83" s="72">
        <f>Tabela4[[#This Row],[Luciana Claudete Meirelles Correa]]</f>
        <v>0</v>
      </c>
      <c r="AO83" s="72">
        <f>Tabela4[[#This Row],[Marcio Jose Siqueira]]</f>
        <v>0</v>
      </c>
      <c r="AP83" s="72">
        <f>Tabela4[[#This Row],[Marcos Rogerio Kessler]]</f>
        <v>0</v>
      </c>
      <c r="AQ83" s="72">
        <f>SUM(Tabela4[[#This Row],[AABB - 01]:[AABB - 02]])</f>
        <v>0</v>
      </c>
      <c r="AR83" s="72">
        <f>SUM(Tabela4[[#This Row],[Wanda Burkard - 01]:[Wanda Burkard - 02]])</f>
        <v>0</v>
      </c>
      <c r="AS83" s="72">
        <f>Tabela4[[#This Row],[Silvio Robert Lemos Avila Me]]</f>
        <v>0</v>
      </c>
      <c r="AT83" s="72">
        <f>Tabela4[[#This Row],[Carmelo]]</f>
        <v>0</v>
      </c>
      <c r="AU83" s="72">
        <f>Tabela4[[#This Row],[Antonio Dal Forno]]</f>
        <v>0</v>
      </c>
      <c r="AV83" s="72">
        <f>Tabela4[[#This Row],[Marisane Paulus]]</f>
        <v>0</v>
      </c>
      <c r="AW83" s="72">
        <f>Tabela4[[#This Row],[Segatto Ceretta Ltda]]</f>
        <v>0</v>
      </c>
      <c r="AX83" s="72">
        <f>SUM(Tabela4[[#This Row],[APAE - 01]:[APAE - 02]])</f>
        <v>0</v>
      </c>
      <c r="AY83" s="72">
        <f>Tabela4[[#This Row],[Cássio Burin]]</f>
        <v>0</v>
      </c>
      <c r="AZ83" s="72">
        <f>Tabela4[[#This Row],[Patrick Kristoschek Da Silva]]</f>
        <v>0</v>
      </c>
      <c r="BA83" s="72">
        <f>Tabela4[[#This Row],[Silvio Robert Ávila - (Valmir)]]</f>
        <v>0</v>
      </c>
      <c r="BB83" s="72">
        <f>Tabela4[[#This Row],[Zederson Jose Della Flora]]</f>
        <v>0</v>
      </c>
      <c r="BC83" s="72">
        <f>Tabela4[[#This Row],[Carlos Walmir Larsão Rolim]]</f>
        <v>0</v>
      </c>
      <c r="BD83" s="72">
        <f>Tabela4[[#This Row],[Danieli Missio]]</f>
        <v>0</v>
      </c>
      <c r="BE83" s="72">
        <f>Tabela4[[#This Row],[José Vasconcellos]]</f>
        <v>0</v>
      </c>
      <c r="BF83" s="72">
        <f>Tabela4[[#This Row],[Linho Lev Alimentos]]</f>
        <v>0</v>
      </c>
      <c r="BG83" s="72">
        <f>Tabela4[[#This Row],[Ernani Czapla]]</f>
        <v>0</v>
      </c>
      <c r="BH83" s="72">
        <f>Tabela4[[#This Row],[Valesca Da Luz]]</f>
        <v>0</v>
      </c>
      <c r="BI83" s="72">
        <f>Tabela4[[#This Row],[Olavo Mildner]]</f>
        <v>0</v>
      </c>
      <c r="BJ83" s="72">
        <f>Tabela4[[#This Row],[Dilnei Rohled]]</f>
        <v>0</v>
      </c>
      <c r="BK83" s="72">
        <f>Tabela4[[#This Row],[Shaiana Signorini]]</f>
        <v>0</v>
      </c>
      <c r="BL83" s="72">
        <f>Tabela4[[#This Row],[Fonse Atacado]]</f>
        <v>0</v>
      </c>
      <c r="BM83" s="72">
        <f>Tabela4[[#This Row],[Comercial de Alimentos]]</f>
        <v>0</v>
      </c>
      <c r="BN83" s="72">
        <f>Tabela4[[#This Row],[Ivone Kasburg Serralheria]]</f>
        <v>0</v>
      </c>
      <c r="BO83" s="72">
        <f>Tabela4[[#This Row],[Mercado Ceretta]]</f>
        <v>0</v>
      </c>
      <c r="BP83" s="72">
        <f>Tabela4[[#This Row],[Antonio Carlos Dos Santos Pereira]]</f>
        <v>0</v>
      </c>
      <c r="BQ83" s="72">
        <f>Tabela4[[#This Row],[Volnei Lemos Avila - Me]]</f>
        <v>0</v>
      </c>
      <c r="BR83" s="72">
        <f>Tabela4[[#This Row],[Silvana Meneghini]]</f>
        <v>0</v>
      </c>
      <c r="BS83" s="72">
        <f>Tabela4[[#This Row],[Eficaz Engenharia Ltda]]</f>
        <v>0</v>
      </c>
      <c r="BT83" s="72">
        <f>SUM(Tabela4[[#Headers],[Tania Regina Schmaltz - 01]:[Tania Regina Schmaltz - 02]])</f>
        <v>0</v>
      </c>
      <c r="BU83" s="72">
        <f>Tabela4[[#This Row],[Camila Ceretta Segatto]]</f>
        <v>0</v>
      </c>
      <c r="BV83" s="72">
        <f>Tabela4[[#This Row],[Vagner Ribas Dos Santos]]</f>
        <v>0</v>
      </c>
      <c r="BW83" s="72">
        <f>Tabela4[[#This Row],[Claudio Alfredo Konrat]]</f>
        <v>0</v>
      </c>
    </row>
    <row r="84" spans="1:75" x14ac:dyDescent="0.25">
      <c r="A84" s="70">
        <v>45597</v>
      </c>
      <c r="B84" s="72">
        <f>SUM(Tabela4[[#This Row],[Marlon Colovini - 01]:[Marlon Colovini - 02]])</f>
        <v>0</v>
      </c>
      <c r="C84" s="72">
        <f>Tabela4[[#This Row],[Mara Barichello]]</f>
        <v>0</v>
      </c>
      <c r="D84" s="72">
        <f>Tabela4[[#This Row],[Jandira Dutra]]</f>
        <v>0</v>
      </c>
      <c r="E84" s="72">
        <f>Tabela4[[#This Row],[Luiz Fernando Kruger]]</f>
        <v>0</v>
      </c>
      <c r="F84" s="72">
        <f>SUM(Tabela4[[#This Row],[Paulo Bohn - 01]:[Paulo Bohn - 04]])</f>
        <v>0</v>
      </c>
      <c r="G84" s="72">
        <f>Tabela4[[#This Row],[Analia (Clodoaldo Entre-Ijuis)]]</f>
        <v>0</v>
      </c>
      <c r="H84" s="72">
        <f>Tabela4[[#This Row],[Biroh]]</f>
        <v>0</v>
      </c>
      <c r="I84" s="72">
        <f>Tabela4[[#This Row],[Gelson Posser]]</f>
        <v>0</v>
      </c>
      <c r="J84" s="72">
        <f>Tabela4[[#This Row],[Supermercado Caryone]]</f>
        <v>0</v>
      </c>
      <c r="K84" s="72">
        <f>Tabela4[[#This Row],[Ernani Minetto]]</f>
        <v>0</v>
      </c>
      <c r="L84" s="72">
        <f>Tabela4[[#This Row],[Jair Moscon]]</f>
        <v>0</v>
      </c>
      <c r="M84" s="72">
        <f>SUM(Tabela4[[#This Row],[Fabio Milke - 01]:[Fabio Milke - 02]])</f>
        <v>0</v>
      </c>
      <c r="N84" s="72">
        <f>Tabela4[[#This Row],[Piaia]]</f>
        <v>0</v>
      </c>
      <c r="O84" s="72">
        <f>Tabela4[[#This Row],[Osmar Veronese]]</f>
        <v>0</v>
      </c>
      <c r="P84" s="72">
        <f>Tabela4[[#This Row],[ José Luiz Moraes]]</f>
        <v>0</v>
      </c>
      <c r="Q84" s="72">
        <f>Tabela4[[#This Row],[Supermercado Cripy]]</f>
        <v>0</v>
      </c>
      <c r="R84" s="72">
        <f>Tabela4[[#This Row],[Gláucio Lipski (Giruá)]]</f>
        <v>0</v>
      </c>
      <c r="S84" s="72">
        <f>Tabela4[[#This Row],[Contri]]</f>
        <v>0</v>
      </c>
      <c r="T84" s="72">
        <f>Tabela4[[#This Row],[Cleci Rubi]]</f>
        <v>0</v>
      </c>
      <c r="U84" s="72">
        <f>Tabela4[[#This Row],[Betine Rost]]</f>
        <v>0</v>
      </c>
      <c r="V84" s="72">
        <f>SUM(Tabela4[[#This Row],[Robinson Fetter - 01]:[Robinson Fetter - 03]])</f>
        <v>0</v>
      </c>
      <c r="W84" s="72">
        <f>Tabela4[[#This Row],[Fabio De Moura]]</f>
        <v>0</v>
      </c>
      <c r="X84" s="72">
        <f>Tabela4[[#This Row],[Rochele Santos Moraes]]</f>
        <v>0</v>
      </c>
      <c r="Y84" s="72">
        <f>Tabela4[[#This Row],[Auto Posto Kairã]]</f>
        <v>0</v>
      </c>
      <c r="Z84" s="72">
        <f>Tabela4[[#This Row],[Erno Schiefelbain]]</f>
        <v>0</v>
      </c>
      <c r="AA84" s="72">
        <f>Tabela4[[#This Row],[José Paulo Backes]]</f>
        <v>0</v>
      </c>
      <c r="AB84" s="72">
        <f>Tabela4[[#This Row],[Gelso Tofolo]]</f>
        <v>0</v>
      </c>
      <c r="AC84" s="72">
        <f>Tabela4[[#This Row],[Diamantino]]</f>
        <v>0</v>
      </c>
      <c r="AD84" s="72">
        <f>Tabela4[[#This Row],[Mercado Bueno]]</f>
        <v>0</v>
      </c>
      <c r="AE84" s="72">
        <f>Tabela4[[#This Row],[Daniela Donadel Massalai]]</f>
        <v>0</v>
      </c>
      <c r="AF84" s="72">
        <f>Tabela4[[#This Row],[Comercio De Moto Peças Irmãos Guarani Ltda]]</f>
        <v>0</v>
      </c>
      <c r="AG84" s="72">
        <f>Tabela4[[#This Row],[Mauricio Luis Lunardi]]</f>
        <v>0</v>
      </c>
      <c r="AH84" s="72">
        <f>Tabela4[[#This Row],[Rosa Maria Restle Radunz]]</f>
        <v>0</v>
      </c>
      <c r="AI84" s="72">
        <f>Tabela4[[#This Row],[Ivo Amaral De Oliveira]]</f>
        <v>0</v>
      </c>
      <c r="AJ84" s="72">
        <f>Tabela4[[#This Row],[Silvio Robert Lemos Avila]]</f>
        <v>0</v>
      </c>
      <c r="AK84" s="72">
        <f>Tabela4[[#This Row],[Eldo Rost]]</f>
        <v>0</v>
      </c>
      <c r="AL84" s="72">
        <f>SUM(Tabela4[[#This Row],[Padaria Avenida - 01]:[Padaria Avenida - 02]])</f>
        <v>0</v>
      </c>
      <c r="AM84" s="72">
        <f>Tabela4[[#This Row],[Cristiano Anshau]]</f>
        <v>0</v>
      </c>
      <c r="AN84" s="72">
        <f>Tabela4[[#This Row],[Luciana Claudete Meirelles Correa]]</f>
        <v>0</v>
      </c>
      <c r="AO84" s="72">
        <f>Tabela4[[#This Row],[Marcio Jose Siqueira]]</f>
        <v>0</v>
      </c>
      <c r="AP84" s="72">
        <f>Tabela4[[#This Row],[Marcos Rogerio Kessler]]</f>
        <v>0</v>
      </c>
      <c r="AQ84" s="72">
        <f>SUM(Tabela4[[#This Row],[AABB - 01]:[AABB - 02]])</f>
        <v>0</v>
      </c>
      <c r="AR84" s="72">
        <f>SUM(Tabela4[[#This Row],[Wanda Burkard - 01]:[Wanda Burkard - 02]])</f>
        <v>0</v>
      </c>
      <c r="AS84" s="72">
        <f>Tabela4[[#This Row],[Silvio Robert Lemos Avila Me]]</f>
        <v>0</v>
      </c>
      <c r="AT84" s="72">
        <f>Tabela4[[#This Row],[Carmelo]]</f>
        <v>0</v>
      </c>
      <c r="AU84" s="72">
        <f>Tabela4[[#This Row],[Antonio Dal Forno]]</f>
        <v>0</v>
      </c>
      <c r="AV84" s="72">
        <f>Tabela4[[#This Row],[Marisane Paulus]]</f>
        <v>0</v>
      </c>
      <c r="AW84" s="72">
        <f>Tabela4[[#This Row],[Segatto Ceretta Ltda]]</f>
        <v>0</v>
      </c>
      <c r="AX84" s="72">
        <f>SUM(Tabela4[[#This Row],[APAE - 01]:[APAE - 02]])</f>
        <v>0</v>
      </c>
      <c r="AY84" s="72">
        <f>Tabela4[[#This Row],[Cássio Burin]]</f>
        <v>0</v>
      </c>
      <c r="AZ84" s="72">
        <f>Tabela4[[#This Row],[Patrick Kristoschek Da Silva]]</f>
        <v>0</v>
      </c>
      <c r="BA84" s="72">
        <f>Tabela4[[#This Row],[Silvio Robert Ávila - (Valmir)]]</f>
        <v>0</v>
      </c>
      <c r="BB84" s="72">
        <f>Tabela4[[#This Row],[Zederson Jose Della Flora]]</f>
        <v>0</v>
      </c>
      <c r="BC84" s="72">
        <f>Tabela4[[#This Row],[Carlos Walmir Larsão Rolim]]</f>
        <v>0</v>
      </c>
      <c r="BD84" s="72">
        <f>Tabela4[[#This Row],[Danieli Missio]]</f>
        <v>0</v>
      </c>
      <c r="BE84" s="72">
        <f>Tabela4[[#This Row],[José Vasconcellos]]</f>
        <v>0</v>
      </c>
      <c r="BF84" s="72">
        <f>Tabela4[[#This Row],[Linho Lev Alimentos]]</f>
        <v>0</v>
      </c>
      <c r="BG84" s="72">
        <f>Tabela4[[#This Row],[Ernani Czapla]]</f>
        <v>0</v>
      </c>
      <c r="BH84" s="72">
        <f>Tabela4[[#This Row],[Valesca Da Luz]]</f>
        <v>0</v>
      </c>
      <c r="BI84" s="72">
        <f>Tabela4[[#This Row],[Olavo Mildner]]</f>
        <v>0</v>
      </c>
      <c r="BJ84" s="72">
        <f>Tabela4[[#This Row],[Dilnei Rohled]]</f>
        <v>0</v>
      </c>
      <c r="BK84" s="72">
        <f>Tabela4[[#This Row],[Shaiana Signorini]]</f>
        <v>0</v>
      </c>
      <c r="BL84" s="72">
        <f>Tabela4[[#This Row],[Fonse Atacado]]</f>
        <v>0</v>
      </c>
      <c r="BM84" s="72">
        <f>Tabela4[[#This Row],[Comercial de Alimentos]]</f>
        <v>0</v>
      </c>
      <c r="BN84" s="72">
        <f>Tabela4[[#This Row],[Ivone Kasburg Serralheria]]</f>
        <v>0</v>
      </c>
      <c r="BO84" s="72">
        <f>Tabela4[[#This Row],[Mercado Ceretta]]</f>
        <v>0</v>
      </c>
      <c r="BP84" s="72">
        <f>Tabela4[[#This Row],[Antonio Carlos Dos Santos Pereira]]</f>
        <v>0</v>
      </c>
      <c r="BQ84" s="72">
        <f>Tabela4[[#This Row],[Volnei Lemos Avila - Me]]</f>
        <v>0</v>
      </c>
      <c r="BR84" s="72">
        <f>Tabela4[[#This Row],[Silvana Meneghini]]</f>
        <v>0</v>
      </c>
      <c r="BS84" s="72">
        <f>Tabela4[[#This Row],[Eficaz Engenharia Ltda]]</f>
        <v>0</v>
      </c>
      <c r="BT84" s="72">
        <f>SUM(Tabela4[[#Headers],[Tania Regina Schmaltz - 01]:[Tania Regina Schmaltz - 02]])</f>
        <v>0</v>
      </c>
      <c r="BU84" s="72">
        <f>Tabela4[[#This Row],[Camila Ceretta Segatto]]</f>
        <v>0</v>
      </c>
      <c r="BV84" s="72">
        <f>Tabela4[[#This Row],[Vagner Ribas Dos Santos]]</f>
        <v>0</v>
      </c>
      <c r="BW84" s="72">
        <f>Tabela4[[#This Row],[Claudio Alfredo Konrat]]</f>
        <v>0</v>
      </c>
    </row>
    <row r="85" spans="1:75" x14ac:dyDescent="0.25">
      <c r="A85" s="70">
        <v>45627</v>
      </c>
      <c r="B85" s="72">
        <f>SUM(Tabela4[[#This Row],[Marlon Colovini - 01]:[Marlon Colovini - 02]])</f>
        <v>0</v>
      </c>
      <c r="C85" s="72">
        <f>Tabela4[[#This Row],[Mara Barichello]]</f>
        <v>0</v>
      </c>
      <c r="D85" s="72">
        <f>Tabela4[[#This Row],[Jandira Dutra]]</f>
        <v>0</v>
      </c>
      <c r="E85" s="72">
        <f>Tabela4[[#This Row],[Luiz Fernando Kruger]]</f>
        <v>0</v>
      </c>
      <c r="F85" s="72">
        <f>SUM(Tabela4[[#This Row],[Paulo Bohn - 01]:[Paulo Bohn - 04]])</f>
        <v>0</v>
      </c>
      <c r="G85" s="72">
        <f>Tabela4[[#This Row],[Analia (Clodoaldo Entre-Ijuis)]]</f>
        <v>0</v>
      </c>
      <c r="H85" s="72">
        <f>Tabela4[[#This Row],[Biroh]]</f>
        <v>0</v>
      </c>
      <c r="I85" s="72">
        <f>Tabela4[[#This Row],[Gelson Posser]]</f>
        <v>0</v>
      </c>
      <c r="J85" s="72">
        <f>Tabela4[[#This Row],[Supermercado Caryone]]</f>
        <v>0</v>
      </c>
      <c r="K85" s="72">
        <f>Tabela4[[#This Row],[Ernani Minetto]]</f>
        <v>0</v>
      </c>
      <c r="L85" s="72">
        <f>Tabela4[[#This Row],[Jair Moscon]]</f>
        <v>0</v>
      </c>
      <c r="M85" s="72">
        <f>SUM(Tabela4[[#This Row],[Fabio Milke - 01]:[Fabio Milke - 02]])</f>
        <v>0</v>
      </c>
      <c r="N85" s="72">
        <f>Tabela4[[#This Row],[Piaia]]</f>
        <v>0</v>
      </c>
      <c r="O85" s="72">
        <f>Tabela4[[#This Row],[Osmar Veronese]]</f>
        <v>0</v>
      </c>
      <c r="P85" s="72">
        <f>Tabela4[[#This Row],[ José Luiz Moraes]]</f>
        <v>0</v>
      </c>
      <c r="Q85" s="72">
        <f>Tabela4[[#This Row],[Supermercado Cripy]]</f>
        <v>0</v>
      </c>
      <c r="R85" s="72">
        <f>Tabela4[[#This Row],[Gláucio Lipski (Giruá)]]</f>
        <v>0</v>
      </c>
      <c r="S85" s="72">
        <f>Tabela4[[#This Row],[Contri]]</f>
        <v>0</v>
      </c>
      <c r="T85" s="72">
        <f>Tabela4[[#This Row],[Cleci Rubi]]</f>
        <v>0</v>
      </c>
      <c r="U85" s="72">
        <f>Tabela4[[#This Row],[Betine Rost]]</f>
        <v>0</v>
      </c>
      <c r="V85" s="72">
        <f>SUM(Tabela4[[#This Row],[Robinson Fetter - 01]:[Robinson Fetter - 03]])</f>
        <v>0</v>
      </c>
      <c r="W85" s="72">
        <f>Tabela4[[#This Row],[Fabio De Moura]]</f>
        <v>0</v>
      </c>
      <c r="X85" s="72">
        <f>Tabela4[[#This Row],[Rochele Santos Moraes]]</f>
        <v>0</v>
      </c>
      <c r="Y85" s="72">
        <f>Tabela4[[#This Row],[Auto Posto Kairã]]</f>
        <v>0</v>
      </c>
      <c r="Z85" s="72">
        <f>Tabela4[[#This Row],[Erno Schiefelbain]]</f>
        <v>0</v>
      </c>
      <c r="AA85" s="72">
        <f>Tabela4[[#This Row],[José Paulo Backes]]</f>
        <v>0</v>
      </c>
      <c r="AB85" s="72">
        <f>Tabela4[[#This Row],[Gelso Tofolo]]</f>
        <v>0</v>
      </c>
      <c r="AC85" s="72">
        <f>Tabela4[[#This Row],[Diamantino]]</f>
        <v>0</v>
      </c>
      <c r="AD85" s="72">
        <f>Tabela4[[#This Row],[Mercado Bueno]]</f>
        <v>0</v>
      </c>
      <c r="AE85" s="72">
        <f>Tabela4[[#This Row],[Daniela Donadel Massalai]]</f>
        <v>0</v>
      </c>
      <c r="AF85" s="72">
        <f>Tabela4[[#This Row],[Comercio De Moto Peças Irmãos Guarani Ltda]]</f>
        <v>0</v>
      </c>
      <c r="AG85" s="72">
        <f>Tabela4[[#This Row],[Mauricio Luis Lunardi]]</f>
        <v>0</v>
      </c>
      <c r="AH85" s="72">
        <f>Tabela4[[#This Row],[Rosa Maria Restle Radunz]]</f>
        <v>0</v>
      </c>
      <c r="AI85" s="72">
        <f>Tabela4[[#This Row],[Ivo Amaral De Oliveira]]</f>
        <v>0</v>
      </c>
      <c r="AJ85" s="72">
        <f>Tabela4[[#This Row],[Silvio Robert Lemos Avila]]</f>
        <v>0</v>
      </c>
      <c r="AK85" s="72">
        <f>Tabela4[[#This Row],[Eldo Rost]]</f>
        <v>0</v>
      </c>
      <c r="AL85" s="72">
        <f>SUM(Tabela4[[#This Row],[Padaria Avenida - 01]:[Padaria Avenida - 02]])</f>
        <v>0</v>
      </c>
      <c r="AM85" s="72">
        <f>Tabela4[[#This Row],[Cristiano Anshau]]</f>
        <v>0</v>
      </c>
      <c r="AN85" s="72">
        <f>Tabela4[[#This Row],[Luciana Claudete Meirelles Correa]]</f>
        <v>0</v>
      </c>
      <c r="AO85" s="72">
        <f>Tabela4[[#This Row],[Marcio Jose Siqueira]]</f>
        <v>0</v>
      </c>
      <c r="AP85" s="72">
        <f>Tabela4[[#This Row],[Marcos Rogerio Kessler]]</f>
        <v>0</v>
      </c>
      <c r="AQ85" s="72">
        <f>SUM(Tabela4[[#This Row],[AABB - 01]:[AABB - 02]])</f>
        <v>0</v>
      </c>
      <c r="AR85" s="72">
        <f>SUM(Tabela4[[#This Row],[Wanda Burkard - 01]:[Wanda Burkard - 02]])</f>
        <v>0</v>
      </c>
      <c r="AS85" s="72">
        <f>Tabela4[[#This Row],[Silvio Robert Lemos Avila Me]]</f>
        <v>0</v>
      </c>
      <c r="AT85" s="72">
        <f>Tabela4[[#This Row],[Carmelo]]</f>
        <v>0</v>
      </c>
      <c r="AU85" s="72">
        <f>Tabela4[[#This Row],[Antonio Dal Forno]]</f>
        <v>0</v>
      </c>
      <c r="AV85" s="72">
        <f>Tabela4[[#This Row],[Marisane Paulus]]</f>
        <v>0</v>
      </c>
      <c r="AW85" s="72">
        <f>Tabela4[[#This Row],[Segatto Ceretta Ltda]]</f>
        <v>0</v>
      </c>
      <c r="AX85" s="72">
        <f>SUM(Tabela4[[#This Row],[APAE - 01]:[APAE - 02]])</f>
        <v>0</v>
      </c>
      <c r="AY85" s="72">
        <f>Tabela4[[#This Row],[Cássio Burin]]</f>
        <v>0</v>
      </c>
      <c r="AZ85" s="72">
        <f>Tabela4[[#This Row],[Patrick Kristoschek Da Silva]]</f>
        <v>0</v>
      </c>
      <c r="BA85" s="72">
        <f>Tabela4[[#This Row],[Silvio Robert Ávila - (Valmir)]]</f>
        <v>0</v>
      </c>
      <c r="BB85" s="72">
        <f>Tabela4[[#This Row],[Zederson Jose Della Flora]]</f>
        <v>0</v>
      </c>
      <c r="BC85" s="72">
        <f>Tabela4[[#This Row],[Carlos Walmir Larsão Rolim]]</f>
        <v>0</v>
      </c>
      <c r="BD85" s="72">
        <f>Tabela4[[#This Row],[Danieli Missio]]</f>
        <v>0</v>
      </c>
      <c r="BE85" s="72">
        <f>Tabela4[[#This Row],[José Vasconcellos]]</f>
        <v>0</v>
      </c>
      <c r="BF85" s="72">
        <f>Tabela4[[#This Row],[Linho Lev Alimentos]]</f>
        <v>0</v>
      </c>
      <c r="BG85" s="72">
        <f>Tabela4[[#This Row],[Ernani Czapla]]</f>
        <v>0</v>
      </c>
      <c r="BH85" s="72">
        <f>Tabela4[[#This Row],[Valesca Da Luz]]</f>
        <v>0</v>
      </c>
      <c r="BI85" s="72">
        <f>Tabela4[[#This Row],[Olavo Mildner]]</f>
        <v>0</v>
      </c>
      <c r="BJ85" s="72">
        <f>Tabela4[[#This Row],[Dilnei Rohled]]</f>
        <v>0</v>
      </c>
      <c r="BK85" s="72">
        <f>Tabela4[[#This Row],[Shaiana Signorini]]</f>
        <v>0</v>
      </c>
      <c r="BL85" s="72">
        <f>Tabela4[[#This Row],[Fonse Atacado]]</f>
        <v>0</v>
      </c>
      <c r="BM85" s="72">
        <f>Tabela4[[#This Row],[Comercial de Alimentos]]</f>
        <v>0</v>
      </c>
      <c r="BN85" s="72">
        <f>Tabela4[[#This Row],[Ivone Kasburg Serralheria]]</f>
        <v>0</v>
      </c>
      <c r="BO85" s="72">
        <f>Tabela4[[#This Row],[Mercado Ceretta]]</f>
        <v>0</v>
      </c>
      <c r="BP85" s="72">
        <f>Tabela4[[#This Row],[Antonio Carlos Dos Santos Pereira]]</f>
        <v>0</v>
      </c>
      <c r="BQ85" s="72">
        <f>Tabela4[[#This Row],[Volnei Lemos Avila - Me]]</f>
        <v>0</v>
      </c>
      <c r="BR85" s="72">
        <f>Tabela4[[#This Row],[Silvana Meneghini]]</f>
        <v>0</v>
      </c>
      <c r="BS85" s="72">
        <f>Tabela4[[#This Row],[Eficaz Engenharia Ltda]]</f>
        <v>0</v>
      </c>
      <c r="BT85" s="72">
        <f>SUM(Tabela4[[#Headers],[Tania Regina Schmaltz - 01]:[Tania Regina Schmaltz - 02]])</f>
        <v>0</v>
      </c>
      <c r="BU85" s="72">
        <f>Tabela4[[#This Row],[Camila Ceretta Segatto]]</f>
        <v>0</v>
      </c>
      <c r="BV85" s="72">
        <f>Tabela4[[#This Row],[Vagner Ribas Dos Santos]]</f>
        <v>0</v>
      </c>
      <c r="BW85" s="72">
        <f>Tabela4[[#This Row],[Claudio Alfredo Konrat]]</f>
        <v>0</v>
      </c>
    </row>
    <row r="86" spans="1:75" x14ac:dyDescent="0.25">
      <c r="A86" s="70">
        <v>45658</v>
      </c>
      <c r="B86" s="72">
        <f>SUM(Tabela4[[#This Row],[Marlon Colovini - 01]:[Marlon Colovini - 02]])</f>
        <v>0</v>
      </c>
      <c r="C86" s="72">
        <f>Tabela4[[#This Row],[Mara Barichello]]</f>
        <v>0</v>
      </c>
      <c r="D86" s="72">
        <f>Tabela4[[#This Row],[Jandira Dutra]]</f>
        <v>0</v>
      </c>
      <c r="E86" s="72">
        <f>Tabela4[[#This Row],[Luiz Fernando Kruger]]</f>
        <v>0</v>
      </c>
      <c r="F86" s="72">
        <f>SUM(Tabela4[[#This Row],[Paulo Bohn - 01]:[Paulo Bohn - 04]])</f>
        <v>0</v>
      </c>
      <c r="G86" s="72">
        <f>Tabela4[[#This Row],[Analia (Clodoaldo Entre-Ijuis)]]</f>
        <v>0</v>
      </c>
      <c r="H86" s="72">
        <f>Tabela4[[#This Row],[Biroh]]</f>
        <v>0</v>
      </c>
      <c r="I86" s="72">
        <f>Tabela4[[#This Row],[Gelson Posser]]</f>
        <v>0</v>
      </c>
      <c r="J86" s="72">
        <f>Tabela4[[#This Row],[Supermercado Caryone]]</f>
        <v>0</v>
      </c>
      <c r="K86" s="72">
        <f>Tabela4[[#This Row],[Ernani Minetto]]</f>
        <v>0</v>
      </c>
      <c r="L86" s="72">
        <f>Tabela4[[#This Row],[Jair Moscon]]</f>
        <v>0</v>
      </c>
      <c r="M86" s="72">
        <f>SUM(Tabela4[[#This Row],[Fabio Milke - 01]:[Fabio Milke - 02]])</f>
        <v>0</v>
      </c>
      <c r="N86" s="72">
        <f>Tabela4[[#This Row],[Piaia]]</f>
        <v>0</v>
      </c>
      <c r="O86" s="72">
        <f>Tabela4[[#This Row],[Osmar Veronese]]</f>
        <v>0</v>
      </c>
      <c r="P86" s="72">
        <f>Tabela4[[#This Row],[ José Luiz Moraes]]</f>
        <v>0</v>
      </c>
      <c r="Q86" s="72">
        <f>Tabela4[[#This Row],[Supermercado Cripy]]</f>
        <v>0</v>
      </c>
      <c r="R86" s="72">
        <f>Tabela4[[#This Row],[Gláucio Lipski (Giruá)]]</f>
        <v>0</v>
      </c>
      <c r="S86" s="72">
        <f>Tabela4[[#This Row],[Contri]]</f>
        <v>0</v>
      </c>
      <c r="T86" s="72">
        <f>Tabela4[[#This Row],[Cleci Rubi]]</f>
        <v>0</v>
      </c>
      <c r="U86" s="72">
        <f>Tabela4[[#This Row],[Betine Rost]]</f>
        <v>0</v>
      </c>
      <c r="V86" s="72">
        <f>SUM(Tabela4[[#This Row],[Robinson Fetter - 01]:[Robinson Fetter - 03]])</f>
        <v>0</v>
      </c>
      <c r="W86" s="72">
        <f>Tabela4[[#This Row],[Fabio De Moura]]</f>
        <v>0</v>
      </c>
      <c r="X86" s="72">
        <f>Tabela4[[#This Row],[Rochele Santos Moraes]]</f>
        <v>0</v>
      </c>
      <c r="Y86" s="72">
        <f>Tabela4[[#This Row],[Auto Posto Kairã]]</f>
        <v>0</v>
      </c>
      <c r="Z86" s="72">
        <f>Tabela4[[#This Row],[Erno Schiefelbain]]</f>
        <v>0</v>
      </c>
      <c r="AA86" s="72">
        <f>Tabela4[[#This Row],[José Paulo Backes]]</f>
        <v>0</v>
      </c>
      <c r="AB86" s="72">
        <f>Tabela4[[#This Row],[Gelso Tofolo]]</f>
        <v>0</v>
      </c>
      <c r="AC86" s="72">
        <f>Tabela4[[#This Row],[Diamantino]]</f>
        <v>0</v>
      </c>
      <c r="AD86" s="72">
        <f>Tabela4[[#This Row],[Mercado Bueno]]</f>
        <v>0</v>
      </c>
      <c r="AE86" s="72">
        <f>Tabela4[[#This Row],[Daniela Donadel Massalai]]</f>
        <v>0</v>
      </c>
      <c r="AF86" s="72">
        <f>Tabela4[[#This Row],[Comercio De Moto Peças Irmãos Guarani Ltda]]</f>
        <v>0</v>
      </c>
      <c r="AG86" s="72">
        <f>Tabela4[[#This Row],[Mauricio Luis Lunardi]]</f>
        <v>0</v>
      </c>
      <c r="AH86" s="72">
        <f>Tabela4[[#This Row],[Rosa Maria Restle Radunz]]</f>
        <v>0</v>
      </c>
      <c r="AI86" s="72">
        <f>Tabela4[[#This Row],[Ivo Amaral De Oliveira]]</f>
        <v>0</v>
      </c>
      <c r="AJ86" s="72">
        <f>Tabela4[[#This Row],[Silvio Robert Lemos Avila]]</f>
        <v>0</v>
      </c>
      <c r="AK86" s="72">
        <f>Tabela4[[#This Row],[Eldo Rost]]</f>
        <v>0</v>
      </c>
      <c r="AL86" s="72">
        <f>SUM(Tabela4[[#This Row],[Padaria Avenida - 01]:[Padaria Avenida - 02]])</f>
        <v>0</v>
      </c>
      <c r="AM86" s="72">
        <f>Tabela4[[#This Row],[Cristiano Anshau]]</f>
        <v>0</v>
      </c>
      <c r="AN86" s="72">
        <f>Tabela4[[#This Row],[Luciana Claudete Meirelles Correa]]</f>
        <v>0</v>
      </c>
      <c r="AO86" s="72">
        <f>Tabela4[[#This Row],[Marcio Jose Siqueira]]</f>
        <v>0</v>
      </c>
      <c r="AP86" s="72">
        <f>Tabela4[[#This Row],[Marcos Rogerio Kessler]]</f>
        <v>0</v>
      </c>
      <c r="AQ86" s="72">
        <f>SUM(Tabela4[[#This Row],[AABB - 01]:[AABB - 02]])</f>
        <v>0</v>
      </c>
      <c r="AR86" s="72">
        <f>SUM(Tabela4[[#This Row],[Wanda Burkard - 01]:[Wanda Burkard - 02]])</f>
        <v>0</v>
      </c>
      <c r="AS86" s="72">
        <f>Tabela4[[#This Row],[Silvio Robert Lemos Avila Me]]</f>
        <v>0</v>
      </c>
      <c r="AT86" s="72">
        <f>Tabela4[[#This Row],[Carmelo]]</f>
        <v>0</v>
      </c>
      <c r="AU86" s="72">
        <f>Tabela4[[#This Row],[Antonio Dal Forno]]</f>
        <v>0</v>
      </c>
      <c r="AV86" s="72">
        <f>Tabela4[[#This Row],[Marisane Paulus]]</f>
        <v>0</v>
      </c>
      <c r="AW86" s="72">
        <f>Tabela4[[#This Row],[Segatto Ceretta Ltda]]</f>
        <v>0</v>
      </c>
      <c r="AX86" s="72">
        <f>SUM(Tabela4[[#This Row],[APAE - 01]:[APAE - 02]])</f>
        <v>0</v>
      </c>
      <c r="AY86" s="72">
        <f>Tabela4[[#This Row],[Cássio Burin]]</f>
        <v>0</v>
      </c>
      <c r="AZ86" s="72">
        <f>Tabela4[[#This Row],[Patrick Kristoschek Da Silva]]</f>
        <v>0</v>
      </c>
      <c r="BA86" s="72">
        <f>Tabela4[[#This Row],[Silvio Robert Ávila - (Valmir)]]</f>
        <v>0</v>
      </c>
      <c r="BB86" s="72">
        <f>Tabela4[[#This Row],[Zederson Jose Della Flora]]</f>
        <v>0</v>
      </c>
      <c r="BC86" s="72">
        <f>Tabela4[[#This Row],[Carlos Walmir Larsão Rolim]]</f>
        <v>0</v>
      </c>
      <c r="BD86" s="72">
        <f>Tabela4[[#This Row],[Danieli Missio]]</f>
        <v>0</v>
      </c>
      <c r="BE86" s="72">
        <f>Tabela4[[#This Row],[José Vasconcellos]]</f>
        <v>0</v>
      </c>
      <c r="BF86" s="72">
        <f>Tabela4[[#This Row],[Linho Lev Alimentos]]</f>
        <v>0</v>
      </c>
      <c r="BG86" s="72">
        <f>Tabela4[[#This Row],[Ernani Czapla]]</f>
        <v>0</v>
      </c>
      <c r="BH86" s="72">
        <f>Tabela4[[#This Row],[Valesca Da Luz]]</f>
        <v>0</v>
      </c>
      <c r="BI86" s="72">
        <f>Tabela4[[#This Row],[Olavo Mildner]]</f>
        <v>0</v>
      </c>
      <c r="BJ86" s="72">
        <f>Tabela4[[#This Row],[Dilnei Rohled]]</f>
        <v>0</v>
      </c>
      <c r="BK86" s="72">
        <f>Tabela4[[#This Row],[Shaiana Signorini]]</f>
        <v>0</v>
      </c>
      <c r="BL86" s="72">
        <f>Tabela4[[#This Row],[Fonse Atacado]]</f>
        <v>0</v>
      </c>
      <c r="BM86" s="72">
        <f>Tabela4[[#This Row],[Comercial de Alimentos]]</f>
        <v>0</v>
      </c>
      <c r="BN86" s="72">
        <f>Tabela4[[#This Row],[Ivone Kasburg Serralheria]]</f>
        <v>0</v>
      </c>
      <c r="BO86" s="72">
        <f>Tabela4[[#This Row],[Mercado Ceretta]]</f>
        <v>0</v>
      </c>
      <c r="BP86" s="72">
        <f>Tabela4[[#This Row],[Antonio Carlos Dos Santos Pereira]]</f>
        <v>0</v>
      </c>
      <c r="BQ86" s="72">
        <f>Tabela4[[#This Row],[Volnei Lemos Avila - Me]]</f>
        <v>0</v>
      </c>
      <c r="BR86" s="72">
        <f>Tabela4[[#This Row],[Silvana Meneghini]]</f>
        <v>0</v>
      </c>
      <c r="BS86" s="72">
        <f>Tabela4[[#This Row],[Eficaz Engenharia Ltda]]</f>
        <v>0</v>
      </c>
      <c r="BT86" s="72">
        <f>SUM(Tabela4[[#Headers],[Tania Regina Schmaltz - 01]:[Tania Regina Schmaltz - 02]])</f>
        <v>0</v>
      </c>
      <c r="BU86" s="72">
        <f>Tabela4[[#This Row],[Camila Ceretta Segatto]]</f>
        <v>0</v>
      </c>
      <c r="BV86" s="72">
        <f>Tabela4[[#This Row],[Vagner Ribas Dos Santos]]</f>
        <v>0</v>
      </c>
      <c r="BW86" s="72">
        <f>Tabela4[[#This Row],[Claudio Alfredo Konrat]]</f>
        <v>0</v>
      </c>
    </row>
    <row r="87" spans="1:75" x14ac:dyDescent="0.25">
      <c r="A87" s="70">
        <v>45689</v>
      </c>
      <c r="B87" s="72">
        <f>SUM(Tabela4[[#This Row],[Marlon Colovini - 01]:[Marlon Colovini - 02]])</f>
        <v>0</v>
      </c>
      <c r="C87" s="72">
        <f>Tabela4[[#This Row],[Mara Barichello]]</f>
        <v>0</v>
      </c>
      <c r="D87" s="72">
        <f>Tabela4[[#This Row],[Jandira Dutra]]</f>
        <v>0</v>
      </c>
      <c r="E87" s="72">
        <f>Tabela4[[#This Row],[Luiz Fernando Kruger]]</f>
        <v>0</v>
      </c>
      <c r="F87" s="72">
        <f>SUM(Tabela4[[#This Row],[Paulo Bohn - 01]:[Paulo Bohn - 04]])</f>
        <v>0</v>
      </c>
      <c r="G87" s="72">
        <f>Tabela4[[#This Row],[Analia (Clodoaldo Entre-Ijuis)]]</f>
        <v>0</v>
      </c>
      <c r="H87" s="72">
        <f>Tabela4[[#This Row],[Biroh]]</f>
        <v>0</v>
      </c>
      <c r="I87" s="72">
        <f>Tabela4[[#This Row],[Gelson Posser]]</f>
        <v>0</v>
      </c>
      <c r="J87" s="72">
        <f>Tabela4[[#This Row],[Supermercado Caryone]]</f>
        <v>0</v>
      </c>
      <c r="K87" s="72">
        <f>Tabela4[[#This Row],[Ernani Minetto]]</f>
        <v>0</v>
      </c>
      <c r="L87" s="72">
        <f>Tabela4[[#This Row],[Jair Moscon]]</f>
        <v>0</v>
      </c>
      <c r="M87" s="72">
        <f>SUM(Tabela4[[#This Row],[Fabio Milke - 01]:[Fabio Milke - 02]])</f>
        <v>0</v>
      </c>
      <c r="N87" s="72">
        <f>Tabela4[[#This Row],[Piaia]]</f>
        <v>0</v>
      </c>
      <c r="O87" s="72">
        <f>Tabela4[[#This Row],[Osmar Veronese]]</f>
        <v>0</v>
      </c>
      <c r="P87" s="72">
        <f>Tabela4[[#This Row],[ José Luiz Moraes]]</f>
        <v>0</v>
      </c>
      <c r="Q87" s="72">
        <f>Tabela4[[#This Row],[Supermercado Cripy]]</f>
        <v>0</v>
      </c>
      <c r="R87" s="72">
        <f>Tabela4[[#This Row],[Gláucio Lipski (Giruá)]]</f>
        <v>0</v>
      </c>
      <c r="S87" s="72">
        <f>Tabela4[[#This Row],[Contri]]</f>
        <v>0</v>
      </c>
      <c r="T87" s="72">
        <f>Tabela4[[#This Row],[Cleci Rubi]]</f>
        <v>0</v>
      </c>
      <c r="U87" s="72">
        <f>Tabela4[[#This Row],[Betine Rost]]</f>
        <v>0</v>
      </c>
      <c r="V87" s="72">
        <f>SUM(Tabela4[[#This Row],[Robinson Fetter - 01]:[Robinson Fetter - 03]])</f>
        <v>0</v>
      </c>
      <c r="W87" s="72">
        <f>Tabela4[[#This Row],[Fabio De Moura]]</f>
        <v>0</v>
      </c>
      <c r="X87" s="72">
        <f>Tabela4[[#This Row],[Rochele Santos Moraes]]</f>
        <v>0</v>
      </c>
      <c r="Y87" s="72">
        <f>Tabela4[[#This Row],[Auto Posto Kairã]]</f>
        <v>0</v>
      </c>
      <c r="Z87" s="72">
        <f>Tabela4[[#This Row],[Erno Schiefelbain]]</f>
        <v>0</v>
      </c>
      <c r="AA87" s="72">
        <f>Tabela4[[#This Row],[José Paulo Backes]]</f>
        <v>0</v>
      </c>
      <c r="AB87" s="72">
        <f>Tabela4[[#This Row],[Gelso Tofolo]]</f>
        <v>0</v>
      </c>
      <c r="AC87" s="72">
        <f>Tabela4[[#This Row],[Diamantino]]</f>
        <v>0</v>
      </c>
      <c r="AD87" s="72">
        <f>Tabela4[[#This Row],[Mercado Bueno]]</f>
        <v>0</v>
      </c>
      <c r="AE87" s="72">
        <f>Tabela4[[#This Row],[Daniela Donadel Massalai]]</f>
        <v>0</v>
      </c>
      <c r="AF87" s="72">
        <f>Tabela4[[#This Row],[Comercio De Moto Peças Irmãos Guarani Ltda]]</f>
        <v>0</v>
      </c>
      <c r="AG87" s="72">
        <f>Tabela4[[#This Row],[Mauricio Luis Lunardi]]</f>
        <v>0</v>
      </c>
      <c r="AH87" s="72">
        <f>Tabela4[[#This Row],[Rosa Maria Restle Radunz]]</f>
        <v>0</v>
      </c>
      <c r="AI87" s="72">
        <f>Tabela4[[#This Row],[Ivo Amaral De Oliveira]]</f>
        <v>0</v>
      </c>
      <c r="AJ87" s="72">
        <f>Tabela4[[#This Row],[Silvio Robert Lemos Avila]]</f>
        <v>0</v>
      </c>
      <c r="AK87" s="72">
        <f>Tabela4[[#This Row],[Eldo Rost]]</f>
        <v>0</v>
      </c>
      <c r="AL87" s="72">
        <f>SUM(Tabela4[[#This Row],[Padaria Avenida - 01]:[Padaria Avenida - 02]])</f>
        <v>0</v>
      </c>
      <c r="AM87" s="72">
        <f>Tabela4[[#This Row],[Cristiano Anshau]]</f>
        <v>0</v>
      </c>
      <c r="AN87" s="72">
        <f>Tabela4[[#This Row],[Luciana Claudete Meirelles Correa]]</f>
        <v>0</v>
      </c>
      <c r="AO87" s="72">
        <f>Tabela4[[#This Row],[Marcio Jose Siqueira]]</f>
        <v>0</v>
      </c>
      <c r="AP87" s="72">
        <f>Tabela4[[#This Row],[Marcos Rogerio Kessler]]</f>
        <v>0</v>
      </c>
      <c r="AQ87" s="72">
        <f>SUM(Tabela4[[#This Row],[AABB - 01]:[AABB - 02]])</f>
        <v>0</v>
      </c>
      <c r="AR87" s="72">
        <f>SUM(Tabela4[[#This Row],[Wanda Burkard - 01]:[Wanda Burkard - 02]])</f>
        <v>0</v>
      </c>
      <c r="AS87" s="72">
        <f>Tabela4[[#This Row],[Silvio Robert Lemos Avila Me]]</f>
        <v>0</v>
      </c>
      <c r="AT87" s="72">
        <f>Tabela4[[#This Row],[Carmelo]]</f>
        <v>0</v>
      </c>
      <c r="AU87" s="72">
        <f>Tabela4[[#This Row],[Antonio Dal Forno]]</f>
        <v>0</v>
      </c>
      <c r="AV87" s="72">
        <f>Tabela4[[#This Row],[Marisane Paulus]]</f>
        <v>0</v>
      </c>
      <c r="AW87" s="72">
        <f>Tabela4[[#This Row],[Segatto Ceretta Ltda]]</f>
        <v>0</v>
      </c>
      <c r="AX87" s="72">
        <f>SUM(Tabela4[[#This Row],[APAE - 01]:[APAE - 02]])</f>
        <v>0</v>
      </c>
      <c r="AY87" s="72">
        <f>Tabela4[[#This Row],[Cássio Burin]]</f>
        <v>0</v>
      </c>
      <c r="AZ87" s="72">
        <f>Tabela4[[#This Row],[Patrick Kristoschek Da Silva]]</f>
        <v>0</v>
      </c>
      <c r="BA87" s="72">
        <f>Tabela4[[#This Row],[Silvio Robert Ávila - (Valmir)]]</f>
        <v>0</v>
      </c>
      <c r="BB87" s="72">
        <f>Tabela4[[#This Row],[Zederson Jose Della Flora]]</f>
        <v>0</v>
      </c>
      <c r="BC87" s="72">
        <f>Tabela4[[#This Row],[Carlos Walmir Larsão Rolim]]</f>
        <v>0</v>
      </c>
      <c r="BD87" s="72">
        <f>Tabela4[[#This Row],[Danieli Missio]]</f>
        <v>0</v>
      </c>
      <c r="BE87" s="72">
        <f>Tabela4[[#This Row],[José Vasconcellos]]</f>
        <v>0</v>
      </c>
      <c r="BF87" s="72">
        <f>Tabela4[[#This Row],[Linho Lev Alimentos]]</f>
        <v>0</v>
      </c>
      <c r="BG87" s="72">
        <f>Tabela4[[#This Row],[Ernani Czapla]]</f>
        <v>0</v>
      </c>
      <c r="BH87" s="72">
        <f>Tabela4[[#This Row],[Valesca Da Luz]]</f>
        <v>0</v>
      </c>
      <c r="BI87" s="72">
        <f>Tabela4[[#This Row],[Olavo Mildner]]</f>
        <v>0</v>
      </c>
      <c r="BJ87" s="72">
        <f>Tabela4[[#This Row],[Dilnei Rohled]]</f>
        <v>0</v>
      </c>
      <c r="BK87" s="72">
        <f>Tabela4[[#This Row],[Shaiana Signorini]]</f>
        <v>0</v>
      </c>
      <c r="BL87" s="72">
        <f>Tabela4[[#This Row],[Fonse Atacado]]</f>
        <v>0</v>
      </c>
      <c r="BM87" s="72">
        <f>Tabela4[[#This Row],[Comercial de Alimentos]]</f>
        <v>0</v>
      </c>
      <c r="BN87" s="72">
        <f>Tabela4[[#This Row],[Ivone Kasburg Serralheria]]</f>
        <v>0</v>
      </c>
      <c r="BO87" s="72">
        <f>Tabela4[[#This Row],[Mercado Ceretta]]</f>
        <v>0</v>
      </c>
      <c r="BP87" s="72">
        <f>Tabela4[[#This Row],[Antonio Carlos Dos Santos Pereira]]</f>
        <v>0</v>
      </c>
      <c r="BQ87" s="72">
        <f>Tabela4[[#This Row],[Volnei Lemos Avila - Me]]</f>
        <v>0</v>
      </c>
      <c r="BR87" s="72">
        <f>Tabela4[[#This Row],[Silvana Meneghini]]</f>
        <v>0</v>
      </c>
      <c r="BS87" s="72">
        <f>Tabela4[[#This Row],[Eficaz Engenharia Ltda]]</f>
        <v>0</v>
      </c>
      <c r="BT87" s="72">
        <f>SUM(Tabela4[[#Headers],[Tania Regina Schmaltz - 01]:[Tania Regina Schmaltz - 02]])</f>
        <v>0</v>
      </c>
      <c r="BU87" s="72">
        <f>Tabela4[[#This Row],[Camila Ceretta Segatto]]</f>
        <v>0</v>
      </c>
      <c r="BV87" s="72">
        <f>Tabela4[[#This Row],[Vagner Ribas Dos Santos]]</f>
        <v>0</v>
      </c>
      <c r="BW87" s="72">
        <f>Tabela4[[#This Row],[Claudio Alfredo Konrat]]</f>
        <v>0</v>
      </c>
    </row>
    <row r="88" spans="1:75" x14ac:dyDescent="0.25">
      <c r="A88" s="70">
        <v>45717</v>
      </c>
      <c r="B88" s="72">
        <f>SUM(Tabela4[[#This Row],[Marlon Colovini - 01]:[Marlon Colovini - 02]])</f>
        <v>0</v>
      </c>
      <c r="C88" s="72">
        <f>Tabela4[[#This Row],[Mara Barichello]]</f>
        <v>0</v>
      </c>
      <c r="D88" s="72">
        <f>Tabela4[[#This Row],[Jandira Dutra]]</f>
        <v>0</v>
      </c>
      <c r="E88" s="72">
        <f>Tabela4[[#This Row],[Luiz Fernando Kruger]]</f>
        <v>0</v>
      </c>
      <c r="F88" s="72">
        <f>SUM(Tabela4[[#This Row],[Paulo Bohn - 01]:[Paulo Bohn - 04]])</f>
        <v>0</v>
      </c>
      <c r="G88" s="72">
        <f>Tabela4[[#This Row],[Analia (Clodoaldo Entre-Ijuis)]]</f>
        <v>0</v>
      </c>
      <c r="H88" s="72">
        <f>Tabela4[[#This Row],[Biroh]]</f>
        <v>0</v>
      </c>
      <c r="I88" s="72">
        <f>Tabela4[[#This Row],[Gelson Posser]]</f>
        <v>0</v>
      </c>
      <c r="J88" s="72">
        <f>Tabela4[[#This Row],[Supermercado Caryone]]</f>
        <v>0</v>
      </c>
      <c r="K88" s="72">
        <f>Tabela4[[#This Row],[Ernani Minetto]]</f>
        <v>0</v>
      </c>
      <c r="L88" s="72">
        <f>Tabela4[[#This Row],[Jair Moscon]]</f>
        <v>0</v>
      </c>
      <c r="M88" s="72">
        <f>SUM(Tabela4[[#This Row],[Fabio Milke - 01]:[Fabio Milke - 02]])</f>
        <v>0</v>
      </c>
      <c r="N88" s="72">
        <f>Tabela4[[#This Row],[Piaia]]</f>
        <v>0</v>
      </c>
      <c r="O88" s="72">
        <f>Tabela4[[#This Row],[Osmar Veronese]]</f>
        <v>0</v>
      </c>
      <c r="P88" s="72">
        <f>Tabela4[[#This Row],[ José Luiz Moraes]]</f>
        <v>0</v>
      </c>
      <c r="Q88" s="72">
        <f>Tabela4[[#This Row],[Supermercado Cripy]]</f>
        <v>0</v>
      </c>
      <c r="R88" s="72">
        <f>Tabela4[[#This Row],[Gláucio Lipski (Giruá)]]</f>
        <v>0</v>
      </c>
      <c r="S88" s="72">
        <f>Tabela4[[#This Row],[Contri]]</f>
        <v>0</v>
      </c>
      <c r="T88" s="72">
        <f>Tabela4[[#This Row],[Cleci Rubi]]</f>
        <v>0</v>
      </c>
      <c r="U88" s="72">
        <f>Tabela4[[#This Row],[Betine Rost]]</f>
        <v>0</v>
      </c>
      <c r="V88" s="72">
        <f>SUM(Tabela4[[#This Row],[Robinson Fetter - 01]:[Robinson Fetter - 03]])</f>
        <v>0</v>
      </c>
      <c r="W88" s="72">
        <f>Tabela4[[#This Row],[Fabio De Moura]]</f>
        <v>0</v>
      </c>
      <c r="X88" s="72">
        <f>Tabela4[[#This Row],[Rochele Santos Moraes]]</f>
        <v>0</v>
      </c>
      <c r="Y88" s="72">
        <f>Tabela4[[#This Row],[Auto Posto Kairã]]</f>
        <v>0</v>
      </c>
      <c r="Z88" s="72">
        <f>Tabela4[[#This Row],[Erno Schiefelbain]]</f>
        <v>0</v>
      </c>
      <c r="AA88" s="72">
        <f>Tabela4[[#This Row],[José Paulo Backes]]</f>
        <v>0</v>
      </c>
      <c r="AB88" s="72">
        <f>Tabela4[[#This Row],[Gelso Tofolo]]</f>
        <v>0</v>
      </c>
      <c r="AC88" s="72">
        <f>Tabela4[[#This Row],[Diamantino]]</f>
        <v>0</v>
      </c>
      <c r="AD88" s="72">
        <f>Tabela4[[#This Row],[Mercado Bueno]]</f>
        <v>0</v>
      </c>
      <c r="AE88" s="72">
        <f>Tabela4[[#This Row],[Daniela Donadel Massalai]]</f>
        <v>0</v>
      </c>
      <c r="AF88" s="72">
        <f>Tabela4[[#This Row],[Comercio De Moto Peças Irmãos Guarani Ltda]]</f>
        <v>0</v>
      </c>
      <c r="AG88" s="72">
        <f>Tabela4[[#This Row],[Mauricio Luis Lunardi]]</f>
        <v>0</v>
      </c>
      <c r="AH88" s="72">
        <f>Tabela4[[#This Row],[Rosa Maria Restle Radunz]]</f>
        <v>0</v>
      </c>
      <c r="AI88" s="72">
        <f>Tabela4[[#This Row],[Ivo Amaral De Oliveira]]</f>
        <v>0</v>
      </c>
      <c r="AJ88" s="72">
        <f>Tabela4[[#This Row],[Silvio Robert Lemos Avila]]</f>
        <v>0</v>
      </c>
      <c r="AK88" s="72">
        <f>Tabela4[[#This Row],[Eldo Rost]]</f>
        <v>0</v>
      </c>
      <c r="AL88" s="72">
        <f>SUM(Tabela4[[#This Row],[Padaria Avenida - 01]:[Padaria Avenida - 02]])</f>
        <v>0</v>
      </c>
      <c r="AM88" s="72">
        <f>Tabela4[[#This Row],[Cristiano Anshau]]</f>
        <v>0</v>
      </c>
      <c r="AN88" s="72">
        <f>Tabela4[[#This Row],[Luciana Claudete Meirelles Correa]]</f>
        <v>0</v>
      </c>
      <c r="AO88" s="72">
        <f>Tabela4[[#This Row],[Marcio Jose Siqueira]]</f>
        <v>0</v>
      </c>
      <c r="AP88" s="72">
        <f>Tabela4[[#This Row],[Marcos Rogerio Kessler]]</f>
        <v>0</v>
      </c>
      <c r="AQ88" s="72">
        <f>SUM(Tabela4[[#This Row],[AABB - 01]:[AABB - 02]])</f>
        <v>0</v>
      </c>
      <c r="AR88" s="72">
        <f>SUM(Tabela4[[#This Row],[Wanda Burkard - 01]:[Wanda Burkard - 02]])</f>
        <v>0</v>
      </c>
      <c r="AS88" s="72">
        <f>Tabela4[[#This Row],[Silvio Robert Lemos Avila Me]]</f>
        <v>0</v>
      </c>
      <c r="AT88" s="72">
        <f>Tabela4[[#This Row],[Carmelo]]</f>
        <v>0</v>
      </c>
      <c r="AU88" s="72">
        <f>Tabela4[[#This Row],[Antonio Dal Forno]]</f>
        <v>0</v>
      </c>
      <c r="AV88" s="72">
        <f>Tabela4[[#This Row],[Marisane Paulus]]</f>
        <v>0</v>
      </c>
      <c r="AW88" s="72">
        <f>Tabela4[[#This Row],[Segatto Ceretta Ltda]]</f>
        <v>0</v>
      </c>
      <c r="AX88" s="72">
        <f>SUM(Tabela4[[#This Row],[APAE - 01]:[APAE - 02]])</f>
        <v>0</v>
      </c>
      <c r="AY88" s="72">
        <f>Tabela4[[#This Row],[Cássio Burin]]</f>
        <v>0</v>
      </c>
      <c r="AZ88" s="72">
        <f>Tabela4[[#This Row],[Patrick Kristoschek Da Silva]]</f>
        <v>0</v>
      </c>
      <c r="BA88" s="72">
        <f>Tabela4[[#This Row],[Silvio Robert Ávila - (Valmir)]]</f>
        <v>0</v>
      </c>
      <c r="BB88" s="72">
        <f>Tabela4[[#This Row],[Zederson Jose Della Flora]]</f>
        <v>0</v>
      </c>
      <c r="BC88" s="72">
        <f>Tabela4[[#This Row],[Carlos Walmir Larsão Rolim]]</f>
        <v>0</v>
      </c>
      <c r="BD88" s="72">
        <f>Tabela4[[#This Row],[Danieli Missio]]</f>
        <v>0</v>
      </c>
      <c r="BE88" s="72">
        <f>Tabela4[[#This Row],[José Vasconcellos]]</f>
        <v>0</v>
      </c>
      <c r="BF88" s="72">
        <f>Tabela4[[#This Row],[Linho Lev Alimentos]]</f>
        <v>0</v>
      </c>
      <c r="BG88" s="72">
        <f>Tabela4[[#This Row],[Ernani Czapla]]</f>
        <v>0</v>
      </c>
      <c r="BH88" s="72">
        <f>Tabela4[[#This Row],[Valesca Da Luz]]</f>
        <v>0</v>
      </c>
      <c r="BI88" s="72">
        <f>Tabela4[[#This Row],[Olavo Mildner]]</f>
        <v>0</v>
      </c>
      <c r="BJ88" s="72">
        <f>Tabela4[[#This Row],[Dilnei Rohled]]</f>
        <v>0</v>
      </c>
      <c r="BK88" s="72">
        <f>Tabela4[[#This Row],[Shaiana Signorini]]</f>
        <v>0</v>
      </c>
      <c r="BL88" s="72">
        <f>Tabela4[[#This Row],[Fonse Atacado]]</f>
        <v>0</v>
      </c>
      <c r="BM88" s="72">
        <f>Tabela4[[#This Row],[Comercial de Alimentos]]</f>
        <v>0</v>
      </c>
      <c r="BN88" s="72">
        <f>Tabela4[[#This Row],[Ivone Kasburg Serralheria]]</f>
        <v>0</v>
      </c>
      <c r="BO88" s="72">
        <f>Tabela4[[#This Row],[Mercado Ceretta]]</f>
        <v>0</v>
      </c>
      <c r="BP88" s="72">
        <f>Tabela4[[#This Row],[Antonio Carlos Dos Santos Pereira]]</f>
        <v>0</v>
      </c>
      <c r="BQ88" s="72">
        <f>Tabela4[[#This Row],[Volnei Lemos Avila - Me]]</f>
        <v>0</v>
      </c>
      <c r="BR88" s="72">
        <f>Tabela4[[#This Row],[Silvana Meneghini]]</f>
        <v>0</v>
      </c>
      <c r="BS88" s="72">
        <f>Tabela4[[#This Row],[Eficaz Engenharia Ltda]]</f>
        <v>0</v>
      </c>
      <c r="BT88" s="72">
        <f>SUM(Tabela4[[#Headers],[Tania Regina Schmaltz - 01]:[Tania Regina Schmaltz - 02]])</f>
        <v>0</v>
      </c>
      <c r="BU88" s="72">
        <f>Tabela4[[#This Row],[Camila Ceretta Segatto]]</f>
        <v>0</v>
      </c>
      <c r="BV88" s="72">
        <f>Tabela4[[#This Row],[Vagner Ribas Dos Santos]]</f>
        <v>0</v>
      </c>
      <c r="BW88" s="72">
        <f>Tabela4[[#This Row],[Claudio Alfredo Konrat]]</f>
        <v>0</v>
      </c>
    </row>
    <row r="89" spans="1:75" x14ac:dyDescent="0.25">
      <c r="A89" s="70">
        <v>45748</v>
      </c>
      <c r="B89" s="72">
        <f>SUM(Tabela4[[#This Row],[Marlon Colovini - 01]:[Marlon Colovini - 02]])</f>
        <v>0</v>
      </c>
      <c r="C89" s="72">
        <f>Tabela4[[#This Row],[Mara Barichello]]</f>
        <v>0</v>
      </c>
      <c r="D89" s="72">
        <f>Tabela4[[#This Row],[Jandira Dutra]]</f>
        <v>0</v>
      </c>
      <c r="E89" s="72">
        <f>Tabela4[[#This Row],[Luiz Fernando Kruger]]</f>
        <v>0</v>
      </c>
      <c r="F89" s="72">
        <f>SUM(Tabela4[[#This Row],[Paulo Bohn - 01]:[Paulo Bohn - 04]])</f>
        <v>0</v>
      </c>
      <c r="G89" s="72">
        <f>Tabela4[[#This Row],[Analia (Clodoaldo Entre-Ijuis)]]</f>
        <v>0</v>
      </c>
      <c r="H89" s="72">
        <f>Tabela4[[#This Row],[Biroh]]</f>
        <v>0</v>
      </c>
      <c r="I89" s="72">
        <f>Tabela4[[#This Row],[Gelson Posser]]</f>
        <v>0</v>
      </c>
      <c r="J89" s="72">
        <f>Tabela4[[#This Row],[Supermercado Caryone]]</f>
        <v>0</v>
      </c>
      <c r="K89" s="72">
        <f>Tabela4[[#This Row],[Ernani Minetto]]</f>
        <v>0</v>
      </c>
      <c r="L89" s="72">
        <f>Tabela4[[#This Row],[Jair Moscon]]</f>
        <v>0</v>
      </c>
      <c r="M89" s="72">
        <f>SUM(Tabela4[[#This Row],[Fabio Milke - 01]:[Fabio Milke - 02]])</f>
        <v>0</v>
      </c>
      <c r="N89" s="72">
        <f>Tabela4[[#This Row],[Piaia]]</f>
        <v>0</v>
      </c>
      <c r="O89" s="72">
        <f>Tabela4[[#This Row],[Osmar Veronese]]</f>
        <v>0</v>
      </c>
      <c r="P89" s="72">
        <f>Tabela4[[#This Row],[ José Luiz Moraes]]</f>
        <v>0</v>
      </c>
      <c r="Q89" s="72">
        <f>Tabela4[[#This Row],[Supermercado Cripy]]</f>
        <v>0</v>
      </c>
      <c r="R89" s="72">
        <f>Tabela4[[#This Row],[Gláucio Lipski (Giruá)]]</f>
        <v>0</v>
      </c>
      <c r="S89" s="72">
        <f>Tabela4[[#This Row],[Contri]]</f>
        <v>0</v>
      </c>
      <c r="T89" s="72">
        <f>Tabela4[[#This Row],[Cleci Rubi]]</f>
        <v>0</v>
      </c>
      <c r="U89" s="72">
        <f>Tabela4[[#This Row],[Betine Rost]]</f>
        <v>0</v>
      </c>
      <c r="V89" s="72">
        <f>SUM(Tabela4[[#This Row],[Robinson Fetter - 01]:[Robinson Fetter - 03]])</f>
        <v>0</v>
      </c>
      <c r="W89" s="72">
        <f>Tabela4[[#This Row],[Fabio De Moura]]</f>
        <v>0</v>
      </c>
      <c r="X89" s="72">
        <f>Tabela4[[#This Row],[Rochele Santos Moraes]]</f>
        <v>0</v>
      </c>
      <c r="Y89" s="72">
        <f>Tabela4[[#This Row],[Auto Posto Kairã]]</f>
        <v>0</v>
      </c>
      <c r="Z89" s="72">
        <f>Tabela4[[#This Row],[Erno Schiefelbain]]</f>
        <v>0</v>
      </c>
      <c r="AA89" s="72">
        <f>Tabela4[[#This Row],[José Paulo Backes]]</f>
        <v>0</v>
      </c>
      <c r="AB89" s="72">
        <f>Tabela4[[#This Row],[Gelso Tofolo]]</f>
        <v>0</v>
      </c>
      <c r="AC89" s="72">
        <f>Tabela4[[#This Row],[Diamantino]]</f>
        <v>0</v>
      </c>
      <c r="AD89" s="72">
        <f>Tabela4[[#This Row],[Mercado Bueno]]</f>
        <v>0</v>
      </c>
      <c r="AE89" s="72">
        <f>Tabela4[[#This Row],[Daniela Donadel Massalai]]</f>
        <v>0</v>
      </c>
      <c r="AF89" s="72">
        <f>Tabela4[[#This Row],[Comercio De Moto Peças Irmãos Guarani Ltda]]</f>
        <v>0</v>
      </c>
      <c r="AG89" s="72">
        <f>Tabela4[[#This Row],[Mauricio Luis Lunardi]]</f>
        <v>0</v>
      </c>
      <c r="AH89" s="72">
        <f>Tabela4[[#This Row],[Rosa Maria Restle Radunz]]</f>
        <v>0</v>
      </c>
      <c r="AI89" s="72">
        <f>Tabela4[[#This Row],[Ivo Amaral De Oliveira]]</f>
        <v>0</v>
      </c>
      <c r="AJ89" s="72">
        <f>Tabela4[[#This Row],[Silvio Robert Lemos Avila]]</f>
        <v>0</v>
      </c>
      <c r="AK89" s="72">
        <f>Tabela4[[#This Row],[Eldo Rost]]</f>
        <v>0</v>
      </c>
      <c r="AL89" s="72">
        <f>SUM(Tabela4[[#This Row],[Padaria Avenida - 01]:[Padaria Avenida - 02]])</f>
        <v>0</v>
      </c>
      <c r="AM89" s="72">
        <f>Tabela4[[#This Row],[Cristiano Anshau]]</f>
        <v>0</v>
      </c>
      <c r="AN89" s="72">
        <f>Tabela4[[#This Row],[Luciana Claudete Meirelles Correa]]</f>
        <v>0</v>
      </c>
      <c r="AO89" s="72">
        <f>Tabela4[[#This Row],[Marcio Jose Siqueira]]</f>
        <v>0</v>
      </c>
      <c r="AP89" s="72">
        <f>Tabela4[[#This Row],[Marcos Rogerio Kessler]]</f>
        <v>0</v>
      </c>
      <c r="AQ89" s="72">
        <f>SUM(Tabela4[[#This Row],[AABB - 01]:[AABB - 02]])</f>
        <v>0</v>
      </c>
      <c r="AR89" s="72">
        <f>SUM(Tabela4[[#This Row],[Wanda Burkard - 01]:[Wanda Burkard - 02]])</f>
        <v>0</v>
      </c>
      <c r="AS89" s="72">
        <f>Tabela4[[#This Row],[Silvio Robert Lemos Avila Me]]</f>
        <v>0</v>
      </c>
      <c r="AT89" s="72">
        <f>Tabela4[[#This Row],[Carmelo]]</f>
        <v>0</v>
      </c>
      <c r="AU89" s="72">
        <f>Tabela4[[#This Row],[Antonio Dal Forno]]</f>
        <v>0</v>
      </c>
      <c r="AV89" s="72">
        <f>Tabela4[[#This Row],[Marisane Paulus]]</f>
        <v>0</v>
      </c>
      <c r="AW89" s="72">
        <f>Tabela4[[#This Row],[Segatto Ceretta Ltda]]</f>
        <v>0</v>
      </c>
      <c r="AX89" s="72">
        <f>SUM(Tabela4[[#This Row],[APAE - 01]:[APAE - 02]])</f>
        <v>0</v>
      </c>
      <c r="AY89" s="72">
        <f>Tabela4[[#This Row],[Cássio Burin]]</f>
        <v>0</v>
      </c>
      <c r="AZ89" s="72">
        <f>Tabela4[[#This Row],[Patrick Kristoschek Da Silva]]</f>
        <v>0</v>
      </c>
      <c r="BA89" s="72">
        <f>Tabela4[[#This Row],[Silvio Robert Ávila - (Valmir)]]</f>
        <v>0</v>
      </c>
      <c r="BB89" s="72">
        <f>Tabela4[[#This Row],[Zederson Jose Della Flora]]</f>
        <v>0</v>
      </c>
      <c r="BC89" s="72">
        <f>Tabela4[[#This Row],[Carlos Walmir Larsão Rolim]]</f>
        <v>0</v>
      </c>
      <c r="BD89" s="72">
        <f>Tabela4[[#This Row],[Danieli Missio]]</f>
        <v>0</v>
      </c>
      <c r="BE89" s="72">
        <f>Tabela4[[#This Row],[José Vasconcellos]]</f>
        <v>0</v>
      </c>
      <c r="BF89" s="72">
        <f>Tabela4[[#This Row],[Linho Lev Alimentos]]</f>
        <v>0</v>
      </c>
      <c r="BG89" s="72">
        <f>Tabela4[[#This Row],[Ernani Czapla]]</f>
        <v>0</v>
      </c>
      <c r="BH89" s="72">
        <f>Tabela4[[#This Row],[Valesca Da Luz]]</f>
        <v>0</v>
      </c>
      <c r="BI89" s="72">
        <f>Tabela4[[#This Row],[Olavo Mildner]]</f>
        <v>0</v>
      </c>
      <c r="BJ89" s="72">
        <f>Tabela4[[#This Row],[Dilnei Rohled]]</f>
        <v>0</v>
      </c>
      <c r="BK89" s="72">
        <f>Tabela4[[#This Row],[Shaiana Signorini]]</f>
        <v>0</v>
      </c>
      <c r="BL89" s="72">
        <f>Tabela4[[#This Row],[Fonse Atacado]]</f>
        <v>0</v>
      </c>
      <c r="BM89" s="72">
        <f>Tabela4[[#This Row],[Comercial de Alimentos]]</f>
        <v>0</v>
      </c>
      <c r="BN89" s="72">
        <f>Tabela4[[#This Row],[Ivone Kasburg Serralheria]]</f>
        <v>0</v>
      </c>
      <c r="BO89" s="72">
        <f>Tabela4[[#This Row],[Mercado Ceretta]]</f>
        <v>0</v>
      </c>
      <c r="BP89" s="72">
        <f>Tabela4[[#This Row],[Antonio Carlos Dos Santos Pereira]]</f>
        <v>0</v>
      </c>
      <c r="BQ89" s="72">
        <f>Tabela4[[#This Row],[Volnei Lemos Avila - Me]]</f>
        <v>0</v>
      </c>
      <c r="BR89" s="72">
        <f>Tabela4[[#This Row],[Silvana Meneghini]]</f>
        <v>0</v>
      </c>
      <c r="BS89" s="72">
        <f>Tabela4[[#This Row],[Eficaz Engenharia Ltda]]</f>
        <v>0</v>
      </c>
      <c r="BT89" s="72">
        <f>SUM(Tabela4[[#Headers],[Tania Regina Schmaltz - 01]:[Tania Regina Schmaltz - 02]])</f>
        <v>0</v>
      </c>
      <c r="BU89" s="72">
        <f>Tabela4[[#This Row],[Camila Ceretta Segatto]]</f>
        <v>0</v>
      </c>
      <c r="BV89" s="72">
        <f>Tabela4[[#This Row],[Vagner Ribas Dos Santos]]</f>
        <v>0</v>
      </c>
      <c r="BW89" s="72">
        <f>Tabela4[[#This Row],[Claudio Alfredo Konrat]]</f>
        <v>0</v>
      </c>
    </row>
    <row r="90" spans="1:75" x14ac:dyDescent="0.25">
      <c r="A90" s="70">
        <v>45778</v>
      </c>
      <c r="B90" s="72">
        <f>SUM(Tabela4[[#This Row],[Marlon Colovini - 01]:[Marlon Colovini - 02]])</f>
        <v>0</v>
      </c>
      <c r="C90" s="72">
        <f>Tabela4[[#This Row],[Mara Barichello]]</f>
        <v>0</v>
      </c>
      <c r="D90" s="72">
        <f>Tabela4[[#This Row],[Jandira Dutra]]</f>
        <v>0</v>
      </c>
      <c r="E90" s="72">
        <f>Tabela4[[#This Row],[Luiz Fernando Kruger]]</f>
        <v>0</v>
      </c>
      <c r="F90" s="72">
        <f>SUM(Tabela4[[#This Row],[Paulo Bohn - 01]:[Paulo Bohn - 04]])</f>
        <v>0</v>
      </c>
      <c r="G90" s="72">
        <f>Tabela4[[#This Row],[Analia (Clodoaldo Entre-Ijuis)]]</f>
        <v>0</v>
      </c>
      <c r="H90" s="72">
        <f>Tabela4[[#This Row],[Biroh]]</f>
        <v>0</v>
      </c>
      <c r="I90" s="72">
        <f>Tabela4[[#This Row],[Gelson Posser]]</f>
        <v>0</v>
      </c>
      <c r="J90" s="72">
        <f>Tabela4[[#This Row],[Supermercado Caryone]]</f>
        <v>0</v>
      </c>
      <c r="K90" s="72">
        <f>Tabela4[[#This Row],[Ernani Minetto]]</f>
        <v>0</v>
      </c>
      <c r="L90" s="72">
        <f>Tabela4[[#This Row],[Jair Moscon]]</f>
        <v>0</v>
      </c>
      <c r="M90" s="72">
        <f>SUM(Tabela4[[#This Row],[Fabio Milke - 01]:[Fabio Milke - 02]])</f>
        <v>0</v>
      </c>
      <c r="N90" s="72">
        <f>Tabela4[[#This Row],[Piaia]]</f>
        <v>0</v>
      </c>
      <c r="O90" s="72">
        <f>Tabela4[[#This Row],[Osmar Veronese]]</f>
        <v>0</v>
      </c>
      <c r="P90" s="72">
        <f>Tabela4[[#This Row],[ José Luiz Moraes]]</f>
        <v>0</v>
      </c>
      <c r="Q90" s="72">
        <f>Tabela4[[#This Row],[Supermercado Cripy]]</f>
        <v>0</v>
      </c>
      <c r="R90" s="72">
        <f>Tabela4[[#This Row],[Gláucio Lipski (Giruá)]]</f>
        <v>0</v>
      </c>
      <c r="S90" s="72">
        <f>Tabela4[[#This Row],[Contri]]</f>
        <v>0</v>
      </c>
      <c r="T90" s="72">
        <f>Tabela4[[#This Row],[Cleci Rubi]]</f>
        <v>0</v>
      </c>
      <c r="U90" s="72">
        <f>Tabela4[[#This Row],[Betine Rost]]</f>
        <v>0</v>
      </c>
      <c r="V90" s="72">
        <f>SUM(Tabela4[[#This Row],[Robinson Fetter - 01]:[Robinson Fetter - 03]])</f>
        <v>0</v>
      </c>
      <c r="W90" s="72">
        <f>Tabela4[[#This Row],[Fabio De Moura]]</f>
        <v>0</v>
      </c>
      <c r="X90" s="72">
        <f>Tabela4[[#This Row],[Rochele Santos Moraes]]</f>
        <v>0</v>
      </c>
      <c r="Y90" s="72">
        <f>Tabela4[[#This Row],[Auto Posto Kairã]]</f>
        <v>0</v>
      </c>
      <c r="Z90" s="72">
        <f>Tabela4[[#This Row],[Erno Schiefelbain]]</f>
        <v>0</v>
      </c>
      <c r="AA90" s="72">
        <f>Tabela4[[#This Row],[José Paulo Backes]]</f>
        <v>0</v>
      </c>
      <c r="AB90" s="72">
        <f>Tabela4[[#This Row],[Gelso Tofolo]]</f>
        <v>0</v>
      </c>
      <c r="AC90" s="72">
        <f>Tabela4[[#This Row],[Diamantino]]</f>
        <v>0</v>
      </c>
      <c r="AD90" s="72">
        <f>Tabela4[[#This Row],[Mercado Bueno]]</f>
        <v>0</v>
      </c>
      <c r="AE90" s="72">
        <f>Tabela4[[#This Row],[Daniela Donadel Massalai]]</f>
        <v>0</v>
      </c>
      <c r="AF90" s="72">
        <f>Tabela4[[#This Row],[Comercio De Moto Peças Irmãos Guarani Ltda]]</f>
        <v>0</v>
      </c>
      <c r="AG90" s="72">
        <f>Tabela4[[#This Row],[Mauricio Luis Lunardi]]</f>
        <v>0</v>
      </c>
      <c r="AH90" s="72">
        <f>Tabela4[[#This Row],[Rosa Maria Restle Radunz]]</f>
        <v>0</v>
      </c>
      <c r="AI90" s="72">
        <f>Tabela4[[#This Row],[Ivo Amaral De Oliveira]]</f>
        <v>0</v>
      </c>
      <c r="AJ90" s="72">
        <f>Tabela4[[#This Row],[Silvio Robert Lemos Avila]]</f>
        <v>0</v>
      </c>
      <c r="AK90" s="72">
        <f>Tabela4[[#This Row],[Eldo Rost]]</f>
        <v>0</v>
      </c>
      <c r="AL90" s="72">
        <f>SUM(Tabela4[[#This Row],[Padaria Avenida - 01]:[Padaria Avenida - 02]])</f>
        <v>0</v>
      </c>
      <c r="AM90" s="72">
        <f>Tabela4[[#This Row],[Cristiano Anshau]]</f>
        <v>0</v>
      </c>
      <c r="AN90" s="72">
        <f>Tabela4[[#This Row],[Luciana Claudete Meirelles Correa]]</f>
        <v>0</v>
      </c>
      <c r="AO90" s="72">
        <f>Tabela4[[#This Row],[Marcio Jose Siqueira]]</f>
        <v>0</v>
      </c>
      <c r="AP90" s="72">
        <f>Tabela4[[#This Row],[Marcos Rogerio Kessler]]</f>
        <v>0</v>
      </c>
      <c r="AQ90" s="72">
        <f>SUM(Tabela4[[#This Row],[AABB - 01]:[AABB - 02]])</f>
        <v>0</v>
      </c>
      <c r="AR90" s="72">
        <f>SUM(Tabela4[[#This Row],[Wanda Burkard - 01]:[Wanda Burkard - 02]])</f>
        <v>0</v>
      </c>
      <c r="AS90" s="72">
        <f>Tabela4[[#This Row],[Silvio Robert Lemos Avila Me]]</f>
        <v>0</v>
      </c>
      <c r="AT90" s="72">
        <f>Tabela4[[#This Row],[Carmelo]]</f>
        <v>0</v>
      </c>
      <c r="AU90" s="72">
        <f>Tabela4[[#This Row],[Antonio Dal Forno]]</f>
        <v>0</v>
      </c>
      <c r="AV90" s="72">
        <f>Tabela4[[#This Row],[Marisane Paulus]]</f>
        <v>0</v>
      </c>
      <c r="AW90" s="72">
        <f>Tabela4[[#This Row],[Segatto Ceretta Ltda]]</f>
        <v>0</v>
      </c>
      <c r="AX90" s="72">
        <f>SUM(Tabela4[[#This Row],[APAE - 01]:[APAE - 02]])</f>
        <v>0</v>
      </c>
      <c r="AY90" s="72">
        <f>Tabela4[[#This Row],[Cássio Burin]]</f>
        <v>0</v>
      </c>
      <c r="AZ90" s="72">
        <f>Tabela4[[#This Row],[Patrick Kristoschek Da Silva]]</f>
        <v>0</v>
      </c>
      <c r="BA90" s="72">
        <f>Tabela4[[#This Row],[Silvio Robert Ávila - (Valmir)]]</f>
        <v>0</v>
      </c>
      <c r="BB90" s="72">
        <f>Tabela4[[#This Row],[Zederson Jose Della Flora]]</f>
        <v>0</v>
      </c>
      <c r="BC90" s="72">
        <f>Tabela4[[#This Row],[Carlos Walmir Larsão Rolim]]</f>
        <v>0</v>
      </c>
      <c r="BD90" s="72">
        <f>Tabela4[[#This Row],[Danieli Missio]]</f>
        <v>0</v>
      </c>
      <c r="BE90" s="72">
        <f>Tabela4[[#This Row],[José Vasconcellos]]</f>
        <v>0</v>
      </c>
      <c r="BF90" s="72">
        <f>Tabela4[[#This Row],[Linho Lev Alimentos]]</f>
        <v>0</v>
      </c>
      <c r="BG90" s="72">
        <f>Tabela4[[#This Row],[Ernani Czapla]]</f>
        <v>0</v>
      </c>
      <c r="BH90" s="72">
        <f>Tabela4[[#This Row],[Valesca Da Luz]]</f>
        <v>0</v>
      </c>
      <c r="BI90" s="72">
        <f>Tabela4[[#This Row],[Olavo Mildner]]</f>
        <v>0</v>
      </c>
      <c r="BJ90" s="72">
        <f>Tabela4[[#This Row],[Dilnei Rohled]]</f>
        <v>0</v>
      </c>
      <c r="BK90" s="72">
        <f>Tabela4[[#This Row],[Shaiana Signorini]]</f>
        <v>0</v>
      </c>
      <c r="BL90" s="72">
        <f>Tabela4[[#This Row],[Fonse Atacado]]</f>
        <v>0</v>
      </c>
      <c r="BM90" s="72">
        <f>Tabela4[[#This Row],[Comercial de Alimentos]]</f>
        <v>0</v>
      </c>
      <c r="BN90" s="72">
        <f>Tabela4[[#This Row],[Ivone Kasburg Serralheria]]</f>
        <v>0</v>
      </c>
      <c r="BO90" s="72">
        <f>Tabela4[[#This Row],[Mercado Ceretta]]</f>
        <v>0</v>
      </c>
      <c r="BP90" s="72">
        <f>Tabela4[[#This Row],[Antonio Carlos Dos Santos Pereira]]</f>
        <v>0</v>
      </c>
      <c r="BQ90" s="72">
        <f>Tabela4[[#This Row],[Volnei Lemos Avila - Me]]</f>
        <v>0</v>
      </c>
      <c r="BR90" s="72">
        <f>Tabela4[[#This Row],[Silvana Meneghini]]</f>
        <v>0</v>
      </c>
      <c r="BS90" s="72">
        <f>Tabela4[[#This Row],[Eficaz Engenharia Ltda]]</f>
        <v>0</v>
      </c>
      <c r="BT90" s="72">
        <f>SUM(Tabela4[[#Headers],[Tania Regina Schmaltz - 01]:[Tania Regina Schmaltz - 02]])</f>
        <v>0</v>
      </c>
      <c r="BU90" s="72">
        <f>Tabela4[[#This Row],[Camila Ceretta Segatto]]</f>
        <v>0</v>
      </c>
      <c r="BV90" s="72">
        <f>Tabela4[[#This Row],[Vagner Ribas Dos Santos]]</f>
        <v>0</v>
      </c>
      <c r="BW90" s="72">
        <f>Tabela4[[#This Row],[Claudio Alfredo Konrat]]</f>
        <v>0</v>
      </c>
    </row>
    <row r="91" spans="1:75" x14ac:dyDescent="0.25">
      <c r="A91" s="70">
        <v>45809</v>
      </c>
      <c r="B91" s="72">
        <f>SUM(Tabela4[[#This Row],[Marlon Colovini - 01]:[Marlon Colovini - 02]])</f>
        <v>0</v>
      </c>
      <c r="C91" s="72">
        <f>Tabela4[[#This Row],[Mara Barichello]]</f>
        <v>0</v>
      </c>
      <c r="D91" s="72">
        <f>Tabela4[[#This Row],[Jandira Dutra]]</f>
        <v>0</v>
      </c>
      <c r="E91" s="72">
        <f>Tabela4[[#This Row],[Luiz Fernando Kruger]]</f>
        <v>0</v>
      </c>
      <c r="F91" s="72">
        <f>SUM(Tabela4[[#This Row],[Paulo Bohn - 01]:[Paulo Bohn - 04]])</f>
        <v>0</v>
      </c>
      <c r="G91" s="72">
        <f>Tabela4[[#This Row],[Analia (Clodoaldo Entre-Ijuis)]]</f>
        <v>0</v>
      </c>
      <c r="H91" s="72">
        <f>Tabela4[[#This Row],[Biroh]]</f>
        <v>0</v>
      </c>
      <c r="I91" s="72">
        <f>Tabela4[[#This Row],[Gelson Posser]]</f>
        <v>0</v>
      </c>
      <c r="J91" s="72">
        <f>Tabela4[[#This Row],[Supermercado Caryone]]</f>
        <v>0</v>
      </c>
      <c r="K91" s="72">
        <f>Tabela4[[#This Row],[Ernani Minetto]]</f>
        <v>0</v>
      </c>
      <c r="L91" s="72">
        <f>Tabela4[[#This Row],[Jair Moscon]]</f>
        <v>0</v>
      </c>
      <c r="M91" s="72">
        <f>SUM(Tabela4[[#This Row],[Fabio Milke - 01]:[Fabio Milke - 02]])</f>
        <v>0</v>
      </c>
      <c r="N91" s="72">
        <f>Tabela4[[#This Row],[Piaia]]</f>
        <v>0</v>
      </c>
      <c r="O91" s="72">
        <f>Tabela4[[#This Row],[Osmar Veronese]]</f>
        <v>0</v>
      </c>
      <c r="P91" s="72">
        <f>Tabela4[[#This Row],[ José Luiz Moraes]]</f>
        <v>0</v>
      </c>
      <c r="Q91" s="72">
        <f>Tabela4[[#This Row],[Supermercado Cripy]]</f>
        <v>0</v>
      </c>
      <c r="R91" s="72">
        <f>Tabela4[[#This Row],[Gláucio Lipski (Giruá)]]</f>
        <v>0</v>
      </c>
      <c r="S91" s="72">
        <f>Tabela4[[#This Row],[Contri]]</f>
        <v>0</v>
      </c>
      <c r="T91" s="72">
        <f>Tabela4[[#This Row],[Cleci Rubi]]</f>
        <v>0</v>
      </c>
      <c r="U91" s="72">
        <f>Tabela4[[#This Row],[Betine Rost]]</f>
        <v>0</v>
      </c>
      <c r="V91" s="72">
        <f>SUM(Tabela4[[#This Row],[Robinson Fetter - 01]:[Robinson Fetter - 03]])</f>
        <v>0</v>
      </c>
      <c r="W91" s="72">
        <f>Tabela4[[#This Row],[Fabio De Moura]]</f>
        <v>0</v>
      </c>
      <c r="X91" s="72">
        <f>Tabela4[[#This Row],[Rochele Santos Moraes]]</f>
        <v>0</v>
      </c>
      <c r="Y91" s="72">
        <f>Tabela4[[#This Row],[Auto Posto Kairã]]</f>
        <v>0</v>
      </c>
      <c r="Z91" s="72">
        <f>Tabela4[[#This Row],[Erno Schiefelbain]]</f>
        <v>0</v>
      </c>
      <c r="AA91" s="72">
        <f>Tabela4[[#This Row],[José Paulo Backes]]</f>
        <v>0</v>
      </c>
      <c r="AB91" s="72">
        <f>Tabela4[[#This Row],[Gelso Tofolo]]</f>
        <v>0</v>
      </c>
      <c r="AC91" s="72">
        <f>Tabela4[[#This Row],[Diamantino]]</f>
        <v>0</v>
      </c>
      <c r="AD91" s="72">
        <f>Tabela4[[#This Row],[Mercado Bueno]]</f>
        <v>0</v>
      </c>
      <c r="AE91" s="72">
        <f>Tabela4[[#This Row],[Daniela Donadel Massalai]]</f>
        <v>0</v>
      </c>
      <c r="AF91" s="72">
        <f>Tabela4[[#This Row],[Comercio De Moto Peças Irmãos Guarani Ltda]]</f>
        <v>0</v>
      </c>
      <c r="AG91" s="72">
        <f>Tabela4[[#This Row],[Mauricio Luis Lunardi]]</f>
        <v>0</v>
      </c>
      <c r="AH91" s="72">
        <f>Tabela4[[#This Row],[Rosa Maria Restle Radunz]]</f>
        <v>0</v>
      </c>
      <c r="AI91" s="72">
        <f>Tabela4[[#This Row],[Ivo Amaral De Oliveira]]</f>
        <v>0</v>
      </c>
      <c r="AJ91" s="72">
        <f>Tabela4[[#This Row],[Silvio Robert Lemos Avila]]</f>
        <v>0</v>
      </c>
      <c r="AK91" s="72">
        <f>Tabela4[[#This Row],[Eldo Rost]]</f>
        <v>0</v>
      </c>
      <c r="AL91" s="72">
        <f>SUM(Tabela4[[#This Row],[Padaria Avenida - 01]:[Padaria Avenida - 02]])</f>
        <v>0</v>
      </c>
      <c r="AM91" s="72">
        <f>Tabela4[[#This Row],[Cristiano Anshau]]</f>
        <v>0</v>
      </c>
      <c r="AN91" s="72">
        <f>Tabela4[[#This Row],[Luciana Claudete Meirelles Correa]]</f>
        <v>0</v>
      </c>
      <c r="AO91" s="72">
        <f>Tabela4[[#This Row],[Marcio Jose Siqueira]]</f>
        <v>0</v>
      </c>
      <c r="AP91" s="72">
        <f>Tabela4[[#This Row],[Marcos Rogerio Kessler]]</f>
        <v>0</v>
      </c>
      <c r="AQ91" s="72">
        <f>SUM(Tabela4[[#This Row],[AABB - 01]:[AABB - 02]])</f>
        <v>0</v>
      </c>
      <c r="AR91" s="72">
        <f>SUM(Tabela4[[#This Row],[Wanda Burkard - 01]:[Wanda Burkard - 02]])</f>
        <v>0</v>
      </c>
      <c r="AS91" s="72">
        <f>Tabela4[[#This Row],[Silvio Robert Lemos Avila Me]]</f>
        <v>0</v>
      </c>
      <c r="AT91" s="72">
        <f>Tabela4[[#This Row],[Carmelo]]</f>
        <v>0</v>
      </c>
      <c r="AU91" s="72">
        <f>Tabela4[[#This Row],[Antonio Dal Forno]]</f>
        <v>0</v>
      </c>
      <c r="AV91" s="72">
        <f>Tabela4[[#This Row],[Marisane Paulus]]</f>
        <v>0</v>
      </c>
      <c r="AW91" s="72">
        <f>Tabela4[[#This Row],[Segatto Ceretta Ltda]]</f>
        <v>0</v>
      </c>
      <c r="AX91" s="72">
        <f>SUM(Tabela4[[#This Row],[APAE - 01]:[APAE - 02]])</f>
        <v>0</v>
      </c>
      <c r="AY91" s="72">
        <f>Tabela4[[#This Row],[Cássio Burin]]</f>
        <v>0</v>
      </c>
      <c r="AZ91" s="72">
        <f>Tabela4[[#This Row],[Patrick Kristoschek Da Silva]]</f>
        <v>0</v>
      </c>
      <c r="BA91" s="72">
        <f>Tabela4[[#This Row],[Silvio Robert Ávila - (Valmir)]]</f>
        <v>0</v>
      </c>
      <c r="BB91" s="72">
        <f>Tabela4[[#This Row],[Zederson Jose Della Flora]]</f>
        <v>0</v>
      </c>
      <c r="BC91" s="72">
        <f>Tabela4[[#This Row],[Carlos Walmir Larsão Rolim]]</f>
        <v>0</v>
      </c>
      <c r="BD91" s="72">
        <f>Tabela4[[#This Row],[Danieli Missio]]</f>
        <v>0</v>
      </c>
      <c r="BE91" s="72">
        <f>Tabela4[[#This Row],[José Vasconcellos]]</f>
        <v>0</v>
      </c>
      <c r="BF91" s="72">
        <f>Tabela4[[#This Row],[Linho Lev Alimentos]]</f>
        <v>0</v>
      </c>
      <c r="BG91" s="72">
        <f>Tabela4[[#This Row],[Ernani Czapla]]</f>
        <v>0</v>
      </c>
      <c r="BH91" s="72">
        <f>Tabela4[[#This Row],[Valesca Da Luz]]</f>
        <v>0</v>
      </c>
      <c r="BI91" s="72">
        <f>Tabela4[[#This Row],[Olavo Mildner]]</f>
        <v>0</v>
      </c>
      <c r="BJ91" s="72">
        <f>Tabela4[[#This Row],[Dilnei Rohled]]</f>
        <v>0</v>
      </c>
      <c r="BK91" s="72">
        <f>Tabela4[[#This Row],[Shaiana Signorini]]</f>
        <v>0</v>
      </c>
      <c r="BL91" s="72">
        <f>Tabela4[[#This Row],[Fonse Atacado]]</f>
        <v>0</v>
      </c>
      <c r="BM91" s="72">
        <f>Tabela4[[#This Row],[Comercial de Alimentos]]</f>
        <v>0</v>
      </c>
      <c r="BN91" s="72">
        <f>Tabela4[[#This Row],[Ivone Kasburg Serralheria]]</f>
        <v>0</v>
      </c>
      <c r="BO91" s="72">
        <f>Tabela4[[#This Row],[Mercado Ceretta]]</f>
        <v>0</v>
      </c>
      <c r="BP91" s="72">
        <f>Tabela4[[#This Row],[Antonio Carlos Dos Santos Pereira]]</f>
        <v>0</v>
      </c>
      <c r="BQ91" s="72">
        <f>Tabela4[[#This Row],[Volnei Lemos Avila - Me]]</f>
        <v>0</v>
      </c>
      <c r="BR91" s="72">
        <f>Tabela4[[#This Row],[Silvana Meneghini]]</f>
        <v>0</v>
      </c>
      <c r="BS91" s="72">
        <f>Tabela4[[#This Row],[Eficaz Engenharia Ltda]]</f>
        <v>0</v>
      </c>
      <c r="BT91" s="72">
        <f>SUM(Tabela4[[#Headers],[Tania Regina Schmaltz - 01]:[Tania Regina Schmaltz - 02]])</f>
        <v>0</v>
      </c>
      <c r="BU91" s="72">
        <f>Tabela4[[#This Row],[Camila Ceretta Segatto]]</f>
        <v>0</v>
      </c>
      <c r="BV91" s="72">
        <f>Tabela4[[#This Row],[Vagner Ribas Dos Santos]]</f>
        <v>0</v>
      </c>
      <c r="BW91" s="72">
        <f>Tabela4[[#This Row],[Claudio Alfredo Konrat]]</f>
        <v>0</v>
      </c>
    </row>
    <row r="92" spans="1:75" x14ac:dyDescent="0.25">
      <c r="A92" s="70">
        <v>45839</v>
      </c>
      <c r="B92" s="72">
        <f>SUM(Tabela4[[#This Row],[Marlon Colovini - 01]:[Marlon Colovini - 02]])</f>
        <v>0</v>
      </c>
      <c r="C92" s="72">
        <f>Tabela4[[#This Row],[Mara Barichello]]</f>
        <v>0</v>
      </c>
      <c r="D92" s="72">
        <f>Tabela4[[#This Row],[Jandira Dutra]]</f>
        <v>0</v>
      </c>
      <c r="E92" s="72">
        <f>Tabela4[[#This Row],[Luiz Fernando Kruger]]</f>
        <v>0</v>
      </c>
      <c r="F92" s="72">
        <f>SUM(Tabela4[[#This Row],[Paulo Bohn - 01]:[Paulo Bohn - 04]])</f>
        <v>0</v>
      </c>
      <c r="G92" s="72">
        <f>Tabela4[[#This Row],[Analia (Clodoaldo Entre-Ijuis)]]</f>
        <v>0</v>
      </c>
      <c r="H92" s="72">
        <f>Tabela4[[#This Row],[Biroh]]</f>
        <v>0</v>
      </c>
      <c r="I92" s="72">
        <f>Tabela4[[#This Row],[Gelson Posser]]</f>
        <v>0</v>
      </c>
      <c r="J92" s="72">
        <f>Tabela4[[#This Row],[Supermercado Caryone]]</f>
        <v>0</v>
      </c>
      <c r="K92" s="72">
        <f>Tabela4[[#This Row],[Ernani Minetto]]</f>
        <v>0</v>
      </c>
      <c r="L92" s="72">
        <f>Tabela4[[#This Row],[Jair Moscon]]</f>
        <v>0</v>
      </c>
      <c r="M92" s="72">
        <f>SUM(Tabela4[[#This Row],[Fabio Milke - 01]:[Fabio Milke - 02]])</f>
        <v>0</v>
      </c>
      <c r="N92" s="72">
        <f>Tabela4[[#This Row],[Piaia]]</f>
        <v>0</v>
      </c>
      <c r="O92" s="72">
        <f>Tabela4[[#This Row],[Osmar Veronese]]</f>
        <v>0</v>
      </c>
      <c r="P92" s="72">
        <f>Tabela4[[#This Row],[ José Luiz Moraes]]</f>
        <v>0</v>
      </c>
      <c r="Q92" s="72">
        <f>Tabela4[[#This Row],[Supermercado Cripy]]</f>
        <v>0</v>
      </c>
      <c r="R92" s="72">
        <f>Tabela4[[#This Row],[Gláucio Lipski (Giruá)]]</f>
        <v>0</v>
      </c>
      <c r="S92" s="72">
        <f>Tabela4[[#This Row],[Contri]]</f>
        <v>0</v>
      </c>
      <c r="T92" s="72">
        <f>Tabela4[[#This Row],[Cleci Rubi]]</f>
        <v>0</v>
      </c>
      <c r="U92" s="72">
        <f>Tabela4[[#This Row],[Betine Rost]]</f>
        <v>0</v>
      </c>
      <c r="V92" s="72">
        <f>SUM(Tabela4[[#This Row],[Robinson Fetter - 01]:[Robinson Fetter - 03]])</f>
        <v>0</v>
      </c>
      <c r="W92" s="72">
        <f>Tabela4[[#This Row],[Fabio De Moura]]</f>
        <v>0</v>
      </c>
      <c r="X92" s="72">
        <f>Tabela4[[#This Row],[Rochele Santos Moraes]]</f>
        <v>0</v>
      </c>
      <c r="Y92" s="72">
        <f>Tabela4[[#This Row],[Auto Posto Kairã]]</f>
        <v>0</v>
      </c>
      <c r="Z92" s="72">
        <f>Tabela4[[#This Row],[Erno Schiefelbain]]</f>
        <v>0</v>
      </c>
      <c r="AA92" s="72">
        <f>Tabela4[[#This Row],[José Paulo Backes]]</f>
        <v>0</v>
      </c>
      <c r="AB92" s="72">
        <f>Tabela4[[#This Row],[Gelso Tofolo]]</f>
        <v>0</v>
      </c>
      <c r="AC92" s="72">
        <f>Tabela4[[#This Row],[Diamantino]]</f>
        <v>0</v>
      </c>
      <c r="AD92" s="72">
        <f>Tabela4[[#This Row],[Mercado Bueno]]</f>
        <v>0</v>
      </c>
      <c r="AE92" s="72">
        <f>Tabela4[[#This Row],[Daniela Donadel Massalai]]</f>
        <v>0</v>
      </c>
      <c r="AF92" s="72">
        <f>Tabela4[[#This Row],[Comercio De Moto Peças Irmãos Guarani Ltda]]</f>
        <v>0</v>
      </c>
      <c r="AG92" s="72">
        <f>Tabela4[[#This Row],[Mauricio Luis Lunardi]]</f>
        <v>0</v>
      </c>
      <c r="AH92" s="72">
        <f>Tabela4[[#This Row],[Rosa Maria Restle Radunz]]</f>
        <v>0</v>
      </c>
      <c r="AI92" s="72">
        <f>Tabela4[[#This Row],[Ivo Amaral De Oliveira]]</f>
        <v>0</v>
      </c>
      <c r="AJ92" s="72">
        <f>Tabela4[[#This Row],[Silvio Robert Lemos Avila]]</f>
        <v>0</v>
      </c>
      <c r="AK92" s="72">
        <f>Tabela4[[#This Row],[Eldo Rost]]</f>
        <v>0</v>
      </c>
      <c r="AL92" s="72">
        <f>SUM(Tabela4[[#This Row],[Padaria Avenida - 01]:[Padaria Avenida - 02]])</f>
        <v>0</v>
      </c>
      <c r="AM92" s="72">
        <f>Tabela4[[#This Row],[Cristiano Anshau]]</f>
        <v>0</v>
      </c>
      <c r="AN92" s="72">
        <f>Tabela4[[#This Row],[Luciana Claudete Meirelles Correa]]</f>
        <v>0</v>
      </c>
      <c r="AO92" s="72">
        <f>Tabela4[[#This Row],[Marcio Jose Siqueira]]</f>
        <v>0</v>
      </c>
      <c r="AP92" s="72">
        <f>Tabela4[[#This Row],[Marcos Rogerio Kessler]]</f>
        <v>0</v>
      </c>
      <c r="AQ92" s="72">
        <f>SUM(Tabela4[[#This Row],[AABB - 01]:[AABB - 02]])</f>
        <v>0</v>
      </c>
      <c r="AR92" s="72">
        <f>SUM(Tabela4[[#This Row],[Wanda Burkard - 01]:[Wanda Burkard - 02]])</f>
        <v>0</v>
      </c>
      <c r="AS92" s="72">
        <f>Tabela4[[#This Row],[Silvio Robert Lemos Avila Me]]</f>
        <v>0</v>
      </c>
      <c r="AT92" s="72">
        <f>Tabela4[[#This Row],[Carmelo]]</f>
        <v>0</v>
      </c>
      <c r="AU92" s="72">
        <f>Tabela4[[#This Row],[Antonio Dal Forno]]</f>
        <v>0</v>
      </c>
      <c r="AV92" s="72">
        <f>Tabela4[[#This Row],[Marisane Paulus]]</f>
        <v>0</v>
      </c>
      <c r="AW92" s="72">
        <f>Tabela4[[#This Row],[Segatto Ceretta Ltda]]</f>
        <v>0</v>
      </c>
      <c r="AX92" s="72">
        <f>SUM(Tabela4[[#This Row],[APAE - 01]:[APAE - 02]])</f>
        <v>0</v>
      </c>
      <c r="AY92" s="72">
        <f>Tabela4[[#This Row],[Cássio Burin]]</f>
        <v>0</v>
      </c>
      <c r="AZ92" s="72">
        <f>Tabela4[[#This Row],[Patrick Kristoschek Da Silva]]</f>
        <v>0</v>
      </c>
      <c r="BA92" s="72">
        <f>Tabela4[[#This Row],[Silvio Robert Ávila - (Valmir)]]</f>
        <v>0</v>
      </c>
      <c r="BB92" s="72">
        <f>Tabela4[[#This Row],[Zederson Jose Della Flora]]</f>
        <v>0</v>
      </c>
      <c r="BC92" s="72">
        <f>Tabela4[[#This Row],[Carlos Walmir Larsão Rolim]]</f>
        <v>0</v>
      </c>
      <c r="BD92" s="72">
        <f>Tabela4[[#This Row],[Danieli Missio]]</f>
        <v>0</v>
      </c>
      <c r="BE92" s="72">
        <f>Tabela4[[#This Row],[José Vasconcellos]]</f>
        <v>0</v>
      </c>
      <c r="BF92" s="72">
        <f>Tabela4[[#This Row],[Linho Lev Alimentos]]</f>
        <v>0</v>
      </c>
      <c r="BG92" s="72">
        <f>Tabela4[[#This Row],[Ernani Czapla]]</f>
        <v>0</v>
      </c>
      <c r="BH92" s="72">
        <f>Tabela4[[#This Row],[Valesca Da Luz]]</f>
        <v>0</v>
      </c>
      <c r="BI92" s="72">
        <f>Tabela4[[#This Row],[Olavo Mildner]]</f>
        <v>0</v>
      </c>
      <c r="BJ92" s="72">
        <f>Tabela4[[#This Row],[Dilnei Rohled]]</f>
        <v>0</v>
      </c>
      <c r="BK92" s="72">
        <f>Tabela4[[#This Row],[Shaiana Signorini]]</f>
        <v>0</v>
      </c>
      <c r="BL92" s="72">
        <f>Tabela4[[#This Row],[Fonse Atacado]]</f>
        <v>0</v>
      </c>
      <c r="BM92" s="72">
        <f>Tabela4[[#This Row],[Comercial de Alimentos]]</f>
        <v>0</v>
      </c>
      <c r="BN92" s="72">
        <f>Tabela4[[#This Row],[Ivone Kasburg Serralheria]]</f>
        <v>0</v>
      </c>
      <c r="BO92" s="72">
        <f>Tabela4[[#This Row],[Mercado Ceretta]]</f>
        <v>0</v>
      </c>
      <c r="BP92" s="72">
        <f>Tabela4[[#This Row],[Antonio Carlos Dos Santos Pereira]]</f>
        <v>0</v>
      </c>
      <c r="BQ92" s="72">
        <f>Tabela4[[#This Row],[Volnei Lemos Avila - Me]]</f>
        <v>0</v>
      </c>
      <c r="BR92" s="72">
        <f>Tabela4[[#This Row],[Silvana Meneghini]]</f>
        <v>0</v>
      </c>
      <c r="BS92" s="72">
        <f>Tabela4[[#This Row],[Eficaz Engenharia Ltda]]</f>
        <v>0</v>
      </c>
      <c r="BT92" s="72">
        <f>SUM(Tabela4[[#Headers],[Tania Regina Schmaltz - 01]:[Tania Regina Schmaltz - 02]])</f>
        <v>0</v>
      </c>
      <c r="BU92" s="72">
        <f>Tabela4[[#This Row],[Camila Ceretta Segatto]]</f>
        <v>0</v>
      </c>
      <c r="BV92" s="72">
        <f>Tabela4[[#This Row],[Vagner Ribas Dos Santos]]</f>
        <v>0</v>
      </c>
      <c r="BW92" s="72">
        <f>Tabela4[[#This Row],[Claudio Alfredo Konrat]]</f>
        <v>0</v>
      </c>
    </row>
    <row r="93" spans="1:75" x14ac:dyDescent="0.25">
      <c r="A93" s="70">
        <v>45870</v>
      </c>
      <c r="B93" s="72">
        <f>SUM(Tabela4[[#This Row],[Marlon Colovini - 01]:[Marlon Colovini - 02]])</f>
        <v>0</v>
      </c>
      <c r="C93" s="72">
        <f>Tabela4[[#This Row],[Mara Barichello]]</f>
        <v>0</v>
      </c>
      <c r="D93" s="72">
        <f>Tabela4[[#This Row],[Jandira Dutra]]</f>
        <v>0</v>
      </c>
      <c r="E93" s="72">
        <f>Tabela4[[#This Row],[Luiz Fernando Kruger]]</f>
        <v>0</v>
      </c>
      <c r="F93" s="72">
        <f>SUM(Tabela4[[#This Row],[Paulo Bohn - 01]:[Paulo Bohn - 04]])</f>
        <v>0</v>
      </c>
      <c r="G93" s="72">
        <f>Tabela4[[#This Row],[Analia (Clodoaldo Entre-Ijuis)]]</f>
        <v>0</v>
      </c>
      <c r="H93" s="72">
        <f>Tabela4[[#This Row],[Biroh]]</f>
        <v>0</v>
      </c>
      <c r="I93" s="72">
        <f>Tabela4[[#This Row],[Gelson Posser]]</f>
        <v>0</v>
      </c>
      <c r="J93" s="72">
        <f>Tabela4[[#This Row],[Supermercado Caryone]]</f>
        <v>0</v>
      </c>
      <c r="K93" s="72">
        <f>Tabela4[[#This Row],[Ernani Minetto]]</f>
        <v>0</v>
      </c>
      <c r="L93" s="72">
        <f>Tabela4[[#This Row],[Jair Moscon]]</f>
        <v>0</v>
      </c>
      <c r="M93" s="72">
        <f>SUM(Tabela4[[#This Row],[Fabio Milke - 01]:[Fabio Milke - 02]])</f>
        <v>0</v>
      </c>
      <c r="N93" s="72">
        <f>Tabela4[[#This Row],[Piaia]]</f>
        <v>0</v>
      </c>
      <c r="O93" s="72">
        <f>Tabela4[[#This Row],[Osmar Veronese]]</f>
        <v>0</v>
      </c>
      <c r="P93" s="72">
        <f>Tabela4[[#This Row],[ José Luiz Moraes]]</f>
        <v>0</v>
      </c>
      <c r="Q93" s="72">
        <f>Tabela4[[#This Row],[Supermercado Cripy]]</f>
        <v>0</v>
      </c>
      <c r="R93" s="72">
        <f>Tabela4[[#This Row],[Gláucio Lipski (Giruá)]]</f>
        <v>0</v>
      </c>
      <c r="S93" s="72">
        <f>Tabela4[[#This Row],[Contri]]</f>
        <v>0</v>
      </c>
      <c r="T93" s="72">
        <f>Tabela4[[#This Row],[Cleci Rubi]]</f>
        <v>0</v>
      </c>
      <c r="U93" s="72">
        <f>Tabela4[[#This Row],[Betine Rost]]</f>
        <v>0</v>
      </c>
      <c r="V93" s="72">
        <f>SUM(Tabela4[[#This Row],[Robinson Fetter - 01]:[Robinson Fetter - 03]])</f>
        <v>0</v>
      </c>
      <c r="W93" s="72">
        <f>Tabela4[[#This Row],[Fabio De Moura]]</f>
        <v>0</v>
      </c>
      <c r="X93" s="72">
        <f>Tabela4[[#This Row],[Rochele Santos Moraes]]</f>
        <v>0</v>
      </c>
      <c r="Y93" s="72">
        <f>Tabela4[[#This Row],[Auto Posto Kairã]]</f>
        <v>0</v>
      </c>
      <c r="Z93" s="72">
        <f>Tabela4[[#This Row],[Erno Schiefelbain]]</f>
        <v>0</v>
      </c>
      <c r="AA93" s="72">
        <f>Tabela4[[#This Row],[José Paulo Backes]]</f>
        <v>0</v>
      </c>
      <c r="AB93" s="72">
        <f>Tabela4[[#This Row],[Gelso Tofolo]]</f>
        <v>0</v>
      </c>
      <c r="AC93" s="72">
        <f>Tabela4[[#This Row],[Diamantino]]</f>
        <v>0</v>
      </c>
      <c r="AD93" s="72">
        <f>Tabela4[[#This Row],[Mercado Bueno]]</f>
        <v>0</v>
      </c>
      <c r="AE93" s="72">
        <f>Tabela4[[#This Row],[Daniela Donadel Massalai]]</f>
        <v>0</v>
      </c>
      <c r="AF93" s="72">
        <f>Tabela4[[#This Row],[Comercio De Moto Peças Irmãos Guarani Ltda]]</f>
        <v>0</v>
      </c>
      <c r="AG93" s="72">
        <f>Tabela4[[#This Row],[Mauricio Luis Lunardi]]</f>
        <v>0</v>
      </c>
      <c r="AH93" s="72">
        <f>Tabela4[[#This Row],[Rosa Maria Restle Radunz]]</f>
        <v>0</v>
      </c>
      <c r="AI93" s="72">
        <f>Tabela4[[#This Row],[Ivo Amaral De Oliveira]]</f>
        <v>0</v>
      </c>
      <c r="AJ93" s="72">
        <f>Tabela4[[#This Row],[Silvio Robert Lemos Avila]]</f>
        <v>0</v>
      </c>
      <c r="AK93" s="72">
        <f>Tabela4[[#This Row],[Eldo Rost]]</f>
        <v>0</v>
      </c>
      <c r="AL93" s="72">
        <f>SUM(Tabela4[[#This Row],[Padaria Avenida - 01]:[Padaria Avenida - 02]])</f>
        <v>0</v>
      </c>
      <c r="AM93" s="72">
        <f>Tabela4[[#This Row],[Cristiano Anshau]]</f>
        <v>0</v>
      </c>
      <c r="AN93" s="72">
        <f>Tabela4[[#This Row],[Luciana Claudete Meirelles Correa]]</f>
        <v>0</v>
      </c>
      <c r="AO93" s="72">
        <f>Tabela4[[#This Row],[Marcio Jose Siqueira]]</f>
        <v>0</v>
      </c>
      <c r="AP93" s="72">
        <f>Tabela4[[#This Row],[Marcos Rogerio Kessler]]</f>
        <v>0</v>
      </c>
      <c r="AQ93" s="72">
        <f>SUM(Tabela4[[#This Row],[AABB - 01]:[AABB - 02]])</f>
        <v>0</v>
      </c>
      <c r="AR93" s="72">
        <f>SUM(Tabela4[[#This Row],[Wanda Burkard - 01]:[Wanda Burkard - 02]])</f>
        <v>0</v>
      </c>
      <c r="AS93" s="72">
        <f>Tabela4[[#This Row],[Silvio Robert Lemos Avila Me]]</f>
        <v>0</v>
      </c>
      <c r="AT93" s="72">
        <f>Tabela4[[#This Row],[Carmelo]]</f>
        <v>0</v>
      </c>
      <c r="AU93" s="72">
        <f>Tabela4[[#This Row],[Antonio Dal Forno]]</f>
        <v>0</v>
      </c>
      <c r="AV93" s="72">
        <f>Tabela4[[#This Row],[Marisane Paulus]]</f>
        <v>0</v>
      </c>
      <c r="AW93" s="72">
        <f>Tabela4[[#This Row],[Segatto Ceretta Ltda]]</f>
        <v>0</v>
      </c>
      <c r="AX93" s="72">
        <f>SUM(Tabela4[[#This Row],[APAE - 01]:[APAE - 02]])</f>
        <v>0</v>
      </c>
      <c r="AY93" s="72">
        <f>Tabela4[[#This Row],[Cássio Burin]]</f>
        <v>0</v>
      </c>
      <c r="AZ93" s="72">
        <f>Tabela4[[#This Row],[Patrick Kristoschek Da Silva]]</f>
        <v>0</v>
      </c>
      <c r="BA93" s="72">
        <f>Tabela4[[#This Row],[Silvio Robert Ávila - (Valmir)]]</f>
        <v>0</v>
      </c>
      <c r="BB93" s="72">
        <f>Tabela4[[#This Row],[Zederson Jose Della Flora]]</f>
        <v>0</v>
      </c>
      <c r="BC93" s="72">
        <f>Tabela4[[#This Row],[Carlos Walmir Larsão Rolim]]</f>
        <v>0</v>
      </c>
      <c r="BD93" s="72">
        <f>Tabela4[[#This Row],[Danieli Missio]]</f>
        <v>0</v>
      </c>
      <c r="BE93" s="72">
        <f>Tabela4[[#This Row],[José Vasconcellos]]</f>
        <v>0</v>
      </c>
      <c r="BF93" s="72">
        <f>Tabela4[[#This Row],[Linho Lev Alimentos]]</f>
        <v>0</v>
      </c>
      <c r="BG93" s="72">
        <f>Tabela4[[#This Row],[Ernani Czapla]]</f>
        <v>0</v>
      </c>
      <c r="BH93" s="72">
        <f>Tabela4[[#This Row],[Valesca Da Luz]]</f>
        <v>0</v>
      </c>
      <c r="BI93" s="72">
        <f>Tabela4[[#This Row],[Olavo Mildner]]</f>
        <v>0</v>
      </c>
      <c r="BJ93" s="72">
        <f>Tabela4[[#This Row],[Dilnei Rohled]]</f>
        <v>0</v>
      </c>
      <c r="BK93" s="72">
        <f>Tabela4[[#This Row],[Shaiana Signorini]]</f>
        <v>0</v>
      </c>
      <c r="BL93" s="72">
        <f>Tabela4[[#This Row],[Fonse Atacado]]</f>
        <v>0</v>
      </c>
      <c r="BM93" s="72">
        <f>Tabela4[[#This Row],[Comercial de Alimentos]]</f>
        <v>0</v>
      </c>
      <c r="BN93" s="72">
        <f>Tabela4[[#This Row],[Ivone Kasburg Serralheria]]</f>
        <v>0</v>
      </c>
      <c r="BO93" s="72">
        <f>Tabela4[[#This Row],[Mercado Ceretta]]</f>
        <v>0</v>
      </c>
      <c r="BP93" s="72">
        <f>Tabela4[[#This Row],[Antonio Carlos Dos Santos Pereira]]</f>
        <v>0</v>
      </c>
      <c r="BQ93" s="72">
        <f>Tabela4[[#This Row],[Volnei Lemos Avila - Me]]</f>
        <v>0</v>
      </c>
      <c r="BR93" s="72">
        <f>Tabela4[[#This Row],[Silvana Meneghini]]</f>
        <v>0</v>
      </c>
      <c r="BS93" s="72">
        <f>Tabela4[[#This Row],[Eficaz Engenharia Ltda]]</f>
        <v>0</v>
      </c>
      <c r="BT93" s="72">
        <f>SUM(Tabela4[[#Headers],[Tania Regina Schmaltz - 01]:[Tania Regina Schmaltz - 02]])</f>
        <v>0</v>
      </c>
      <c r="BU93" s="72">
        <f>Tabela4[[#This Row],[Camila Ceretta Segatto]]</f>
        <v>0</v>
      </c>
      <c r="BV93" s="72">
        <f>Tabela4[[#This Row],[Vagner Ribas Dos Santos]]</f>
        <v>0</v>
      </c>
      <c r="BW93" s="72">
        <f>Tabela4[[#This Row],[Claudio Alfredo Konrat]]</f>
        <v>0</v>
      </c>
    </row>
    <row r="94" spans="1:75" x14ac:dyDescent="0.25">
      <c r="A94" s="70">
        <v>45901</v>
      </c>
      <c r="B94" s="72">
        <f>SUM(Tabela4[[#This Row],[Marlon Colovini - 01]:[Marlon Colovini - 02]])</f>
        <v>0</v>
      </c>
      <c r="C94" s="72">
        <f>Tabela4[[#This Row],[Mara Barichello]]</f>
        <v>0</v>
      </c>
      <c r="D94" s="72">
        <f>Tabela4[[#This Row],[Jandira Dutra]]</f>
        <v>0</v>
      </c>
      <c r="E94" s="72">
        <f>Tabela4[[#This Row],[Luiz Fernando Kruger]]</f>
        <v>0</v>
      </c>
      <c r="F94" s="72">
        <f>SUM(Tabela4[[#This Row],[Paulo Bohn - 01]:[Paulo Bohn - 04]])</f>
        <v>0</v>
      </c>
      <c r="G94" s="72">
        <f>Tabela4[[#This Row],[Analia (Clodoaldo Entre-Ijuis)]]</f>
        <v>0</v>
      </c>
      <c r="H94" s="72">
        <f>Tabela4[[#This Row],[Biroh]]</f>
        <v>0</v>
      </c>
      <c r="I94" s="72">
        <f>Tabela4[[#This Row],[Gelson Posser]]</f>
        <v>0</v>
      </c>
      <c r="J94" s="72">
        <f>Tabela4[[#This Row],[Supermercado Caryone]]</f>
        <v>0</v>
      </c>
      <c r="K94" s="72">
        <f>Tabela4[[#This Row],[Ernani Minetto]]</f>
        <v>0</v>
      </c>
      <c r="L94" s="72">
        <f>Tabela4[[#This Row],[Jair Moscon]]</f>
        <v>0</v>
      </c>
      <c r="M94" s="72">
        <f>SUM(Tabela4[[#This Row],[Fabio Milke - 01]:[Fabio Milke - 02]])</f>
        <v>0</v>
      </c>
      <c r="N94" s="72">
        <f>Tabela4[[#This Row],[Piaia]]</f>
        <v>0</v>
      </c>
      <c r="O94" s="72">
        <f>Tabela4[[#This Row],[Osmar Veronese]]</f>
        <v>0</v>
      </c>
      <c r="P94" s="72">
        <f>Tabela4[[#This Row],[ José Luiz Moraes]]</f>
        <v>0</v>
      </c>
      <c r="Q94" s="72">
        <f>Tabela4[[#This Row],[Supermercado Cripy]]</f>
        <v>0</v>
      </c>
      <c r="R94" s="72">
        <f>Tabela4[[#This Row],[Gláucio Lipski (Giruá)]]</f>
        <v>0</v>
      </c>
      <c r="S94" s="72">
        <f>Tabela4[[#This Row],[Contri]]</f>
        <v>0</v>
      </c>
      <c r="T94" s="72">
        <f>Tabela4[[#This Row],[Cleci Rubi]]</f>
        <v>0</v>
      </c>
      <c r="U94" s="72">
        <f>Tabela4[[#This Row],[Betine Rost]]</f>
        <v>0</v>
      </c>
      <c r="V94" s="72">
        <f>SUM(Tabela4[[#This Row],[Robinson Fetter - 01]:[Robinson Fetter - 03]])</f>
        <v>0</v>
      </c>
      <c r="W94" s="72">
        <f>Tabela4[[#This Row],[Fabio De Moura]]</f>
        <v>0</v>
      </c>
      <c r="X94" s="72">
        <f>Tabela4[[#This Row],[Rochele Santos Moraes]]</f>
        <v>0</v>
      </c>
      <c r="Y94" s="72">
        <f>Tabela4[[#This Row],[Auto Posto Kairã]]</f>
        <v>0</v>
      </c>
      <c r="Z94" s="72">
        <f>Tabela4[[#This Row],[Erno Schiefelbain]]</f>
        <v>0</v>
      </c>
      <c r="AA94" s="72">
        <f>Tabela4[[#This Row],[José Paulo Backes]]</f>
        <v>0</v>
      </c>
      <c r="AB94" s="72">
        <f>Tabela4[[#This Row],[Gelso Tofolo]]</f>
        <v>0</v>
      </c>
      <c r="AC94" s="72">
        <f>Tabela4[[#This Row],[Diamantino]]</f>
        <v>0</v>
      </c>
      <c r="AD94" s="72">
        <f>Tabela4[[#This Row],[Mercado Bueno]]</f>
        <v>0</v>
      </c>
      <c r="AE94" s="72">
        <f>Tabela4[[#This Row],[Daniela Donadel Massalai]]</f>
        <v>0</v>
      </c>
      <c r="AF94" s="72">
        <f>Tabela4[[#This Row],[Comercio De Moto Peças Irmãos Guarani Ltda]]</f>
        <v>0</v>
      </c>
      <c r="AG94" s="72">
        <f>Tabela4[[#This Row],[Mauricio Luis Lunardi]]</f>
        <v>0</v>
      </c>
      <c r="AH94" s="72">
        <f>Tabela4[[#This Row],[Rosa Maria Restle Radunz]]</f>
        <v>0</v>
      </c>
      <c r="AI94" s="72">
        <f>Tabela4[[#This Row],[Ivo Amaral De Oliveira]]</f>
        <v>0</v>
      </c>
      <c r="AJ94" s="72">
        <f>Tabela4[[#This Row],[Silvio Robert Lemos Avila]]</f>
        <v>0</v>
      </c>
      <c r="AK94" s="72">
        <f>Tabela4[[#This Row],[Eldo Rost]]</f>
        <v>0</v>
      </c>
      <c r="AL94" s="72">
        <f>SUM(Tabela4[[#This Row],[Padaria Avenida - 01]:[Padaria Avenida - 02]])</f>
        <v>0</v>
      </c>
      <c r="AM94" s="72">
        <f>Tabela4[[#This Row],[Cristiano Anshau]]</f>
        <v>0</v>
      </c>
      <c r="AN94" s="72">
        <f>Tabela4[[#This Row],[Luciana Claudete Meirelles Correa]]</f>
        <v>0</v>
      </c>
      <c r="AO94" s="72">
        <f>Tabela4[[#This Row],[Marcio Jose Siqueira]]</f>
        <v>0</v>
      </c>
      <c r="AP94" s="72">
        <f>Tabela4[[#This Row],[Marcos Rogerio Kessler]]</f>
        <v>0</v>
      </c>
      <c r="AQ94" s="72">
        <f>SUM(Tabela4[[#This Row],[AABB - 01]:[AABB - 02]])</f>
        <v>0</v>
      </c>
      <c r="AR94" s="72">
        <f>SUM(Tabela4[[#This Row],[Wanda Burkard - 01]:[Wanda Burkard - 02]])</f>
        <v>0</v>
      </c>
      <c r="AS94" s="72">
        <f>Tabela4[[#This Row],[Silvio Robert Lemos Avila Me]]</f>
        <v>0</v>
      </c>
      <c r="AT94" s="72">
        <f>Tabela4[[#This Row],[Carmelo]]</f>
        <v>0</v>
      </c>
      <c r="AU94" s="72">
        <f>Tabela4[[#This Row],[Antonio Dal Forno]]</f>
        <v>0</v>
      </c>
      <c r="AV94" s="72">
        <f>Tabela4[[#This Row],[Marisane Paulus]]</f>
        <v>0</v>
      </c>
      <c r="AW94" s="72">
        <f>Tabela4[[#This Row],[Segatto Ceretta Ltda]]</f>
        <v>0</v>
      </c>
      <c r="AX94" s="72">
        <f>SUM(Tabela4[[#This Row],[APAE - 01]:[APAE - 02]])</f>
        <v>0</v>
      </c>
      <c r="AY94" s="72">
        <f>Tabela4[[#This Row],[Cássio Burin]]</f>
        <v>0</v>
      </c>
      <c r="AZ94" s="72">
        <f>Tabela4[[#This Row],[Patrick Kristoschek Da Silva]]</f>
        <v>0</v>
      </c>
      <c r="BA94" s="72">
        <f>Tabela4[[#This Row],[Silvio Robert Ávila - (Valmir)]]</f>
        <v>0</v>
      </c>
      <c r="BB94" s="72">
        <f>Tabela4[[#This Row],[Zederson Jose Della Flora]]</f>
        <v>0</v>
      </c>
      <c r="BC94" s="72">
        <f>Tabela4[[#This Row],[Carlos Walmir Larsão Rolim]]</f>
        <v>0</v>
      </c>
      <c r="BD94" s="72">
        <f>Tabela4[[#This Row],[Danieli Missio]]</f>
        <v>0</v>
      </c>
      <c r="BE94" s="72">
        <f>Tabela4[[#This Row],[José Vasconcellos]]</f>
        <v>0</v>
      </c>
      <c r="BF94" s="72">
        <f>Tabela4[[#This Row],[Linho Lev Alimentos]]</f>
        <v>0</v>
      </c>
      <c r="BG94" s="72">
        <f>Tabela4[[#This Row],[Ernani Czapla]]</f>
        <v>0</v>
      </c>
      <c r="BH94" s="72">
        <f>Tabela4[[#This Row],[Valesca Da Luz]]</f>
        <v>0</v>
      </c>
      <c r="BI94" s="72">
        <f>Tabela4[[#This Row],[Olavo Mildner]]</f>
        <v>0</v>
      </c>
      <c r="BJ94" s="72">
        <f>Tabela4[[#This Row],[Dilnei Rohled]]</f>
        <v>0</v>
      </c>
      <c r="BK94" s="72">
        <f>Tabela4[[#This Row],[Shaiana Signorini]]</f>
        <v>0</v>
      </c>
      <c r="BL94" s="72">
        <f>Tabela4[[#This Row],[Fonse Atacado]]</f>
        <v>0</v>
      </c>
      <c r="BM94" s="72">
        <f>Tabela4[[#This Row],[Comercial de Alimentos]]</f>
        <v>0</v>
      </c>
      <c r="BN94" s="72">
        <f>Tabela4[[#This Row],[Ivone Kasburg Serralheria]]</f>
        <v>0</v>
      </c>
      <c r="BO94" s="72">
        <f>Tabela4[[#This Row],[Mercado Ceretta]]</f>
        <v>0</v>
      </c>
      <c r="BP94" s="72">
        <f>Tabela4[[#This Row],[Antonio Carlos Dos Santos Pereira]]</f>
        <v>0</v>
      </c>
      <c r="BQ94" s="72">
        <f>Tabela4[[#This Row],[Volnei Lemos Avila - Me]]</f>
        <v>0</v>
      </c>
      <c r="BR94" s="72">
        <f>Tabela4[[#This Row],[Silvana Meneghini]]</f>
        <v>0</v>
      </c>
      <c r="BS94" s="72">
        <f>Tabela4[[#This Row],[Eficaz Engenharia Ltda]]</f>
        <v>0</v>
      </c>
      <c r="BT94" s="72">
        <f>SUM(Tabela4[[#Headers],[Tania Regina Schmaltz - 01]:[Tania Regina Schmaltz - 02]])</f>
        <v>0</v>
      </c>
      <c r="BU94" s="72">
        <f>Tabela4[[#This Row],[Camila Ceretta Segatto]]</f>
        <v>0</v>
      </c>
      <c r="BV94" s="72">
        <f>Tabela4[[#This Row],[Vagner Ribas Dos Santos]]</f>
        <v>0</v>
      </c>
      <c r="BW94" s="72">
        <f>Tabela4[[#This Row],[Claudio Alfredo Konrat]]</f>
        <v>0</v>
      </c>
    </row>
    <row r="95" spans="1:75" x14ac:dyDescent="0.25">
      <c r="A95" s="70">
        <v>45931</v>
      </c>
      <c r="B95" s="72">
        <f>SUM(Tabela4[[#This Row],[Marlon Colovini - 01]:[Marlon Colovini - 02]])</f>
        <v>0</v>
      </c>
      <c r="C95" s="72">
        <f>Tabela4[[#This Row],[Mara Barichello]]</f>
        <v>0</v>
      </c>
      <c r="D95" s="72">
        <f>Tabela4[[#This Row],[Jandira Dutra]]</f>
        <v>0</v>
      </c>
      <c r="E95" s="72">
        <f>Tabela4[[#This Row],[Luiz Fernando Kruger]]</f>
        <v>0</v>
      </c>
      <c r="F95" s="72">
        <f>SUM(Tabela4[[#This Row],[Paulo Bohn - 01]:[Paulo Bohn - 04]])</f>
        <v>0</v>
      </c>
      <c r="G95" s="72">
        <f>Tabela4[[#This Row],[Analia (Clodoaldo Entre-Ijuis)]]</f>
        <v>0</v>
      </c>
      <c r="H95" s="72">
        <f>Tabela4[[#This Row],[Biroh]]</f>
        <v>0</v>
      </c>
      <c r="I95" s="72">
        <f>Tabela4[[#This Row],[Gelson Posser]]</f>
        <v>0</v>
      </c>
      <c r="J95" s="72">
        <f>Tabela4[[#This Row],[Supermercado Caryone]]</f>
        <v>0</v>
      </c>
      <c r="K95" s="72">
        <f>Tabela4[[#This Row],[Ernani Minetto]]</f>
        <v>0</v>
      </c>
      <c r="L95" s="72">
        <f>Tabela4[[#This Row],[Jair Moscon]]</f>
        <v>0</v>
      </c>
      <c r="M95" s="72">
        <f>SUM(Tabela4[[#This Row],[Fabio Milke - 01]:[Fabio Milke - 02]])</f>
        <v>0</v>
      </c>
      <c r="N95" s="72">
        <f>Tabela4[[#This Row],[Piaia]]</f>
        <v>0</v>
      </c>
      <c r="O95" s="72">
        <f>Tabela4[[#This Row],[Osmar Veronese]]</f>
        <v>0</v>
      </c>
      <c r="P95" s="72">
        <f>Tabela4[[#This Row],[ José Luiz Moraes]]</f>
        <v>0</v>
      </c>
      <c r="Q95" s="72">
        <f>Tabela4[[#This Row],[Supermercado Cripy]]</f>
        <v>0</v>
      </c>
      <c r="R95" s="72">
        <f>Tabela4[[#This Row],[Gláucio Lipski (Giruá)]]</f>
        <v>0</v>
      </c>
      <c r="S95" s="72">
        <f>Tabela4[[#This Row],[Contri]]</f>
        <v>0</v>
      </c>
      <c r="T95" s="72">
        <f>Tabela4[[#This Row],[Cleci Rubi]]</f>
        <v>0</v>
      </c>
      <c r="U95" s="72">
        <f>Tabela4[[#This Row],[Betine Rost]]</f>
        <v>0</v>
      </c>
      <c r="V95" s="72">
        <f>SUM(Tabela4[[#This Row],[Robinson Fetter - 01]:[Robinson Fetter - 03]])</f>
        <v>0</v>
      </c>
      <c r="W95" s="72">
        <f>Tabela4[[#This Row],[Fabio De Moura]]</f>
        <v>0</v>
      </c>
      <c r="X95" s="72">
        <f>Tabela4[[#This Row],[Rochele Santos Moraes]]</f>
        <v>0</v>
      </c>
      <c r="Y95" s="72">
        <f>Tabela4[[#This Row],[Auto Posto Kairã]]</f>
        <v>0</v>
      </c>
      <c r="Z95" s="72">
        <f>Tabela4[[#This Row],[Erno Schiefelbain]]</f>
        <v>0</v>
      </c>
      <c r="AA95" s="72">
        <f>Tabela4[[#This Row],[José Paulo Backes]]</f>
        <v>0</v>
      </c>
      <c r="AB95" s="72">
        <f>Tabela4[[#This Row],[Gelso Tofolo]]</f>
        <v>0</v>
      </c>
      <c r="AC95" s="72">
        <f>Tabela4[[#This Row],[Diamantino]]</f>
        <v>0</v>
      </c>
      <c r="AD95" s="72">
        <f>Tabela4[[#This Row],[Mercado Bueno]]</f>
        <v>0</v>
      </c>
      <c r="AE95" s="72">
        <f>Tabela4[[#This Row],[Daniela Donadel Massalai]]</f>
        <v>0</v>
      </c>
      <c r="AF95" s="72">
        <f>Tabela4[[#This Row],[Comercio De Moto Peças Irmãos Guarani Ltda]]</f>
        <v>0</v>
      </c>
      <c r="AG95" s="72">
        <f>Tabela4[[#This Row],[Mauricio Luis Lunardi]]</f>
        <v>0</v>
      </c>
      <c r="AH95" s="72">
        <f>Tabela4[[#This Row],[Rosa Maria Restle Radunz]]</f>
        <v>0</v>
      </c>
      <c r="AI95" s="72">
        <f>Tabela4[[#This Row],[Ivo Amaral De Oliveira]]</f>
        <v>0</v>
      </c>
      <c r="AJ95" s="72">
        <f>Tabela4[[#This Row],[Silvio Robert Lemos Avila]]</f>
        <v>0</v>
      </c>
      <c r="AK95" s="72">
        <f>Tabela4[[#This Row],[Eldo Rost]]</f>
        <v>0</v>
      </c>
      <c r="AL95" s="72">
        <f>SUM(Tabela4[[#This Row],[Padaria Avenida - 01]:[Padaria Avenida - 02]])</f>
        <v>0</v>
      </c>
      <c r="AM95" s="72">
        <f>Tabela4[[#This Row],[Cristiano Anshau]]</f>
        <v>0</v>
      </c>
      <c r="AN95" s="72">
        <f>Tabela4[[#This Row],[Luciana Claudete Meirelles Correa]]</f>
        <v>0</v>
      </c>
      <c r="AO95" s="72">
        <f>Tabela4[[#This Row],[Marcio Jose Siqueira]]</f>
        <v>0</v>
      </c>
      <c r="AP95" s="72">
        <f>Tabela4[[#This Row],[Marcos Rogerio Kessler]]</f>
        <v>0</v>
      </c>
      <c r="AQ95" s="72">
        <f>SUM(Tabela4[[#This Row],[AABB - 01]:[AABB - 02]])</f>
        <v>0</v>
      </c>
      <c r="AR95" s="72">
        <f>SUM(Tabela4[[#This Row],[Wanda Burkard - 01]:[Wanda Burkard - 02]])</f>
        <v>0</v>
      </c>
      <c r="AS95" s="72">
        <f>Tabela4[[#This Row],[Silvio Robert Lemos Avila Me]]</f>
        <v>0</v>
      </c>
      <c r="AT95" s="72">
        <f>Tabela4[[#This Row],[Carmelo]]</f>
        <v>0</v>
      </c>
      <c r="AU95" s="72">
        <f>Tabela4[[#This Row],[Antonio Dal Forno]]</f>
        <v>0</v>
      </c>
      <c r="AV95" s="72">
        <f>Tabela4[[#This Row],[Marisane Paulus]]</f>
        <v>0</v>
      </c>
      <c r="AW95" s="72">
        <f>Tabela4[[#This Row],[Segatto Ceretta Ltda]]</f>
        <v>0</v>
      </c>
      <c r="AX95" s="72">
        <f>SUM(Tabela4[[#This Row],[APAE - 01]:[APAE - 02]])</f>
        <v>0</v>
      </c>
      <c r="AY95" s="72">
        <f>Tabela4[[#This Row],[Cássio Burin]]</f>
        <v>0</v>
      </c>
      <c r="AZ95" s="72">
        <f>Tabela4[[#This Row],[Patrick Kristoschek Da Silva]]</f>
        <v>0</v>
      </c>
      <c r="BA95" s="72">
        <f>Tabela4[[#This Row],[Silvio Robert Ávila - (Valmir)]]</f>
        <v>0</v>
      </c>
      <c r="BB95" s="72">
        <f>Tabela4[[#This Row],[Zederson Jose Della Flora]]</f>
        <v>0</v>
      </c>
      <c r="BC95" s="72">
        <f>Tabela4[[#This Row],[Carlos Walmir Larsão Rolim]]</f>
        <v>0</v>
      </c>
      <c r="BD95" s="72">
        <f>Tabela4[[#This Row],[Danieli Missio]]</f>
        <v>0</v>
      </c>
      <c r="BE95" s="72">
        <f>Tabela4[[#This Row],[José Vasconcellos]]</f>
        <v>0</v>
      </c>
      <c r="BF95" s="72">
        <f>Tabela4[[#This Row],[Linho Lev Alimentos]]</f>
        <v>0</v>
      </c>
      <c r="BG95" s="72">
        <f>Tabela4[[#This Row],[Ernani Czapla]]</f>
        <v>0</v>
      </c>
      <c r="BH95" s="72">
        <f>Tabela4[[#This Row],[Valesca Da Luz]]</f>
        <v>0</v>
      </c>
      <c r="BI95" s="72">
        <f>Tabela4[[#This Row],[Olavo Mildner]]</f>
        <v>0</v>
      </c>
      <c r="BJ95" s="72">
        <f>Tabela4[[#This Row],[Dilnei Rohled]]</f>
        <v>0</v>
      </c>
      <c r="BK95" s="72">
        <f>Tabela4[[#This Row],[Shaiana Signorini]]</f>
        <v>0</v>
      </c>
      <c r="BL95" s="72">
        <f>Tabela4[[#This Row],[Fonse Atacado]]</f>
        <v>0</v>
      </c>
      <c r="BM95" s="72">
        <f>Tabela4[[#This Row],[Comercial de Alimentos]]</f>
        <v>0</v>
      </c>
      <c r="BN95" s="72">
        <f>Tabela4[[#This Row],[Ivone Kasburg Serralheria]]</f>
        <v>0</v>
      </c>
      <c r="BO95" s="72">
        <f>Tabela4[[#This Row],[Mercado Ceretta]]</f>
        <v>0</v>
      </c>
      <c r="BP95" s="72">
        <f>Tabela4[[#This Row],[Antonio Carlos Dos Santos Pereira]]</f>
        <v>0</v>
      </c>
      <c r="BQ95" s="72">
        <f>Tabela4[[#This Row],[Volnei Lemos Avila - Me]]</f>
        <v>0</v>
      </c>
      <c r="BR95" s="72">
        <f>Tabela4[[#This Row],[Silvana Meneghini]]</f>
        <v>0</v>
      </c>
      <c r="BS95" s="72">
        <f>Tabela4[[#This Row],[Eficaz Engenharia Ltda]]</f>
        <v>0</v>
      </c>
      <c r="BT95" s="72">
        <f>SUM(Tabela4[[#Headers],[Tania Regina Schmaltz - 01]:[Tania Regina Schmaltz - 02]])</f>
        <v>0</v>
      </c>
      <c r="BU95" s="72">
        <f>Tabela4[[#This Row],[Camila Ceretta Segatto]]</f>
        <v>0</v>
      </c>
      <c r="BV95" s="72">
        <f>Tabela4[[#This Row],[Vagner Ribas Dos Santos]]</f>
        <v>0</v>
      </c>
      <c r="BW95" s="72">
        <f>Tabela4[[#This Row],[Claudio Alfredo Konrat]]</f>
        <v>0</v>
      </c>
    </row>
    <row r="96" spans="1:75" x14ac:dyDescent="0.25">
      <c r="A96" s="70">
        <v>45962</v>
      </c>
      <c r="B96" s="72">
        <f>SUM(Tabela4[[#This Row],[Marlon Colovini - 01]:[Marlon Colovini - 02]])</f>
        <v>0</v>
      </c>
      <c r="C96" s="72">
        <f>Tabela4[[#This Row],[Mara Barichello]]</f>
        <v>0</v>
      </c>
      <c r="D96" s="72">
        <f>Tabela4[[#This Row],[Jandira Dutra]]</f>
        <v>0</v>
      </c>
      <c r="E96" s="72">
        <f>Tabela4[[#This Row],[Luiz Fernando Kruger]]</f>
        <v>0</v>
      </c>
      <c r="F96" s="72">
        <f>SUM(Tabela4[[#This Row],[Paulo Bohn - 01]:[Paulo Bohn - 04]])</f>
        <v>0</v>
      </c>
      <c r="G96" s="72">
        <f>Tabela4[[#This Row],[Analia (Clodoaldo Entre-Ijuis)]]</f>
        <v>0</v>
      </c>
      <c r="H96" s="72">
        <f>Tabela4[[#This Row],[Biroh]]</f>
        <v>0</v>
      </c>
      <c r="I96" s="72">
        <f>Tabela4[[#This Row],[Gelson Posser]]</f>
        <v>0</v>
      </c>
      <c r="J96" s="72">
        <f>Tabela4[[#This Row],[Supermercado Caryone]]</f>
        <v>0</v>
      </c>
      <c r="K96" s="72">
        <f>Tabela4[[#This Row],[Ernani Minetto]]</f>
        <v>0</v>
      </c>
      <c r="L96" s="72">
        <f>Tabela4[[#This Row],[Jair Moscon]]</f>
        <v>0</v>
      </c>
      <c r="M96" s="72">
        <f>SUM(Tabela4[[#This Row],[Fabio Milke - 01]:[Fabio Milke - 02]])</f>
        <v>0</v>
      </c>
      <c r="N96" s="72">
        <f>Tabela4[[#This Row],[Piaia]]</f>
        <v>0</v>
      </c>
      <c r="O96" s="72">
        <f>Tabela4[[#This Row],[Osmar Veronese]]</f>
        <v>0</v>
      </c>
      <c r="P96" s="72">
        <f>Tabela4[[#This Row],[ José Luiz Moraes]]</f>
        <v>0</v>
      </c>
      <c r="Q96" s="72">
        <f>Tabela4[[#This Row],[Supermercado Cripy]]</f>
        <v>0</v>
      </c>
      <c r="R96" s="72">
        <f>Tabela4[[#This Row],[Gláucio Lipski (Giruá)]]</f>
        <v>0</v>
      </c>
      <c r="S96" s="72">
        <f>Tabela4[[#This Row],[Contri]]</f>
        <v>0</v>
      </c>
      <c r="T96" s="72">
        <f>Tabela4[[#This Row],[Cleci Rubi]]</f>
        <v>0</v>
      </c>
      <c r="U96" s="72">
        <f>Tabela4[[#This Row],[Betine Rost]]</f>
        <v>0</v>
      </c>
      <c r="V96" s="72">
        <f>SUM(Tabela4[[#This Row],[Robinson Fetter - 01]:[Robinson Fetter - 03]])</f>
        <v>0</v>
      </c>
      <c r="W96" s="72">
        <f>Tabela4[[#This Row],[Fabio De Moura]]</f>
        <v>0</v>
      </c>
      <c r="X96" s="72">
        <f>Tabela4[[#This Row],[Rochele Santos Moraes]]</f>
        <v>0</v>
      </c>
      <c r="Y96" s="72">
        <f>Tabela4[[#This Row],[Auto Posto Kairã]]</f>
        <v>0</v>
      </c>
      <c r="Z96" s="72">
        <f>Tabela4[[#This Row],[Erno Schiefelbain]]</f>
        <v>0</v>
      </c>
      <c r="AA96" s="72">
        <f>Tabela4[[#This Row],[José Paulo Backes]]</f>
        <v>0</v>
      </c>
      <c r="AB96" s="72">
        <f>Tabela4[[#This Row],[Gelso Tofolo]]</f>
        <v>0</v>
      </c>
      <c r="AC96" s="72">
        <f>Tabela4[[#This Row],[Diamantino]]</f>
        <v>0</v>
      </c>
      <c r="AD96" s="72">
        <f>Tabela4[[#This Row],[Mercado Bueno]]</f>
        <v>0</v>
      </c>
      <c r="AE96" s="72">
        <f>Tabela4[[#This Row],[Daniela Donadel Massalai]]</f>
        <v>0</v>
      </c>
      <c r="AF96" s="72">
        <f>Tabela4[[#This Row],[Comercio De Moto Peças Irmãos Guarani Ltda]]</f>
        <v>0</v>
      </c>
      <c r="AG96" s="72">
        <f>Tabela4[[#This Row],[Mauricio Luis Lunardi]]</f>
        <v>0</v>
      </c>
      <c r="AH96" s="72">
        <f>Tabela4[[#This Row],[Rosa Maria Restle Radunz]]</f>
        <v>0</v>
      </c>
      <c r="AI96" s="72">
        <f>Tabela4[[#This Row],[Ivo Amaral De Oliveira]]</f>
        <v>0</v>
      </c>
      <c r="AJ96" s="72">
        <f>Tabela4[[#This Row],[Silvio Robert Lemos Avila]]</f>
        <v>0</v>
      </c>
      <c r="AK96" s="72">
        <f>Tabela4[[#This Row],[Eldo Rost]]</f>
        <v>0</v>
      </c>
      <c r="AL96" s="72">
        <f>SUM(Tabela4[[#This Row],[Padaria Avenida - 01]:[Padaria Avenida - 02]])</f>
        <v>0</v>
      </c>
      <c r="AM96" s="72">
        <f>Tabela4[[#This Row],[Cristiano Anshau]]</f>
        <v>0</v>
      </c>
      <c r="AN96" s="72">
        <f>Tabela4[[#This Row],[Luciana Claudete Meirelles Correa]]</f>
        <v>0</v>
      </c>
      <c r="AO96" s="72">
        <f>Tabela4[[#This Row],[Marcio Jose Siqueira]]</f>
        <v>0</v>
      </c>
      <c r="AP96" s="72">
        <f>Tabela4[[#This Row],[Marcos Rogerio Kessler]]</f>
        <v>0</v>
      </c>
      <c r="AQ96" s="72">
        <f>SUM(Tabela4[[#This Row],[AABB - 01]:[AABB - 02]])</f>
        <v>0</v>
      </c>
      <c r="AR96" s="72">
        <f>SUM(Tabela4[[#This Row],[Wanda Burkard - 01]:[Wanda Burkard - 02]])</f>
        <v>0</v>
      </c>
      <c r="AS96" s="72">
        <f>Tabela4[[#This Row],[Silvio Robert Lemos Avila Me]]</f>
        <v>0</v>
      </c>
      <c r="AT96" s="72">
        <f>Tabela4[[#This Row],[Carmelo]]</f>
        <v>0</v>
      </c>
      <c r="AU96" s="72">
        <f>Tabela4[[#This Row],[Antonio Dal Forno]]</f>
        <v>0</v>
      </c>
      <c r="AV96" s="72">
        <f>Tabela4[[#This Row],[Marisane Paulus]]</f>
        <v>0</v>
      </c>
      <c r="AW96" s="72">
        <f>Tabela4[[#This Row],[Segatto Ceretta Ltda]]</f>
        <v>0</v>
      </c>
      <c r="AX96" s="72">
        <f>SUM(Tabela4[[#This Row],[APAE - 01]:[APAE - 02]])</f>
        <v>0</v>
      </c>
      <c r="AY96" s="72">
        <f>Tabela4[[#This Row],[Cássio Burin]]</f>
        <v>0</v>
      </c>
      <c r="AZ96" s="72">
        <f>Tabela4[[#This Row],[Patrick Kristoschek Da Silva]]</f>
        <v>0</v>
      </c>
      <c r="BA96" s="72">
        <f>Tabela4[[#This Row],[Silvio Robert Ávila - (Valmir)]]</f>
        <v>0</v>
      </c>
      <c r="BB96" s="72">
        <f>Tabela4[[#This Row],[Zederson Jose Della Flora]]</f>
        <v>0</v>
      </c>
      <c r="BC96" s="72">
        <f>Tabela4[[#This Row],[Carlos Walmir Larsão Rolim]]</f>
        <v>0</v>
      </c>
      <c r="BD96" s="72">
        <f>Tabela4[[#This Row],[Danieli Missio]]</f>
        <v>0</v>
      </c>
      <c r="BE96" s="72">
        <f>Tabela4[[#This Row],[José Vasconcellos]]</f>
        <v>0</v>
      </c>
      <c r="BF96" s="72">
        <f>Tabela4[[#This Row],[Linho Lev Alimentos]]</f>
        <v>0</v>
      </c>
      <c r="BG96" s="72">
        <f>Tabela4[[#This Row],[Ernani Czapla]]</f>
        <v>0</v>
      </c>
      <c r="BH96" s="72">
        <f>Tabela4[[#This Row],[Valesca Da Luz]]</f>
        <v>0</v>
      </c>
      <c r="BI96" s="72">
        <f>Tabela4[[#This Row],[Olavo Mildner]]</f>
        <v>0</v>
      </c>
      <c r="BJ96" s="72">
        <f>Tabela4[[#This Row],[Dilnei Rohled]]</f>
        <v>0</v>
      </c>
      <c r="BK96" s="72">
        <f>Tabela4[[#This Row],[Shaiana Signorini]]</f>
        <v>0</v>
      </c>
      <c r="BL96" s="72">
        <f>Tabela4[[#This Row],[Fonse Atacado]]</f>
        <v>0</v>
      </c>
      <c r="BM96" s="72">
        <f>Tabela4[[#This Row],[Comercial de Alimentos]]</f>
        <v>0</v>
      </c>
      <c r="BN96" s="72">
        <f>Tabela4[[#This Row],[Ivone Kasburg Serralheria]]</f>
        <v>0</v>
      </c>
      <c r="BO96" s="72">
        <f>Tabela4[[#This Row],[Mercado Ceretta]]</f>
        <v>0</v>
      </c>
      <c r="BP96" s="72">
        <f>Tabela4[[#This Row],[Antonio Carlos Dos Santos Pereira]]</f>
        <v>0</v>
      </c>
      <c r="BQ96" s="72">
        <f>Tabela4[[#This Row],[Volnei Lemos Avila - Me]]</f>
        <v>0</v>
      </c>
      <c r="BR96" s="72">
        <f>Tabela4[[#This Row],[Silvana Meneghini]]</f>
        <v>0</v>
      </c>
      <c r="BS96" s="72">
        <f>Tabela4[[#This Row],[Eficaz Engenharia Ltda]]</f>
        <v>0</v>
      </c>
      <c r="BT96" s="72">
        <f>SUM(Tabela4[[#Headers],[Tania Regina Schmaltz - 01]:[Tania Regina Schmaltz - 02]])</f>
        <v>0</v>
      </c>
      <c r="BU96" s="72">
        <f>Tabela4[[#This Row],[Camila Ceretta Segatto]]</f>
        <v>0</v>
      </c>
      <c r="BV96" s="72">
        <f>Tabela4[[#This Row],[Vagner Ribas Dos Santos]]</f>
        <v>0</v>
      </c>
      <c r="BW96" s="72">
        <f>Tabela4[[#This Row],[Claudio Alfredo Konrat]]</f>
        <v>0</v>
      </c>
    </row>
    <row r="97" spans="1:75" x14ac:dyDescent="0.25">
      <c r="A97" s="70">
        <v>45992</v>
      </c>
      <c r="B97" s="72">
        <f>SUM(Tabela4[[#This Row],[Marlon Colovini - 01]:[Marlon Colovini - 02]])</f>
        <v>0</v>
      </c>
      <c r="C97" s="72">
        <f>Tabela4[[#This Row],[Mara Barichello]]</f>
        <v>0</v>
      </c>
      <c r="D97" s="72">
        <f>Tabela4[[#This Row],[Jandira Dutra]]</f>
        <v>0</v>
      </c>
      <c r="E97" s="72">
        <f>Tabela4[[#This Row],[Luiz Fernando Kruger]]</f>
        <v>0</v>
      </c>
      <c r="F97" s="72">
        <f>SUM(Tabela4[[#This Row],[Paulo Bohn - 01]:[Paulo Bohn - 04]])</f>
        <v>0</v>
      </c>
      <c r="G97" s="72">
        <f>Tabela4[[#This Row],[Analia (Clodoaldo Entre-Ijuis)]]</f>
        <v>0</v>
      </c>
      <c r="H97" s="72">
        <f>Tabela4[[#This Row],[Biroh]]</f>
        <v>0</v>
      </c>
      <c r="I97" s="72">
        <f>Tabela4[[#This Row],[Gelson Posser]]</f>
        <v>0</v>
      </c>
      <c r="J97" s="72">
        <f>Tabela4[[#This Row],[Supermercado Caryone]]</f>
        <v>0</v>
      </c>
      <c r="K97" s="72">
        <f>Tabela4[[#This Row],[Ernani Minetto]]</f>
        <v>0</v>
      </c>
      <c r="L97" s="72">
        <f>Tabela4[[#This Row],[Jair Moscon]]</f>
        <v>0</v>
      </c>
      <c r="M97" s="72">
        <f>SUM(Tabela4[[#This Row],[Fabio Milke - 01]:[Fabio Milke - 02]])</f>
        <v>0</v>
      </c>
      <c r="N97" s="72">
        <f>Tabela4[[#This Row],[Piaia]]</f>
        <v>0</v>
      </c>
      <c r="O97" s="72">
        <f>Tabela4[[#This Row],[Osmar Veronese]]</f>
        <v>0</v>
      </c>
      <c r="P97" s="72">
        <f>Tabela4[[#This Row],[ José Luiz Moraes]]</f>
        <v>0</v>
      </c>
      <c r="Q97" s="72">
        <f>Tabela4[[#This Row],[Supermercado Cripy]]</f>
        <v>0</v>
      </c>
      <c r="R97" s="72">
        <f>Tabela4[[#This Row],[Gláucio Lipski (Giruá)]]</f>
        <v>0</v>
      </c>
      <c r="S97" s="72">
        <f>Tabela4[[#This Row],[Contri]]</f>
        <v>0</v>
      </c>
      <c r="T97" s="72">
        <f>Tabela4[[#This Row],[Cleci Rubi]]</f>
        <v>0</v>
      </c>
      <c r="U97" s="72">
        <f>Tabela4[[#This Row],[Betine Rost]]</f>
        <v>0</v>
      </c>
      <c r="V97" s="72">
        <f>SUM(Tabela4[[#This Row],[Robinson Fetter - 01]:[Robinson Fetter - 03]])</f>
        <v>0</v>
      </c>
      <c r="W97" s="72">
        <f>Tabela4[[#This Row],[Fabio De Moura]]</f>
        <v>0</v>
      </c>
      <c r="X97" s="72">
        <f>Tabela4[[#This Row],[Rochele Santos Moraes]]</f>
        <v>0</v>
      </c>
      <c r="Y97" s="72">
        <f>Tabela4[[#This Row],[Auto Posto Kairã]]</f>
        <v>0</v>
      </c>
      <c r="Z97" s="72">
        <f>Tabela4[[#This Row],[Erno Schiefelbain]]</f>
        <v>0</v>
      </c>
      <c r="AA97" s="72">
        <f>Tabela4[[#This Row],[José Paulo Backes]]</f>
        <v>0</v>
      </c>
      <c r="AB97" s="72">
        <f>Tabela4[[#This Row],[Gelso Tofolo]]</f>
        <v>0</v>
      </c>
      <c r="AC97" s="72">
        <f>Tabela4[[#This Row],[Diamantino]]</f>
        <v>0</v>
      </c>
      <c r="AD97" s="72">
        <f>Tabela4[[#This Row],[Mercado Bueno]]</f>
        <v>0</v>
      </c>
      <c r="AE97" s="72">
        <f>Tabela4[[#This Row],[Daniela Donadel Massalai]]</f>
        <v>0</v>
      </c>
      <c r="AF97" s="72">
        <f>Tabela4[[#This Row],[Comercio De Moto Peças Irmãos Guarani Ltda]]</f>
        <v>0</v>
      </c>
      <c r="AG97" s="72">
        <f>Tabela4[[#This Row],[Mauricio Luis Lunardi]]</f>
        <v>0</v>
      </c>
      <c r="AH97" s="72">
        <f>Tabela4[[#This Row],[Rosa Maria Restle Radunz]]</f>
        <v>0</v>
      </c>
      <c r="AI97" s="72">
        <f>Tabela4[[#This Row],[Ivo Amaral De Oliveira]]</f>
        <v>0</v>
      </c>
      <c r="AJ97" s="72">
        <f>Tabela4[[#This Row],[Silvio Robert Lemos Avila]]</f>
        <v>0</v>
      </c>
      <c r="AK97" s="72">
        <f>Tabela4[[#This Row],[Eldo Rost]]</f>
        <v>0</v>
      </c>
      <c r="AL97" s="72">
        <f>SUM(Tabela4[[#This Row],[Padaria Avenida - 01]:[Padaria Avenida - 02]])</f>
        <v>0</v>
      </c>
      <c r="AM97" s="72">
        <f>Tabela4[[#This Row],[Cristiano Anshau]]</f>
        <v>0</v>
      </c>
      <c r="AN97" s="72">
        <f>Tabela4[[#This Row],[Luciana Claudete Meirelles Correa]]</f>
        <v>0</v>
      </c>
      <c r="AO97" s="72">
        <f>Tabela4[[#This Row],[Marcio Jose Siqueira]]</f>
        <v>0</v>
      </c>
      <c r="AP97" s="72">
        <f>Tabela4[[#This Row],[Marcos Rogerio Kessler]]</f>
        <v>0</v>
      </c>
      <c r="AQ97" s="72">
        <f>SUM(Tabela4[[#This Row],[AABB - 01]:[AABB - 02]])</f>
        <v>0</v>
      </c>
      <c r="AR97" s="72">
        <f>SUM(Tabela4[[#This Row],[Wanda Burkard - 01]:[Wanda Burkard - 02]])</f>
        <v>0</v>
      </c>
      <c r="AS97" s="72">
        <f>Tabela4[[#This Row],[Silvio Robert Lemos Avila Me]]</f>
        <v>0</v>
      </c>
      <c r="AT97" s="72">
        <f>Tabela4[[#This Row],[Carmelo]]</f>
        <v>0</v>
      </c>
      <c r="AU97" s="72">
        <f>Tabela4[[#This Row],[Antonio Dal Forno]]</f>
        <v>0</v>
      </c>
      <c r="AV97" s="72">
        <f>Tabela4[[#This Row],[Marisane Paulus]]</f>
        <v>0</v>
      </c>
      <c r="AW97" s="72">
        <f>Tabela4[[#This Row],[Segatto Ceretta Ltda]]</f>
        <v>0</v>
      </c>
      <c r="AX97" s="72">
        <f>SUM(Tabela4[[#This Row],[APAE - 01]:[APAE - 02]])</f>
        <v>0</v>
      </c>
      <c r="AY97" s="72">
        <f>Tabela4[[#This Row],[Cássio Burin]]</f>
        <v>0</v>
      </c>
      <c r="AZ97" s="72">
        <f>Tabela4[[#This Row],[Patrick Kristoschek Da Silva]]</f>
        <v>0</v>
      </c>
      <c r="BA97" s="72">
        <f>Tabela4[[#This Row],[Silvio Robert Ávila - (Valmir)]]</f>
        <v>0</v>
      </c>
      <c r="BB97" s="72">
        <f>Tabela4[[#This Row],[Zederson Jose Della Flora]]</f>
        <v>0</v>
      </c>
      <c r="BC97" s="72">
        <f>Tabela4[[#This Row],[Carlos Walmir Larsão Rolim]]</f>
        <v>0</v>
      </c>
      <c r="BD97" s="72">
        <f>Tabela4[[#This Row],[Danieli Missio]]</f>
        <v>0</v>
      </c>
      <c r="BE97" s="72">
        <f>Tabela4[[#This Row],[José Vasconcellos]]</f>
        <v>0</v>
      </c>
      <c r="BF97" s="72">
        <f>Tabela4[[#This Row],[Linho Lev Alimentos]]</f>
        <v>0</v>
      </c>
      <c r="BG97" s="72">
        <f>Tabela4[[#This Row],[Ernani Czapla]]</f>
        <v>0</v>
      </c>
      <c r="BH97" s="72">
        <f>Tabela4[[#This Row],[Valesca Da Luz]]</f>
        <v>0</v>
      </c>
      <c r="BI97" s="72">
        <f>Tabela4[[#This Row],[Olavo Mildner]]</f>
        <v>0</v>
      </c>
      <c r="BJ97" s="72">
        <f>Tabela4[[#This Row],[Dilnei Rohled]]</f>
        <v>0</v>
      </c>
      <c r="BK97" s="72">
        <f>Tabela4[[#This Row],[Shaiana Signorini]]</f>
        <v>0</v>
      </c>
      <c r="BL97" s="72">
        <f>Tabela4[[#This Row],[Fonse Atacado]]</f>
        <v>0</v>
      </c>
      <c r="BM97" s="72">
        <f>Tabela4[[#This Row],[Comercial de Alimentos]]</f>
        <v>0</v>
      </c>
      <c r="BN97" s="72">
        <f>Tabela4[[#This Row],[Ivone Kasburg Serralheria]]</f>
        <v>0</v>
      </c>
      <c r="BO97" s="72">
        <f>Tabela4[[#This Row],[Mercado Ceretta]]</f>
        <v>0</v>
      </c>
      <c r="BP97" s="72">
        <f>Tabela4[[#This Row],[Antonio Carlos Dos Santos Pereira]]</f>
        <v>0</v>
      </c>
      <c r="BQ97" s="72">
        <f>Tabela4[[#This Row],[Volnei Lemos Avila - Me]]</f>
        <v>0</v>
      </c>
      <c r="BR97" s="72">
        <f>Tabela4[[#This Row],[Silvana Meneghini]]</f>
        <v>0</v>
      </c>
      <c r="BS97" s="72">
        <f>Tabela4[[#This Row],[Eficaz Engenharia Ltda]]</f>
        <v>0</v>
      </c>
      <c r="BT97" s="72">
        <f>SUM(Tabela4[[#Headers],[Tania Regina Schmaltz - 01]:[Tania Regina Schmaltz - 02]])</f>
        <v>0</v>
      </c>
      <c r="BU97" s="72">
        <f>Tabela4[[#This Row],[Camila Ceretta Segatto]]</f>
        <v>0</v>
      </c>
      <c r="BV97" s="72">
        <f>Tabela4[[#This Row],[Vagner Ribas Dos Santos]]</f>
        <v>0</v>
      </c>
      <c r="BW97" s="72">
        <f>Tabela4[[#This Row],[Claudio Alfredo Konrat]]</f>
        <v>0</v>
      </c>
    </row>
    <row r="98" spans="1:75" x14ac:dyDescent="0.25">
      <c r="A98" s="70">
        <v>46023</v>
      </c>
      <c r="B98" s="72">
        <f>SUM(Tabela4[[#This Row],[Marlon Colovini - 01]:[Marlon Colovini - 02]])</f>
        <v>0</v>
      </c>
      <c r="C98" s="72">
        <f>Tabela4[[#This Row],[Mara Barichello]]</f>
        <v>0</v>
      </c>
      <c r="D98" s="72">
        <f>Tabela4[[#This Row],[Jandira Dutra]]</f>
        <v>0</v>
      </c>
      <c r="E98" s="72">
        <f>Tabela4[[#This Row],[Luiz Fernando Kruger]]</f>
        <v>0</v>
      </c>
      <c r="F98" s="72">
        <f>SUM(Tabela4[[#This Row],[Paulo Bohn - 01]:[Paulo Bohn - 04]])</f>
        <v>0</v>
      </c>
      <c r="G98" s="72">
        <f>Tabela4[[#This Row],[Analia (Clodoaldo Entre-Ijuis)]]</f>
        <v>0</v>
      </c>
      <c r="H98" s="72">
        <f>Tabela4[[#This Row],[Biroh]]</f>
        <v>0</v>
      </c>
      <c r="I98" s="72">
        <f>Tabela4[[#This Row],[Gelson Posser]]</f>
        <v>0</v>
      </c>
      <c r="J98" s="72">
        <f>Tabela4[[#This Row],[Supermercado Caryone]]</f>
        <v>0</v>
      </c>
      <c r="K98" s="72">
        <f>Tabela4[[#This Row],[Ernani Minetto]]</f>
        <v>0</v>
      </c>
      <c r="L98" s="72">
        <f>Tabela4[[#This Row],[Jair Moscon]]</f>
        <v>0</v>
      </c>
      <c r="M98" s="72">
        <f>SUM(Tabela4[[#This Row],[Fabio Milke - 01]:[Fabio Milke - 02]])</f>
        <v>0</v>
      </c>
      <c r="N98" s="72">
        <f>Tabela4[[#This Row],[Piaia]]</f>
        <v>0</v>
      </c>
      <c r="O98" s="72">
        <f>Tabela4[[#This Row],[Osmar Veronese]]</f>
        <v>0</v>
      </c>
      <c r="P98" s="72">
        <f>Tabela4[[#This Row],[ José Luiz Moraes]]</f>
        <v>0</v>
      </c>
      <c r="Q98" s="72">
        <f>Tabela4[[#This Row],[Supermercado Cripy]]</f>
        <v>0</v>
      </c>
      <c r="R98" s="72">
        <f>Tabela4[[#This Row],[Gláucio Lipski (Giruá)]]</f>
        <v>0</v>
      </c>
      <c r="S98" s="72">
        <f>Tabela4[[#This Row],[Contri]]</f>
        <v>0</v>
      </c>
      <c r="T98" s="72">
        <f>Tabela4[[#This Row],[Cleci Rubi]]</f>
        <v>0</v>
      </c>
      <c r="U98" s="72">
        <f>Tabela4[[#This Row],[Betine Rost]]</f>
        <v>0</v>
      </c>
      <c r="V98" s="72">
        <f>SUM(Tabela4[[#This Row],[Robinson Fetter - 01]:[Robinson Fetter - 03]])</f>
        <v>0</v>
      </c>
      <c r="W98" s="72">
        <f>Tabela4[[#This Row],[Fabio De Moura]]</f>
        <v>0</v>
      </c>
      <c r="X98" s="72">
        <f>Tabela4[[#This Row],[Rochele Santos Moraes]]</f>
        <v>0</v>
      </c>
      <c r="Y98" s="72">
        <f>Tabela4[[#This Row],[Auto Posto Kairã]]</f>
        <v>0</v>
      </c>
      <c r="Z98" s="72">
        <f>Tabela4[[#This Row],[Erno Schiefelbain]]</f>
        <v>0</v>
      </c>
      <c r="AA98" s="72">
        <f>Tabela4[[#This Row],[José Paulo Backes]]</f>
        <v>0</v>
      </c>
      <c r="AB98" s="72">
        <f>Tabela4[[#This Row],[Gelso Tofolo]]</f>
        <v>0</v>
      </c>
      <c r="AC98" s="72">
        <f>Tabela4[[#This Row],[Diamantino]]</f>
        <v>0</v>
      </c>
      <c r="AD98" s="72">
        <f>Tabela4[[#This Row],[Mercado Bueno]]</f>
        <v>0</v>
      </c>
      <c r="AE98" s="72">
        <f>Tabela4[[#This Row],[Daniela Donadel Massalai]]</f>
        <v>0</v>
      </c>
      <c r="AF98" s="72">
        <f>Tabela4[[#This Row],[Comercio De Moto Peças Irmãos Guarani Ltda]]</f>
        <v>0</v>
      </c>
      <c r="AG98" s="72">
        <f>Tabela4[[#This Row],[Mauricio Luis Lunardi]]</f>
        <v>0</v>
      </c>
      <c r="AH98" s="72">
        <f>Tabela4[[#This Row],[Rosa Maria Restle Radunz]]</f>
        <v>0</v>
      </c>
      <c r="AI98" s="72">
        <f>Tabela4[[#This Row],[Ivo Amaral De Oliveira]]</f>
        <v>0</v>
      </c>
      <c r="AJ98" s="72">
        <f>Tabela4[[#This Row],[Silvio Robert Lemos Avila]]</f>
        <v>0</v>
      </c>
      <c r="AK98" s="72">
        <f>Tabela4[[#This Row],[Eldo Rost]]</f>
        <v>0</v>
      </c>
      <c r="AL98" s="72">
        <f>SUM(Tabela4[[#This Row],[Padaria Avenida - 01]:[Padaria Avenida - 02]])</f>
        <v>0</v>
      </c>
      <c r="AM98" s="72">
        <f>Tabela4[[#This Row],[Cristiano Anshau]]</f>
        <v>0</v>
      </c>
      <c r="AN98" s="72">
        <f>Tabela4[[#This Row],[Luciana Claudete Meirelles Correa]]</f>
        <v>0</v>
      </c>
      <c r="AO98" s="72">
        <f>Tabela4[[#This Row],[Marcio Jose Siqueira]]</f>
        <v>0</v>
      </c>
      <c r="AP98" s="72">
        <f>Tabela4[[#This Row],[Marcos Rogerio Kessler]]</f>
        <v>0</v>
      </c>
      <c r="AQ98" s="72">
        <f>SUM(Tabela4[[#This Row],[AABB - 01]:[AABB - 02]])</f>
        <v>0</v>
      </c>
      <c r="AR98" s="72">
        <f>SUM(Tabela4[[#This Row],[Wanda Burkard - 01]:[Wanda Burkard - 02]])</f>
        <v>0</v>
      </c>
      <c r="AS98" s="72">
        <f>Tabela4[[#This Row],[Silvio Robert Lemos Avila Me]]</f>
        <v>0</v>
      </c>
      <c r="AT98" s="72">
        <f>Tabela4[[#This Row],[Carmelo]]</f>
        <v>0</v>
      </c>
      <c r="AU98" s="72">
        <f>Tabela4[[#This Row],[Antonio Dal Forno]]</f>
        <v>0</v>
      </c>
      <c r="AV98" s="72">
        <f>Tabela4[[#This Row],[Marisane Paulus]]</f>
        <v>0</v>
      </c>
      <c r="AW98" s="72">
        <f>Tabela4[[#This Row],[Segatto Ceretta Ltda]]</f>
        <v>0</v>
      </c>
      <c r="AX98" s="72">
        <f>SUM(Tabela4[[#This Row],[APAE - 01]:[APAE - 02]])</f>
        <v>0</v>
      </c>
      <c r="AY98" s="72">
        <f>Tabela4[[#This Row],[Cássio Burin]]</f>
        <v>0</v>
      </c>
      <c r="AZ98" s="72">
        <f>Tabela4[[#This Row],[Patrick Kristoschek Da Silva]]</f>
        <v>0</v>
      </c>
      <c r="BA98" s="72">
        <f>Tabela4[[#This Row],[Silvio Robert Ávila - (Valmir)]]</f>
        <v>0</v>
      </c>
      <c r="BB98" s="72">
        <f>Tabela4[[#This Row],[Zederson Jose Della Flora]]</f>
        <v>0</v>
      </c>
      <c r="BC98" s="72">
        <f>Tabela4[[#This Row],[Carlos Walmir Larsão Rolim]]</f>
        <v>0</v>
      </c>
      <c r="BD98" s="72">
        <f>Tabela4[[#This Row],[Danieli Missio]]</f>
        <v>0</v>
      </c>
      <c r="BE98" s="72">
        <f>Tabela4[[#This Row],[José Vasconcellos]]</f>
        <v>0</v>
      </c>
      <c r="BF98" s="72">
        <f>Tabela4[[#This Row],[Linho Lev Alimentos]]</f>
        <v>0</v>
      </c>
      <c r="BG98" s="72">
        <f>Tabela4[[#This Row],[Ernani Czapla]]</f>
        <v>0</v>
      </c>
      <c r="BH98" s="72">
        <f>Tabela4[[#This Row],[Valesca Da Luz]]</f>
        <v>0</v>
      </c>
      <c r="BI98" s="72">
        <f>Tabela4[[#This Row],[Olavo Mildner]]</f>
        <v>0</v>
      </c>
      <c r="BJ98" s="72">
        <f>Tabela4[[#This Row],[Dilnei Rohled]]</f>
        <v>0</v>
      </c>
      <c r="BK98" s="72">
        <f>Tabela4[[#This Row],[Shaiana Signorini]]</f>
        <v>0</v>
      </c>
      <c r="BL98" s="72">
        <f>Tabela4[[#This Row],[Fonse Atacado]]</f>
        <v>0</v>
      </c>
      <c r="BM98" s="72">
        <f>Tabela4[[#This Row],[Comercial de Alimentos]]</f>
        <v>0</v>
      </c>
      <c r="BN98" s="72">
        <f>Tabela4[[#This Row],[Ivone Kasburg Serralheria]]</f>
        <v>0</v>
      </c>
      <c r="BO98" s="72">
        <f>Tabela4[[#This Row],[Mercado Ceretta]]</f>
        <v>0</v>
      </c>
      <c r="BP98" s="72">
        <f>Tabela4[[#This Row],[Antonio Carlos Dos Santos Pereira]]</f>
        <v>0</v>
      </c>
      <c r="BQ98" s="72">
        <f>Tabela4[[#This Row],[Volnei Lemos Avila - Me]]</f>
        <v>0</v>
      </c>
      <c r="BR98" s="72">
        <f>Tabela4[[#This Row],[Silvana Meneghini]]</f>
        <v>0</v>
      </c>
      <c r="BS98" s="72">
        <f>Tabela4[[#This Row],[Eficaz Engenharia Ltda]]</f>
        <v>0</v>
      </c>
      <c r="BT98" s="72">
        <f>SUM(Tabela4[[#Headers],[Tania Regina Schmaltz - 01]:[Tania Regina Schmaltz - 02]])</f>
        <v>0</v>
      </c>
      <c r="BU98" s="72">
        <f>Tabela4[[#This Row],[Camila Ceretta Segatto]]</f>
        <v>0</v>
      </c>
      <c r="BV98" s="72">
        <f>Tabela4[[#This Row],[Vagner Ribas Dos Santos]]</f>
        <v>0</v>
      </c>
      <c r="BW98" s="72">
        <f>Tabela4[[#This Row],[Claudio Alfredo Konrat]]</f>
        <v>0</v>
      </c>
    </row>
    <row r="99" spans="1:75" x14ac:dyDescent="0.25">
      <c r="A99" s="70">
        <v>46054</v>
      </c>
      <c r="B99" s="72">
        <f>SUM(Tabela4[[#This Row],[Marlon Colovini - 01]:[Marlon Colovini - 02]])</f>
        <v>0</v>
      </c>
      <c r="C99" s="72">
        <f>Tabela4[[#This Row],[Mara Barichello]]</f>
        <v>0</v>
      </c>
      <c r="D99" s="72">
        <f>Tabela4[[#This Row],[Jandira Dutra]]</f>
        <v>0</v>
      </c>
      <c r="E99" s="72">
        <f>Tabela4[[#This Row],[Luiz Fernando Kruger]]</f>
        <v>0</v>
      </c>
      <c r="F99" s="72">
        <f>SUM(Tabela4[[#This Row],[Paulo Bohn - 01]:[Paulo Bohn - 04]])</f>
        <v>0</v>
      </c>
      <c r="G99" s="72">
        <f>Tabela4[[#This Row],[Analia (Clodoaldo Entre-Ijuis)]]</f>
        <v>0</v>
      </c>
      <c r="H99" s="72">
        <f>Tabela4[[#This Row],[Biroh]]</f>
        <v>0</v>
      </c>
      <c r="I99" s="72">
        <f>Tabela4[[#This Row],[Gelson Posser]]</f>
        <v>0</v>
      </c>
      <c r="J99" s="72">
        <f>Tabela4[[#This Row],[Supermercado Caryone]]</f>
        <v>0</v>
      </c>
      <c r="K99" s="72">
        <f>Tabela4[[#This Row],[Ernani Minetto]]</f>
        <v>0</v>
      </c>
      <c r="L99" s="72">
        <f>Tabela4[[#This Row],[Jair Moscon]]</f>
        <v>0</v>
      </c>
      <c r="M99" s="72">
        <f>SUM(Tabela4[[#This Row],[Fabio Milke - 01]:[Fabio Milke - 02]])</f>
        <v>0</v>
      </c>
      <c r="N99" s="72">
        <f>Tabela4[[#This Row],[Piaia]]</f>
        <v>0</v>
      </c>
      <c r="O99" s="72">
        <f>Tabela4[[#This Row],[Osmar Veronese]]</f>
        <v>0</v>
      </c>
      <c r="P99" s="72">
        <f>Tabela4[[#This Row],[ José Luiz Moraes]]</f>
        <v>0</v>
      </c>
      <c r="Q99" s="72">
        <f>Tabela4[[#This Row],[Supermercado Cripy]]</f>
        <v>0</v>
      </c>
      <c r="R99" s="72">
        <f>Tabela4[[#This Row],[Gláucio Lipski (Giruá)]]</f>
        <v>0</v>
      </c>
      <c r="S99" s="72">
        <f>Tabela4[[#This Row],[Contri]]</f>
        <v>0</v>
      </c>
      <c r="T99" s="72">
        <f>Tabela4[[#This Row],[Cleci Rubi]]</f>
        <v>0</v>
      </c>
      <c r="U99" s="72">
        <f>Tabela4[[#This Row],[Betine Rost]]</f>
        <v>0</v>
      </c>
      <c r="V99" s="72">
        <f>SUM(Tabela4[[#This Row],[Robinson Fetter - 01]:[Robinson Fetter - 03]])</f>
        <v>0</v>
      </c>
      <c r="W99" s="72">
        <f>Tabela4[[#This Row],[Fabio De Moura]]</f>
        <v>0</v>
      </c>
      <c r="X99" s="72">
        <f>Tabela4[[#This Row],[Rochele Santos Moraes]]</f>
        <v>0</v>
      </c>
      <c r="Y99" s="72">
        <f>Tabela4[[#This Row],[Auto Posto Kairã]]</f>
        <v>0</v>
      </c>
      <c r="Z99" s="72">
        <f>Tabela4[[#This Row],[Erno Schiefelbain]]</f>
        <v>0</v>
      </c>
      <c r="AA99" s="72">
        <f>Tabela4[[#This Row],[José Paulo Backes]]</f>
        <v>0</v>
      </c>
      <c r="AB99" s="72">
        <f>Tabela4[[#This Row],[Gelso Tofolo]]</f>
        <v>0</v>
      </c>
      <c r="AC99" s="72">
        <f>Tabela4[[#This Row],[Diamantino]]</f>
        <v>0</v>
      </c>
      <c r="AD99" s="72">
        <f>Tabela4[[#This Row],[Mercado Bueno]]</f>
        <v>0</v>
      </c>
      <c r="AE99" s="72">
        <f>Tabela4[[#This Row],[Daniela Donadel Massalai]]</f>
        <v>0</v>
      </c>
      <c r="AF99" s="72">
        <f>Tabela4[[#This Row],[Comercio De Moto Peças Irmãos Guarani Ltda]]</f>
        <v>0</v>
      </c>
      <c r="AG99" s="72">
        <f>Tabela4[[#This Row],[Mauricio Luis Lunardi]]</f>
        <v>0</v>
      </c>
      <c r="AH99" s="72">
        <f>Tabela4[[#This Row],[Rosa Maria Restle Radunz]]</f>
        <v>0</v>
      </c>
      <c r="AI99" s="72">
        <f>Tabela4[[#This Row],[Ivo Amaral De Oliveira]]</f>
        <v>0</v>
      </c>
      <c r="AJ99" s="72">
        <f>Tabela4[[#This Row],[Silvio Robert Lemos Avila]]</f>
        <v>0</v>
      </c>
      <c r="AK99" s="72">
        <f>Tabela4[[#This Row],[Eldo Rost]]</f>
        <v>0</v>
      </c>
      <c r="AL99" s="72">
        <f>SUM(Tabela4[[#This Row],[Padaria Avenida - 01]:[Padaria Avenida - 02]])</f>
        <v>0</v>
      </c>
      <c r="AM99" s="72">
        <f>Tabela4[[#This Row],[Cristiano Anshau]]</f>
        <v>0</v>
      </c>
      <c r="AN99" s="72">
        <f>Tabela4[[#This Row],[Luciana Claudete Meirelles Correa]]</f>
        <v>0</v>
      </c>
      <c r="AO99" s="72">
        <f>Tabela4[[#This Row],[Marcio Jose Siqueira]]</f>
        <v>0</v>
      </c>
      <c r="AP99" s="72">
        <f>Tabela4[[#This Row],[Marcos Rogerio Kessler]]</f>
        <v>0</v>
      </c>
      <c r="AQ99" s="72">
        <f>SUM(Tabela4[[#This Row],[AABB - 01]:[AABB - 02]])</f>
        <v>0</v>
      </c>
      <c r="AR99" s="72">
        <f>SUM(Tabela4[[#This Row],[Wanda Burkard - 01]:[Wanda Burkard - 02]])</f>
        <v>0</v>
      </c>
      <c r="AS99" s="72">
        <f>Tabela4[[#This Row],[Silvio Robert Lemos Avila Me]]</f>
        <v>0</v>
      </c>
      <c r="AT99" s="72">
        <f>Tabela4[[#This Row],[Carmelo]]</f>
        <v>0</v>
      </c>
      <c r="AU99" s="72">
        <f>Tabela4[[#This Row],[Antonio Dal Forno]]</f>
        <v>0</v>
      </c>
      <c r="AV99" s="72">
        <f>Tabela4[[#This Row],[Marisane Paulus]]</f>
        <v>0</v>
      </c>
      <c r="AW99" s="72">
        <f>Tabela4[[#This Row],[Segatto Ceretta Ltda]]</f>
        <v>0</v>
      </c>
      <c r="AX99" s="72">
        <f>SUM(Tabela4[[#This Row],[APAE - 01]:[APAE - 02]])</f>
        <v>0</v>
      </c>
      <c r="AY99" s="72">
        <f>Tabela4[[#This Row],[Cássio Burin]]</f>
        <v>0</v>
      </c>
      <c r="AZ99" s="72">
        <f>Tabela4[[#This Row],[Patrick Kristoschek Da Silva]]</f>
        <v>0</v>
      </c>
      <c r="BA99" s="72">
        <f>Tabela4[[#This Row],[Silvio Robert Ávila - (Valmir)]]</f>
        <v>0</v>
      </c>
      <c r="BB99" s="72">
        <f>Tabela4[[#This Row],[Zederson Jose Della Flora]]</f>
        <v>0</v>
      </c>
      <c r="BC99" s="72">
        <f>Tabela4[[#This Row],[Carlos Walmir Larsão Rolim]]</f>
        <v>0</v>
      </c>
      <c r="BD99" s="72">
        <f>Tabela4[[#This Row],[Danieli Missio]]</f>
        <v>0</v>
      </c>
      <c r="BE99" s="72">
        <f>Tabela4[[#This Row],[José Vasconcellos]]</f>
        <v>0</v>
      </c>
      <c r="BF99" s="72">
        <f>Tabela4[[#This Row],[Linho Lev Alimentos]]</f>
        <v>0</v>
      </c>
      <c r="BG99" s="72">
        <f>Tabela4[[#This Row],[Ernani Czapla]]</f>
        <v>0</v>
      </c>
      <c r="BH99" s="72">
        <f>Tabela4[[#This Row],[Valesca Da Luz]]</f>
        <v>0</v>
      </c>
      <c r="BI99" s="72">
        <f>Tabela4[[#This Row],[Olavo Mildner]]</f>
        <v>0</v>
      </c>
      <c r="BJ99" s="72">
        <f>Tabela4[[#This Row],[Dilnei Rohled]]</f>
        <v>0</v>
      </c>
      <c r="BK99" s="72">
        <f>Tabela4[[#This Row],[Shaiana Signorini]]</f>
        <v>0</v>
      </c>
      <c r="BL99" s="72">
        <f>Tabela4[[#This Row],[Fonse Atacado]]</f>
        <v>0</v>
      </c>
      <c r="BM99" s="72">
        <f>Tabela4[[#This Row],[Comercial de Alimentos]]</f>
        <v>0</v>
      </c>
      <c r="BN99" s="72">
        <f>Tabela4[[#This Row],[Ivone Kasburg Serralheria]]</f>
        <v>0</v>
      </c>
      <c r="BO99" s="72">
        <f>Tabela4[[#This Row],[Mercado Ceretta]]</f>
        <v>0</v>
      </c>
      <c r="BP99" s="72">
        <f>Tabela4[[#This Row],[Antonio Carlos Dos Santos Pereira]]</f>
        <v>0</v>
      </c>
      <c r="BQ99" s="72">
        <f>Tabela4[[#This Row],[Volnei Lemos Avila - Me]]</f>
        <v>0</v>
      </c>
      <c r="BR99" s="72">
        <f>Tabela4[[#This Row],[Silvana Meneghini]]</f>
        <v>0</v>
      </c>
      <c r="BS99" s="72">
        <f>Tabela4[[#This Row],[Eficaz Engenharia Ltda]]</f>
        <v>0</v>
      </c>
      <c r="BT99" s="72">
        <f>SUM(Tabela4[[#Headers],[Tania Regina Schmaltz - 01]:[Tania Regina Schmaltz - 02]])</f>
        <v>0</v>
      </c>
      <c r="BU99" s="72">
        <f>Tabela4[[#This Row],[Camila Ceretta Segatto]]</f>
        <v>0</v>
      </c>
      <c r="BV99" s="72">
        <f>Tabela4[[#This Row],[Vagner Ribas Dos Santos]]</f>
        <v>0</v>
      </c>
      <c r="BW99" s="72">
        <f>Tabela4[[#This Row],[Claudio Alfredo Konrat]]</f>
        <v>0</v>
      </c>
    </row>
    <row r="100" spans="1:75" x14ac:dyDescent="0.25">
      <c r="A100" s="70">
        <v>46082</v>
      </c>
      <c r="B100" s="72">
        <f>SUM(Tabela4[[#This Row],[Marlon Colovini - 01]:[Marlon Colovini - 02]])</f>
        <v>0</v>
      </c>
      <c r="C100" s="72">
        <f>Tabela4[[#This Row],[Mara Barichello]]</f>
        <v>0</v>
      </c>
      <c r="D100" s="72">
        <f>Tabela4[[#This Row],[Jandira Dutra]]</f>
        <v>0</v>
      </c>
      <c r="E100" s="72">
        <f>Tabela4[[#This Row],[Luiz Fernando Kruger]]</f>
        <v>0</v>
      </c>
      <c r="F100" s="72">
        <f>SUM(Tabela4[[#This Row],[Paulo Bohn - 01]:[Paulo Bohn - 04]])</f>
        <v>0</v>
      </c>
      <c r="G100" s="72">
        <f>Tabela4[[#This Row],[Analia (Clodoaldo Entre-Ijuis)]]</f>
        <v>0</v>
      </c>
      <c r="H100" s="72">
        <f>Tabela4[[#This Row],[Biroh]]</f>
        <v>0</v>
      </c>
      <c r="I100" s="72">
        <f>Tabela4[[#This Row],[Gelson Posser]]</f>
        <v>0</v>
      </c>
      <c r="J100" s="72">
        <f>Tabela4[[#This Row],[Supermercado Caryone]]</f>
        <v>0</v>
      </c>
      <c r="K100" s="72">
        <f>Tabela4[[#This Row],[Ernani Minetto]]</f>
        <v>0</v>
      </c>
      <c r="L100" s="72">
        <f>Tabela4[[#This Row],[Jair Moscon]]</f>
        <v>0</v>
      </c>
      <c r="M100" s="72">
        <f>SUM(Tabela4[[#This Row],[Fabio Milke - 01]:[Fabio Milke - 02]])</f>
        <v>0</v>
      </c>
      <c r="N100" s="72">
        <f>Tabela4[[#This Row],[Piaia]]</f>
        <v>0</v>
      </c>
      <c r="O100" s="72">
        <f>Tabela4[[#This Row],[Osmar Veronese]]</f>
        <v>0</v>
      </c>
      <c r="P100" s="72">
        <f>Tabela4[[#This Row],[ José Luiz Moraes]]</f>
        <v>0</v>
      </c>
      <c r="Q100" s="72">
        <f>Tabela4[[#This Row],[Supermercado Cripy]]</f>
        <v>0</v>
      </c>
      <c r="R100" s="72">
        <f>Tabela4[[#This Row],[Gláucio Lipski (Giruá)]]</f>
        <v>0</v>
      </c>
      <c r="S100" s="72">
        <f>Tabela4[[#This Row],[Contri]]</f>
        <v>0</v>
      </c>
      <c r="T100" s="72">
        <f>Tabela4[[#This Row],[Cleci Rubi]]</f>
        <v>0</v>
      </c>
      <c r="U100" s="72">
        <f>Tabela4[[#This Row],[Betine Rost]]</f>
        <v>0</v>
      </c>
      <c r="V100" s="72">
        <f>SUM(Tabela4[[#This Row],[Robinson Fetter - 01]:[Robinson Fetter - 03]])</f>
        <v>0</v>
      </c>
      <c r="W100" s="72">
        <f>Tabela4[[#This Row],[Fabio De Moura]]</f>
        <v>0</v>
      </c>
      <c r="X100" s="72">
        <f>Tabela4[[#This Row],[Rochele Santos Moraes]]</f>
        <v>0</v>
      </c>
      <c r="Y100" s="72">
        <f>Tabela4[[#This Row],[Auto Posto Kairã]]</f>
        <v>0</v>
      </c>
      <c r="Z100" s="72">
        <f>Tabela4[[#This Row],[Erno Schiefelbain]]</f>
        <v>0</v>
      </c>
      <c r="AA100" s="72">
        <f>Tabela4[[#This Row],[José Paulo Backes]]</f>
        <v>0</v>
      </c>
      <c r="AB100" s="72">
        <f>Tabela4[[#This Row],[Gelso Tofolo]]</f>
        <v>0</v>
      </c>
      <c r="AC100" s="72">
        <f>Tabela4[[#This Row],[Diamantino]]</f>
        <v>0</v>
      </c>
      <c r="AD100" s="72">
        <f>Tabela4[[#This Row],[Mercado Bueno]]</f>
        <v>0</v>
      </c>
      <c r="AE100" s="72">
        <f>Tabela4[[#This Row],[Daniela Donadel Massalai]]</f>
        <v>0</v>
      </c>
      <c r="AF100" s="72">
        <f>Tabela4[[#This Row],[Comercio De Moto Peças Irmãos Guarani Ltda]]</f>
        <v>0</v>
      </c>
      <c r="AG100" s="72">
        <f>Tabela4[[#This Row],[Mauricio Luis Lunardi]]</f>
        <v>0</v>
      </c>
      <c r="AH100" s="72">
        <f>Tabela4[[#This Row],[Rosa Maria Restle Radunz]]</f>
        <v>0</v>
      </c>
      <c r="AI100" s="72">
        <f>Tabela4[[#This Row],[Ivo Amaral De Oliveira]]</f>
        <v>0</v>
      </c>
      <c r="AJ100" s="72">
        <f>Tabela4[[#This Row],[Silvio Robert Lemos Avila]]</f>
        <v>0</v>
      </c>
      <c r="AK100" s="72">
        <f>Tabela4[[#This Row],[Eldo Rost]]</f>
        <v>0</v>
      </c>
      <c r="AL100" s="72">
        <f>SUM(Tabela4[[#This Row],[Padaria Avenida - 01]:[Padaria Avenida - 02]])</f>
        <v>0</v>
      </c>
      <c r="AM100" s="72">
        <f>Tabela4[[#This Row],[Cristiano Anshau]]</f>
        <v>0</v>
      </c>
      <c r="AN100" s="72">
        <f>Tabela4[[#This Row],[Luciana Claudete Meirelles Correa]]</f>
        <v>0</v>
      </c>
      <c r="AO100" s="72">
        <f>Tabela4[[#This Row],[Marcio Jose Siqueira]]</f>
        <v>0</v>
      </c>
      <c r="AP100" s="72">
        <f>Tabela4[[#This Row],[Marcos Rogerio Kessler]]</f>
        <v>0</v>
      </c>
      <c r="AQ100" s="72">
        <f>SUM(Tabela4[[#This Row],[AABB - 01]:[AABB - 02]])</f>
        <v>0</v>
      </c>
      <c r="AR100" s="72">
        <f>SUM(Tabela4[[#This Row],[Wanda Burkard - 01]:[Wanda Burkard - 02]])</f>
        <v>0</v>
      </c>
      <c r="AS100" s="72">
        <f>Tabela4[[#This Row],[Silvio Robert Lemos Avila Me]]</f>
        <v>0</v>
      </c>
      <c r="AT100" s="72">
        <f>Tabela4[[#This Row],[Carmelo]]</f>
        <v>0</v>
      </c>
      <c r="AU100" s="72">
        <f>Tabela4[[#This Row],[Antonio Dal Forno]]</f>
        <v>0</v>
      </c>
      <c r="AV100" s="72">
        <f>Tabela4[[#This Row],[Marisane Paulus]]</f>
        <v>0</v>
      </c>
      <c r="AW100" s="72">
        <f>Tabela4[[#This Row],[Segatto Ceretta Ltda]]</f>
        <v>0</v>
      </c>
      <c r="AX100" s="72">
        <f>SUM(Tabela4[[#This Row],[APAE - 01]:[APAE - 02]])</f>
        <v>0</v>
      </c>
      <c r="AY100" s="72">
        <f>Tabela4[[#This Row],[Cássio Burin]]</f>
        <v>0</v>
      </c>
      <c r="AZ100" s="72">
        <f>Tabela4[[#This Row],[Patrick Kristoschek Da Silva]]</f>
        <v>0</v>
      </c>
      <c r="BA100" s="72">
        <f>Tabela4[[#This Row],[Silvio Robert Ávila - (Valmir)]]</f>
        <v>0</v>
      </c>
      <c r="BB100" s="72">
        <f>Tabela4[[#This Row],[Zederson Jose Della Flora]]</f>
        <v>0</v>
      </c>
      <c r="BC100" s="72">
        <f>Tabela4[[#This Row],[Carlos Walmir Larsão Rolim]]</f>
        <v>0</v>
      </c>
      <c r="BD100" s="72">
        <f>Tabela4[[#This Row],[Danieli Missio]]</f>
        <v>0</v>
      </c>
      <c r="BE100" s="72">
        <f>Tabela4[[#This Row],[José Vasconcellos]]</f>
        <v>0</v>
      </c>
      <c r="BF100" s="72">
        <f>Tabela4[[#This Row],[Linho Lev Alimentos]]</f>
        <v>0</v>
      </c>
      <c r="BG100" s="72">
        <f>Tabela4[[#This Row],[Ernani Czapla]]</f>
        <v>0</v>
      </c>
      <c r="BH100" s="72">
        <f>Tabela4[[#This Row],[Valesca Da Luz]]</f>
        <v>0</v>
      </c>
      <c r="BI100" s="72">
        <f>Tabela4[[#This Row],[Olavo Mildner]]</f>
        <v>0</v>
      </c>
      <c r="BJ100" s="72">
        <f>Tabela4[[#This Row],[Dilnei Rohled]]</f>
        <v>0</v>
      </c>
      <c r="BK100" s="72">
        <f>Tabela4[[#This Row],[Shaiana Signorini]]</f>
        <v>0</v>
      </c>
      <c r="BL100" s="72">
        <f>Tabela4[[#This Row],[Fonse Atacado]]</f>
        <v>0</v>
      </c>
      <c r="BM100" s="72">
        <f>Tabela4[[#This Row],[Comercial de Alimentos]]</f>
        <v>0</v>
      </c>
      <c r="BN100" s="72">
        <f>Tabela4[[#This Row],[Ivone Kasburg Serralheria]]</f>
        <v>0</v>
      </c>
      <c r="BO100" s="72">
        <f>Tabela4[[#This Row],[Mercado Ceretta]]</f>
        <v>0</v>
      </c>
      <c r="BP100" s="72">
        <f>Tabela4[[#This Row],[Antonio Carlos Dos Santos Pereira]]</f>
        <v>0</v>
      </c>
      <c r="BQ100" s="72">
        <f>Tabela4[[#This Row],[Volnei Lemos Avila - Me]]</f>
        <v>0</v>
      </c>
      <c r="BR100" s="72">
        <f>Tabela4[[#This Row],[Silvana Meneghini]]</f>
        <v>0</v>
      </c>
      <c r="BS100" s="72">
        <f>Tabela4[[#This Row],[Eficaz Engenharia Ltda]]</f>
        <v>0</v>
      </c>
      <c r="BT100" s="72">
        <f>SUM(Tabela4[[#Headers],[Tania Regina Schmaltz - 01]:[Tania Regina Schmaltz - 02]])</f>
        <v>0</v>
      </c>
      <c r="BU100" s="72">
        <f>Tabela4[[#This Row],[Camila Ceretta Segatto]]</f>
        <v>0</v>
      </c>
      <c r="BV100" s="72">
        <f>Tabela4[[#This Row],[Vagner Ribas Dos Santos]]</f>
        <v>0</v>
      </c>
      <c r="BW100" s="72">
        <f>Tabela4[[#This Row],[Claudio Alfredo Konrat]]</f>
        <v>0</v>
      </c>
    </row>
    <row r="101" spans="1:75" x14ac:dyDescent="0.25">
      <c r="A101" s="70">
        <v>46113</v>
      </c>
      <c r="B101" s="72">
        <f>SUM(Tabela4[[#This Row],[Marlon Colovini - 01]:[Marlon Colovini - 02]])</f>
        <v>0</v>
      </c>
      <c r="C101" s="72">
        <f>Tabela4[[#This Row],[Mara Barichello]]</f>
        <v>0</v>
      </c>
      <c r="D101" s="72">
        <f>Tabela4[[#This Row],[Jandira Dutra]]</f>
        <v>0</v>
      </c>
      <c r="E101" s="72">
        <f>Tabela4[[#This Row],[Luiz Fernando Kruger]]</f>
        <v>0</v>
      </c>
      <c r="F101" s="72">
        <f>SUM(Tabela4[[#This Row],[Paulo Bohn - 01]:[Paulo Bohn - 04]])</f>
        <v>0</v>
      </c>
      <c r="G101" s="72">
        <f>Tabela4[[#This Row],[Analia (Clodoaldo Entre-Ijuis)]]</f>
        <v>0</v>
      </c>
      <c r="H101" s="72">
        <f>Tabela4[[#This Row],[Biroh]]</f>
        <v>0</v>
      </c>
      <c r="I101" s="72">
        <f>Tabela4[[#This Row],[Gelson Posser]]</f>
        <v>0</v>
      </c>
      <c r="J101" s="72">
        <f>Tabela4[[#This Row],[Supermercado Caryone]]</f>
        <v>0</v>
      </c>
      <c r="K101" s="72">
        <f>Tabela4[[#This Row],[Ernani Minetto]]</f>
        <v>0</v>
      </c>
      <c r="L101" s="72">
        <f>Tabela4[[#This Row],[Jair Moscon]]</f>
        <v>0</v>
      </c>
      <c r="M101" s="72">
        <f>SUM(Tabela4[[#This Row],[Fabio Milke - 01]:[Fabio Milke - 02]])</f>
        <v>0</v>
      </c>
      <c r="N101" s="72">
        <f>Tabela4[[#This Row],[Piaia]]</f>
        <v>0</v>
      </c>
      <c r="O101" s="72">
        <f>Tabela4[[#This Row],[Osmar Veronese]]</f>
        <v>0</v>
      </c>
      <c r="P101" s="72">
        <f>Tabela4[[#This Row],[ José Luiz Moraes]]</f>
        <v>0</v>
      </c>
      <c r="Q101" s="72">
        <f>Tabela4[[#This Row],[Supermercado Cripy]]</f>
        <v>0</v>
      </c>
      <c r="R101" s="72">
        <f>Tabela4[[#This Row],[Gláucio Lipski (Giruá)]]</f>
        <v>0</v>
      </c>
      <c r="S101" s="72">
        <f>Tabela4[[#This Row],[Contri]]</f>
        <v>0</v>
      </c>
      <c r="T101" s="72">
        <f>Tabela4[[#This Row],[Cleci Rubi]]</f>
        <v>0</v>
      </c>
      <c r="U101" s="72">
        <f>Tabela4[[#This Row],[Betine Rost]]</f>
        <v>0</v>
      </c>
      <c r="V101" s="72">
        <f>SUM(Tabela4[[#This Row],[Robinson Fetter - 01]:[Robinson Fetter - 03]])</f>
        <v>0</v>
      </c>
      <c r="W101" s="72">
        <f>Tabela4[[#This Row],[Fabio De Moura]]</f>
        <v>0</v>
      </c>
      <c r="X101" s="72">
        <f>Tabela4[[#This Row],[Rochele Santos Moraes]]</f>
        <v>0</v>
      </c>
      <c r="Y101" s="72">
        <f>Tabela4[[#This Row],[Auto Posto Kairã]]</f>
        <v>0</v>
      </c>
      <c r="Z101" s="72">
        <f>Tabela4[[#This Row],[Erno Schiefelbain]]</f>
        <v>0</v>
      </c>
      <c r="AA101" s="72">
        <f>Tabela4[[#This Row],[José Paulo Backes]]</f>
        <v>0</v>
      </c>
      <c r="AB101" s="72">
        <f>Tabela4[[#This Row],[Gelso Tofolo]]</f>
        <v>0</v>
      </c>
      <c r="AC101" s="72">
        <f>Tabela4[[#This Row],[Diamantino]]</f>
        <v>0</v>
      </c>
      <c r="AD101" s="72">
        <f>Tabela4[[#This Row],[Mercado Bueno]]</f>
        <v>0</v>
      </c>
      <c r="AE101" s="72">
        <f>Tabela4[[#This Row],[Daniela Donadel Massalai]]</f>
        <v>0</v>
      </c>
      <c r="AF101" s="72">
        <f>Tabela4[[#This Row],[Comercio De Moto Peças Irmãos Guarani Ltda]]</f>
        <v>0</v>
      </c>
      <c r="AG101" s="72">
        <f>Tabela4[[#This Row],[Mauricio Luis Lunardi]]</f>
        <v>0</v>
      </c>
      <c r="AH101" s="72">
        <f>Tabela4[[#This Row],[Rosa Maria Restle Radunz]]</f>
        <v>0</v>
      </c>
      <c r="AI101" s="72">
        <f>Tabela4[[#This Row],[Ivo Amaral De Oliveira]]</f>
        <v>0</v>
      </c>
      <c r="AJ101" s="72">
        <f>Tabela4[[#This Row],[Silvio Robert Lemos Avila]]</f>
        <v>0</v>
      </c>
      <c r="AK101" s="72">
        <f>Tabela4[[#This Row],[Eldo Rost]]</f>
        <v>0</v>
      </c>
      <c r="AL101" s="72">
        <f>SUM(Tabela4[[#This Row],[Padaria Avenida - 01]:[Padaria Avenida - 02]])</f>
        <v>0</v>
      </c>
      <c r="AM101" s="72">
        <f>Tabela4[[#This Row],[Cristiano Anshau]]</f>
        <v>0</v>
      </c>
      <c r="AN101" s="72">
        <f>Tabela4[[#This Row],[Luciana Claudete Meirelles Correa]]</f>
        <v>0</v>
      </c>
      <c r="AO101" s="72">
        <f>Tabela4[[#This Row],[Marcio Jose Siqueira]]</f>
        <v>0</v>
      </c>
      <c r="AP101" s="72">
        <f>Tabela4[[#This Row],[Marcos Rogerio Kessler]]</f>
        <v>0</v>
      </c>
      <c r="AQ101" s="72">
        <f>SUM(Tabela4[[#This Row],[AABB - 01]:[AABB - 02]])</f>
        <v>0</v>
      </c>
      <c r="AR101" s="72">
        <f>SUM(Tabela4[[#This Row],[Wanda Burkard - 01]:[Wanda Burkard - 02]])</f>
        <v>0</v>
      </c>
      <c r="AS101" s="72">
        <f>Tabela4[[#This Row],[Silvio Robert Lemos Avila Me]]</f>
        <v>0</v>
      </c>
      <c r="AT101" s="72">
        <f>Tabela4[[#This Row],[Carmelo]]</f>
        <v>0</v>
      </c>
      <c r="AU101" s="72">
        <f>Tabela4[[#This Row],[Antonio Dal Forno]]</f>
        <v>0</v>
      </c>
      <c r="AV101" s="72">
        <f>Tabela4[[#This Row],[Marisane Paulus]]</f>
        <v>0</v>
      </c>
      <c r="AW101" s="72">
        <f>Tabela4[[#This Row],[Segatto Ceretta Ltda]]</f>
        <v>0</v>
      </c>
      <c r="AX101" s="72">
        <f>SUM(Tabela4[[#This Row],[APAE - 01]:[APAE - 02]])</f>
        <v>0</v>
      </c>
      <c r="AY101" s="72">
        <f>Tabela4[[#This Row],[Cássio Burin]]</f>
        <v>0</v>
      </c>
      <c r="AZ101" s="72">
        <f>Tabela4[[#This Row],[Patrick Kristoschek Da Silva]]</f>
        <v>0</v>
      </c>
      <c r="BA101" s="72">
        <f>Tabela4[[#This Row],[Silvio Robert Ávila - (Valmir)]]</f>
        <v>0</v>
      </c>
      <c r="BB101" s="72">
        <f>Tabela4[[#This Row],[Zederson Jose Della Flora]]</f>
        <v>0</v>
      </c>
      <c r="BC101" s="72">
        <f>Tabela4[[#This Row],[Carlos Walmir Larsão Rolim]]</f>
        <v>0</v>
      </c>
      <c r="BD101" s="72">
        <f>Tabela4[[#This Row],[Danieli Missio]]</f>
        <v>0</v>
      </c>
      <c r="BE101" s="72">
        <f>Tabela4[[#This Row],[José Vasconcellos]]</f>
        <v>0</v>
      </c>
      <c r="BF101" s="72">
        <f>Tabela4[[#This Row],[Linho Lev Alimentos]]</f>
        <v>0</v>
      </c>
      <c r="BG101" s="72">
        <f>Tabela4[[#This Row],[Ernani Czapla]]</f>
        <v>0</v>
      </c>
      <c r="BH101" s="72">
        <f>Tabela4[[#This Row],[Valesca Da Luz]]</f>
        <v>0</v>
      </c>
      <c r="BI101" s="72">
        <f>Tabela4[[#This Row],[Olavo Mildner]]</f>
        <v>0</v>
      </c>
      <c r="BJ101" s="72">
        <f>Tabela4[[#This Row],[Dilnei Rohled]]</f>
        <v>0</v>
      </c>
      <c r="BK101" s="72">
        <f>Tabela4[[#This Row],[Shaiana Signorini]]</f>
        <v>0</v>
      </c>
      <c r="BL101" s="72">
        <f>Tabela4[[#This Row],[Fonse Atacado]]</f>
        <v>0</v>
      </c>
      <c r="BM101" s="72">
        <f>Tabela4[[#This Row],[Comercial de Alimentos]]</f>
        <v>0</v>
      </c>
      <c r="BN101" s="72">
        <f>Tabela4[[#This Row],[Ivone Kasburg Serralheria]]</f>
        <v>0</v>
      </c>
      <c r="BO101" s="72">
        <f>Tabela4[[#This Row],[Mercado Ceretta]]</f>
        <v>0</v>
      </c>
      <c r="BP101" s="72">
        <f>Tabela4[[#This Row],[Antonio Carlos Dos Santos Pereira]]</f>
        <v>0</v>
      </c>
      <c r="BQ101" s="72">
        <f>Tabela4[[#This Row],[Volnei Lemos Avila - Me]]</f>
        <v>0</v>
      </c>
      <c r="BR101" s="72">
        <f>Tabela4[[#This Row],[Silvana Meneghini]]</f>
        <v>0</v>
      </c>
      <c r="BS101" s="72">
        <f>Tabela4[[#This Row],[Eficaz Engenharia Ltda]]</f>
        <v>0</v>
      </c>
      <c r="BT101" s="72">
        <f>SUM(Tabela4[[#Headers],[Tania Regina Schmaltz - 01]:[Tania Regina Schmaltz - 02]])</f>
        <v>0</v>
      </c>
      <c r="BU101" s="72">
        <f>Tabela4[[#This Row],[Camila Ceretta Segatto]]</f>
        <v>0</v>
      </c>
      <c r="BV101" s="72">
        <f>Tabela4[[#This Row],[Vagner Ribas Dos Santos]]</f>
        <v>0</v>
      </c>
      <c r="BW101" s="72">
        <f>Tabela4[[#This Row],[Claudio Alfredo Konrat]]</f>
        <v>0</v>
      </c>
    </row>
    <row r="102" spans="1:75" x14ac:dyDescent="0.25">
      <c r="A102" s="70">
        <v>46143</v>
      </c>
      <c r="B102" s="72">
        <f>SUM(Tabela4[[#This Row],[Marlon Colovini - 01]:[Marlon Colovini - 02]])</f>
        <v>0</v>
      </c>
      <c r="C102" s="72">
        <f>Tabela4[[#This Row],[Mara Barichello]]</f>
        <v>0</v>
      </c>
      <c r="D102" s="72">
        <f>Tabela4[[#This Row],[Jandira Dutra]]</f>
        <v>0</v>
      </c>
      <c r="E102" s="72">
        <f>Tabela4[[#This Row],[Luiz Fernando Kruger]]</f>
        <v>0</v>
      </c>
      <c r="F102" s="72">
        <f>SUM(Tabela4[[#This Row],[Paulo Bohn - 01]:[Paulo Bohn - 04]])</f>
        <v>0</v>
      </c>
      <c r="G102" s="72">
        <f>Tabela4[[#This Row],[Analia (Clodoaldo Entre-Ijuis)]]</f>
        <v>0</v>
      </c>
      <c r="H102" s="72">
        <f>Tabela4[[#This Row],[Biroh]]</f>
        <v>0</v>
      </c>
      <c r="I102" s="72">
        <f>Tabela4[[#This Row],[Gelson Posser]]</f>
        <v>0</v>
      </c>
      <c r="J102" s="72">
        <f>Tabela4[[#This Row],[Supermercado Caryone]]</f>
        <v>0</v>
      </c>
      <c r="K102" s="72">
        <f>Tabela4[[#This Row],[Ernani Minetto]]</f>
        <v>0</v>
      </c>
      <c r="L102" s="72">
        <f>Tabela4[[#This Row],[Jair Moscon]]</f>
        <v>0</v>
      </c>
      <c r="M102" s="72">
        <f>SUM(Tabela4[[#This Row],[Fabio Milke - 01]:[Fabio Milke - 02]])</f>
        <v>0</v>
      </c>
      <c r="N102" s="72">
        <f>Tabela4[[#This Row],[Piaia]]</f>
        <v>0</v>
      </c>
      <c r="O102" s="72">
        <f>Tabela4[[#This Row],[Osmar Veronese]]</f>
        <v>0</v>
      </c>
      <c r="P102" s="72">
        <f>Tabela4[[#This Row],[ José Luiz Moraes]]</f>
        <v>0</v>
      </c>
      <c r="Q102" s="72">
        <f>Tabela4[[#This Row],[Supermercado Cripy]]</f>
        <v>0</v>
      </c>
      <c r="R102" s="72">
        <f>Tabela4[[#This Row],[Gláucio Lipski (Giruá)]]</f>
        <v>0</v>
      </c>
      <c r="S102" s="72">
        <f>Tabela4[[#This Row],[Contri]]</f>
        <v>0</v>
      </c>
      <c r="T102" s="72">
        <f>Tabela4[[#This Row],[Cleci Rubi]]</f>
        <v>0</v>
      </c>
      <c r="U102" s="72">
        <f>Tabela4[[#This Row],[Betine Rost]]</f>
        <v>0</v>
      </c>
      <c r="V102" s="72">
        <f>SUM(Tabela4[[#This Row],[Robinson Fetter - 01]:[Robinson Fetter - 03]])</f>
        <v>0</v>
      </c>
      <c r="W102" s="72">
        <f>Tabela4[[#This Row],[Fabio De Moura]]</f>
        <v>0</v>
      </c>
      <c r="X102" s="72">
        <f>Tabela4[[#This Row],[Rochele Santos Moraes]]</f>
        <v>0</v>
      </c>
      <c r="Y102" s="72">
        <f>Tabela4[[#This Row],[Auto Posto Kairã]]</f>
        <v>0</v>
      </c>
      <c r="Z102" s="72">
        <f>Tabela4[[#This Row],[Erno Schiefelbain]]</f>
        <v>0</v>
      </c>
      <c r="AA102" s="72">
        <f>Tabela4[[#This Row],[José Paulo Backes]]</f>
        <v>0</v>
      </c>
      <c r="AB102" s="72">
        <f>Tabela4[[#This Row],[Gelso Tofolo]]</f>
        <v>0</v>
      </c>
      <c r="AC102" s="72">
        <f>Tabela4[[#This Row],[Diamantino]]</f>
        <v>0</v>
      </c>
      <c r="AD102" s="72">
        <f>Tabela4[[#This Row],[Mercado Bueno]]</f>
        <v>0</v>
      </c>
      <c r="AE102" s="72">
        <f>Tabela4[[#This Row],[Daniela Donadel Massalai]]</f>
        <v>0</v>
      </c>
      <c r="AF102" s="72">
        <f>Tabela4[[#This Row],[Comercio De Moto Peças Irmãos Guarani Ltda]]</f>
        <v>0</v>
      </c>
      <c r="AG102" s="72">
        <f>Tabela4[[#This Row],[Mauricio Luis Lunardi]]</f>
        <v>0</v>
      </c>
      <c r="AH102" s="72">
        <f>Tabela4[[#This Row],[Rosa Maria Restle Radunz]]</f>
        <v>0</v>
      </c>
      <c r="AI102" s="72">
        <f>Tabela4[[#This Row],[Ivo Amaral De Oliveira]]</f>
        <v>0</v>
      </c>
      <c r="AJ102" s="72">
        <f>Tabela4[[#This Row],[Silvio Robert Lemos Avila]]</f>
        <v>0</v>
      </c>
      <c r="AK102" s="72">
        <f>Tabela4[[#This Row],[Eldo Rost]]</f>
        <v>0</v>
      </c>
      <c r="AL102" s="72">
        <f>SUM(Tabela4[[#This Row],[Padaria Avenida - 01]:[Padaria Avenida - 02]])</f>
        <v>0</v>
      </c>
      <c r="AM102" s="72">
        <f>Tabela4[[#This Row],[Cristiano Anshau]]</f>
        <v>0</v>
      </c>
      <c r="AN102" s="72">
        <f>Tabela4[[#This Row],[Luciana Claudete Meirelles Correa]]</f>
        <v>0</v>
      </c>
      <c r="AO102" s="72">
        <f>Tabela4[[#This Row],[Marcio Jose Siqueira]]</f>
        <v>0</v>
      </c>
      <c r="AP102" s="72">
        <f>Tabela4[[#This Row],[Marcos Rogerio Kessler]]</f>
        <v>0</v>
      </c>
      <c r="AQ102" s="72">
        <f>SUM(Tabela4[[#This Row],[AABB - 01]:[AABB - 02]])</f>
        <v>0</v>
      </c>
      <c r="AR102" s="72">
        <f>SUM(Tabela4[[#This Row],[Wanda Burkard - 01]:[Wanda Burkard - 02]])</f>
        <v>0</v>
      </c>
      <c r="AS102" s="72">
        <f>Tabela4[[#This Row],[Silvio Robert Lemos Avila Me]]</f>
        <v>0</v>
      </c>
      <c r="AT102" s="72">
        <f>Tabela4[[#This Row],[Carmelo]]</f>
        <v>0</v>
      </c>
      <c r="AU102" s="72">
        <f>Tabela4[[#This Row],[Antonio Dal Forno]]</f>
        <v>0</v>
      </c>
      <c r="AV102" s="72">
        <f>Tabela4[[#This Row],[Marisane Paulus]]</f>
        <v>0</v>
      </c>
      <c r="AW102" s="72">
        <f>Tabela4[[#This Row],[Segatto Ceretta Ltda]]</f>
        <v>0</v>
      </c>
      <c r="AX102" s="72">
        <f>SUM(Tabela4[[#This Row],[APAE - 01]:[APAE - 02]])</f>
        <v>0</v>
      </c>
      <c r="AY102" s="72">
        <f>Tabela4[[#This Row],[Cássio Burin]]</f>
        <v>0</v>
      </c>
      <c r="AZ102" s="72">
        <f>Tabela4[[#This Row],[Patrick Kristoschek Da Silva]]</f>
        <v>0</v>
      </c>
      <c r="BA102" s="72">
        <f>Tabela4[[#This Row],[Silvio Robert Ávila - (Valmir)]]</f>
        <v>0</v>
      </c>
      <c r="BB102" s="72">
        <f>Tabela4[[#This Row],[Zederson Jose Della Flora]]</f>
        <v>0</v>
      </c>
      <c r="BC102" s="72">
        <f>Tabela4[[#This Row],[Carlos Walmir Larsão Rolim]]</f>
        <v>0</v>
      </c>
      <c r="BD102" s="72">
        <f>Tabela4[[#This Row],[Danieli Missio]]</f>
        <v>0</v>
      </c>
      <c r="BE102" s="72">
        <f>Tabela4[[#This Row],[José Vasconcellos]]</f>
        <v>0</v>
      </c>
      <c r="BF102" s="72">
        <f>Tabela4[[#This Row],[Linho Lev Alimentos]]</f>
        <v>0</v>
      </c>
      <c r="BG102" s="72">
        <f>Tabela4[[#This Row],[Ernani Czapla]]</f>
        <v>0</v>
      </c>
      <c r="BH102" s="72">
        <f>Tabela4[[#This Row],[Valesca Da Luz]]</f>
        <v>0</v>
      </c>
      <c r="BI102" s="72">
        <f>Tabela4[[#This Row],[Olavo Mildner]]</f>
        <v>0</v>
      </c>
      <c r="BJ102" s="72">
        <f>Tabela4[[#This Row],[Dilnei Rohled]]</f>
        <v>0</v>
      </c>
      <c r="BK102" s="72">
        <f>Tabela4[[#This Row],[Shaiana Signorini]]</f>
        <v>0</v>
      </c>
      <c r="BL102" s="72">
        <f>Tabela4[[#This Row],[Fonse Atacado]]</f>
        <v>0</v>
      </c>
      <c r="BM102" s="72">
        <f>Tabela4[[#This Row],[Comercial de Alimentos]]</f>
        <v>0</v>
      </c>
      <c r="BN102" s="72">
        <f>Tabela4[[#This Row],[Ivone Kasburg Serralheria]]</f>
        <v>0</v>
      </c>
      <c r="BO102" s="72">
        <f>Tabela4[[#This Row],[Mercado Ceretta]]</f>
        <v>0</v>
      </c>
      <c r="BP102" s="72">
        <f>Tabela4[[#This Row],[Antonio Carlos Dos Santos Pereira]]</f>
        <v>0</v>
      </c>
      <c r="BQ102" s="72">
        <f>Tabela4[[#This Row],[Volnei Lemos Avila - Me]]</f>
        <v>0</v>
      </c>
      <c r="BR102" s="72">
        <f>Tabela4[[#This Row],[Silvana Meneghini]]</f>
        <v>0</v>
      </c>
      <c r="BS102" s="72">
        <f>Tabela4[[#This Row],[Eficaz Engenharia Ltda]]</f>
        <v>0</v>
      </c>
      <c r="BT102" s="72">
        <f>SUM(Tabela4[[#Headers],[Tania Regina Schmaltz - 01]:[Tania Regina Schmaltz - 02]])</f>
        <v>0</v>
      </c>
      <c r="BU102" s="72">
        <f>Tabela4[[#This Row],[Camila Ceretta Segatto]]</f>
        <v>0</v>
      </c>
      <c r="BV102" s="72">
        <f>Tabela4[[#This Row],[Vagner Ribas Dos Santos]]</f>
        <v>0</v>
      </c>
      <c r="BW102" s="72">
        <f>Tabela4[[#This Row],[Claudio Alfredo Konrat]]</f>
        <v>0</v>
      </c>
    </row>
    <row r="103" spans="1:75" x14ac:dyDescent="0.25">
      <c r="A103" s="70">
        <v>46174</v>
      </c>
      <c r="B103" s="72">
        <f>SUM(Tabela4[[#This Row],[Marlon Colovini - 01]:[Marlon Colovini - 02]])</f>
        <v>0</v>
      </c>
      <c r="C103" s="72">
        <f>Tabela4[[#This Row],[Mara Barichello]]</f>
        <v>0</v>
      </c>
      <c r="D103" s="72">
        <f>Tabela4[[#This Row],[Jandira Dutra]]</f>
        <v>0</v>
      </c>
      <c r="E103" s="72">
        <f>Tabela4[[#This Row],[Luiz Fernando Kruger]]</f>
        <v>0</v>
      </c>
      <c r="F103" s="72">
        <f>SUM(Tabela4[[#This Row],[Paulo Bohn - 01]:[Paulo Bohn - 04]])</f>
        <v>0</v>
      </c>
      <c r="G103" s="72">
        <f>Tabela4[[#This Row],[Analia (Clodoaldo Entre-Ijuis)]]</f>
        <v>0</v>
      </c>
      <c r="H103" s="72">
        <f>Tabela4[[#This Row],[Biroh]]</f>
        <v>0</v>
      </c>
      <c r="I103" s="72">
        <f>Tabela4[[#This Row],[Gelson Posser]]</f>
        <v>0</v>
      </c>
      <c r="J103" s="72">
        <f>Tabela4[[#This Row],[Supermercado Caryone]]</f>
        <v>0</v>
      </c>
      <c r="K103" s="72">
        <f>Tabela4[[#This Row],[Ernani Minetto]]</f>
        <v>0</v>
      </c>
      <c r="L103" s="72">
        <f>Tabela4[[#This Row],[Jair Moscon]]</f>
        <v>0</v>
      </c>
      <c r="M103" s="72">
        <f>SUM(Tabela4[[#This Row],[Fabio Milke - 01]:[Fabio Milke - 02]])</f>
        <v>0</v>
      </c>
      <c r="N103" s="72">
        <f>Tabela4[[#This Row],[Piaia]]</f>
        <v>0</v>
      </c>
      <c r="O103" s="72">
        <f>Tabela4[[#This Row],[Osmar Veronese]]</f>
        <v>0</v>
      </c>
      <c r="P103" s="72">
        <f>Tabela4[[#This Row],[ José Luiz Moraes]]</f>
        <v>0</v>
      </c>
      <c r="Q103" s="72">
        <f>Tabela4[[#This Row],[Supermercado Cripy]]</f>
        <v>0</v>
      </c>
      <c r="R103" s="72">
        <f>Tabela4[[#This Row],[Gláucio Lipski (Giruá)]]</f>
        <v>0</v>
      </c>
      <c r="S103" s="72">
        <f>Tabela4[[#This Row],[Contri]]</f>
        <v>0</v>
      </c>
      <c r="T103" s="72">
        <f>Tabela4[[#This Row],[Cleci Rubi]]</f>
        <v>0</v>
      </c>
      <c r="U103" s="72">
        <f>Tabela4[[#This Row],[Betine Rost]]</f>
        <v>0</v>
      </c>
      <c r="V103" s="72">
        <f>SUM(Tabela4[[#This Row],[Robinson Fetter - 01]:[Robinson Fetter - 03]])</f>
        <v>0</v>
      </c>
      <c r="W103" s="72">
        <f>Tabela4[[#This Row],[Fabio De Moura]]</f>
        <v>0</v>
      </c>
      <c r="X103" s="72">
        <f>Tabela4[[#This Row],[Rochele Santos Moraes]]</f>
        <v>0</v>
      </c>
      <c r="Y103" s="72">
        <f>Tabela4[[#This Row],[Auto Posto Kairã]]</f>
        <v>0</v>
      </c>
      <c r="Z103" s="72">
        <f>Tabela4[[#This Row],[Erno Schiefelbain]]</f>
        <v>0</v>
      </c>
      <c r="AA103" s="72">
        <f>Tabela4[[#This Row],[José Paulo Backes]]</f>
        <v>0</v>
      </c>
      <c r="AB103" s="72">
        <f>Tabela4[[#This Row],[Gelso Tofolo]]</f>
        <v>0</v>
      </c>
      <c r="AC103" s="72">
        <f>Tabela4[[#This Row],[Diamantino]]</f>
        <v>0</v>
      </c>
      <c r="AD103" s="72">
        <f>Tabela4[[#This Row],[Mercado Bueno]]</f>
        <v>0</v>
      </c>
      <c r="AE103" s="72">
        <f>Tabela4[[#This Row],[Daniela Donadel Massalai]]</f>
        <v>0</v>
      </c>
      <c r="AF103" s="72">
        <f>Tabela4[[#This Row],[Comercio De Moto Peças Irmãos Guarani Ltda]]</f>
        <v>0</v>
      </c>
      <c r="AG103" s="72">
        <f>Tabela4[[#This Row],[Mauricio Luis Lunardi]]</f>
        <v>0</v>
      </c>
      <c r="AH103" s="72">
        <f>Tabela4[[#This Row],[Rosa Maria Restle Radunz]]</f>
        <v>0</v>
      </c>
      <c r="AI103" s="72">
        <f>Tabela4[[#This Row],[Ivo Amaral De Oliveira]]</f>
        <v>0</v>
      </c>
      <c r="AJ103" s="72">
        <f>Tabela4[[#This Row],[Silvio Robert Lemos Avila]]</f>
        <v>0</v>
      </c>
      <c r="AK103" s="72">
        <f>Tabela4[[#This Row],[Eldo Rost]]</f>
        <v>0</v>
      </c>
      <c r="AL103" s="72">
        <f>SUM(Tabela4[[#This Row],[Padaria Avenida - 01]:[Padaria Avenida - 02]])</f>
        <v>0</v>
      </c>
      <c r="AM103" s="72">
        <f>Tabela4[[#This Row],[Cristiano Anshau]]</f>
        <v>0</v>
      </c>
      <c r="AN103" s="72">
        <f>Tabela4[[#This Row],[Luciana Claudete Meirelles Correa]]</f>
        <v>0</v>
      </c>
      <c r="AO103" s="72">
        <f>Tabela4[[#This Row],[Marcio Jose Siqueira]]</f>
        <v>0</v>
      </c>
      <c r="AP103" s="72">
        <f>Tabela4[[#This Row],[Marcos Rogerio Kessler]]</f>
        <v>0</v>
      </c>
      <c r="AQ103" s="72">
        <f>SUM(Tabela4[[#This Row],[AABB - 01]:[AABB - 02]])</f>
        <v>0</v>
      </c>
      <c r="AR103" s="72">
        <f>SUM(Tabela4[[#This Row],[Wanda Burkard - 01]:[Wanda Burkard - 02]])</f>
        <v>0</v>
      </c>
      <c r="AS103" s="72">
        <f>Tabela4[[#This Row],[Silvio Robert Lemos Avila Me]]</f>
        <v>0</v>
      </c>
      <c r="AT103" s="72">
        <f>Tabela4[[#This Row],[Carmelo]]</f>
        <v>0</v>
      </c>
      <c r="AU103" s="72">
        <f>Tabela4[[#This Row],[Antonio Dal Forno]]</f>
        <v>0</v>
      </c>
      <c r="AV103" s="72">
        <f>Tabela4[[#This Row],[Marisane Paulus]]</f>
        <v>0</v>
      </c>
      <c r="AW103" s="72">
        <f>Tabela4[[#This Row],[Segatto Ceretta Ltda]]</f>
        <v>0</v>
      </c>
      <c r="AX103" s="72">
        <f>SUM(Tabela4[[#This Row],[APAE - 01]:[APAE - 02]])</f>
        <v>0</v>
      </c>
      <c r="AY103" s="72">
        <f>Tabela4[[#This Row],[Cássio Burin]]</f>
        <v>0</v>
      </c>
      <c r="AZ103" s="72">
        <f>Tabela4[[#This Row],[Patrick Kristoschek Da Silva]]</f>
        <v>0</v>
      </c>
      <c r="BA103" s="72">
        <f>Tabela4[[#This Row],[Silvio Robert Ávila - (Valmir)]]</f>
        <v>0</v>
      </c>
      <c r="BB103" s="72">
        <f>Tabela4[[#This Row],[Zederson Jose Della Flora]]</f>
        <v>0</v>
      </c>
      <c r="BC103" s="72">
        <f>Tabela4[[#This Row],[Carlos Walmir Larsão Rolim]]</f>
        <v>0</v>
      </c>
      <c r="BD103" s="72">
        <f>Tabela4[[#This Row],[Danieli Missio]]</f>
        <v>0</v>
      </c>
      <c r="BE103" s="72">
        <f>Tabela4[[#This Row],[José Vasconcellos]]</f>
        <v>0</v>
      </c>
      <c r="BF103" s="72">
        <f>Tabela4[[#This Row],[Linho Lev Alimentos]]</f>
        <v>0</v>
      </c>
      <c r="BG103" s="72">
        <f>Tabela4[[#This Row],[Ernani Czapla]]</f>
        <v>0</v>
      </c>
      <c r="BH103" s="72">
        <f>Tabela4[[#This Row],[Valesca Da Luz]]</f>
        <v>0</v>
      </c>
      <c r="BI103" s="72">
        <f>Tabela4[[#This Row],[Olavo Mildner]]</f>
        <v>0</v>
      </c>
      <c r="BJ103" s="72">
        <f>Tabela4[[#This Row],[Dilnei Rohled]]</f>
        <v>0</v>
      </c>
      <c r="BK103" s="72">
        <f>Tabela4[[#This Row],[Shaiana Signorini]]</f>
        <v>0</v>
      </c>
      <c r="BL103" s="72">
        <f>Tabela4[[#This Row],[Fonse Atacado]]</f>
        <v>0</v>
      </c>
      <c r="BM103" s="72">
        <f>Tabela4[[#This Row],[Comercial de Alimentos]]</f>
        <v>0</v>
      </c>
      <c r="BN103" s="72">
        <f>Tabela4[[#This Row],[Ivone Kasburg Serralheria]]</f>
        <v>0</v>
      </c>
      <c r="BO103" s="72">
        <f>Tabela4[[#This Row],[Mercado Ceretta]]</f>
        <v>0</v>
      </c>
      <c r="BP103" s="72">
        <f>Tabela4[[#This Row],[Antonio Carlos Dos Santos Pereira]]</f>
        <v>0</v>
      </c>
      <c r="BQ103" s="72">
        <f>Tabela4[[#This Row],[Volnei Lemos Avila - Me]]</f>
        <v>0</v>
      </c>
      <c r="BR103" s="72">
        <f>Tabela4[[#This Row],[Silvana Meneghini]]</f>
        <v>0</v>
      </c>
      <c r="BS103" s="72">
        <f>Tabela4[[#This Row],[Eficaz Engenharia Ltda]]</f>
        <v>0</v>
      </c>
      <c r="BT103" s="72">
        <f>SUM(Tabela4[[#Headers],[Tania Regina Schmaltz - 01]:[Tania Regina Schmaltz - 02]])</f>
        <v>0</v>
      </c>
      <c r="BU103" s="72">
        <f>Tabela4[[#This Row],[Camila Ceretta Segatto]]</f>
        <v>0</v>
      </c>
      <c r="BV103" s="72">
        <f>Tabela4[[#This Row],[Vagner Ribas Dos Santos]]</f>
        <v>0</v>
      </c>
      <c r="BW103" s="72">
        <f>Tabela4[[#This Row],[Claudio Alfredo Konrat]]</f>
        <v>0</v>
      </c>
    </row>
    <row r="104" spans="1:75" x14ac:dyDescent="0.25">
      <c r="A104" s="70">
        <v>46204</v>
      </c>
      <c r="B104" s="72">
        <f>SUM(Tabela4[[#This Row],[Marlon Colovini - 01]:[Marlon Colovini - 02]])</f>
        <v>0</v>
      </c>
      <c r="C104" s="72">
        <f>Tabela4[[#This Row],[Mara Barichello]]</f>
        <v>0</v>
      </c>
      <c r="D104" s="72">
        <f>Tabela4[[#This Row],[Jandira Dutra]]</f>
        <v>0</v>
      </c>
      <c r="E104" s="72">
        <f>Tabela4[[#This Row],[Luiz Fernando Kruger]]</f>
        <v>0</v>
      </c>
      <c r="F104" s="72">
        <f>SUM(Tabela4[[#This Row],[Paulo Bohn - 01]:[Paulo Bohn - 04]])</f>
        <v>0</v>
      </c>
      <c r="G104" s="72">
        <f>Tabela4[[#This Row],[Analia (Clodoaldo Entre-Ijuis)]]</f>
        <v>0</v>
      </c>
      <c r="H104" s="72">
        <f>Tabela4[[#This Row],[Biroh]]</f>
        <v>0</v>
      </c>
      <c r="I104" s="72">
        <f>Tabela4[[#This Row],[Gelson Posser]]</f>
        <v>0</v>
      </c>
      <c r="J104" s="72">
        <f>Tabela4[[#This Row],[Supermercado Caryone]]</f>
        <v>0</v>
      </c>
      <c r="K104" s="72">
        <f>Tabela4[[#This Row],[Ernani Minetto]]</f>
        <v>0</v>
      </c>
      <c r="L104" s="72">
        <f>Tabela4[[#This Row],[Jair Moscon]]</f>
        <v>0</v>
      </c>
      <c r="M104" s="72">
        <f>SUM(Tabela4[[#This Row],[Fabio Milke - 01]:[Fabio Milke - 02]])</f>
        <v>0</v>
      </c>
      <c r="N104" s="72">
        <f>Tabela4[[#This Row],[Piaia]]</f>
        <v>0</v>
      </c>
      <c r="O104" s="72">
        <f>Tabela4[[#This Row],[Osmar Veronese]]</f>
        <v>0</v>
      </c>
      <c r="P104" s="72">
        <f>Tabela4[[#This Row],[ José Luiz Moraes]]</f>
        <v>0</v>
      </c>
      <c r="Q104" s="72">
        <f>Tabela4[[#This Row],[Supermercado Cripy]]</f>
        <v>0</v>
      </c>
      <c r="R104" s="72">
        <f>Tabela4[[#This Row],[Gláucio Lipski (Giruá)]]</f>
        <v>0</v>
      </c>
      <c r="S104" s="72">
        <f>Tabela4[[#This Row],[Contri]]</f>
        <v>0</v>
      </c>
      <c r="T104" s="72">
        <f>Tabela4[[#This Row],[Cleci Rubi]]</f>
        <v>0</v>
      </c>
      <c r="U104" s="72">
        <f>Tabela4[[#This Row],[Betine Rost]]</f>
        <v>0</v>
      </c>
      <c r="V104" s="72">
        <f>SUM(Tabela4[[#This Row],[Robinson Fetter - 01]:[Robinson Fetter - 03]])</f>
        <v>0</v>
      </c>
      <c r="W104" s="72">
        <f>Tabela4[[#This Row],[Fabio De Moura]]</f>
        <v>0</v>
      </c>
      <c r="X104" s="72">
        <f>Tabela4[[#This Row],[Rochele Santos Moraes]]</f>
        <v>0</v>
      </c>
      <c r="Y104" s="72">
        <f>Tabela4[[#This Row],[Auto Posto Kairã]]</f>
        <v>0</v>
      </c>
      <c r="Z104" s="72">
        <f>Tabela4[[#This Row],[Erno Schiefelbain]]</f>
        <v>0</v>
      </c>
      <c r="AA104" s="72">
        <f>Tabela4[[#This Row],[José Paulo Backes]]</f>
        <v>0</v>
      </c>
      <c r="AB104" s="72">
        <f>Tabela4[[#This Row],[Gelso Tofolo]]</f>
        <v>0</v>
      </c>
      <c r="AC104" s="72">
        <f>Tabela4[[#This Row],[Diamantino]]</f>
        <v>0</v>
      </c>
      <c r="AD104" s="72">
        <f>Tabela4[[#This Row],[Mercado Bueno]]</f>
        <v>0</v>
      </c>
      <c r="AE104" s="72">
        <f>Tabela4[[#This Row],[Daniela Donadel Massalai]]</f>
        <v>0</v>
      </c>
      <c r="AF104" s="72">
        <f>Tabela4[[#This Row],[Comercio De Moto Peças Irmãos Guarani Ltda]]</f>
        <v>0</v>
      </c>
      <c r="AG104" s="72">
        <f>Tabela4[[#This Row],[Mauricio Luis Lunardi]]</f>
        <v>0</v>
      </c>
      <c r="AH104" s="72">
        <f>Tabela4[[#This Row],[Rosa Maria Restle Radunz]]</f>
        <v>0</v>
      </c>
      <c r="AI104" s="72">
        <f>Tabela4[[#This Row],[Ivo Amaral De Oliveira]]</f>
        <v>0</v>
      </c>
      <c r="AJ104" s="72">
        <f>Tabela4[[#This Row],[Silvio Robert Lemos Avila]]</f>
        <v>0</v>
      </c>
      <c r="AK104" s="72">
        <f>Tabela4[[#This Row],[Eldo Rost]]</f>
        <v>0</v>
      </c>
      <c r="AL104" s="72">
        <f>SUM(Tabela4[[#This Row],[Padaria Avenida - 01]:[Padaria Avenida - 02]])</f>
        <v>0</v>
      </c>
      <c r="AM104" s="72">
        <f>Tabela4[[#This Row],[Cristiano Anshau]]</f>
        <v>0</v>
      </c>
      <c r="AN104" s="72">
        <f>Tabela4[[#This Row],[Luciana Claudete Meirelles Correa]]</f>
        <v>0</v>
      </c>
      <c r="AO104" s="72">
        <f>Tabela4[[#This Row],[Marcio Jose Siqueira]]</f>
        <v>0</v>
      </c>
      <c r="AP104" s="72">
        <f>Tabela4[[#This Row],[Marcos Rogerio Kessler]]</f>
        <v>0</v>
      </c>
      <c r="AQ104" s="72">
        <f>SUM(Tabela4[[#This Row],[AABB - 01]:[AABB - 02]])</f>
        <v>0</v>
      </c>
      <c r="AR104" s="72">
        <f>SUM(Tabela4[[#This Row],[Wanda Burkard - 01]:[Wanda Burkard - 02]])</f>
        <v>0</v>
      </c>
      <c r="AS104" s="72">
        <f>Tabela4[[#This Row],[Silvio Robert Lemos Avila Me]]</f>
        <v>0</v>
      </c>
      <c r="AT104" s="72">
        <f>Tabela4[[#This Row],[Carmelo]]</f>
        <v>0</v>
      </c>
      <c r="AU104" s="72">
        <f>Tabela4[[#This Row],[Antonio Dal Forno]]</f>
        <v>0</v>
      </c>
      <c r="AV104" s="72">
        <f>Tabela4[[#This Row],[Marisane Paulus]]</f>
        <v>0</v>
      </c>
      <c r="AW104" s="72">
        <f>Tabela4[[#This Row],[Segatto Ceretta Ltda]]</f>
        <v>0</v>
      </c>
      <c r="AX104" s="72">
        <f>SUM(Tabela4[[#This Row],[APAE - 01]:[APAE - 02]])</f>
        <v>0</v>
      </c>
      <c r="AY104" s="72">
        <f>Tabela4[[#This Row],[Cássio Burin]]</f>
        <v>0</v>
      </c>
      <c r="AZ104" s="72">
        <f>Tabela4[[#This Row],[Patrick Kristoschek Da Silva]]</f>
        <v>0</v>
      </c>
      <c r="BA104" s="72">
        <f>Tabela4[[#This Row],[Silvio Robert Ávila - (Valmir)]]</f>
        <v>0</v>
      </c>
      <c r="BB104" s="72">
        <f>Tabela4[[#This Row],[Zederson Jose Della Flora]]</f>
        <v>0</v>
      </c>
      <c r="BC104" s="72">
        <f>Tabela4[[#This Row],[Carlos Walmir Larsão Rolim]]</f>
        <v>0</v>
      </c>
      <c r="BD104" s="72">
        <f>Tabela4[[#This Row],[Danieli Missio]]</f>
        <v>0</v>
      </c>
      <c r="BE104" s="72">
        <f>Tabela4[[#This Row],[José Vasconcellos]]</f>
        <v>0</v>
      </c>
      <c r="BF104" s="72">
        <f>Tabela4[[#This Row],[Linho Lev Alimentos]]</f>
        <v>0</v>
      </c>
      <c r="BG104" s="72">
        <f>Tabela4[[#This Row],[Ernani Czapla]]</f>
        <v>0</v>
      </c>
      <c r="BH104" s="72">
        <f>Tabela4[[#This Row],[Valesca Da Luz]]</f>
        <v>0</v>
      </c>
      <c r="BI104" s="72">
        <f>Tabela4[[#This Row],[Olavo Mildner]]</f>
        <v>0</v>
      </c>
      <c r="BJ104" s="72">
        <f>Tabela4[[#This Row],[Dilnei Rohled]]</f>
        <v>0</v>
      </c>
      <c r="BK104" s="72">
        <f>Tabela4[[#This Row],[Shaiana Signorini]]</f>
        <v>0</v>
      </c>
      <c r="BL104" s="72">
        <f>Tabela4[[#This Row],[Fonse Atacado]]</f>
        <v>0</v>
      </c>
      <c r="BM104" s="72">
        <f>Tabela4[[#This Row],[Comercial de Alimentos]]</f>
        <v>0</v>
      </c>
      <c r="BN104" s="72">
        <f>Tabela4[[#This Row],[Ivone Kasburg Serralheria]]</f>
        <v>0</v>
      </c>
      <c r="BO104" s="72">
        <f>Tabela4[[#This Row],[Mercado Ceretta]]</f>
        <v>0</v>
      </c>
      <c r="BP104" s="72">
        <f>Tabela4[[#This Row],[Antonio Carlos Dos Santos Pereira]]</f>
        <v>0</v>
      </c>
      <c r="BQ104" s="72">
        <f>Tabela4[[#This Row],[Volnei Lemos Avila - Me]]</f>
        <v>0</v>
      </c>
      <c r="BR104" s="72">
        <f>Tabela4[[#This Row],[Silvana Meneghini]]</f>
        <v>0</v>
      </c>
      <c r="BS104" s="72">
        <f>Tabela4[[#This Row],[Eficaz Engenharia Ltda]]</f>
        <v>0</v>
      </c>
      <c r="BT104" s="72">
        <f>SUM(Tabela4[[#Headers],[Tania Regina Schmaltz - 01]:[Tania Regina Schmaltz - 02]])</f>
        <v>0</v>
      </c>
      <c r="BU104" s="72">
        <f>Tabela4[[#This Row],[Camila Ceretta Segatto]]</f>
        <v>0</v>
      </c>
      <c r="BV104" s="72">
        <f>Tabela4[[#This Row],[Vagner Ribas Dos Santos]]</f>
        <v>0</v>
      </c>
      <c r="BW104" s="72">
        <f>Tabela4[[#This Row],[Claudio Alfredo Konrat]]</f>
        <v>0</v>
      </c>
    </row>
    <row r="105" spans="1:75" x14ac:dyDescent="0.25">
      <c r="A105" s="70">
        <v>46235</v>
      </c>
      <c r="B105" s="72">
        <f>SUM(Tabela4[[#This Row],[Marlon Colovini - 01]:[Marlon Colovini - 02]])</f>
        <v>0</v>
      </c>
      <c r="C105" s="72">
        <f>Tabela4[[#This Row],[Mara Barichello]]</f>
        <v>0</v>
      </c>
      <c r="D105" s="72">
        <f>Tabela4[[#This Row],[Jandira Dutra]]</f>
        <v>0</v>
      </c>
      <c r="E105" s="72">
        <f>Tabela4[[#This Row],[Luiz Fernando Kruger]]</f>
        <v>0</v>
      </c>
      <c r="F105" s="72">
        <f>SUM(Tabela4[[#This Row],[Paulo Bohn - 01]:[Paulo Bohn - 04]])</f>
        <v>0</v>
      </c>
      <c r="G105" s="72">
        <f>Tabela4[[#This Row],[Analia (Clodoaldo Entre-Ijuis)]]</f>
        <v>0</v>
      </c>
      <c r="H105" s="72">
        <f>Tabela4[[#This Row],[Biroh]]</f>
        <v>0</v>
      </c>
      <c r="I105" s="72">
        <f>Tabela4[[#This Row],[Gelson Posser]]</f>
        <v>0</v>
      </c>
      <c r="J105" s="72">
        <f>Tabela4[[#This Row],[Supermercado Caryone]]</f>
        <v>0</v>
      </c>
      <c r="K105" s="72">
        <f>Tabela4[[#This Row],[Ernani Minetto]]</f>
        <v>0</v>
      </c>
      <c r="L105" s="72">
        <f>Tabela4[[#This Row],[Jair Moscon]]</f>
        <v>0</v>
      </c>
      <c r="M105" s="72">
        <f>SUM(Tabela4[[#This Row],[Fabio Milke - 01]:[Fabio Milke - 02]])</f>
        <v>0</v>
      </c>
      <c r="N105" s="72">
        <f>Tabela4[[#This Row],[Piaia]]</f>
        <v>0</v>
      </c>
      <c r="O105" s="72">
        <f>Tabela4[[#This Row],[Osmar Veronese]]</f>
        <v>0</v>
      </c>
      <c r="P105" s="72">
        <f>Tabela4[[#This Row],[ José Luiz Moraes]]</f>
        <v>0</v>
      </c>
      <c r="Q105" s="72">
        <f>Tabela4[[#This Row],[Supermercado Cripy]]</f>
        <v>0</v>
      </c>
      <c r="R105" s="72">
        <f>Tabela4[[#This Row],[Gláucio Lipski (Giruá)]]</f>
        <v>0</v>
      </c>
      <c r="S105" s="72">
        <f>Tabela4[[#This Row],[Contri]]</f>
        <v>0</v>
      </c>
      <c r="T105" s="72">
        <f>Tabela4[[#This Row],[Cleci Rubi]]</f>
        <v>0</v>
      </c>
      <c r="U105" s="72">
        <f>Tabela4[[#This Row],[Betine Rost]]</f>
        <v>0</v>
      </c>
      <c r="V105" s="72">
        <f>SUM(Tabela4[[#This Row],[Robinson Fetter - 01]:[Robinson Fetter - 03]])</f>
        <v>0</v>
      </c>
      <c r="W105" s="72">
        <f>Tabela4[[#This Row],[Fabio De Moura]]</f>
        <v>0</v>
      </c>
      <c r="X105" s="72">
        <f>Tabela4[[#This Row],[Rochele Santos Moraes]]</f>
        <v>0</v>
      </c>
      <c r="Y105" s="72">
        <f>Tabela4[[#This Row],[Auto Posto Kairã]]</f>
        <v>0</v>
      </c>
      <c r="Z105" s="72">
        <f>Tabela4[[#This Row],[Erno Schiefelbain]]</f>
        <v>0</v>
      </c>
      <c r="AA105" s="72">
        <f>Tabela4[[#This Row],[José Paulo Backes]]</f>
        <v>0</v>
      </c>
      <c r="AB105" s="72">
        <f>Tabela4[[#This Row],[Gelso Tofolo]]</f>
        <v>0</v>
      </c>
      <c r="AC105" s="72">
        <f>Tabela4[[#This Row],[Diamantino]]</f>
        <v>0</v>
      </c>
      <c r="AD105" s="72">
        <f>Tabela4[[#This Row],[Mercado Bueno]]</f>
        <v>0</v>
      </c>
      <c r="AE105" s="72">
        <f>Tabela4[[#This Row],[Daniela Donadel Massalai]]</f>
        <v>0</v>
      </c>
      <c r="AF105" s="72">
        <f>Tabela4[[#This Row],[Comercio De Moto Peças Irmãos Guarani Ltda]]</f>
        <v>0</v>
      </c>
      <c r="AG105" s="72">
        <f>Tabela4[[#This Row],[Mauricio Luis Lunardi]]</f>
        <v>0</v>
      </c>
      <c r="AH105" s="72">
        <f>Tabela4[[#This Row],[Rosa Maria Restle Radunz]]</f>
        <v>0</v>
      </c>
      <c r="AI105" s="72">
        <f>Tabela4[[#This Row],[Ivo Amaral De Oliveira]]</f>
        <v>0</v>
      </c>
      <c r="AJ105" s="72">
        <f>Tabela4[[#This Row],[Silvio Robert Lemos Avila]]</f>
        <v>0</v>
      </c>
      <c r="AK105" s="72">
        <f>Tabela4[[#This Row],[Eldo Rost]]</f>
        <v>0</v>
      </c>
      <c r="AL105" s="72">
        <f>SUM(Tabela4[[#This Row],[Padaria Avenida - 01]:[Padaria Avenida - 02]])</f>
        <v>0</v>
      </c>
      <c r="AM105" s="72">
        <f>Tabela4[[#This Row],[Cristiano Anshau]]</f>
        <v>0</v>
      </c>
      <c r="AN105" s="72">
        <f>Tabela4[[#This Row],[Luciana Claudete Meirelles Correa]]</f>
        <v>0</v>
      </c>
      <c r="AO105" s="72">
        <f>Tabela4[[#This Row],[Marcio Jose Siqueira]]</f>
        <v>0</v>
      </c>
      <c r="AP105" s="72">
        <f>Tabela4[[#This Row],[Marcos Rogerio Kessler]]</f>
        <v>0</v>
      </c>
      <c r="AQ105" s="72">
        <f>SUM(Tabela4[[#This Row],[AABB - 01]:[AABB - 02]])</f>
        <v>0</v>
      </c>
      <c r="AR105" s="72">
        <f>SUM(Tabela4[[#This Row],[Wanda Burkard - 01]:[Wanda Burkard - 02]])</f>
        <v>0</v>
      </c>
      <c r="AS105" s="72">
        <f>Tabela4[[#This Row],[Silvio Robert Lemos Avila Me]]</f>
        <v>0</v>
      </c>
      <c r="AT105" s="72">
        <f>Tabela4[[#This Row],[Carmelo]]</f>
        <v>0</v>
      </c>
      <c r="AU105" s="72">
        <f>Tabela4[[#This Row],[Antonio Dal Forno]]</f>
        <v>0</v>
      </c>
      <c r="AV105" s="72">
        <f>Tabela4[[#This Row],[Marisane Paulus]]</f>
        <v>0</v>
      </c>
      <c r="AW105" s="72">
        <f>Tabela4[[#This Row],[Segatto Ceretta Ltda]]</f>
        <v>0</v>
      </c>
      <c r="AX105" s="72">
        <f>SUM(Tabela4[[#This Row],[APAE - 01]:[APAE - 02]])</f>
        <v>0</v>
      </c>
      <c r="AY105" s="72">
        <f>Tabela4[[#This Row],[Cássio Burin]]</f>
        <v>0</v>
      </c>
      <c r="AZ105" s="72">
        <f>Tabela4[[#This Row],[Patrick Kristoschek Da Silva]]</f>
        <v>0</v>
      </c>
      <c r="BA105" s="72">
        <f>Tabela4[[#This Row],[Silvio Robert Ávila - (Valmir)]]</f>
        <v>0</v>
      </c>
      <c r="BB105" s="72">
        <f>Tabela4[[#This Row],[Zederson Jose Della Flora]]</f>
        <v>0</v>
      </c>
      <c r="BC105" s="72">
        <f>Tabela4[[#This Row],[Carlos Walmir Larsão Rolim]]</f>
        <v>0</v>
      </c>
      <c r="BD105" s="72">
        <f>Tabela4[[#This Row],[Danieli Missio]]</f>
        <v>0</v>
      </c>
      <c r="BE105" s="72">
        <f>Tabela4[[#This Row],[José Vasconcellos]]</f>
        <v>0</v>
      </c>
      <c r="BF105" s="72">
        <f>Tabela4[[#This Row],[Linho Lev Alimentos]]</f>
        <v>0</v>
      </c>
      <c r="BG105" s="72">
        <f>Tabela4[[#This Row],[Ernani Czapla]]</f>
        <v>0</v>
      </c>
      <c r="BH105" s="72">
        <f>Tabela4[[#This Row],[Valesca Da Luz]]</f>
        <v>0</v>
      </c>
      <c r="BI105" s="72">
        <f>Tabela4[[#This Row],[Olavo Mildner]]</f>
        <v>0</v>
      </c>
      <c r="BJ105" s="72">
        <f>Tabela4[[#This Row],[Dilnei Rohled]]</f>
        <v>0</v>
      </c>
      <c r="BK105" s="72">
        <f>Tabela4[[#This Row],[Shaiana Signorini]]</f>
        <v>0</v>
      </c>
      <c r="BL105" s="72">
        <f>Tabela4[[#This Row],[Fonse Atacado]]</f>
        <v>0</v>
      </c>
      <c r="BM105" s="72">
        <f>Tabela4[[#This Row],[Comercial de Alimentos]]</f>
        <v>0</v>
      </c>
      <c r="BN105" s="72">
        <f>Tabela4[[#This Row],[Ivone Kasburg Serralheria]]</f>
        <v>0</v>
      </c>
      <c r="BO105" s="72">
        <f>Tabela4[[#This Row],[Mercado Ceretta]]</f>
        <v>0</v>
      </c>
      <c r="BP105" s="72">
        <f>Tabela4[[#This Row],[Antonio Carlos Dos Santos Pereira]]</f>
        <v>0</v>
      </c>
      <c r="BQ105" s="72">
        <f>Tabela4[[#This Row],[Volnei Lemos Avila - Me]]</f>
        <v>0</v>
      </c>
      <c r="BR105" s="72">
        <f>Tabela4[[#This Row],[Silvana Meneghini]]</f>
        <v>0</v>
      </c>
      <c r="BS105" s="72">
        <f>Tabela4[[#This Row],[Eficaz Engenharia Ltda]]</f>
        <v>0</v>
      </c>
      <c r="BT105" s="72">
        <f>SUM(Tabela4[[#Headers],[Tania Regina Schmaltz - 01]:[Tania Regina Schmaltz - 02]])</f>
        <v>0</v>
      </c>
      <c r="BU105" s="72">
        <f>Tabela4[[#This Row],[Camila Ceretta Segatto]]</f>
        <v>0</v>
      </c>
      <c r="BV105" s="72">
        <f>Tabela4[[#This Row],[Vagner Ribas Dos Santos]]</f>
        <v>0</v>
      </c>
      <c r="BW105" s="72">
        <f>Tabela4[[#This Row],[Claudio Alfredo Konrat]]</f>
        <v>0</v>
      </c>
    </row>
    <row r="106" spans="1:75" x14ac:dyDescent="0.25">
      <c r="A106" s="70">
        <v>46266</v>
      </c>
      <c r="B106" s="72">
        <f>SUM(Tabela4[[#This Row],[Marlon Colovini - 01]:[Marlon Colovini - 02]])</f>
        <v>0</v>
      </c>
      <c r="C106" s="72">
        <f>Tabela4[[#This Row],[Mara Barichello]]</f>
        <v>0</v>
      </c>
      <c r="D106" s="72">
        <f>Tabela4[[#This Row],[Jandira Dutra]]</f>
        <v>0</v>
      </c>
      <c r="E106" s="72">
        <f>Tabela4[[#This Row],[Luiz Fernando Kruger]]</f>
        <v>0</v>
      </c>
      <c r="F106" s="72">
        <f>SUM(Tabela4[[#This Row],[Paulo Bohn - 01]:[Paulo Bohn - 04]])</f>
        <v>0</v>
      </c>
      <c r="G106" s="72">
        <f>Tabela4[[#This Row],[Analia (Clodoaldo Entre-Ijuis)]]</f>
        <v>0</v>
      </c>
      <c r="H106" s="72">
        <f>Tabela4[[#This Row],[Biroh]]</f>
        <v>0</v>
      </c>
      <c r="I106" s="72">
        <f>Tabela4[[#This Row],[Gelson Posser]]</f>
        <v>0</v>
      </c>
      <c r="J106" s="72">
        <f>Tabela4[[#This Row],[Supermercado Caryone]]</f>
        <v>0</v>
      </c>
      <c r="K106" s="72">
        <f>Tabela4[[#This Row],[Ernani Minetto]]</f>
        <v>0</v>
      </c>
      <c r="L106" s="72">
        <f>Tabela4[[#This Row],[Jair Moscon]]</f>
        <v>0</v>
      </c>
      <c r="M106" s="72">
        <f>SUM(Tabela4[[#This Row],[Fabio Milke - 01]:[Fabio Milke - 02]])</f>
        <v>0</v>
      </c>
      <c r="N106" s="72">
        <f>Tabela4[[#This Row],[Piaia]]</f>
        <v>0</v>
      </c>
      <c r="O106" s="72">
        <f>Tabela4[[#This Row],[Osmar Veronese]]</f>
        <v>0</v>
      </c>
      <c r="P106" s="72">
        <f>Tabela4[[#This Row],[ José Luiz Moraes]]</f>
        <v>0</v>
      </c>
      <c r="Q106" s="72">
        <f>Tabela4[[#This Row],[Supermercado Cripy]]</f>
        <v>0</v>
      </c>
      <c r="R106" s="72">
        <f>Tabela4[[#This Row],[Gláucio Lipski (Giruá)]]</f>
        <v>0</v>
      </c>
      <c r="S106" s="72">
        <f>Tabela4[[#This Row],[Contri]]</f>
        <v>0</v>
      </c>
      <c r="T106" s="72">
        <f>Tabela4[[#This Row],[Cleci Rubi]]</f>
        <v>0</v>
      </c>
      <c r="U106" s="72">
        <f>Tabela4[[#This Row],[Betine Rost]]</f>
        <v>0</v>
      </c>
      <c r="V106" s="72">
        <f>SUM(Tabela4[[#This Row],[Robinson Fetter - 01]:[Robinson Fetter - 03]])</f>
        <v>0</v>
      </c>
      <c r="W106" s="72">
        <f>Tabela4[[#This Row],[Fabio De Moura]]</f>
        <v>0</v>
      </c>
      <c r="X106" s="72">
        <f>Tabela4[[#This Row],[Rochele Santos Moraes]]</f>
        <v>0</v>
      </c>
      <c r="Y106" s="72">
        <f>Tabela4[[#This Row],[Auto Posto Kairã]]</f>
        <v>0</v>
      </c>
      <c r="Z106" s="72">
        <f>Tabela4[[#This Row],[Erno Schiefelbain]]</f>
        <v>0</v>
      </c>
      <c r="AA106" s="72">
        <f>Tabela4[[#This Row],[José Paulo Backes]]</f>
        <v>0</v>
      </c>
      <c r="AB106" s="72">
        <f>Tabela4[[#This Row],[Gelso Tofolo]]</f>
        <v>0</v>
      </c>
      <c r="AC106" s="72">
        <f>Tabela4[[#This Row],[Diamantino]]</f>
        <v>0</v>
      </c>
      <c r="AD106" s="72">
        <f>Tabela4[[#This Row],[Mercado Bueno]]</f>
        <v>0</v>
      </c>
      <c r="AE106" s="72">
        <f>Tabela4[[#This Row],[Daniela Donadel Massalai]]</f>
        <v>0</v>
      </c>
      <c r="AF106" s="72">
        <f>Tabela4[[#This Row],[Comercio De Moto Peças Irmãos Guarani Ltda]]</f>
        <v>0</v>
      </c>
      <c r="AG106" s="72">
        <f>Tabela4[[#This Row],[Mauricio Luis Lunardi]]</f>
        <v>0</v>
      </c>
      <c r="AH106" s="72">
        <f>Tabela4[[#This Row],[Rosa Maria Restle Radunz]]</f>
        <v>0</v>
      </c>
      <c r="AI106" s="72">
        <f>Tabela4[[#This Row],[Ivo Amaral De Oliveira]]</f>
        <v>0</v>
      </c>
      <c r="AJ106" s="72">
        <f>Tabela4[[#This Row],[Silvio Robert Lemos Avila]]</f>
        <v>0</v>
      </c>
      <c r="AK106" s="72">
        <f>Tabela4[[#This Row],[Eldo Rost]]</f>
        <v>0</v>
      </c>
      <c r="AL106" s="72">
        <f>SUM(Tabela4[[#This Row],[Padaria Avenida - 01]:[Padaria Avenida - 02]])</f>
        <v>0</v>
      </c>
      <c r="AM106" s="72">
        <f>Tabela4[[#This Row],[Cristiano Anshau]]</f>
        <v>0</v>
      </c>
      <c r="AN106" s="72">
        <f>Tabela4[[#This Row],[Luciana Claudete Meirelles Correa]]</f>
        <v>0</v>
      </c>
      <c r="AO106" s="72">
        <f>Tabela4[[#This Row],[Marcio Jose Siqueira]]</f>
        <v>0</v>
      </c>
      <c r="AP106" s="72">
        <f>Tabela4[[#This Row],[Marcos Rogerio Kessler]]</f>
        <v>0</v>
      </c>
      <c r="AQ106" s="72">
        <f>SUM(Tabela4[[#This Row],[AABB - 01]:[AABB - 02]])</f>
        <v>0</v>
      </c>
      <c r="AR106" s="72">
        <f>SUM(Tabela4[[#This Row],[Wanda Burkard - 01]:[Wanda Burkard - 02]])</f>
        <v>0</v>
      </c>
      <c r="AS106" s="72">
        <f>Tabela4[[#This Row],[Silvio Robert Lemos Avila Me]]</f>
        <v>0</v>
      </c>
      <c r="AT106" s="72">
        <f>Tabela4[[#This Row],[Carmelo]]</f>
        <v>0</v>
      </c>
      <c r="AU106" s="72">
        <f>Tabela4[[#This Row],[Antonio Dal Forno]]</f>
        <v>0</v>
      </c>
      <c r="AV106" s="72">
        <f>Tabela4[[#This Row],[Marisane Paulus]]</f>
        <v>0</v>
      </c>
      <c r="AW106" s="72">
        <f>Tabela4[[#This Row],[Segatto Ceretta Ltda]]</f>
        <v>0</v>
      </c>
      <c r="AX106" s="72">
        <f>SUM(Tabela4[[#This Row],[APAE - 01]:[APAE - 02]])</f>
        <v>0</v>
      </c>
      <c r="AY106" s="72">
        <f>Tabela4[[#This Row],[Cássio Burin]]</f>
        <v>0</v>
      </c>
      <c r="AZ106" s="72">
        <f>Tabela4[[#This Row],[Patrick Kristoschek Da Silva]]</f>
        <v>0</v>
      </c>
      <c r="BA106" s="72">
        <f>Tabela4[[#This Row],[Silvio Robert Ávila - (Valmir)]]</f>
        <v>0</v>
      </c>
      <c r="BB106" s="72">
        <f>Tabela4[[#This Row],[Zederson Jose Della Flora]]</f>
        <v>0</v>
      </c>
      <c r="BC106" s="72">
        <f>Tabela4[[#This Row],[Carlos Walmir Larsão Rolim]]</f>
        <v>0</v>
      </c>
      <c r="BD106" s="72">
        <f>Tabela4[[#This Row],[Danieli Missio]]</f>
        <v>0</v>
      </c>
      <c r="BE106" s="72">
        <f>Tabela4[[#This Row],[José Vasconcellos]]</f>
        <v>0</v>
      </c>
      <c r="BF106" s="72">
        <f>Tabela4[[#This Row],[Linho Lev Alimentos]]</f>
        <v>0</v>
      </c>
      <c r="BG106" s="72">
        <f>Tabela4[[#This Row],[Ernani Czapla]]</f>
        <v>0</v>
      </c>
      <c r="BH106" s="72">
        <f>Tabela4[[#This Row],[Valesca Da Luz]]</f>
        <v>0</v>
      </c>
      <c r="BI106" s="72">
        <f>Tabela4[[#This Row],[Olavo Mildner]]</f>
        <v>0</v>
      </c>
      <c r="BJ106" s="72">
        <f>Tabela4[[#This Row],[Dilnei Rohled]]</f>
        <v>0</v>
      </c>
      <c r="BK106" s="72">
        <f>Tabela4[[#This Row],[Shaiana Signorini]]</f>
        <v>0</v>
      </c>
      <c r="BL106" s="72">
        <f>Tabela4[[#This Row],[Fonse Atacado]]</f>
        <v>0</v>
      </c>
      <c r="BM106" s="72">
        <f>Tabela4[[#This Row],[Comercial de Alimentos]]</f>
        <v>0</v>
      </c>
      <c r="BN106" s="72">
        <f>Tabela4[[#This Row],[Ivone Kasburg Serralheria]]</f>
        <v>0</v>
      </c>
      <c r="BO106" s="72">
        <f>Tabela4[[#This Row],[Mercado Ceretta]]</f>
        <v>0</v>
      </c>
      <c r="BP106" s="72">
        <f>Tabela4[[#This Row],[Antonio Carlos Dos Santos Pereira]]</f>
        <v>0</v>
      </c>
      <c r="BQ106" s="72">
        <f>Tabela4[[#This Row],[Volnei Lemos Avila - Me]]</f>
        <v>0</v>
      </c>
      <c r="BR106" s="72">
        <f>Tabela4[[#This Row],[Silvana Meneghini]]</f>
        <v>0</v>
      </c>
      <c r="BS106" s="72">
        <f>Tabela4[[#This Row],[Eficaz Engenharia Ltda]]</f>
        <v>0</v>
      </c>
      <c r="BT106" s="72">
        <f>SUM(Tabela4[[#Headers],[Tania Regina Schmaltz - 01]:[Tania Regina Schmaltz - 02]])</f>
        <v>0</v>
      </c>
      <c r="BU106" s="72">
        <f>Tabela4[[#This Row],[Camila Ceretta Segatto]]</f>
        <v>0</v>
      </c>
      <c r="BV106" s="72">
        <f>Tabela4[[#This Row],[Vagner Ribas Dos Santos]]</f>
        <v>0</v>
      </c>
      <c r="BW106" s="72">
        <f>Tabela4[[#This Row],[Claudio Alfredo Konrat]]</f>
        <v>0</v>
      </c>
    </row>
    <row r="107" spans="1:75" x14ac:dyDescent="0.25">
      <c r="A107" s="70">
        <v>46296</v>
      </c>
      <c r="B107" s="72">
        <f>SUM(Tabela4[[#This Row],[Marlon Colovini - 01]:[Marlon Colovini - 02]])</f>
        <v>0</v>
      </c>
      <c r="C107" s="72">
        <f>Tabela4[[#This Row],[Mara Barichello]]</f>
        <v>0</v>
      </c>
      <c r="D107" s="72">
        <f>Tabela4[[#This Row],[Jandira Dutra]]</f>
        <v>0</v>
      </c>
      <c r="E107" s="72">
        <f>Tabela4[[#This Row],[Luiz Fernando Kruger]]</f>
        <v>0</v>
      </c>
      <c r="F107" s="72">
        <f>SUM(Tabela4[[#This Row],[Paulo Bohn - 01]:[Paulo Bohn - 04]])</f>
        <v>0</v>
      </c>
      <c r="G107" s="72">
        <f>Tabela4[[#This Row],[Analia (Clodoaldo Entre-Ijuis)]]</f>
        <v>0</v>
      </c>
      <c r="H107" s="72">
        <f>Tabela4[[#This Row],[Biroh]]</f>
        <v>0</v>
      </c>
      <c r="I107" s="72">
        <f>Tabela4[[#This Row],[Gelson Posser]]</f>
        <v>0</v>
      </c>
      <c r="J107" s="72">
        <f>Tabela4[[#This Row],[Supermercado Caryone]]</f>
        <v>0</v>
      </c>
      <c r="K107" s="72">
        <f>Tabela4[[#This Row],[Ernani Minetto]]</f>
        <v>0</v>
      </c>
      <c r="L107" s="72">
        <f>Tabela4[[#This Row],[Jair Moscon]]</f>
        <v>0</v>
      </c>
      <c r="M107" s="72">
        <f>SUM(Tabela4[[#This Row],[Fabio Milke - 01]:[Fabio Milke - 02]])</f>
        <v>0</v>
      </c>
      <c r="N107" s="72">
        <f>Tabela4[[#This Row],[Piaia]]</f>
        <v>0</v>
      </c>
      <c r="O107" s="72">
        <f>Tabela4[[#This Row],[Osmar Veronese]]</f>
        <v>0</v>
      </c>
      <c r="P107" s="72">
        <f>Tabela4[[#This Row],[ José Luiz Moraes]]</f>
        <v>0</v>
      </c>
      <c r="Q107" s="72">
        <f>Tabela4[[#This Row],[Supermercado Cripy]]</f>
        <v>0</v>
      </c>
      <c r="R107" s="72">
        <f>Tabela4[[#This Row],[Gláucio Lipski (Giruá)]]</f>
        <v>0</v>
      </c>
      <c r="S107" s="72">
        <f>Tabela4[[#This Row],[Contri]]</f>
        <v>0</v>
      </c>
      <c r="T107" s="72">
        <f>Tabela4[[#This Row],[Cleci Rubi]]</f>
        <v>0</v>
      </c>
      <c r="U107" s="72">
        <f>Tabela4[[#This Row],[Betine Rost]]</f>
        <v>0</v>
      </c>
      <c r="V107" s="72">
        <f>SUM(Tabela4[[#This Row],[Robinson Fetter - 01]:[Robinson Fetter - 03]])</f>
        <v>0</v>
      </c>
      <c r="W107" s="72">
        <f>Tabela4[[#This Row],[Fabio De Moura]]</f>
        <v>0</v>
      </c>
      <c r="X107" s="72">
        <f>Tabela4[[#This Row],[Rochele Santos Moraes]]</f>
        <v>0</v>
      </c>
      <c r="Y107" s="72">
        <f>Tabela4[[#This Row],[Auto Posto Kairã]]</f>
        <v>0</v>
      </c>
      <c r="Z107" s="72">
        <f>Tabela4[[#This Row],[Erno Schiefelbain]]</f>
        <v>0</v>
      </c>
      <c r="AA107" s="72">
        <f>Tabela4[[#This Row],[José Paulo Backes]]</f>
        <v>0</v>
      </c>
      <c r="AB107" s="72">
        <f>Tabela4[[#This Row],[Gelso Tofolo]]</f>
        <v>0</v>
      </c>
      <c r="AC107" s="72">
        <f>Tabela4[[#This Row],[Diamantino]]</f>
        <v>0</v>
      </c>
      <c r="AD107" s="72">
        <f>Tabela4[[#This Row],[Mercado Bueno]]</f>
        <v>0</v>
      </c>
      <c r="AE107" s="72">
        <f>Tabela4[[#This Row],[Daniela Donadel Massalai]]</f>
        <v>0</v>
      </c>
      <c r="AF107" s="72">
        <f>Tabela4[[#This Row],[Comercio De Moto Peças Irmãos Guarani Ltda]]</f>
        <v>0</v>
      </c>
      <c r="AG107" s="72">
        <f>Tabela4[[#This Row],[Mauricio Luis Lunardi]]</f>
        <v>0</v>
      </c>
      <c r="AH107" s="72">
        <f>Tabela4[[#This Row],[Rosa Maria Restle Radunz]]</f>
        <v>0</v>
      </c>
      <c r="AI107" s="72">
        <f>Tabela4[[#This Row],[Ivo Amaral De Oliveira]]</f>
        <v>0</v>
      </c>
      <c r="AJ107" s="72">
        <f>Tabela4[[#This Row],[Silvio Robert Lemos Avila]]</f>
        <v>0</v>
      </c>
      <c r="AK107" s="72">
        <f>Tabela4[[#This Row],[Eldo Rost]]</f>
        <v>0</v>
      </c>
      <c r="AL107" s="72">
        <f>SUM(Tabela4[[#This Row],[Padaria Avenida - 01]:[Padaria Avenida - 02]])</f>
        <v>0</v>
      </c>
      <c r="AM107" s="72">
        <f>Tabela4[[#This Row],[Cristiano Anshau]]</f>
        <v>0</v>
      </c>
      <c r="AN107" s="72">
        <f>Tabela4[[#This Row],[Luciana Claudete Meirelles Correa]]</f>
        <v>0</v>
      </c>
      <c r="AO107" s="72">
        <f>Tabela4[[#This Row],[Marcio Jose Siqueira]]</f>
        <v>0</v>
      </c>
      <c r="AP107" s="72">
        <f>Tabela4[[#This Row],[Marcos Rogerio Kessler]]</f>
        <v>0</v>
      </c>
      <c r="AQ107" s="72">
        <f>SUM(Tabela4[[#This Row],[AABB - 01]:[AABB - 02]])</f>
        <v>0</v>
      </c>
      <c r="AR107" s="72">
        <f>SUM(Tabela4[[#This Row],[Wanda Burkard - 01]:[Wanda Burkard - 02]])</f>
        <v>0</v>
      </c>
      <c r="AS107" s="72">
        <f>Tabela4[[#This Row],[Silvio Robert Lemos Avila Me]]</f>
        <v>0</v>
      </c>
      <c r="AT107" s="72">
        <f>Tabela4[[#This Row],[Carmelo]]</f>
        <v>0</v>
      </c>
      <c r="AU107" s="72">
        <f>Tabela4[[#This Row],[Antonio Dal Forno]]</f>
        <v>0</v>
      </c>
      <c r="AV107" s="72">
        <f>Tabela4[[#This Row],[Marisane Paulus]]</f>
        <v>0</v>
      </c>
      <c r="AW107" s="72">
        <f>Tabela4[[#This Row],[Segatto Ceretta Ltda]]</f>
        <v>0</v>
      </c>
      <c r="AX107" s="72">
        <f>SUM(Tabela4[[#This Row],[APAE - 01]:[APAE - 02]])</f>
        <v>0</v>
      </c>
      <c r="AY107" s="72">
        <f>Tabela4[[#This Row],[Cássio Burin]]</f>
        <v>0</v>
      </c>
      <c r="AZ107" s="72">
        <f>Tabela4[[#This Row],[Patrick Kristoschek Da Silva]]</f>
        <v>0</v>
      </c>
      <c r="BA107" s="72">
        <f>Tabela4[[#This Row],[Silvio Robert Ávila - (Valmir)]]</f>
        <v>0</v>
      </c>
      <c r="BB107" s="72">
        <f>Tabela4[[#This Row],[Zederson Jose Della Flora]]</f>
        <v>0</v>
      </c>
      <c r="BC107" s="72">
        <f>Tabela4[[#This Row],[Carlos Walmir Larsão Rolim]]</f>
        <v>0</v>
      </c>
      <c r="BD107" s="72">
        <f>Tabela4[[#This Row],[Danieli Missio]]</f>
        <v>0</v>
      </c>
      <c r="BE107" s="72">
        <f>Tabela4[[#This Row],[José Vasconcellos]]</f>
        <v>0</v>
      </c>
      <c r="BF107" s="72">
        <f>Tabela4[[#This Row],[Linho Lev Alimentos]]</f>
        <v>0</v>
      </c>
      <c r="BG107" s="72">
        <f>Tabela4[[#This Row],[Ernani Czapla]]</f>
        <v>0</v>
      </c>
      <c r="BH107" s="72">
        <f>Tabela4[[#This Row],[Valesca Da Luz]]</f>
        <v>0</v>
      </c>
      <c r="BI107" s="72">
        <f>Tabela4[[#This Row],[Olavo Mildner]]</f>
        <v>0</v>
      </c>
      <c r="BJ107" s="72">
        <f>Tabela4[[#This Row],[Dilnei Rohled]]</f>
        <v>0</v>
      </c>
      <c r="BK107" s="72">
        <f>Tabela4[[#This Row],[Shaiana Signorini]]</f>
        <v>0</v>
      </c>
      <c r="BL107" s="72">
        <f>Tabela4[[#This Row],[Fonse Atacado]]</f>
        <v>0</v>
      </c>
      <c r="BM107" s="72">
        <f>Tabela4[[#This Row],[Comercial de Alimentos]]</f>
        <v>0</v>
      </c>
      <c r="BN107" s="72">
        <f>Tabela4[[#This Row],[Ivone Kasburg Serralheria]]</f>
        <v>0</v>
      </c>
      <c r="BO107" s="72">
        <f>Tabela4[[#This Row],[Mercado Ceretta]]</f>
        <v>0</v>
      </c>
      <c r="BP107" s="72">
        <f>Tabela4[[#This Row],[Antonio Carlos Dos Santos Pereira]]</f>
        <v>0</v>
      </c>
      <c r="BQ107" s="72">
        <f>Tabela4[[#This Row],[Volnei Lemos Avila - Me]]</f>
        <v>0</v>
      </c>
      <c r="BR107" s="72">
        <f>Tabela4[[#This Row],[Silvana Meneghini]]</f>
        <v>0</v>
      </c>
      <c r="BS107" s="72">
        <f>Tabela4[[#This Row],[Eficaz Engenharia Ltda]]</f>
        <v>0</v>
      </c>
      <c r="BT107" s="72">
        <f>SUM(Tabela4[[#Headers],[Tania Regina Schmaltz - 01]:[Tania Regina Schmaltz - 02]])</f>
        <v>0</v>
      </c>
      <c r="BU107" s="72">
        <f>Tabela4[[#This Row],[Camila Ceretta Segatto]]</f>
        <v>0</v>
      </c>
      <c r="BV107" s="72">
        <f>Tabela4[[#This Row],[Vagner Ribas Dos Santos]]</f>
        <v>0</v>
      </c>
      <c r="BW107" s="72">
        <f>Tabela4[[#This Row],[Claudio Alfredo Konrat]]</f>
        <v>0</v>
      </c>
    </row>
    <row r="108" spans="1:75" x14ac:dyDescent="0.25">
      <c r="A108" s="70">
        <v>46327</v>
      </c>
      <c r="B108" s="72">
        <f>SUM(Tabela4[[#This Row],[Marlon Colovini - 01]:[Marlon Colovini - 02]])</f>
        <v>0</v>
      </c>
      <c r="C108" s="72">
        <f>Tabela4[[#This Row],[Mara Barichello]]</f>
        <v>0</v>
      </c>
      <c r="D108" s="72">
        <f>Tabela4[[#This Row],[Jandira Dutra]]</f>
        <v>0</v>
      </c>
      <c r="E108" s="72">
        <f>Tabela4[[#This Row],[Luiz Fernando Kruger]]</f>
        <v>0</v>
      </c>
      <c r="F108" s="72">
        <f>SUM(Tabela4[[#This Row],[Paulo Bohn - 01]:[Paulo Bohn - 04]])</f>
        <v>0</v>
      </c>
      <c r="G108" s="72">
        <f>Tabela4[[#This Row],[Analia (Clodoaldo Entre-Ijuis)]]</f>
        <v>0</v>
      </c>
      <c r="H108" s="72">
        <f>Tabela4[[#This Row],[Biroh]]</f>
        <v>0</v>
      </c>
      <c r="I108" s="72">
        <f>Tabela4[[#This Row],[Gelson Posser]]</f>
        <v>0</v>
      </c>
      <c r="J108" s="72">
        <f>Tabela4[[#This Row],[Supermercado Caryone]]</f>
        <v>0</v>
      </c>
      <c r="K108" s="72">
        <f>Tabela4[[#This Row],[Ernani Minetto]]</f>
        <v>0</v>
      </c>
      <c r="L108" s="72">
        <f>Tabela4[[#This Row],[Jair Moscon]]</f>
        <v>0</v>
      </c>
      <c r="M108" s="72">
        <f>SUM(Tabela4[[#This Row],[Fabio Milke - 01]:[Fabio Milke - 02]])</f>
        <v>0</v>
      </c>
      <c r="N108" s="72">
        <f>Tabela4[[#This Row],[Piaia]]</f>
        <v>0</v>
      </c>
      <c r="O108" s="72">
        <f>Tabela4[[#This Row],[Osmar Veronese]]</f>
        <v>0</v>
      </c>
      <c r="P108" s="72">
        <f>Tabela4[[#This Row],[ José Luiz Moraes]]</f>
        <v>0</v>
      </c>
      <c r="Q108" s="72">
        <f>Tabela4[[#This Row],[Supermercado Cripy]]</f>
        <v>0</v>
      </c>
      <c r="R108" s="72">
        <f>Tabela4[[#This Row],[Gláucio Lipski (Giruá)]]</f>
        <v>0</v>
      </c>
      <c r="S108" s="72">
        <f>Tabela4[[#This Row],[Contri]]</f>
        <v>0</v>
      </c>
      <c r="T108" s="72">
        <f>Tabela4[[#This Row],[Cleci Rubi]]</f>
        <v>0</v>
      </c>
      <c r="U108" s="72">
        <f>Tabela4[[#This Row],[Betine Rost]]</f>
        <v>0</v>
      </c>
      <c r="V108" s="72">
        <f>SUM(Tabela4[[#This Row],[Robinson Fetter - 01]:[Robinson Fetter - 03]])</f>
        <v>0</v>
      </c>
      <c r="W108" s="72">
        <f>Tabela4[[#This Row],[Fabio De Moura]]</f>
        <v>0</v>
      </c>
      <c r="X108" s="72">
        <f>Tabela4[[#This Row],[Rochele Santos Moraes]]</f>
        <v>0</v>
      </c>
      <c r="Y108" s="72">
        <f>Tabela4[[#This Row],[Auto Posto Kairã]]</f>
        <v>0</v>
      </c>
      <c r="Z108" s="72">
        <f>Tabela4[[#This Row],[Erno Schiefelbain]]</f>
        <v>0</v>
      </c>
      <c r="AA108" s="72">
        <f>Tabela4[[#This Row],[José Paulo Backes]]</f>
        <v>0</v>
      </c>
      <c r="AB108" s="72">
        <f>Tabela4[[#This Row],[Gelso Tofolo]]</f>
        <v>0</v>
      </c>
      <c r="AC108" s="72">
        <f>Tabela4[[#This Row],[Diamantino]]</f>
        <v>0</v>
      </c>
      <c r="AD108" s="72">
        <f>Tabela4[[#This Row],[Mercado Bueno]]</f>
        <v>0</v>
      </c>
      <c r="AE108" s="72">
        <f>Tabela4[[#This Row],[Daniela Donadel Massalai]]</f>
        <v>0</v>
      </c>
      <c r="AF108" s="72">
        <f>Tabela4[[#This Row],[Comercio De Moto Peças Irmãos Guarani Ltda]]</f>
        <v>0</v>
      </c>
      <c r="AG108" s="72">
        <f>Tabela4[[#This Row],[Mauricio Luis Lunardi]]</f>
        <v>0</v>
      </c>
      <c r="AH108" s="72">
        <f>Tabela4[[#This Row],[Rosa Maria Restle Radunz]]</f>
        <v>0</v>
      </c>
      <c r="AI108" s="72">
        <f>Tabela4[[#This Row],[Ivo Amaral De Oliveira]]</f>
        <v>0</v>
      </c>
      <c r="AJ108" s="72">
        <f>Tabela4[[#This Row],[Silvio Robert Lemos Avila]]</f>
        <v>0</v>
      </c>
      <c r="AK108" s="72">
        <f>Tabela4[[#This Row],[Eldo Rost]]</f>
        <v>0</v>
      </c>
      <c r="AL108" s="72">
        <f>SUM(Tabela4[[#This Row],[Padaria Avenida - 01]:[Padaria Avenida - 02]])</f>
        <v>0</v>
      </c>
      <c r="AM108" s="72">
        <f>Tabela4[[#This Row],[Cristiano Anshau]]</f>
        <v>0</v>
      </c>
      <c r="AN108" s="72">
        <f>Tabela4[[#This Row],[Luciana Claudete Meirelles Correa]]</f>
        <v>0</v>
      </c>
      <c r="AO108" s="72">
        <f>Tabela4[[#This Row],[Marcio Jose Siqueira]]</f>
        <v>0</v>
      </c>
      <c r="AP108" s="72">
        <f>Tabela4[[#This Row],[Marcos Rogerio Kessler]]</f>
        <v>0</v>
      </c>
      <c r="AQ108" s="72">
        <f>SUM(Tabela4[[#This Row],[AABB - 01]:[AABB - 02]])</f>
        <v>0</v>
      </c>
      <c r="AR108" s="72">
        <f>SUM(Tabela4[[#This Row],[Wanda Burkard - 01]:[Wanda Burkard - 02]])</f>
        <v>0</v>
      </c>
      <c r="AS108" s="72">
        <f>Tabela4[[#This Row],[Silvio Robert Lemos Avila Me]]</f>
        <v>0</v>
      </c>
      <c r="AT108" s="72">
        <f>Tabela4[[#This Row],[Carmelo]]</f>
        <v>0</v>
      </c>
      <c r="AU108" s="72">
        <f>Tabela4[[#This Row],[Antonio Dal Forno]]</f>
        <v>0</v>
      </c>
      <c r="AV108" s="72">
        <f>Tabela4[[#This Row],[Marisane Paulus]]</f>
        <v>0</v>
      </c>
      <c r="AW108" s="72">
        <f>Tabela4[[#This Row],[Segatto Ceretta Ltda]]</f>
        <v>0</v>
      </c>
      <c r="AX108" s="72">
        <f>SUM(Tabela4[[#This Row],[APAE - 01]:[APAE - 02]])</f>
        <v>0</v>
      </c>
      <c r="AY108" s="72">
        <f>Tabela4[[#This Row],[Cássio Burin]]</f>
        <v>0</v>
      </c>
      <c r="AZ108" s="72">
        <f>Tabela4[[#This Row],[Patrick Kristoschek Da Silva]]</f>
        <v>0</v>
      </c>
      <c r="BA108" s="72">
        <f>Tabela4[[#This Row],[Silvio Robert Ávila - (Valmir)]]</f>
        <v>0</v>
      </c>
      <c r="BB108" s="72">
        <f>Tabela4[[#This Row],[Zederson Jose Della Flora]]</f>
        <v>0</v>
      </c>
      <c r="BC108" s="72">
        <f>Tabela4[[#This Row],[Carlos Walmir Larsão Rolim]]</f>
        <v>0</v>
      </c>
      <c r="BD108" s="72">
        <f>Tabela4[[#This Row],[Danieli Missio]]</f>
        <v>0</v>
      </c>
      <c r="BE108" s="72">
        <f>Tabela4[[#This Row],[José Vasconcellos]]</f>
        <v>0</v>
      </c>
      <c r="BF108" s="72">
        <f>Tabela4[[#This Row],[Linho Lev Alimentos]]</f>
        <v>0</v>
      </c>
      <c r="BG108" s="72">
        <f>Tabela4[[#This Row],[Ernani Czapla]]</f>
        <v>0</v>
      </c>
      <c r="BH108" s="72">
        <f>Tabela4[[#This Row],[Valesca Da Luz]]</f>
        <v>0</v>
      </c>
      <c r="BI108" s="72">
        <f>Tabela4[[#This Row],[Olavo Mildner]]</f>
        <v>0</v>
      </c>
      <c r="BJ108" s="72">
        <f>Tabela4[[#This Row],[Dilnei Rohled]]</f>
        <v>0</v>
      </c>
      <c r="BK108" s="72">
        <f>Tabela4[[#This Row],[Shaiana Signorini]]</f>
        <v>0</v>
      </c>
      <c r="BL108" s="72">
        <f>Tabela4[[#This Row],[Fonse Atacado]]</f>
        <v>0</v>
      </c>
      <c r="BM108" s="72">
        <f>Tabela4[[#This Row],[Comercial de Alimentos]]</f>
        <v>0</v>
      </c>
      <c r="BN108" s="72">
        <f>Tabela4[[#This Row],[Ivone Kasburg Serralheria]]</f>
        <v>0</v>
      </c>
      <c r="BO108" s="72">
        <f>Tabela4[[#This Row],[Mercado Ceretta]]</f>
        <v>0</v>
      </c>
      <c r="BP108" s="72">
        <f>Tabela4[[#This Row],[Antonio Carlos Dos Santos Pereira]]</f>
        <v>0</v>
      </c>
      <c r="BQ108" s="72">
        <f>Tabela4[[#This Row],[Volnei Lemos Avila - Me]]</f>
        <v>0</v>
      </c>
      <c r="BR108" s="72">
        <f>Tabela4[[#This Row],[Silvana Meneghini]]</f>
        <v>0</v>
      </c>
      <c r="BS108" s="72">
        <f>Tabela4[[#This Row],[Eficaz Engenharia Ltda]]</f>
        <v>0</v>
      </c>
      <c r="BT108" s="72">
        <f>SUM(Tabela4[[#Headers],[Tania Regina Schmaltz - 01]:[Tania Regina Schmaltz - 02]])</f>
        <v>0</v>
      </c>
      <c r="BU108" s="72">
        <f>Tabela4[[#This Row],[Camila Ceretta Segatto]]</f>
        <v>0</v>
      </c>
      <c r="BV108" s="72">
        <f>Tabela4[[#This Row],[Vagner Ribas Dos Santos]]</f>
        <v>0</v>
      </c>
      <c r="BW108" s="72">
        <f>Tabela4[[#This Row],[Claudio Alfredo Konrat]]</f>
        <v>0</v>
      </c>
    </row>
    <row r="109" spans="1:75" x14ac:dyDescent="0.25">
      <c r="A109" s="70">
        <v>46357</v>
      </c>
      <c r="B109" s="72">
        <f>SUM(Tabela4[[#This Row],[Marlon Colovini - 01]:[Marlon Colovini - 02]])</f>
        <v>0</v>
      </c>
      <c r="C109" s="72">
        <f>Tabela4[[#This Row],[Mara Barichello]]</f>
        <v>0</v>
      </c>
      <c r="D109" s="72">
        <f>Tabela4[[#This Row],[Jandira Dutra]]</f>
        <v>0</v>
      </c>
      <c r="E109" s="72">
        <f>Tabela4[[#This Row],[Luiz Fernando Kruger]]</f>
        <v>0</v>
      </c>
      <c r="F109" s="72">
        <f>SUM(Tabela4[[#This Row],[Paulo Bohn - 01]:[Paulo Bohn - 04]])</f>
        <v>0</v>
      </c>
      <c r="G109" s="72">
        <f>Tabela4[[#This Row],[Analia (Clodoaldo Entre-Ijuis)]]</f>
        <v>0</v>
      </c>
      <c r="H109" s="72">
        <f>Tabela4[[#This Row],[Biroh]]</f>
        <v>0</v>
      </c>
      <c r="I109" s="72">
        <f>Tabela4[[#This Row],[Gelson Posser]]</f>
        <v>0</v>
      </c>
      <c r="J109" s="72">
        <f>Tabela4[[#This Row],[Supermercado Caryone]]</f>
        <v>0</v>
      </c>
      <c r="K109" s="72">
        <f>Tabela4[[#This Row],[Ernani Minetto]]</f>
        <v>0</v>
      </c>
      <c r="L109" s="72">
        <f>Tabela4[[#This Row],[Jair Moscon]]</f>
        <v>0</v>
      </c>
      <c r="M109" s="72">
        <f>SUM(Tabela4[[#This Row],[Fabio Milke - 01]:[Fabio Milke - 02]])</f>
        <v>0</v>
      </c>
      <c r="N109" s="72">
        <f>Tabela4[[#This Row],[Piaia]]</f>
        <v>0</v>
      </c>
      <c r="O109" s="72">
        <f>Tabela4[[#This Row],[Osmar Veronese]]</f>
        <v>0</v>
      </c>
      <c r="P109" s="72">
        <f>Tabela4[[#This Row],[ José Luiz Moraes]]</f>
        <v>0</v>
      </c>
      <c r="Q109" s="72">
        <f>Tabela4[[#This Row],[Supermercado Cripy]]</f>
        <v>0</v>
      </c>
      <c r="R109" s="72">
        <f>Tabela4[[#This Row],[Gláucio Lipski (Giruá)]]</f>
        <v>0</v>
      </c>
      <c r="S109" s="72">
        <f>Tabela4[[#This Row],[Contri]]</f>
        <v>0</v>
      </c>
      <c r="T109" s="72">
        <f>Tabela4[[#This Row],[Cleci Rubi]]</f>
        <v>0</v>
      </c>
      <c r="U109" s="72">
        <f>Tabela4[[#This Row],[Betine Rost]]</f>
        <v>0</v>
      </c>
      <c r="V109" s="72">
        <f>SUM(Tabela4[[#This Row],[Robinson Fetter - 01]:[Robinson Fetter - 03]])</f>
        <v>0</v>
      </c>
      <c r="W109" s="72">
        <f>Tabela4[[#This Row],[Fabio De Moura]]</f>
        <v>0</v>
      </c>
      <c r="X109" s="72">
        <f>Tabela4[[#This Row],[Rochele Santos Moraes]]</f>
        <v>0</v>
      </c>
      <c r="Y109" s="72">
        <f>Tabela4[[#This Row],[Auto Posto Kairã]]</f>
        <v>0</v>
      </c>
      <c r="Z109" s="72">
        <f>Tabela4[[#This Row],[Erno Schiefelbain]]</f>
        <v>0</v>
      </c>
      <c r="AA109" s="72">
        <f>Tabela4[[#This Row],[José Paulo Backes]]</f>
        <v>0</v>
      </c>
      <c r="AB109" s="72">
        <f>Tabela4[[#This Row],[Gelso Tofolo]]</f>
        <v>0</v>
      </c>
      <c r="AC109" s="72">
        <f>Tabela4[[#This Row],[Diamantino]]</f>
        <v>0</v>
      </c>
      <c r="AD109" s="72">
        <f>Tabela4[[#This Row],[Mercado Bueno]]</f>
        <v>0</v>
      </c>
      <c r="AE109" s="72">
        <f>Tabela4[[#This Row],[Daniela Donadel Massalai]]</f>
        <v>0</v>
      </c>
      <c r="AF109" s="72">
        <f>Tabela4[[#This Row],[Comercio De Moto Peças Irmãos Guarani Ltda]]</f>
        <v>0</v>
      </c>
      <c r="AG109" s="72">
        <f>Tabela4[[#This Row],[Mauricio Luis Lunardi]]</f>
        <v>0</v>
      </c>
      <c r="AH109" s="72">
        <f>Tabela4[[#This Row],[Rosa Maria Restle Radunz]]</f>
        <v>0</v>
      </c>
      <c r="AI109" s="72">
        <f>Tabela4[[#This Row],[Ivo Amaral De Oliveira]]</f>
        <v>0</v>
      </c>
      <c r="AJ109" s="72">
        <f>Tabela4[[#This Row],[Silvio Robert Lemos Avila]]</f>
        <v>0</v>
      </c>
      <c r="AK109" s="72">
        <f>Tabela4[[#This Row],[Eldo Rost]]</f>
        <v>0</v>
      </c>
      <c r="AL109" s="72">
        <f>SUM(Tabela4[[#This Row],[Padaria Avenida - 01]:[Padaria Avenida - 02]])</f>
        <v>0</v>
      </c>
      <c r="AM109" s="72">
        <f>Tabela4[[#This Row],[Cristiano Anshau]]</f>
        <v>0</v>
      </c>
      <c r="AN109" s="72">
        <f>Tabela4[[#This Row],[Luciana Claudete Meirelles Correa]]</f>
        <v>0</v>
      </c>
      <c r="AO109" s="72">
        <f>Tabela4[[#This Row],[Marcio Jose Siqueira]]</f>
        <v>0</v>
      </c>
      <c r="AP109" s="72">
        <f>Tabela4[[#This Row],[Marcos Rogerio Kessler]]</f>
        <v>0</v>
      </c>
      <c r="AQ109" s="72">
        <f>SUM(Tabela4[[#This Row],[AABB - 01]:[AABB - 02]])</f>
        <v>0</v>
      </c>
      <c r="AR109" s="72">
        <f>SUM(Tabela4[[#This Row],[Wanda Burkard - 01]:[Wanda Burkard - 02]])</f>
        <v>0</v>
      </c>
      <c r="AS109" s="72">
        <f>Tabela4[[#This Row],[Silvio Robert Lemos Avila Me]]</f>
        <v>0</v>
      </c>
      <c r="AT109" s="72">
        <f>Tabela4[[#This Row],[Carmelo]]</f>
        <v>0</v>
      </c>
      <c r="AU109" s="72">
        <f>Tabela4[[#This Row],[Antonio Dal Forno]]</f>
        <v>0</v>
      </c>
      <c r="AV109" s="72">
        <f>Tabela4[[#This Row],[Marisane Paulus]]</f>
        <v>0</v>
      </c>
      <c r="AW109" s="72">
        <f>Tabela4[[#This Row],[Segatto Ceretta Ltda]]</f>
        <v>0</v>
      </c>
      <c r="AX109" s="72">
        <f>SUM(Tabela4[[#This Row],[APAE - 01]:[APAE - 02]])</f>
        <v>0</v>
      </c>
      <c r="AY109" s="72">
        <f>Tabela4[[#This Row],[Cássio Burin]]</f>
        <v>0</v>
      </c>
      <c r="AZ109" s="72">
        <f>Tabela4[[#This Row],[Patrick Kristoschek Da Silva]]</f>
        <v>0</v>
      </c>
      <c r="BA109" s="72">
        <f>Tabela4[[#This Row],[Silvio Robert Ávila - (Valmir)]]</f>
        <v>0</v>
      </c>
      <c r="BB109" s="72">
        <f>Tabela4[[#This Row],[Zederson Jose Della Flora]]</f>
        <v>0</v>
      </c>
      <c r="BC109" s="72">
        <f>Tabela4[[#This Row],[Carlos Walmir Larsão Rolim]]</f>
        <v>0</v>
      </c>
      <c r="BD109" s="72">
        <f>Tabela4[[#This Row],[Danieli Missio]]</f>
        <v>0</v>
      </c>
      <c r="BE109" s="72">
        <f>Tabela4[[#This Row],[José Vasconcellos]]</f>
        <v>0</v>
      </c>
      <c r="BF109" s="72">
        <f>Tabela4[[#This Row],[Linho Lev Alimentos]]</f>
        <v>0</v>
      </c>
      <c r="BG109" s="72">
        <f>Tabela4[[#This Row],[Ernani Czapla]]</f>
        <v>0</v>
      </c>
      <c r="BH109" s="72">
        <f>Tabela4[[#This Row],[Valesca Da Luz]]</f>
        <v>0</v>
      </c>
      <c r="BI109" s="72">
        <f>Tabela4[[#This Row],[Olavo Mildner]]</f>
        <v>0</v>
      </c>
      <c r="BJ109" s="72">
        <f>Tabela4[[#This Row],[Dilnei Rohled]]</f>
        <v>0</v>
      </c>
      <c r="BK109" s="72">
        <f>Tabela4[[#This Row],[Shaiana Signorini]]</f>
        <v>0</v>
      </c>
      <c r="BL109" s="72">
        <f>Tabela4[[#This Row],[Fonse Atacado]]</f>
        <v>0</v>
      </c>
      <c r="BM109" s="72">
        <f>Tabela4[[#This Row],[Comercial de Alimentos]]</f>
        <v>0</v>
      </c>
      <c r="BN109" s="72">
        <f>Tabela4[[#This Row],[Ivone Kasburg Serralheria]]</f>
        <v>0</v>
      </c>
      <c r="BO109" s="72">
        <f>Tabela4[[#This Row],[Mercado Ceretta]]</f>
        <v>0</v>
      </c>
      <c r="BP109" s="72">
        <f>Tabela4[[#This Row],[Antonio Carlos Dos Santos Pereira]]</f>
        <v>0</v>
      </c>
      <c r="BQ109" s="72">
        <f>Tabela4[[#This Row],[Volnei Lemos Avila - Me]]</f>
        <v>0</v>
      </c>
      <c r="BR109" s="72">
        <f>Tabela4[[#This Row],[Silvana Meneghini]]</f>
        <v>0</v>
      </c>
      <c r="BS109" s="72">
        <f>Tabela4[[#This Row],[Eficaz Engenharia Ltda]]</f>
        <v>0</v>
      </c>
      <c r="BT109" s="72">
        <f>SUM(Tabela4[[#Headers],[Tania Regina Schmaltz - 01]:[Tania Regina Schmaltz - 02]])</f>
        <v>0</v>
      </c>
      <c r="BU109" s="72">
        <f>Tabela4[[#This Row],[Camila Ceretta Segatto]]</f>
        <v>0</v>
      </c>
      <c r="BV109" s="72">
        <f>Tabela4[[#This Row],[Vagner Ribas Dos Santos]]</f>
        <v>0</v>
      </c>
      <c r="BW109" s="72">
        <f>Tabela4[[#This Row],[Claudio Alfredo Konrat]]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dimension ref="A1:BW109"/>
  <sheetViews>
    <sheetView zoomScale="90" zoomScaleNormal="90" workbookViewId="0">
      <selection activeCell="B2" sqref="B2"/>
    </sheetView>
  </sheetViews>
  <sheetFormatPr defaultRowHeight="15" x14ac:dyDescent="0.25"/>
  <cols>
    <col min="1" max="1" width="10" style="12" bestFit="1" customWidth="1"/>
    <col min="2" max="2" width="21" style="12" bestFit="1" customWidth="1"/>
    <col min="3" max="3" width="20.85546875" style="12" bestFit="1" customWidth="1"/>
    <col min="4" max="4" width="18.85546875" style="12" bestFit="1" customWidth="1"/>
    <col min="5" max="5" width="26.85546875" style="12" bestFit="1" customWidth="1"/>
    <col min="6" max="6" width="16.7109375" style="12" bestFit="1" customWidth="1"/>
    <col min="7" max="7" width="33.7109375" style="12" bestFit="1" customWidth="1"/>
    <col min="8" max="8" width="11.42578125" style="12" bestFit="1" customWidth="1"/>
    <col min="9" max="9" width="20.42578125" style="12" bestFit="1" customWidth="1"/>
    <col min="10" max="10" width="29" style="12" bestFit="1" customWidth="1"/>
    <col min="11" max="11" width="20" style="12" bestFit="1" customWidth="1"/>
    <col min="12" max="12" width="17.85546875" style="12" bestFit="1" customWidth="1"/>
    <col min="13" max="13" width="17" style="12" bestFit="1" customWidth="1"/>
    <col min="14" max="14" width="10.7109375" style="12" bestFit="1" customWidth="1"/>
    <col min="15" max="15" width="22.7109375" style="12" bestFit="1" customWidth="1"/>
    <col min="16" max="16" width="23.28515625" style="12" bestFit="1" customWidth="1"/>
    <col min="17" max="17" width="26" style="12" bestFit="1" customWidth="1"/>
    <col min="18" max="18" width="26.5703125" style="12" bestFit="1" customWidth="1"/>
    <col min="19" max="19" width="12.28515625" style="12" bestFit="1" customWidth="1"/>
    <col min="20" max="20" width="15.5703125" style="12" bestFit="1" customWidth="1"/>
    <col min="21" max="21" width="17.140625" style="12" bestFit="1" customWidth="1"/>
    <col min="22" max="22" width="21.42578125" style="12" bestFit="1" customWidth="1"/>
    <col min="23" max="23" width="20.85546875" style="12" bestFit="1" customWidth="1"/>
    <col min="24" max="24" width="28.85546875" style="12" bestFit="1" customWidth="1"/>
    <col min="25" max="25" width="22" style="12" bestFit="1" customWidth="1"/>
    <col min="26" max="26" width="22.7109375" style="12" bestFit="1" customWidth="1"/>
    <col min="27" max="27" width="24.140625" style="12" bestFit="1" customWidth="1"/>
    <col min="28" max="28" width="18.28515625" style="12" bestFit="1" customWidth="1"/>
    <col min="29" max="29" width="16.7109375" style="12" bestFit="1" customWidth="1"/>
    <col min="30" max="30" width="21.140625" style="12" bestFit="1" customWidth="1"/>
    <col min="31" max="31" width="30" style="12" bestFit="1" customWidth="1"/>
    <col min="32" max="32" width="50.28515625" style="12" bestFit="1" customWidth="1"/>
    <col min="33" max="33" width="26.85546875" style="12" bestFit="1" customWidth="1"/>
    <col min="34" max="34" width="30.7109375" style="12" bestFit="1" customWidth="1"/>
    <col min="35" max="35" width="26.85546875" style="12" bestFit="1" customWidth="1"/>
    <col min="36" max="36" width="30.5703125" style="12" bestFit="1" customWidth="1"/>
    <col min="37" max="37" width="15.140625" style="12" bestFit="1" customWidth="1"/>
    <col min="38" max="38" width="21.28515625" style="12" bestFit="1" customWidth="1"/>
    <col min="39" max="39" width="22.7109375" style="12" bestFit="1" customWidth="1"/>
    <col min="40" max="40" width="39.28515625" style="12" bestFit="1" customWidth="1"/>
    <col min="41" max="41" width="26.140625" style="12" bestFit="1" customWidth="1"/>
    <col min="42" max="42" width="29.42578125" style="12" bestFit="1" customWidth="1"/>
    <col min="43" max="43" width="11.5703125" style="12" bestFit="1" customWidth="1"/>
    <col min="44" max="44" width="20.7109375" style="12" bestFit="1" customWidth="1"/>
    <col min="45" max="45" width="34.140625" style="12" bestFit="1" customWidth="1"/>
    <col min="46" max="46" width="14.42578125" style="12" bestFit="1" customWidth="1"/>
    <col min="47" max="47" width="23.140625" style="12" bestFit="1" customWidth="1"/>
    <col min="48" max="48" width="22" style="12" bestFit="1" customWidth="1"/>
    <col min="49" max="49" width="25.85546875" style="12" bestFit="1" customWidth="1"/>
    <col min="50" max="50" width="11.42578125" style="12" bestFit="1" customWidth="1"/>
    <col min="51" max="51" width="18.28515625" style="12" bestFit="1" customWidth="1"/>
    <col min="52" max="53" width="32.7109375" style="12" bestFit="1" customWidth="1"/>
    <col min="54" max="54" width="31" style="12" bestFit="1" customWidth="1"/>
    <col min="55" max="55" width="32.7109375" style="12" bestFit="1" customWidth="1"/>
    <col min="56" max="56" width="19.42578125" style="12" bestFit="1" customWidth="1"/>
    <col min="57" max="57" width="24.28515625" style="12" bestFit="1" customWidth="1"/>
    <col min="58" max="58" width="26" style="12" bestFit="1" customWidth="1"/>
    <col min="59" max="59" width="19" style="12" bestFit="1" customWidth="1"/>
    <col min="60" max="60" width="20.42578125" style="12" bestFit="1" customWidth="1"/>
    <col min="61" max="61" width="19.28515625" style="12" bestFit="1" customWidth="1"/>
    <col min="62" max="62" width="18.42578125" style="12" bestFit="1" customWidth="1"/>
    <col min="63" max="63" width="22.42578125" style="12" bestFit="1" customWidth="1"/>
    <col min="64" max="64" width="20.28515625" style="12" bestFit="1" customWidth="1"/>
    <col min="65" max="65" width="29.42578125" style="12" bestFit="1" customWidth="1"/>
    <col min="66" max="66" width="31" style="12" bestFit="1" customWidth="1"/>
    <col min="67" max="67" width="22.140625" style="12" bestFit="1" customWidth="1"/>
    <col min="68" max="68" width="39.28515625" style="12" bestFit="1" customWidth="1"/>
    <col min="69" max="69" width="29.42578125" style="12" bestFit="1" customWidth="1"/>
    <col min="70" max="70" width="23.5703125" style="12" bestFit="1" customWidth="1"/>
    <col min="71" max="72" width="27.5703125" style="12" bestFit="1" customWidth="1"/>
    <col min="73" max="73" width="28.140625" style="12" bestFit="1" customWidth="1"/>
    <col min="74" max="74" width="30.28515625" style="12" bestFit="1" customWidth="1"/>
    <col min="75" max="75" width="27.85546875" style="12" bestFit="1" customWidth="1"/>
    <col min="76" max="16384" width="9.140625" style="12"/>
  </cols>
  <sheetData>
    <row r="1" spans="1:75" x14ac:dyDescent="0.25">
      <c r="A1" s="3" t="s">
        <v>69</v>
      </c>
      <c r="B1" s="11" t="s">
        <v>238</v>
      </c>
      <c r="C1" s="11" t="s">
        <v>239</v>
      </c>
      <c r="D1" s="11" t="s">
        <v>240</v>
      </c>
      <c r="E1" s="11" t="s">
        <v>241</v>
      </c>
      <c r="F1" s="11" t="s">
        <v>242</v>
      </c>
      <c r="G1" s="11" t="s">
        <v>243</v>
      </c>
      <c r="H1" s="11" t="s">
        <v>244</v>
      </c>
      <c r="I1" s="11" t="s">
        <v>245</v>
      </c>
      <c r="J1" s="11" t="s">
        <v>246</v>
      </c>
      <c r="K1" s="11" t="s">
        <v>247</v>
      </c>
      <c r="L1" s="11" t="s">
        <v>248</v>
      </c>
      <c r="M1" s="11" t="s">
        <v>249</v>
      </c>
      <c r="N1" s="11" t="s">
        <v>250</v>
      </c>
      <c r="O1" s="11" t="s">
        <v>251</v>
      </c>
      <c r="P1" s="11" t="s">
        <v>252</v>
      </c>
      <c r="Q1" s="11" t="s">
        <v>253</v>
      </c>
      <c r="R1" s="11" t="s">
        <v>254</v>
      </c>
      <c r="S1" s="11" t="s">
        <v>255</v>
      </c>
      <c r="T1" s="11" t="s">
        <v>256</v>
      </c>
      <c r="U1" s="11" t="s">
        <v>257</v>
      </c>
      <c r="V1" s="11" t="s">
        <v>258</v>
      </c>
      <c r="W1" s="11" t="s">
        <v>259</v>
      </c>
      <c r="X1" s="11" t="s">
        <v>260</v>
      </c>
      <c r="Y1" s="11" t="s">
        <v>261</v>
      </c>
      <c r="Z1" s="11" t="s">
        <v>262</v>
      </c>
      <c r="AA1" s="11" t="s">
        <v>263</v>
      </c>
      <c r="AB1" s="11" t="s">
        <v>264</v>
      </c>
      <c r="AC1" s="11" t="s">
        <v>265</v>
      </c>
      <c r="AD1" s="11" t="s">
        <v>266</v>
      </c>
      <c r="AE1" s="11" t="s">
        <v>267</v>
      </c>
      <c r="AF1" s="11" t="s">
        <v>268</v>
      </c>
      <c r="AG1" s="11" t="s">
        <v>269</v>
      </c>
      <c r="AH1" s="11" t="s">
        <v>270</v>
      </c>
      <c r="AI1" s="11" t="s">
        <v>271</v>
      </c>
      <c r="AJ1" s="11" t="s">
        <v>272</v>
      </c>
      <c r="AK1" s="11" t="s">
        <v>273</v>
      </c>
      <c r="AL1" s="11" t="s">
        <v>274</v>
      </c>
      <c r="AM1" s="11" t="s">
        <v>275</v>
      </c>
      <c r="AN1" s="11" t="s">
        <v>276</v>
      </c>
      <c r="AO1" s="11" t="s">
        <v>277</v>
      </c>
      <c r="AP1" s="11" t="s">
        <v>278</v>
      </c>
      <c r="AQ1" s="11" t="s">
        <v>41</v>
      </c>
      <c r="AR1" s="11" t="s">
        <v>279</v>
      </c>
      <c r="AS1" s="11" t="s">
        <v>280</v>
      </c>
      <c r="AT1" s="11" t="s">
        <v>281</v>
      </c>
      <c r="AU1" s="11" t="s">
        <v>282</v>
      </c>
      <c r="AV1" s="11" t="s">
        <v>283</v>
      </c>
      <c r="AW1" s="11" t="s">
        <v>284</v>
      </c>
      <c r="AX1" s="11" t="s">
        <v>52</v>
      </c>
      <c r="AY1" s="11" t="s">
        <v>285</v>
      </c>
      <c r="AZ1" s="11" t="s">
        <v>286</v>
      </c>
      <c r="BA1" s="11" t="s">
        <v>287</v>
      </c>
      <c r="BB1" s="11" t="s">
        <v>288</v>
      </c>
      <c r="BC1" s="11" t="s">
        <v>289</v>
      </c>
      <c r="BD1" s="11" t="s">
        <v>290</v>
      </c>
      <c r="BE1" s="11" t="s">
        <v>291</v>
      </c>
      <c r="BF1" s="11" t="s">
        <v>56</v>
      </c>
      <c r="BG1" s="11" t="s">
        <v>292</v>
      </c>
      <c r="BH1" s="11" t="s">
        <v>293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294</v>
      </c>
      <c r="BN1" s="10" t="s">
        <v>295</v>
      </c>
      <c r="BO1" s="10" t="s">
        <v>296</v>
      </c>
      <c r="BP1" s="10" t="s">
        <v>297</v>
      </c>
      <c r="BQ1" s="10" t="s">
        <v>298</v>
      </c>
      <c r="BR1" s="10" t="s">
        <v>299</v>
      </c>
      <c r="BS1" s="10" t="s">
        <v>300</v>
      </c>
      <c r="BT1" s="10" t="s">
        <v>301</v>
      </c>
      <c r="BU1" s="10" t="s">
        <v>302</v>
      </c>
      <c r="BV1" s="10" t="s">
        <v>303</v>
      </c>
      <c r="BW1" s="10" t="s">
        <v>304</v>
      </c>
    </row>
    <row r="2" spans="1:75" x14ac:dyDescent="0.25">
      <c r="A2" s="70">
        <v>43101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C2" s="14"/>
      <c r="BD2" s="14"/>
      <c r="BF2" s="14"/>
      <c r="BT2" s="1"/>
      <c r="BU2" s="1"/>
      <c r="BV2" s="1"/>
    </row>
    <row r="3" spans="1:75" x14ac:dyDescent="0.25">
      <c r="A3" s="70">
        <v>43132</v>
      </c>
      <c r="B3" s="14">
        <v>502</v>
      </c>
      <c r="C3" s="14">
        <v>110</v>
      </c>
      <c r="D3" s="14">
        <v>111</v>
      </c>
      <c r="E3" s="14"/>
      <c r="F3" s="14">
        <v>417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4"/>
      <c r="T3" s="14"/>
      <c r="U3" s="14"/>
      <c r="V3" s="14"/>
      <c r="W3" s="14"/>
      <c r="X3" s="14"/>
      <c r="Y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5"/>
      <c r="AX3" s="14"/>
      <c r="AY3" s="14"/>
      <c r="AZ3" s="14"/>
      <c r="BA3" s="14"/>
      <c r="BC3" s="14"/>
      <c r="BD3" s="14"/>
      <c r="BF3" s="14"/>
      <c r="BT3" s="1"/>
      <c r="BU3" s="1"/>
      <c r="BV3" s="1"/>
    </row>
    <row r="4" spans="1:75" x14ac:dyDescent="0.25">
      <c r="A4" s="70">
        <v>43160</v>
      </c>
      <c r="B4" s="14">
        <v>623</v>
      </c>
      <c r="C4" s="14">
        <v>120</v>
      </c>
      <c r="D4" s="14">
        <v>120</v>
      </c>
      <c r="E4" s="14">
        <v>127</v>
      </c>
      <c r="F4" s="14">
        <v>639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4"/>
      <c r="T4" s="14"/>
      <c r="U4" s="14"/>
      <c r="V4" s="14"/>
      <c r="W4" s="14"/>
      <c r="X4" s="14"/>
      <c r="Y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5"/>
      <c r="AX4" s="14"/>
      <c r="AY4" s="14"/>
      <c r="AZ4" s="14"/>
      <c r="BA4" s="14"/>
      <c r="BC4" s="14"/>
      <c r="BD4" s="14"/>
      <c r="BF4" s="14"/>
      <c r="BT4" s="1"/>
      <c r="BU4" s="1"/>
      <c r="BV4" s="1"/>
    </row>
    <row r="5" spans="1:75" x14ac:dyDescent="0.25">
      <c r="A5" s="70">
        <v>43191</v>
      </c>
      <c r="B5" s="14">
        <v>480</v>
      </c>
      <c r="C5" s="14">
        <v>89</v>
      </c>
      <c r="D5" s="14">
        <v>75</v>
      </c>
      <c r="E5" s="14">
        <v>204</v>
      </c>
      <c r="F5" s="14">
        <v>428</v>
      </c>
      <c r="G5" s="14">
        <v>272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  <c r="S5" s="14"/>
      <c r="T5" s="14"/>
      <c r="U5" s="14"/>
      <c r="V5" s="14"/>
      <c r="W5" s="14"/>
      <c r="X5" s="14"/>
      <c r="Y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5"/>
      <c r="AX5" s="14"/>
      <c r="AY5" s="14"/>
      <c r="AZ5" s="14"/>
      <c r="BA5" s="14"/>
      <c r="BC5" s="14"/>
      <c r="BD5" s="14"/>
      <c r="BF5" s="14"/>
      <c r="BT5" s="1"/>
      <c r="BU5" s="1"/>
      <c r="BV5" s="1"/>
    </row>
    <row r="6" spans="1:75" x14ac:dyDescent="0.25">
      <c r="A6" s="70">
        <v>43221</v>
      </c>
      <c r="B6" s="14">
        <v>454</v>
      </c>
      <c r="C6" s="14">
        <v>76</v>
      </c>
      <c r="D6" s="14">
        <v>45</v>
      </c>
      <c r="E6" s="14">
        <v>192</v>
      </c>
      <c r="F6" s="14">
        <v>341</v>
      </c>
      <c r="G6" s="14">
        <v>196</v>
      </c>
      <c r="H6" s="14">
        <v>465</v>
      </c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14"/>
      <c r="W6" s="14"/>
      <c r="X6" s="14"/>
      <c r="Y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5"/>
      <c r="AX6" s="14"/>
      <c r="AY6" s="14"/>
      <c r="AZ6" s="14"/>
      <c r="BA6" s="14"/>
      <c r="BC6" s="14"/>
      <c r="BD6" s="14"/>
      <c r="BF6" s="14"/>
      <c r="BT6" s="1"/>
      <c r="BU6" s="1"/>
      <c r="BV6" s="1"/>
    </row>
    <row r="7" spans="1:75" x14ac:dyDescent="0.25">
      <c r="A7" s="70">
        <v>43252</v>
      </c>
      <c r="B7" s="14">
        <v>363</v>
      </c>
      <c r="C7" s="14">
        <v>53</v>
      </c>
      <c r="D7" s="14">
        <v>44</v>
      </c>
      <c r="E7" s="14">
        <v>173</v>
      </c>
      <c r="F7" s="14">
        <v>315</v>
      </c>
      <c r="G7" s="14">
        <v>160</v>
      </c>
      <c r="H7" s="14">
        <v>447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4"/>
      <c r="T7" s="14"/>
      <c r="U7" s="14"/>
      <c r="V7" s="14"/>
      <c r="W7" s="14"/>
      <c r="X7" s="14"/>
      <c r="Y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  <c r="AX7" s="14"/>
      <c r="AY7" s="14"/>
      <c r="AZ7" s="14"/>
      <c r="BA7" s="14"/>
      <c r="BC7" s="14"/>
      <c r="BD7" s="14"/>
      <c r="BF7" s="14"/>
      <c r="BT7" s="1"/>
      <c r="BU7" s="1"/>
      <c r="BV7" s="1"/>
    </row>
    <row r="8" spans="1:75" x14ac:dyDescent="0.25">
      <c r="A8" s="70">
        <v>43282</v>
      </c>
      <c r="B8" s="14">
        <v>286</v>
      </c>
      <c r="C8" s="14">
        <v>37</v>
      </c>
      <c r="D8" s="14">
        <v>50</v>
      </c>
      <c r="E8" s="14">
        <v>83</v>
      </c>
      <c r="F8" s="14">
        <v>212</v>
      </c>
      <c r="G8" s="14">
        <v>141</v>
      </c>
      <c r="H8" s="14">
        <v>447</v>
      </c>
      <c r="I8" s="14">
        <v>149</v>
      </c>
      <c r="J8" s="14">
        <v>1399</v>
      </c>
      <c r="K8" s="14">
        <v>196</v>
      </c>
      <c r="L8" s="14">
        <v>166</v>
      </c>
      <c r="M8" s="14">
        <v>130</v>
      </c>
      <c r="N8" s="14"/>
      <c r="O8" s="14"/>
      <c r="P8" s="14"/>
      <c r="Q8" s="14"/>
      <c r="R8" s="15"/>
      <c r="S8" s="14"/>
      <c r="T8" s="14"/>
      <c r="U8" s="14"/>
      <c r="V8" s="14"/>
      <c r="W8" s="14"/>
      <c r="X8" s="14"/>
      <c r="Y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5"/>
      <c r="AX8" s="14"/>
      <c r="AY8" s="14"/>
      <c r="AZ8" s="14"/>
      <c r="BA8" s="14"/>
      <c r="BC8" s="14"/>
      <c r="BD8" s="14"/>
      <c r="BF8" s="14"/>
      <c r="BT8" s="1"/>
      <c r="BU8" s="1"/>
      <c r="BV8" s="1"/>
    </row>
    <row r="9" spans="1:75" x14ac:dyDescent="0.25">
      <c r="A9" s="70">
        <v>43313</v>
      </c>
      <c r="B9" s="14">
        <v>423</v>
      </c>
      <c r="C9" s="14">
        <v>82</v>
      </c>
      <c r="D9" s="14">
        <v>58</v>
      </c>
      <c r="E9" s="14">
        <v>164</v>
      </c>
      <c r="F9" s="14">
        <v>295</v>
      </c>
      <c r="G9" s="14">
        <v>156</v>
      </c>
      <c r="H9" s="14">
        <v>408</v>
      </c>
      <c r="I9" s="14">
        <v>255</v>
      </c>
      <c r="J9" s="14">
        <v>2200</v>
      </c>
      <c r="K9" s="14">
        <v>256</v>
      </c>
      <c r="L9" s="14">
        <v>464</v>
      </c>
      <c r="M9" s="14">
        <v>284</v>
      </c>
      <c r="N9" s="14">
        <v>1321</v>
      </c>
      <c r="O9" s="14"/>
      <c r="P9" s="14"/>
      <c r="Q9" s="14"/>
      <c r="R9" s="15"/>
      <c r="S9" s="14"/>
      <c r="T9" s="14"/>
      <c r="U9" s="14"/>
      <c r="V9" s="14"/>
      <c r="W9" s="14"/>
      <c r="X9" s="14"/>
      <c r="Y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5"/>
      <c r="AX9" s="14"/>
      <c r="AY9" s="14"/>
      <c r="AZ9" s="14"/>
      <c r="BA9" s="14"/>
      <c r="BC9" s="14"/>
      <c r="BD9" s="14"/>
      <c r="BF9" s="14"/>
      <c r="BT9" s="1"/>
      <c r="BU9" s="1"/>
      <c r="BV9" s="1"/>
    </row>
    <row r="10" spans="1:75" x14ac:dyDescent="0.25">
      <c r="A10" s="70">
        <v>43344</v>
      </c>
      <c r="B10" s="14">
        <v>461</v>
      </c>
      <c r="C10" s="14">
        <v>86</v>
      </c>
      <c r="D10" s="14">
        <v>84</v>
      </c>
      <c r="E10" s="14">
        <v>208</v>
      </c>
      <c r="F10" s="14">
        <v>439</v>
      </c>
      <c r="G10" s="14">
        <v>179</v>
      </c>
      <c r="H10" s="14">
        <v>621</v>
      </c>
      <c r="I10" s="14">
        <v>287</v>
      </c>
      <c r="J10" s="14">
        <v>3849</v>
      </c>
      <c r="K10" s="14">
        <v>343</v>
      </c>
      <c r="L10" s="14">
        <v>315</v>
      </c>
      <c r="M10" s="14">
        <v>359</v>
      </c>
      <c r="N10" s="14">
        <v>1207</v>
      </c>
      <c r="O10" s="14">
        <v>475</v>
      </c>
      <c r="P10" s="14"/>
      <c r="Q10" s="14"/>
      <c r="R10" s="15"/>
      <c r="S10" s="14">
        <v>1576</v>
      </c>
      <c r="T10" s="14"/>
      <c r="U10" s="14"/>
      <c r="V10" s="14"/>
      <c r="W10" s="14"/>
      <c r="X10" s="14"/>
      <c r="Y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5"/>
      <c r="AX10" s="14"/>
      <c r="AY10" s="14"/>
      <c r="AZ10" s="14"/>
      <c r="BA10" s="14"/>
      <c r="BC10" s="14"/>
      <c r="BD10" s="14"/>
      <c r="BF10" s="14"/>
      <c r="BT10" s="1"/>
      <c r="BU10" s="1"/>
      <c r="BV10" s="1"/>
    </row>
    <row r="11" spans="1:75" x14ac:dyDescent="0.25">
      <c r="A11" s="70">
        <v>43374</v>
      </c>
      <c r="B11" s="14">
        <v>434</v>
      </c>
      <c r="C11" s="14">
        <v>96</v>
      </c>
      <c r="D11" s="14">
        <v>95</v>
      </c>
      <c r="E11" s="14">
        <v>197</v>
      </c>
      <c r="F11" s="14">
        <v>378</v>
      </c>
      <c r="G11" s="14">
        <v>172</v>
      </c>
      <c r="H11" s="14">
        <v>862</v>
      </c>
      <c r="I11" s="14">
        <v>267</v>
      </c>
      <c r="J11" s="14">
        <v>2658</v>
      </c>
      <c r="K11" s="14">
        <v>321</v>
      </c>
      <c r="L11" s="14">
        <v>313</v>
      </c>
      <c r="M11" s="14">
        <v>325</v>
      </c>
      <c r="N11" s="14">
        <v>1010</v>
      </c>
      <c r="O11" s="14">
        <v>715</v>
      </c>
      <c r="P11" s="14">
        <v>270</v>
      </c>
      <c r="Q11" s="14">
        <v>2302</v>
      </c>
      <c r="R11" s="15"/>
      <c r="S11" s="14">
        <v>1864</v>
      </c>
      <c r="T11" s="14"/>
      <c r="U11" s="14"/>
      <c r="V11" s="14"/>
      <c r="W11" s="14"/>
      <c r="X11" s="14"/>
      <c r="Y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4"/>
      <c r="AY11" s="14"/>
      <c r="AZ11" s="14"/>
      <c r="BA11" s="14"/>
      <c r="BC11" s="14"/>
      <c r="BD11" s="14"/>
      <c r="BF11" s="14"/>
      <c r="BT11" s="1"/>
      <c r="BU11" s="1"/>
      <c r="BV11" s="1"/>
    </row>
    <row r="12" spans="1:75" x14ac:dyDescent="0.25">
      <c r="A12" s="70">
        <v>43405</v>
      </c>
      <c r="B12" s="14">
        <v>529</v>
      </c>
      <c r="C12" s="14">
        <v>160</v>
      </c>
      <c r="D12" s="14">
        <v>100</v>
      </c>
      <c r="E12" s="14">
        <v>289</v>
      </c>
      <c r="F12" s="14">
        <v>612</v>
      </c>
      <c r="G12" s="14">
        <v>159</v>
      </c>
      <c r="H12" s="14">
        <v>950</v>
      </c>
      <c r="I12" s="14">
        <v>302</v>
      </c>
      <c r="J12" s="14">
        <v>3933</v>
      </c>
      <c r="K12" s="14">
        <v>514</v>
      </c>
      <c r="L12" s="14">
        <v>303</v>
      </c>
      <c r="M12" s="14">
        <v>466</v>
      </c>
      <c r="N12" s="14">
        <v>1540</v>
      </c>
      <c r="O12" s="14">
        <v>1199</v>
      </c>
      <c r="P12" s="14">
        <v>204</v>
      </c>
      <c r="Q12" s="14">
        <v>4231</v>
      </c>
      <c r="R12" s="15">
        <v>423</v>
      </c>
      <c r="S12" s="14">
        <v>2119</v>
      </c>
      <c r="T12" s="14">
        <v>396</v>
      </c>
      <c r="U12" s="14">
        <v>61</v>
      </c>
      <c r="V12" s="14">
        <v>333</v>
      </c>
      <c r="W12" s="14"/>
      <c r="X12" s="14"/>
      <c r="Y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5"/>
      <c r="AX12" s="14"/>
      <c r="AY12" s="14"/>
      <c r="AZ12" s="14"/>
      <c r="BA12" s="14"/>
      <c r="BC12" s="14"/>
      <c r="BD12" s="14"/>
      <c r="BF12" s="14"/>
      <c r="BT12" s="1"/>
      <c r="BU12" s="1"/>
      <c r="BV12" s="1"/>
    </row>
    <row r="13" spans="1:75" x14ac:dyDescent="0.25">
      <c r="A13" s="70">
        <v>43435</v>
      </c>
      <c r="B13" s="14">
        <v>646</v>
      </c>
      <c r="C13" s="14">
        <v>149</v>
      </c>
      <c r="D13" s="14">
        <v>181</v>
      </c>
      <c r="E13" s="14">
        <v>259</v>
      </c>
      <c r="F13" s="14">
        <v>726</v>
      </c>
      <c r="G13" s="14">
        <v>188</v>
      </c>
      <c r="H13" s="14">
        <v>918</v>
      </c>
      <c r="I13" s="14">
        <v>376</v>
      </c>
      <c r="J13" s="14">
        <v>4598</v>
      </c>
      <c r="K13" s="14">
        <v>326</v>
      </c>
      <c r="L13" s="14">
        <v>312</v>
      </c>
      <c r="M13" s="14">
        <v>485</v>
      </c>
      <c r="N13" s="14">
        <v>1372</v>
      </c>
      <c r="O13" s="14">
        <v>1211</v>
      </c>
      <c r="P13" s="14">
        <v>222</v>
      </c>
      <c r="Q13" s="14">
        <v>4889</v>
      </c>
      <c r="R13" s="15">
        <v>653</v>
      </c>
      <c r="S13" s="14">
        <v>2498</v>
      </c>
      <c r="T13" s="14">
        <v>486</v>
      </c>
      <c r="U13" s="14">
        <v>410</v>
      </c>
      <c r="V13" s="14">
        <v>1533</v>
      </c>
      <c r="W13" s="14">
        <v>533</v>
      </c>
      <c r="X13" s="14">
        <v>120</v>
      </c>
      <c r="Y13" s="14">
        <v>1461</v>
      </c>
      <c r="AB13" s="14">
        <v>3862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5"/>
      <c r="AX13" s="14"/>
      <c r="AY13" s="14"/>
      <c r="AZ13" s="14"/>
      <c r="BA13" s="14"/>
      <c r="BC13" s="14"/>
      <c r="BD13" s="14"/>
      <c r="BF13" s="14"/>
      <c r="BT13" s="1"/>
      <c r="BU13" s="1"/>
      <c r="BV13" s="1"/>
    </row>
    <row r="14" spans="1:75" x14ac:dyDescent="0.25">
      <c r="A14" s="70">
        <v>43466</v>
      </c>
      <c r="B14" s="14">
        <v>510</v>
      </c>
      <c r="C14" s="14">
        <v>109</v>
      </c>
      <c r="D14" s="14">
        <v>88</v>
      </c>
      <c r="E14" s="14">
        <v>219</v>
      </c>
      <c r="F14" s="14">
        <v>541</v>
      </c>
      <c r="G14" s="14">
        <v>111</v>
      </c>
      <c r="H14" s="14">
        <v>979</v>
      </c>
      <c r="I14" s="14">
        <v>224</v>
      </c>
      <c r="J14" s="14">
        <v>3117</v>
      </c>
      <c r="K14" s="14">
        <v>326</v>
      </c>
      <c r="L14" s="14">
        <v>520</v>
      </c>
      <c r="M14" s="14">
        <v>393</v>
      </c>
      <c r="N14" s="14">
        <v>1410</v>
      </c>
      <c r="O14" s="14">
        <v>1137</v>
      </c>
      <c r="P14" s="14">
        <v>206</v>
      </c>
      <c r="Q14" s="14">
        <v>3196</v>
      </c>
      <c r="R14" s="15">
        <v>572</v>
      </c>
      <c r="S14" s="14">
        <v>2690</v>
      </c>
      <c r="T14" s="14">
        <v>325</v>
      </c>
      <c r="U14" s="14">
        <v>347</v>
      </c>
      <c r="V14" s="14">
        <v>1083</v>
      </c>
      <c r="W14" s="14">
        <v>581</v>
      </c>
      <c r="X14" s="14">
        <v>777</v>
      </c>
      <c r="Y14" s="14">
        <v>1815</v>
      </c>
      <c r="AB14" s="14">
        <v>2189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5"/>
      <c r="AX14" s="14"/>
      <c r="AY14" s="14"/>
      <c r="AZ14" s="14"/>
      <c r="BA14" s="14"/>
      <c r="BC14" s="14"/>
      <c r="BD14" s="14"/>
      <c r="BF14" s="14"/>
      <c r="BT14" s="1"/>
      <c r="BU14" s="1"/>
      <c r="BV14" s="1"/>
    </row>
    <row r="15" spans="1:75" x14ac:dyDescent="0.25">
      <c r="A15" s="70">
        <v>43497</v>
      </c>
      <c r="B15" s="14">
        <v>538</v>
      </c>
      <c r="C15" s="14">
        <v>102</v>
      </c>
      <c r="D15" s="14">
        <v>106</v>
      </c>
      <c r="E15" s="14">
        <v>196</v>
      </c>
      <c r="F15" s="14">
        <v>553</v>
      </c>
      <c r="G15" s="14">
        <v>155</v>
      </c>
      <c r="H15" s="14">
        <v>560</v>
      </c>
      <c r="I15" s="14">
        <v>221</v>
      </c>
      <c r="J15" s="14">
        <v>3106</v>
      </c>
      <c r="K15" s="14">
        <v>346</v>
      </c>
      <c r="L15" s="14">
        <v>882</v>
      </c>
      <c r="M15" s="14">
        <v>400</v>
      </c>
      <c r="N15" s="14">
        <v>1256</v>
      </c>
      <c r="O15" s="14">
        <v>1242</v>
      </c>
      <c r="P15" s="14">
        <v>188</v>
      </c>
      <c r="Q15" s="14">
        <v>3091</v>
      </c>
      <c r="R15" s="15">
        <v>448</v>
      </c>
      <c r="S15" s="14">
        <v>1942</v>
      </c>
      <c r="T15" s="14">
        <v>384</v>
      </c>
      <c r="U15" s="14">
        <v>317</v>
      </c>
      <c r="V15" s="14">
        <v>981</v>
      </c>
      <c r="W15" s="14">
        <v>581</v>
      </c>
      <c r="X15" s="14">
        <v>711</v>
      </c>
      <c r="Y15" s="14">
        <v>1656</v>
      </c>
      <c r="AB15" s="14">
        <v>2500</v>
      </c>
      <c r="AC15" s="14">
        <v>1470</v>
      </c>
      <c r="AD15" s="14">
        <v>70</v>
      </c>
      <c r="AE15" s="14"/>
      <c r="AF15" s="14"/>
      <c r="AG15" s="14"/>
      <c r="AH15" s="14">
        <v>807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5"/>
      <c r="AX15" s="14"/>
      <c r="AY15" s="14"/>
      <c r="AZ15" s="14"/>
      <c r="BA15" s="14"/>
      <c r="BC15" s="14"/>
      <c r="BD15" s="14"/>
      <c r="BF15" s="14"/>
      <c r="BT15" s="1"/>
      <c r="BU15" s="1"/>
      <c r="BV15" s="1"/>
    </row>
    <row r="16" spans="1:75" x14ac:dyDescent="0.25">
      <c r="A16" s="70">
        <v>43525</v>
      </c>
      <c r="B16" s="14">
        <v>507</v>
      </c>
      <c r="C16" s="14">
        <v>55</v>
      </c>
      <c r="D16" s="14">
        <v>103</v>
      </c>
      <c r="E16" s="14">
        <v>226</v>
      </c>
      <c r="F16" s="14">
        <v>485</v>
      </c>
      <c r="G16" s="14">
        <v>188</v>
      </c>
      <c r="H16" s="14">
        <v>784</v>
      </c>
      <c r="I16" s="14">
        <v>280</v>
      </c>
      <c r="J16" s="14">
        <v>3135</v>
      </c>
      <c r="K16" s="14">
        <v>423</v>
      </c>
      <c r="L16" s="14">
        <v>744</v>
      </c>
      <c r="M16" s="14">
        <v>442</v>
      </c>
      <c r="N16" s="14">
        <v>1051</v>
      </c>
      <c r="O16" s="14">
        <v>1004</v>
      </c>
      <c r="P16" s="14">
        <v>223</v>
      </c>
      <c r="Q16" s="14">
        <v>3469</v>
      </c>
      <c r="R16" s="15">
        <v>665</v>
      </c>
      <c r="S16" s="14">
        <v>2766</v>
      </c>
      <c r="T16" s="14">
        <v>399</v>
      </c>
      <c r="U16" s="14">
        <v>407</v>
      </c>
      <c r="V16" s="14">
        <v>1076</v>
      </c>
      <c r="W16" s="14">
        <v>613</v>
      </c>
      <c r="X16" s="14">
        <v>816</v>
      </c>
      <c r="Y16" s="14">
        <v>1778</v>
      </c>
      <c r="AB16" s="14">
        <v>2905</v>
      </c>
      <c r="AC16" s="14">
        <v>1592</v>
      </c>
      <c r="AD16" s="14">
        <v>3294</v>
      </c>
      <c r="AE16" s="14">
        <v>174</v>
      </c>
      <c r="AF16" s="14"/>
      <c r="AG16" s="14">
        <v>786</v>
      </c>
      <c r="AH16" s="14">
        <v>782</v>
      </c>
      <c r="AI16" s="14"/>
      <c r="AJ16" s="14">
        <v>302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5"/>
      <c r="AX16" s="14"/>
      <c r="AY16" s="14"/>
      <c r="AZ16" s="14"/>
      <c r="BA16" s="14"/>
      <c r="BC16" s="14"/>
      <c r="BD16" s="14"/>
      <c r="BF16" s="14"/>
      <c r="BT16" s="1"/>
      <c r="BU16" s="1"/>
      <c r="BV16" s="1"/>
    </row>
    <row r="17" spans="1:74" x14ac:dyDescent="0.25">
      <c r="A17" s="70">
        <v>43556</v>
      </c>
      <c r="B17" s="14">
        <v>465</v>
      </c>
      <c r="C17" s="14"/>
      <c r="D17" s="14">
        <v>80</v>
      </c>
      <c r="E17" s="14">
        <v>210</v>
      </c>
      <c r="F17" s="14">
        <v>429</v>
      </c>
      <c r="G17" s="14">
        <v>193</v>
      </c>
      <c r="H17" s="14">
        <v>540</v>
      </c>
      <c r="I17" s="14">
        <v>290</v>
      </c>
      <c r="J17" s="14">
        <v>3119</v>
      </c>
      <c r="K17" s="14">
        <v>344</v>
      </c>
      <c r="L17" s="14">
        <v>632</v>
      </c>
      <c r="M17" s="14">
        <v>326</v>
      </c>
      <c r="N17" s="14">
        <v>984</v>
      </c>
      <c r="O17" s="14">
        <v>664</v>
      </c>
      <c r="P17" s="14">
        <v>254</v>
      </c>
      <c r="Q17" s="14">
        <v>2817</v>
      </c>
      <c r="R17" s="15">
        <v>422</v>
      </c>
      <c r="S17" s="14">
        <v>1451</v>
      </c>
      <c r="T17" s="14">
        <v>365</v>
      </c>
      <c r="U17" s="14">
        <v>316</v>
      </c>
      <c r="V17" s="14">
        <v>989</v>
      </c>
      <c r="W17" s="14">
        <v>568</v>
      </c>
      <c r="X17" s="14">
        <v>609</v>
      </c>
      <c r="Y17" s="14">
        <v>1343</v>
      </c>
      <c r="AB17" s="14">
        <v>2320</v>
      </c>
      <c r="AC17" s="14">
        <v>1257</v>
      </c>
      <c r="AD17" s="14"/>
      <c r="AE17" s="14">
        <v>265</v>
      </c>
      <c r="AF17" s="14">
        <v>1024</v>
      </c>
      <c r="AG17" s="14">
        <v>725</v>
      </c>
      <c r="AH17" s="14">
        <v>588</v>
      </c>
      <c r="AI17" s="14">
        <v>736</v>
      </c>
      <c r="AJ17" s="14">
        <v>329</v>
      </c>
      <c r="AK17" s="14"/>
      <c r="AL17" s="14"/>
      <c r="AM17" s="14"/>
      <c r="AN17" s="14"/>
      <c r="AO17" s="14"/>
      <c r="AP17" s="14">
        <v>251</v>
      </c>
      <c r="AQ17" s="14">
        <v>7493</v>
      </c>
      <c r="AR17" s="14"/>
      <c r="AS17" s="14"/>
      <c r="AT17" s="14"/>
      <c r="AU17" s="14"/>
      <c r="AV17" s="14"/>
      <c r="AW17" s="15"/>
      <c r="AX17" s="14"/>
      <c r="AY17" s="14"/>
      <c r="AZ17" s="14"/>
      <c r="BA17" s="14"/>
      <c r="BC17" s="14"/>
      <c r="BD17" s="14"/>
      <c r="BF17" s="14"/>
      <c r="BT17" s="1"/>
      <c r="BU17" s="1"/>
      <c r="BV17" s="1"/>
    </row>
    <row r="18" spans="1:74" x14ac:dyDescent="0.25">
      <c r="A18" s="70">
        <v>43586</v>
      </c>
      <c r="B18" s="14">
        <v>351</v>
      </c>
      <c r="C18" s="14">
        <v>32</v>
      </c>
      <c r="D18" s="14">
        <v>46</v>
      </c>
      <c r="E18" s="14">
        <v>146</v>
      </c>
      <c r="F18" s="14">
        <v>307</v>
      </c>
      <c r="G18" s="14">
        <v>195</v>
      </c>
      <c r="H18" s="14">
        <v>469</v>
      </c>
      <c r="I18" s="14">
        <v>201</v>
      </c>
      <c r="J18" s="14">
        <v>2257</v>
      </c>
      <c r="K18" s="14">
        <v>179</v>
      </c>
      <c r="L18" s="14">
        <v>445</v>
      </c>
      <c r="M18" s="14">
        <v>412</v>
      </c>
      <c r="N18" s="14">
        <v>820</v>
      </c>
      <c r="O18" s="14">
        <v>312</v>
      </c>
      <c r="P18" s="14">
        <v>254</v>
      </c>
      <c r="Q18" s="14">
        <v>1797</v>
      </c>
      <c r="R18" s="15">
        <v>417</v>
      </c>
      <c r="S18" s="14">
        <v>857</v>
      </c>
      <c r="T18" s="14">
        <v>175</v>
      </c>
      <c r="U18" s="14">
        <v>336</v>
      </c>
      <c r="V18" s="14">
        <v>710</v>
      </c>
      <c r="W18" s="14">
        <v>448</v>
      </c>
      <c r="X18" s="14">
        <v>325</v>
      </c>
      <c r="Y18" s="14">
        <v>854</v>
      </c>
      <c r="AB18" s="14">
        <v>1562</v>
      </c>
      <c r="AC18" s="14">
        <v>922</v>
      </c>
      <c r="AD18" s="14">
        <v>2500</v>
      </c>
      <c r="AE18" s="14">
        <v>176</v>
      </c>
      <c r="AF18" s="14">
        <v>447</v>
      </c>
      <c r="AG18" s="14">
        <v>543</v>
      </c>
      <c r="AH18" s="14">
        <v>291</v>
      </c>
      <c r="AI18" s="14">
        <v>665</v>
      </c>
      <c r="AJ18" s="14">
        <v>195</v>
      </c>
      <c r="AK18" s="14">
        <v>195</v>
      </c>
      <c r="AL18" s="14">
        <v>417</v>
      </c>
      <c r="AM18" s="14">
        <v>265</v>
      </c>
      <c r="AN18" s="14"/>
      <c r="AO18" s="14"/>
      <c r="AP18" s="14">
        <v>222</v>
      </c>
      <c r="AQ18" s="14">
        <v>4352</v>
      </c>
      <c r="AR18" s="14"/>
      <c r="AS18" s="14"/>
      <c r="AT18" s="14"/>
      <c r="AU18" s="14"/>
      <c r="AV18" s="14"/>
      <c r="AW18" s="15"/>
      <c r="AX18" s="14"/>
      <c r="AY18" s="14"/>
      <c r="AZ18" s="14"/>
      <c r="BA18" s="14"/>
      <c r="BC18" s="14"/>
      <c r="BD18" s="14"/>
      <c r="BF18" s="14"/>
      <c r="BT18" s="1"/>
      <c r="BU18" s="1"/>
      <c r="BV18" s="1"/>
    </row>
    <row r="19" spans="1:74" x14ac:dyDescent="0.25">
      <c r="A19" s="70">
        <v>43617</v>
      </c>
      <c r="B19" s="14">
        <v>301</v>
      </c>
      <c r="C19" s="14">
        <v>36</v>
      </c>
      <c r="D19" s="14">
        <v>35</v>
      </c>
      <c r="E19" s="14">
        <v>89</v>
      </c>
      <c r="F19" s="14">
        <v>218</v>
      </c>
      <c r="G19" s="14">
        <v>185</v>
      </c>
      <c r="H19" s="14">
        <v>295</v>
      </c>
      <c r="I19" s="14">
        <v>177</v>
      </c>
      <c r="J19" s="14">
        <v>1745</v>
      </c>
      <c r="K19" s="14">
        <v>172</v>
      </c>
      <c r="L19" s="14">
        <v>316</v>
      </c>
      <c r="M19" s="14">
        <v>81</v>
      </c>
      <c r="N19" s="14">
        <v>565</v>
      </c>
      <c r="O19" s="14">
        <v>218</v>
      </c>
      <c r="P19" s="14">
        <v>150</v>
      </c>
      <c r="Q19" s="14">
        <v>1235</v>
      </c>
      <c r="R19" s="15">
        <v>227</v>
      </c>
      <c r="S19" s="14">
        <v>1668</v>
      </c>
      <c r="T19" s="14">
        <v>230</v>
      </c>
      <c r="U19" s="14">
        <v>178</v>
      </c>
      <c r="V19" s="14">
        <v>507</v>
      </c>
      <c r="W19" s="14">
        <v>307</v>
      </c>
      <c r="X19" s="14">
        <v>221</v>
      </c>
      <c r="Y19" s="14">
        <v>628</v>
      </c>
      <c r="AB19" s="14">
        <v>884</v>
      </c>
      <c r="AC19" s="14">
        <v>618</v>
      </c>
      <c r="AD19" s="14">
        <v>1631</v>
      </c>
      <c r="AE19" s="14">
        <v>204</v>
      </c>
      <c r="AF19" s="14">
        <v>369</v>
      </c>
      <c r="AG19" s="14">
        <v>408</v>
      </c>
      <c r="AH19" s="14">
        <v>283</v>
      </c>
      <c r="AI19" s="14">
        <v>381</v>
      </c>
      <c r="AJ19" s="14">
        <v>151</v>
      </c>
      <c r="AK19" s="14">
        <v>203</v>
      </c>
      <c r="AL19" s="14">
        <v>603</v>
      </c>
      <c r="AM19" s="14">
        <v>387</v>
      </c>
      <c r="AN19" s="14">
        <v>429</v>
      </c>
      <c r="AO19" s="14">
        <v>204</v>
      </c>
      <c r="AP19" s="14">
        <v>199</v>
      </c>
      <c r="AQ19" s="14">
        <v>2868</v>
      </c>
      <c r="AR19" s="14">
        <v>212</v>
      </c>
      <c r="AS19" s="14"/>
      <c r="AT19" s="14"/>
      <c r="AU19" s="14"/>
      <c r="AV19" s="14"/>
      <c r="AW19" s="15"/>
      <c r="AX19" s="14">
        <v>2379</v>
      </c>
      <c r="AY19" s="14"/>
      <c r="AZ19" s="14"/>
      <c r="BA19" s="14"/>
      <c r="BC19" s="14"/>
      <c r="BD19" s="14"/>
      <c r="BF19" s="14"/>
      <c r="BT19" s="1"/>
      <c r="BU19" s="1"/>
      <c r="BV19" s="1"/>
    </row>
    <row r="20" spans="1:74" x14ac:dyDescent="0.25">
      <c r="A20" s="70">
        <v>43647</v>
      </c>
      <c r="B20" s="14">
        <v>420</v>
      </c>
      <c r="C20" s="14">
        <v>41</v>
      </c>
      <c r="D20" s="14">
        <v>56</v>
      </c>
      <c r="E20" s="14">
        <v>176</v>
      </c>
      <c r="F20" s="14">
        <v>297</v>
      </c>
      <c r="G20" s="14">
        <v>271</v>
      </c>
      <c r="H20" s="14">
        <v>422</v>
      </c>
      <c r="I20" s="14">
        <v>237</v>
      </c>
      <c r="J20" s="14">
        <v>2621</v>
      </c>
      <c r="K20" s="14">
        <v>266</v>
      </c>
      <c r="L20" s="14">
        <v>444</v>
      </c>
      <c r="M20" s="14">
        <v>297</v>
      </c>
      <c r="N20" s="14">
        <v>1209</v>
      </c>
      <c r="O20" s="14">
        <v>340</v>
      </c>
      <c r="P20" s="14">
        <v>259</v>
      </c>
      <c r="Q20" s="14">
        <v>2425</v>
      </c>
      <c r="R20" s="15">
        <v>373</v>
      </c>
      <c r="S20" s="14">
        <v>1097</v>
      </c>
      <c r="T20" s="14">
        <v>300</v>
      </c>
      <c r="U20" s="14">
        <v>303</v>
      </c>
      <c r="V20" s="14">
        <v>645</v>
      </c>
      <c r="W20" s="14">
        <v>465</v>
      </c>
      <c r="X20" s="14">
        <v>314</v>
      </c>
      <c r="Y20" s="14">
        <v>1005</v>
      </c>
      <c r="AB20" s="14">
        <v>1338</v>
      </c>
      <c r="AC20" s="14">
        <v>953</v>
      </c>
      <c r="AD20" s="14">
        <v>2306</v>
      </c>
      <c r="AE20" s="14">
        <v>210</v>
      </c>
      <c r="AF20" s="14">
        <v>493</v>
      </c>
      <c r="AG20" s="14">
        <v>512</v>
      </c>
      <c r="AH20" s="14">
        <v>228</v>
      </c>
      <c r="AI20" s="14">
        <v>549</v>
      </c>
      <c r="AJ20" s="14">
        <v>197</v>
      </c>
      <c r="AK20" s="14">
        <v>345</v>
      </c>
      <c r="AL20" s="14">
        <v>1025</v>
      </c>
      <c r="AM20" s="14">
        <v>373</v>
      </c>
      <c r="AN20" s="14">
        <v>498</v>
      </c>
      <c r="AO20" s="14">
        <v>323</v>
      </c>
      <c r="AP20" s="14">
        <v>304</v>
      </c>
      <c r="AQ20" s="14">
        <v>6056</v>
      </c>
      <c r="AR20" s="14">
        <v>103</v>
      </c>
      <c r="AS20" s="14">
        <v>1290</v>
      </c>
      <c r="AT20" s="14">
        <v>498</v>
      </c>
      <c r="AU20" s="14">
        <v>123</v>
      </c>
      <c r="AV20" s="14"/>
      <c r="AW20" s="15"/>
      <c r="AX20" s="14">
        <v>1902</v>
      </c>
      <c r="AY20" s="14"/>
      <c r="AZ20" s="14"/>
      <c r="BA20" s="14"/>
      <c r="BC20" s="14"/>
      <c r="BD20" s="14"/>
      <c r="BF20" s="14"/>
      <c r="BT20" s="1"/>
      <c r="BU20" s="1"/>
      <c r="BV20" s="1"/>
    </row>
    <row r="21" spans="1:74" x14ac:dyDescent="0.25">
      <c r="A21" s="70">
        <v>43678</v>
      </c>
      <c r="B21" s="14">
        <v>374</v>
      </c>
      <c r="C21" s="14">
        <v>135</v>
      </c>
      <c r="D21" s="14">
        <v>61</v>
      </c>
      <c r="E21" s="14">
        <v>152</v>
      </c>
      <c r="F21" s="14">
        <v>286</v>
      </c>
      <c r="G21" s="14">
        <v>235</v>
      </c>
      <c r="H21" s="14">
        <v>388</v>
      </c>
      <c r="I21" s="14">
        <v>217</v>
      </c>
      <c r="J21" s="14">
        <v>2423</v>
      </c>
      <c r="K21" s="14">
        <v>207</v>
      </c>
      <c r="L21" s="14">
        <v>468</v>
      </c>
      <c r="M21" s="14">
        <v>309</v>
      </c>
      <c r="N21" s="14">
        <v>1141</v>
      </c>
      <c r="O21" s="14">
        <v>293</v>
      </c>
      <c r="P21" s="14">
        <v>285</v>
      </c>
      <c r="Q21" s="14">
        <v>2460</v>
      </c>
      <c r="R21" s="15">
        <v>307</v>
      </c>
      <c r="S21" s="14">
        <v>1541</v>
      </c>
      <c r="T21" s="14">
        <v>255</v>
      </c>
      <c r="U21" s="14">
        <v>306</v>
      </c>
      <c r="V21" s="14">
        <v>615</v>
      </c>
      <c r="W21" s="14">
        <v>404</v>
      </c>
      <c r="X21" s="14">
        <v>261</v>
      </c>
      <c r="Y21" s="14">
        <v>969</v>
      </c>
      <c r="AB21" s="14">
        <v>1387</v>
      </c>
      <c r="AC21" s="14">
        <v>867</v>
      </c>
      <c r="AD21" s="14">
        <v>2305</v>
      </c>
      <c r="AE21" s="14">
        <v>257</v>
      </c>
      <c r="AF21" s="14">
        <v>434</v>
      </c>
      <c r="AG21" s="14">
        <v>485</v>
      </c>
      <c r="AH21" s="14"/>
      <c r="AI21" s="14">
        <v>700</v>
      </c>
      <c r="AJ21" s="14">
        <v>284</v>
      </c>
      <c r="AK21" s="14">
        <v>337</v>
      </c>
      <c r="AL21" s="14">
        <v>989</v>
      </c>
      <c r="AM21" s="14">
        <v>485</v>
      </c>
      <c r="AN21" s="14">
        <v>462</v>
      </c>
      <c r="AO21" s="14">
        <v>364</v>
      </c>
      <c r="AP21" s="14">
        <v>323</v>
      </c>
      <c r="AQ21" s="14">
        <v>5192</v>
      </c>
      <c r="AR21" s="14">
        <v>469</v>
      </c>
      <c r="AS21" s="14">
        <v>1319</v>
      </c>
      <c r="AT21" s="14">
        <v>755</v>
      </c>
      <c r="AU21" s="14">
        <v>234</v>
      </c>
      <c r="AV21" s="14">
        <v>283</v>
      </c>
      <c r="AW21" s="15"/>
      <c r="AX21" s="14">
        <v>1900</v>
      </c>
      <c r="AY21" s="14"/>
      <c r="AZ21" s="14">
        <v>111</v>
      </c>
      <c r="BA21" s="14"/>
      <c r="BC21" s="14">
        <v>326</v>
      </c>
      <c r="BD21" s="14"/>
      <c r="BF21" s="14"/>
      <c r="BT21" s="1"/>
      <c r="BU21" s="1"/>
      <c r="BV21" s="1"/>
    </row>
    <row r="22" spans="1:74" x14ac:dyDescent="0.25">
      <c r="A22" s="70">
        <v>43709</v>
      </c>
      <c r="B22" s="14">
        <v>491</v>
      </c>
      <c r="C22" s="14">
        <v>232</v>
      </c>
      <c r="D22" s="14">
        <v>88</v>
      </c>
      <c r="E22" s="14">
        <v>182</v>
      </c>
      <c r="F22" s="14">
        <v>399</v>
      </c>
      <c r="G22" s="14">
        <v>254</v>
      </c>
      <c r="H22" s="14">
        <v>599</v>
      </c>
      <c r="I22" s="14">
        <v>286</v>
      </c>
      <c r="J22" s="14">
        <v>3635</v>
      </c>
      <c r="K22" s="14">
        <v>349</v>
      </c>
      <c r="L22" s="14">
        <v>520</v>
      </c>
      <c r="M22" s="14">
        <v>401</v>
      </c>
      <c r="N22" s="14">
        <v>1412</v>
      </c>
      <c r="O22" s="14">
        <v>507</v>
      </c>
      <c r="P22" s="14">
        <v>295</v>
      </c>
      <c r="Q22" s="14">
        <v>3378</v>
      </c>
      <c r="R22" s="15"/>
      <c r="S22" s="14"/>
      <c r="T22" s="14">
        <v>330</v>
      </c>
      <c r="U22" s="14">
        <v>336</v>
      </c>
      <c r="V22" s="14">
        <v>842</v>
      </c>
      <c r="W22" s="14">
        <v>479</v>
      </c>
      <c r="X22" s="14">
        <v>461</v>
      </c>
      <c r="Y22" s="14">
        <v>1374</v>
      </c>
      <c r="AB22" s="14">
        <v>2402</v>
      </c>
      <c r="AC22" s="14">
        <v>1268</v>
      </c>
      <c r="AD22" s="14">
        <v>3256</v>
      </c>
      <c r="AE22" s="14">
        <v>331</v>
      </c>
      <c r="AF22" s="14">
        <v>689</v>
      </c>
      <c r="AG22" s="14">
        <v>698</v>
      </c>
      <c r="AH22" s="14">
        <v>456</v>
      </c>
      <c r="AI22" s="14">
        <v>827</v>
      </c>
      <c r="AJ22" s="14">
        <v>363</v>
      </c>
      <c r="AK22" s="14">
        <v>426</v>
      </c>
      <c r="AL22" s="14">
        <v>1451</v>
      </c>
      <c r="AM22" s="14">
        <v>627</v>
      </c>
      <c r="AN22" s="14">
        <v>625</v>
      </c>
      <c r="AO22" s="14">
        <v>524</v>
      </c>
      <c r="AP22" s="14">
        <v>398</v>
      </c>
      <c r="AQ22" s="14">
        <v>7047</v>
      </c>
      <c r="AR22" s="14">
        <v>455</v>
      </c>
      <c r="AS22" s="14">
        <v>1570</v>
      </c>
      <c r="AT22" s="14">
        <v>1109</v>
      </c>
      <c r="AU22" s="14">
        <v>344</v>
      </c>
      <c r="AV22" s="14">
        <v>485</v>
      </c>
      <c r="AW22" s="15">
        <v>2565</v>
      </c>
      <c r="AX22" s="14">
        <v>3061</v>
      </c>
      <c r="AY22" s="14"/>
      <c r="AZ22" s="14">
        <v>683</v>
      </c>
      <c r="BA22" s="14">
        <v>548</v>
      </c>
      <c r="BC22" s="14">
        <v>421</v>
      </c>
      <c r="BD22" s="14"/>
      <c r="BF22" s="14">
        <v>220</v>
      </c>
      <c r="BT22" s="1"/>
      <c r="BU22" s="1"/>
      <c r="BV22" s="1"/>
    </row>
    <row r="23" spans="1:74" x14ac:dyDescent="0.25">
      <c r="A23" s="70">
        <v>43739</v>
      </c>
      <c r="B23" s="14">
        <v>571</v>
      </c>
      <c r="C23" s="14">
        <v>248</v>
      </c>
      <c r="D23" s="14">
        <v>141</v>
      </c>
      <c r="E23" s="14">
        <v>198</v>
      </c>
      <c r="F23" s="14">
        <v>405</v>
      </c>
      <c r="G23" s="14">
        <v>302</v>
      </c>
      <c r="H23" s="14">
        <v>733</v>
      </c>
      <c r="I23" s="14">
        <v>312</v>
      </c>
      <c r="J23" s="14">
        <v>3629</v>
      </c>
      <c r="K23" s="14">
        <v>313</v>
      </c>
      <c r="L23" s="14">
        <v>651</v>
      </c>
      <c r="M23" s="14">
        <v>386</v>
      </c>
      <c r="N23" s="14">
        <v>1671</v>
      </c>
      <c r="O23" s="14">
        <v>768</v>
      </c>
      <c r="P23" s="14">
        <v>288</v>
      </c>
      <c r="Q23" s="14">
        <v>4197</v>
      </c>
      <c r="R23" s="15"/>
      <c r="S23" s="14"/>
      <c r="T23" s="14">
        <v>297</v>
      </c>
      <c r="U23" s="14">
        <v>318</v>
      </c>
      <c r="V23" s="14">
        <v>1033</v>
      </c>
      <c r="W23" s="14">
        <v>617</v>
      </c>
      <c r="X23" s="14">
        <v>702</v>
      </c>
      <c r="Y23" s="14">
        <v>1680</v>
      </c>
      <c r="AB23" s="14">
        <v>2692</v>
      </c>
      <c r="AC23" s="14">
        <v>1390</v>
      </c>
      <c r="AD23" s="14">
        <v>3607</v>
      </c>
      <c r="AE23" s="14">
        <v>304</v>
      </c>
      <c r="AF23" s="14">
        <v>721</v>
      </c>
      <c r="AG23" s="14">
        <v>773</v>
      </c>
      <c r="AH23" s="14">
        <v>670</v>
      </c>
      <c r="AI23" s="14">
        <v>839</v>
      </c>
      <c r="AJ23" s="14">
        <v>469</v>
      </c>
      <c r="AK23" s="14">
        <v>428</v>
      </c>
      <c r="AL23" s="14">
        <v>1731</v>
      </c>
      <c r="AM23" s="14">
        <v>689</v>
      </c>
      <c r="AN23" s="14">
        <v>752</v>
      </c>
      <c r="AO23" s="14">
        <v>513</v>
      </c>
      <c r="AP23" s="14">
        <v>393</v>
      </c>
      <c r="AQ23" s="14">
        <v>7520</v>
      </c>
      <c r="AR23" s="14"/>
      <c r="AS23" s="14">
        <v>1602</v>
      </c>
      <c r="AT23" s="14">
        <v>1224</v>
      </c>
      <c r="AU23" s="14">
        <v>391</v>
      </c>
      <c r="AV23" s="14">
        <v>511</v>
      </c>
      <c r="AW23" s="15">
        <v>3825</v>
      </c>
      <c r="AX23" s="14">
        <v>3247</v>
      </c>
      <c r="AY23" s="14"/>
      <c r="AZ23" s="14"/>
      <c r="BA23" s="14">
        <v>591</v>
      </c>
      <c r="BC23" s="14">
        <v>421</v>
      </c>
      <c r="BD23" s="14">
        <v>475</v>
      </c>
      <c r="BE23" s="12">
        <v>533</v>
      </c>
      <c r="BF23" s="14">
        <v>725</v>
      </c>
      <c r="BT23" s="1"/>
      <c r="BU23" s="1"/>
      <c r="BV23" s="1"/>
    </row>
    <row r="24" spans="1:74" x14ac:dyDescent="0.25">
      <c r="A24" s="70">
        <v>43770</v>
      </c>
      <c r="AP24" s="14"/>
      <c r="BT24" s="1"/>
      <c r="BU24" s="1"/>
      <c r="BV24" s="1"/>
    </row>
    <row r="25" spans="1:74" x14ac:dyDescent="0.25">
      <c r="A25" s="70">
        <v>43800</v>
      </c>
      <c r="BT25" s="1"/>
      <c r="BU25" s="1"/>
      <c r="BV25" s="1"/>
    </row>
    <row r="26" spans="1:74" x14ac:dyDescent="0.25">
      <c r="A26" s="70">
        <v>43831</v>
      </c>
      <c r="BT26" s="1"/>
      <c r="BU26" s="1"/>
      <c r="BV26" s="1"/>
    </row>
    <row r="27" spans="1:74" x14ac:dyDescent="0.25">
      <c r="A27" s="70">
        <v>43862</v>
      </c>
      <c r="BT27" s="1"/>
      <c r="BU27" s="1"/>
      <c r="BV27" s="1"/>
    </row>
    <row r="28" spans="1:74" x14ac:dyDescent="0.25">
      <c r="A28" s="70">
        <v>43891</v>
      </c>
      <c r="BT28" s="1"/>
      <c r="BU28" s="1"/>
      <c r="BV28" s="1"/>
    </row>
    <row r="29" spans="1:74" x14ac:dyDescent="0.25">
      <c r="A29" s="70">
        <v>43922</v>
      </c>
      <c r="BT29" s="1"/>
      <c r="BU29" s="1"/>
      <c r="BV29" s="1"/>
    </row>
    <row r="30" spans="1:74" x14ac:dyDescent="0.25">
      <c r="A30" s="70">
        <v>43952</v>
      </c>
      <c r="BT30" s="1"/>
      <c r="BU30" s="1"/>
      <c r="BV30" s="1"/>
    </row>
    <row r="31" spans="1:74" x14ac:dyDescent="0.25">
      <c r="A31" s="70">
        <v>43983</v>
      </c>
      <c r="BT31" s="1"/>
      <c r="BU31" s="1"/>
      <c r="BV31" s="1"/>
    </row>
    <row r="32" spans="1:74" x14ac:dyDescent="0.25">
      <c r="A32" s="70">
        <v>44013</v>
      </c>
      <c r="BT32" s="1"/>
      <c r="BU32" s="1"/>
      <c r="BV32" s="1"/>
    </row>
    <row r="33" spans="1:74" x14ac:dyDescent="0.25">
      <c r="A33" s="70">
        <v>44044</v>
      </c>
      <c r="BT33" s="1"/>
      <c r="BU33" s="1"/>
      <c r="BV33" s="1"/>
    </row>
    <row r="34" spans="1:74" x14ac:dyDescent="0.25">
      <c r="A34" s="70">
        <v>44075</v>
      </c>
      <c r="BT34" s="1"/>
      <c r="BU34" s="1"/>
      <c r="BV34" s="1"/>
    </row>
    <row r="35" spans="1:74" x14ac:dyDescent="0.25">
      <c r="A35" s="70">
        <v>44105</v>
      </c>
      <c r="BT35" s="1"/>
      <c r="BU35" s="1"/>
      <c r="BV35" s="1"/>
    </row>
    <row r="36" spans="1:74" x14ac:dyDescent="0.25">
      <c r="A36" s="70">
        <v>44136</v>
      </c>
      <c r="BT36" s="1"/>
      <c r="BU36" s="1"/>
      <c r="BV36" s="1"/>
    </row>
    <row r="37" spans="1:74" x14ac:dyDescent="0.25">
      <c r="A37" s="70">
        <v>44166</v>
      </c>
      <c r="BT37" s="1"/>
      <c r="BU37" s="1"/>
      <c r="BV37" s="1"/>
    </row>
    <row r="38" spans="1:74" x14ac:dyDescent="0.25">
      <c r="A38" s="70">
        <v>44197</v>
      </c>
      <c r="BT38" s="1"/>
      <c r="BU38" s="1"/>
      <c r="BV38" s="1"/>
    </row>
    <row r="39" spans="1:74" x14ac:dyDescent="0.25">
      <c r="A39" s="70">
        <v>44228</v>
      </c>
      <c r="BT39" s="1"/>
      <c r="BU39" s="1"/>
      <c r="BV39" s="1"/>
    </row>
    <row r="40" spans="1:74" x14ac:dyDescent="0.25">
      <c r="A40" s="70">
        <v>44256</v>
      </c>
      <c r="BT40" s="1"/>
      <c r="BU40" s="1"/>
      <c r="BV40" s="1"/>
    </row>
    <row r="41" spans="1:74" x14ac:dyDescent="0.25">
      <c r="A41" s="70">
        <v>44287</v>
      </c>
      <c r="BT41" s="1"/>
      <c r="BU41" s="1"/>
      <c r="BV41" s="1"/>
    </row>
    <row r="42" spans="1:74" x14ac:dyDescent="0.25">
      <c r="A42" s="70">
        <v>44317</v>
      </c>
      <c r="BT42" s="1"/>
      <c r="BU42" s="1"/>
      <c r="BV42" s="1"/>
    </row>
    <row r="43" spans="1:74" x14ac:dyDescent="0.25">
      <c r="A43" s="70">
        <v>44348</v>
      </c>
      <c r="BT43" s="1"/>
      <c r="BU43" s="1"/>
      <c r="BV43" s="1"/>
    </row>
    <row r="44" spans="1:74" x14ac:dyDescent="0.25">
      <c r="A44" s="70">
        <v>44378</v>
      </c>
      <c r="BT44" s="1"/>
      <c r="BU44" s="1"/>
      <c r="BV44" s="1"/>
    </row>
    <row r="45" spans="1:74" x14ac:dyDescent="0.25">
      <c r="A45" s="70">
        <v>44409</v>
      </c>
      <c r="BT45" s="1"/>
      <c r="BU45" s="1"/>
      <c r="BV45" s="1"/>
    </row>
    <row r="46" spans="1:74" x14ac:dyDescent="0.25">
      <c r="A46" s="70">
        <v>44440</v>
      </c>
      <c r="BT46" s="1"/>
      <c r="BU46" s="1"/>
      <c r="BV46" s="1"/>
    </row>
    <row r="47" spans="1:74" x14ac:dyDescent="0.25">
      <c r="A47" s="70">
        <v>44470</v>
      </c>
      <c r="BT47" s="1"/>
      <c r="BU47" s="1"/>
      <c r="BV47" s="1"/>
    </row>
    <row r="48" spans="1:74" x14ac:dyDescent="0.25">
      <c r="A48" s="70">
        <v>44501</v>
      </c>
      <c r="BT48" s="1"/>
      <c r="BU48" s="1"/>
      <c r="BV48" s="1"/>
    </row>
    <row r="49" spans="1:74" x14ac:dyDescent="0.25">
      <c r="A49" s="70">
        <v>44531</v>
      </c>
      <c r="BT49" s="1"/>
      <c r="BU49" s="1"/>
      <c r="BV49" s="1"/>
    </row>
    <row r="50" spans="1:74" x14ac:dyDescent="0.25">
      <c r="A50" s="70">
        <v>44562</v>
      </c>
      <c r="BT50" s="1"/>
      <c r="BU50" s="1"/>
      <c r="BV50" s="1"/>
    </row>
    <row r="51" spans="1:74" x14ac:dyDescent="0.25">
      <c r="A51" s="70">
        <v>44593</v>
      </c>
      <c r="BT51" s="1"/>
      <c r="BU51" s="1"/>
      <c r="BV51" s="1"/>
    </row>
    <row r="52" spans="1:74" x14ac:dyDescent="0.25">
      <c r="A52" s="70">
        <v>44621</v>
      </c>
      <c r="BT52" s="1"/>
      <c r="BU52" s="1"/>
      <c r="BV52" s="1"/>
    </row>
    <row r="53" spans="1:74" x14ac:dyDescent="0.25">
      <c r="A53" s="70">
        <v>44652</v>
      </c>
      <c r="BT53" s="1"/>
      <c r="BU53" s="1"/>
      <c r="BV53" s="1"/>
    </row>
    <row r="54" spans="1:74" x14ac:dyDescent="0.25">
      <c r="A54" s="70">
        <v>44682</v>
      </c>
      <c r="BT54" s="1"/>
      <c r="BU54" s="1"/>
      <c r="BV54" s="1"/>
    </row>
    <row r="55" spans="1:74" x14ac:dyDescent="0.25">
      <c r="A55" s="70">
        <v>44713</v>
      </c>
      <c r="BT55" s="1"/>
      <c r="BU55" s="1"/>
      <c r="BV55" s="1"/>
    </row>
    <row r="56" spans="1:74" x14ac:dyDescent="0.25">
      <c r="A56" s="70">
        <v>44743</v>
      </c>
      <c r="BT56" s="1"/>
      <c r="BU56" s="1"/>
      <c r="BV56" s="1"/>
    </row>
    <row r="57" spans="1:74" x14ac:dyDescent="0.25">
      <c r="A57" s="70">
        <v>44774</v>
      </c>
      <c r="BT57" s="1"/>
      <c r="BU57" s="1"/>
      <c r="BV57" s="1"/>
    </row>
    <row r="58" spans="1:74" x14ac:dyDescent="0.25">
      <c r="A58" s="70">
        <v>44805</v>
      </c>
      <c r="BT58" s="1"/>
      <c r="BU58" s="1"/>
      <c r="BV58" s="1"/>
    </row>
    <row r="59" spans="1:74" x14ac:dyDescent="0.25">
      <c r="A59" s="70">
        <v>44835</v>
      </c>
      <c r="BT59" s="1"/>
      <c r="BU59" s="1"/>
      <c r="BV59" s="1"/>
    </row>
    <row r="60" spans="1:74" x14ac:dyDescent="0.25">
      <c r="A60" s="70">
        <v>44866</v>
      </c>
      <c r="BT60" s="1"/>
      <c r="BU60" s="1"/>
      <c r="BV60" s="1"/>
    </row>
    <row r="61" spans="1:74" x14ac:dyDescent="0.25">
      <c r="A61" s="70">
        <v>44896</v>
      </c>
      <c r="BT61" s="1"/>
      <c r="BU61" s="1"/>
      <c r="BV61" s="1"/>
    </row>
    <row r="62" spans="1:74" x14ac:dyDescent="0.25">
      <c r="A62" s="70">
        <v>44927</v>
      </c>
      <c r="BT62" s="1"/>
      <c r="BU62" s="1"/>
      <c r="BV62" s="1"/>
    </row>
    <row r="63" spans="1:74" x14ac:dyDescent="0.25">
      <c r="A63" s="70">
        <v>44958</v>
      </c>
      <c r="BT63" s="1"/>
      <c r="BU63" s="1"/>
      <c r="BV63" s="1"/>
    </row>
    <row r="64" spans="1:74" x14ac:dyDescent="0.25">
      <c r="A64" s="70">
        <v>44986</v>
      </c>
      <c r="BT64" s="1"/>
      <c r="BU64" s="1"/>
      <c r="BV64" s="1"/>
    </row>
    <row r="65" spans="1:74" x14ac:dyDescent="0.25">
      <c r="A65" s="70">
        <v>45017</v>
      </c>
      <c r="BT65" s="1"/>
      <c r="BU65" s="1"/>
      <c r="BV65" s="1"/>
    </row>
    <row r="66" spans="1:74" x14ac:dyDescent="0.25">
      <c r="A66" s="70">
        <v>45047</v>
      </c>
      <c r="BT66" s="1"/>
      <c r="BU66" s="1"/>
      <c r="BV66" s="1"/>
    </row>
    <row r="67" spans="1:74" x14ac:dyDescent="0.25">
      <c r="A67" s="70">
        <v>45078</v>
      </c>
      <c r="BT67" s="1"/>
      <c r="BU67" s="1"/>
      <c r="BV67" s="1"/>
    </row>
    <row r="68" spans="1:74" x14ac:dyDescent="0.25">
      <c r="A68" s="70">
        <v>45108</v>
      </c>
      <c r="BT68" s="1"/>
      <c r="BU68" s="1"/>
      <c r="BV68" s="1"/>
    </row>
    <row r="69" spans="1:74" x14ac:dyDescent="0.25">
      <c r="A69" s="70">
        <v>45139</v>
      </c>
      <c r="BT69" s="1"/>
      <c r="BU69" s="1"/>
      <c r="BV69" s="1"/>
    </row>
    <row r="70" spans="1:74" x14ac:dyDescent="0.25">
      <c r="A70" s="70">
        <v>45170</v>
      </c>
      <c r="BT70" s="1"/>
      <c r="BU70" s="1"/>
      <c r="BV70" s="1"/>
    </row>
    <row r="71" spans="1:74" x14ac:dyDescent="0.25">
      <c r="A71" s="70">
        <v>45200</v>
      </c>
      <c r="BT71" s="1"/>
      <c r="BU71" s="1"/>
      <c r="BV71" s="1"/>
    </row>
    <row r="72" spans="1:74" x14ac:dyDescent="0.25">
      <c r="A72" s="70">
        <v>45231</v>
      </c>
      <c r="BT72" s="1"/>
      <c r="BU72" s="1"/>
      <c r="BV72" s="1"/>
    </row>
    <row r="73" spans="1:74" x14ac:dyDescent="0.25">
      <c r="A73" s="70">
        <v>45261</v>
      </c>
      <c r="BT73" s="1"/>
      <c r="BU73" s="1"/>
      <c r="BV73" s="1"/>
    </row>
    <row r="74" spans="1:74" x14ac:dyDescent="0.25">
      <c r="A74" s="70">
        <v>45292</v>
      </c>
      <c r="BT74" s="1"/>
      <c r="BU74" s="1"/>
      <c r="BV74" s="1"/>
    </row>
    <row r="75" spans="1:74" x14ac:dyDescent="0.25">
      <c r="A75" s="70">
        <v>45323</v>
      </c>
      <c r="BT75" s="1"/>
      <c r="BU75" s="1"/>
      <c r="BV75" s="1"/>
    </row>
    <row r="76" spans="1:74" x14ac:dyDescent="0.25">
      <c r="A76" s="70">
        <v>45352</v>
      </c>
      <c r="BT76" s="1"/>
      <c r="BU76" s="1"/>
      <c r="BV76" s="1"/>
    </row>
    <row r="77" spans="1:74" x14ac:dyDescent="0.25">
      <c r="A77" s="70">
        <v>45383</v>
      </c>
      <c r="BT77" s="1"/>
      <c r="BU77" s="1"/>
      <c r="BV77" s="1"/>
    </row>
    <row r="78" spans="1:74" x14ac:dyDescent="0.25">
      <c r="A78" s="70">
        <v>45413</v>
      </c>
      <c r="BT78" s="1"/>
      <c r="BU78" s="1"/>
      <c r="BV78" s="1"/>
    </row>
    <row r="79" spans="1:74" x14ac:dyDescent="0.25">
      <c r="A79" s="70">
        <v>45444</v>
      </c>
      <c r="BT79" s="1"/>
      <c r="BU79" s="1"/>
      <c r="BV79" s="1"/>
    </row>
    <row r="80" spans="1:74" x14ac:dyDescent="0.25">
      <c r="A80" s="70">
        <v>45474</v>
      </c>
      <c r="BT80" s="1"/>
      <c r="BU80" s="1"/>
      <c r="BV80" s="1"/>
    </row>
    <row r="81" spans="1:74" x14ac:dyDescent="0.25">
      <c r="A81" s="70">
        <v>45505</v>
      </c>
      <c r="BT81" s="1"/>
      <c r="BU81" s="1"/>
      <c r="BV81" s="1"/>
    </row>
    <row r="82" spans="1:74" x14ac:dyDescent="0.25">
      <c r="A82" s="70">
        <v>45536</v>
      </c>
      <c r="BT82" s="1"/>
      <c r="BU82" s="1"/>
      <c r="BV82" s="1"/>
    </row>
    <row r="83" spans="1:74" x14ac:dyDescent="0.25">
      <c r="A83" s="70">
        <v>45566</v>
      </c>
      <c r="BT83" s="1"/>
      <c r="BU83" s="1"/>
      <c r="BV83" s="1"/>
    </row>
    <row r="84" spans="1:74" x14ac:dyDescent="0.25">
      <c r="A84" s="70">
        <v>45597</v>
      </c>
      <c r="BT84" s="1"/>
      <c r="BU84" s="1"/>
      <c r="BV84" s="1"/>
    </row>
    <row r="85" spans="1:74" x14ac:dyDescent="0.25">
      <c r="A85" s="70">
        <v>45627</v>
      </c>
      <c r="BT85" s="1"/>
      <c r="BU85" s="1"/>
      <c r="BV85" s="1"/>
    </row>
    <row r="86" spans="1:74" x14ac:dyDescent="0.25">
      <c r="A86" s="70">
        <v>45658</v>
      </c>
    </row>
    <row r="87" spans="1:74" x14ac:dyDescent="0.25">
      <c r="A87" s="70">
        <v>45689</v>
      </c>
    </row>
    <row r="88" spans="1:74" x14ac:dyDescent="0.25">
      <c r="A88" s="70">
        <v>45717</v>
      </c>
    </row>
    <row r="89" spans="1:74" x14ac:dyDescent="0.25">
      <c r="A89" s="70">
        <v>45748</v>
      </c>
    </row>
    <row r="90" spans="1:74" x14ac:dyDescent="0.25">
      <c r="A90" s="70">
        <v>45778</v>
      </c>
    </row>
    <row r="91" spans="1:74" x14ac:dyDescent="0.25">
      <c r="A91" s="70">
        <v>45809</v>
      </c>
    </row>
    <row r="92" spans="1:74" x14ac:dyDescent="0.25">
      <c r="A92" s="70">
        <v>45839</v>
      </c>
    </row>
    <row r="93" spans="1:74" x14ac:dyDescent="0.25">
      <c r="A93" s="70">
        <v>45870</v>
      </c>
    </row>
    <row r="94" spans="1:74" x14ac:dyDescent="0.25">
      <c r="A94" s="70">
        <v>45901</v>
      </c>
    </row>
    <row r="95" spans="1:74" x14ac:dyDescent="0.25">
      <c r="A95" s="70">
        <v>45931</v>
      </c>
    </row>
    <row r="96" spans="1:74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dimension ref="A1:BW109"/>
  <sheetViews>
    <sheetView zoomScale="90" zoomScaleNormal="90" workbookViewId="0">
      <selection activeCell="C25" sqref="C25"/>
    </sheetView>
  </sheetViews>
  <sheetFormatPr defaultRowHeight="15" x14ac:dyDescent="0.25"/>
  <cols>
    <col min="1" max="1" width="12.5703125" style="12" bestFit="1" customWidth="1"/>
    <col min="2" max="2" width="25.28515625" style="12" bestFit="1" customWidth="1"/>
    <col min="3" max="3" width="25" style="12" bestFit="1" customWidth="1"/>
    <col min="4" max="4" width="22.140625" style="12" bestFit="1" customWidth="1"/>
    <col min="5" max="5" width="30.5703125" style="12" bestFit="1" customWidth="1"/>
    <col min="6" max="6" width="20.5703125" style="12" bestFit="1" customWidth="1"/>
    <col min="7" max="7" width="40" style="12" bestFit="1" customWidth="1"/>
    <col min="8" max="8" width="14" style="12" bestFit="1" customWidth="1"/>
    <col min="9" max="9" width="24" style="12" bestFit="1" customWidth="1"/>
    <col min="10" max="10" width="32.85546875" style="12" bestFit="1" customWidth="1"/>
    <col min="11" max="11" width="23.85546875" style="12" bestFit="1" customWidth="1"/>
    <col min="12" max="12" width="21.42578125" style="12" bestFit="1" customWidth="1"/>
    <col min="13" max="13" width="20.5703125" style="12" bestFit="1" customWidth="1"/>
    <col min="14" max="14" width="13.5703125" style="12" bestFit="1" customWidth="1"/>
    <col min="15" max="15" width="25.7109375" style="12" bestFit="1" customWidth="1"/>
    <col min="16" max="16" width="26.7109375" style="12" bestFit="1" customWidth="1"/>
    <col min="17" max="17" width="29.5703125" style="12" bestFit="1" customWidth="1"/>
    <col min="18" max="18" width="31" style="12" bestFit="1" customWidth="1"/>
    <col min="19" max="19" width="14.85546875" style="12" bestFit="1" customWidth="1"/>
    <col min="20" max="20" width="18.85546875" style="12" bestFit="1" customWidth="1"/>
    <col min="21" max="21" width="20.7109375" style="12" bestFit="1" customWidth="1"/>
    <col min="22" max="22" width="25.42578125" style="12" bestFit="1" customWidth="1"/>
    <col min="23" max="23" width="25.28515625" style="12" bestFit="1" customWidth="1"/>
    <col min="24" max="24" width="34" style="12" bestFit="1" customWidth="1"/>
    <col min="25" max="25" width="26.42578125" style="12" bestFit="1" customWidth="1"/>
    <col min="26" max="26" width="26.7109375" style="12" bestFit="1" customWidth="1"/>
    <col min="27" max="27" width="28.7109375" style="12" bestFit="1" customWidth="1"/>
    <col min="28" max="28" width="22.140625" style="12" bestFit="1" customWidth="1"/>
    <col min="29" max="29" width="20.140625" style="12" bestFit="1" customWidth="1"/>
    <col min="30" max="30" width="25" style="12" bestFit="1" customWidth="1"/>
    <col min="31" max="31" width="35.85546875" style="12" bestFit="1" customWidth="1"/>
    <col min="32" max="32" width="58.140625" style="12" bestFit="1" customWidth="1"/>
    <col min="33" max="33" width="31" style="12" bestFit="1" customWidth="1"/>
    <col min="34" max="34" width="36.42578125" style="12" bestFit="1" customWidth="1"/>
    <col min="35" max="35" width="32" style="12" bestFit="1" customWidth="1"/>
    <col min="36" max="36" width="36" style="12" bestFit="1" customWidth="1"/>
    <col min="37" max="37" width="18.7109375" style="12" bestFit="1" customWidth="1"/>
    <col min="38" max="38" width="25.42578125" style="12" bestFit="1" customWidth="1"/>
    <col min="39" max="39" width="26.42578125" style="12" bestFit="1" customWidth="1"/>
    <col min="40" max="40" width="45" style="12" bestFit="1" customWidth="1"/>
    <col min="41" max="41" width="30.7109375" style="12" bestFit="1" customWidth="1"/>
    <col min="42" max="42" width="34.28515625" style="12" bestFit="1" customWidth="1"/>
    <col min="43" max="43" width="14.85546875" style="12" bestFit="1" customWidth="1"/>
    <col min="44" max="44" width="24" style="12" bestFit="1" customWidth="1"/>
    <col min="45" max="45" width="40.140625" style="12" bestFit="1" customWidth="1"/>
    <col min="46" max="46" width="17.140625" style="12" bestFit="1" customWidth="1"/>
    <col min="47" max="47" width="28.140625" style="12" bestFit="1" customWidth="1"/>
    <col min="48" max="48" width="25.85546875" style="12" bestFit="1" customWidth="1"/>
    <col min="49" max="49" width="30.28515625" style="12" bestFit="1" customWidth="1"/>
    <col min="50" max="50" width="14.5703125" style="12" bestFit="1" customWidth="1"/>
    <col min="51" max="51" width="21.5703125" style="12" bestFit="1" customWidth="1"/>
    <col min="52" max="52" width="38.85546875" style="12" bestFit="1" customWidth="1"/>
    <col min="53" max="53" width="38.7109375" style="12" bestFit="1" customWidth="1"/>
    <col min="54" max="54" width="36.42578125" style="12" bestFit="1" customWidth="1"/>
    <col min="55" max="55" width="37.7109375" style="12" bestFit="1" customWidth="1"/>
    <col min="56" max="56" width="23.42578125" style="12" bestFit="1" customWidth="1"/>
    <col min="57" max="57" width="28.28515625" style="12" bestFit="1" customWidth="1"/>
    <col min="58" max="58" width="30" style="12" bestFit="1" customWidth="1"/>
    <col min="59" max="59" width="22.42578125" style="12" bestFit="1" customWidth="1"/>
    <col min="60" max="60" width="24.28515625" style="12" bestFit="1" customWidth="1"/>
    <col min="61" max="61" width="23" style="12" bestFit="1" customWidth="1"/>
    <col min="62" max="62" width="22.140625" style="12" bestFit="1" customWidth="1"/>
    <col min="63" max="63" width="26.42578125" style="12" bestFit="1" customWidth="1"/>
    <col min="64" max="64" width="24.42578125" style="12" bestFit="1" customWidth="1"/>
    <col min="65" max="65" width="33.85546875" style="12" bestFit="1" customWidth="1"/>
    <col min="66" max="66" width="35.42578125" style="12" bestFit="1" customWidth="1"/>
    <col min="67" max="67" width="26" style="12" bestFit="1" customWidth="1"/>
    <col min="68" max="68" width="46.28515625" style="12" bestFit="1" customWidth="1"/>
    <col min="69" max="69" width="34.28515625" style="12" bestFit="1" customWidth="1"/>
    <col min="70" max="70" width="27.28515625" style="12" bestFit="1" customWidth="1"/>
    <col min="71" max="72" width="32.140625" style="12" bestFit="1" customWidth="1"/>
    <col min="73" max="73" width="33.140625" style="12" bestFit="1" customWidth="1"/>
    <col min="74" max="74" width="35.42578125" style="12" bestFit="1" customWidth="1"/>
    <col min="75" max="75" width="32.5703125" style="12" bestFit="1" customWidth="1"/>
    <col min="76" max="16384" width="9.140625" style="12"/>
  </cols>
  <sheetData>
    <row r="1" spans="1:75" x14ac:dyDescent="0.25">
      <c r="A1" s="3" t="s">
        <v>69</v>
      </c>
      <c r="B1" s="11" t="s">
        <v>238</v>
      </c>
      <c r="C1" s="11" t="s">
        <v>239</v>
      </c>
      <c r="D1" s="11" t="s">
        <v>240</v>
      </c>
      <c r="E1" s="11" t="s">
        <v>241</v>
      </c>
      <c r="F1" s="11" t="s">
        <v>242</v>
      </c>
      <c r="G1" s="11" t="s">
        <v>243</v>
      </c>
      <c r="H1" s="11" t="s">
        <v>244</v>
      </c>
      <c r="I1" s="11" t="s">
        <v>245</v>
      </c>
      <c r="J1" s="11" t="s">
        <v>246</v>
      </c>
      <c r="K1" s="11" t="s">
        <v>247</v>
      </c>
      <c r="L1" s="11" t="s">
        <v>248</v>
      </c>
      <c r="M1" s="11" t="s">
        <v>249</v>
      </c>
      <c r="N1" s="11" t="s">
        <v>250</v>
      </c>
      <c r="O1" s="11" t="s">
        <v>251</v>
      </c>
      <c r="P1" s="11" t="s">
        <v>252</v>
      </c>
      <c r="Q1" s="11" t="s">
        <v>253</v>
      </c>
      <c r="R1" s="11" t="s">
        <v>254</v>
      </c>
      <c r="S1" s="11" t="s">
        <v>255</v>
      </c>
      <c r="T1" s="11" t="s">
        <v>256</v>
      </c>
      <c r="U1" s="11" t="s">
        <v>257</v>
      </c>
      <c r="V1" s="11" t="s">
        <v>258</v>
      </c>
      <c r="W1" s="11" t="s">
        <v>259</v>
      </c>
      <c r="X1" s="11" t="s">
        <v>260</v>
      </c>
      <c r="Y1" s="11" t="s">
        <v>261</v>
      </c>
      <c r="Z1" s="11" t="s">
        <v>262</v>
      </c>
      <c r="AA1" s="11" t="s">
        <v>263</v>
      </c>
      <c r="AB1" s="11" t="s">
        <v>264</v>
      </c>
      <c r="AC1" s="11" t="s">
        <v>265</v>
      </c>
      <c r="AD1" s="11" t="s">
        <v>266</v>
      </c>
      <c r="AE1" s="11" t="s">
        <v>267</v>
      </c>
      <c r="AF1" s="11" t="s">
        <v>268</v>
      </c>
      <c r="AG1" s="11" t="s">
        <v>269</v>
      </c>
      <c r="AH1" s="11" t="s">
        <v>270</v>
      </c>
      <c r="AI1" s="11" t="s">
        <v>271</v>
      </c>
      <c r="AJ1" s="11" t="s">
        <v>272</v>
      </c>
      <c r="AK1" s="11" t="s">
        <v>273</v>
      </c>
      <c r="AL1" s="11" t="s">
        <v>274</v>
      </c>
      <c r="AM1" s="11" t="s">
        <v>275</v>
      </c>
      <c r="AN1" s="11" t="s">
        <v>276</v>
      </c>
      <c r="AO1" s="11" t="s">
        <v>277</v>
      </c>
      <c r="AP1" s="11" t="s">
        <v>278</v>
      </c>
      <c r="AQ1" s="11" t="s">
        <v>41</v>
      </c>
      <c r="AR1" s="11" t="s">
        <v>279</v>
      </c>
      <c r="AS1" s="11" t="s">
        <v>280</v>
      </c>
      <c r="AT1" s="11" t="s">
        <v>281</v>
      </c>
      <c r="AU1" s="11" t="s">
        <v>282</v>
      </c>
      <c r="AV1" s="11" t="s">
        <v>283</v>
      </c>
      <c r="AW1" s="11" t="s">
        <v>284</v>
      </c>
      <c r="AX1" s="11" t="s">
        <v>52</v>
      </c>
      <c r="AY1" s="11" t="s">
        <v>285</v>
      </c>
      <c r="AZ1" s="11" t="s">
        <v>286</v>
      </c>
      <c r="BA1" s="11" t="s">
        <v>287</v>
      </c>
      <c r="BB1" s="11" t="s">
        <v>288</v>
      </c>
      <c r="BC1" s="11" t="s">
        <v>289</v>
      </c>
      <c r="BD1" s="11" t="s">
        <v>290</v>
      </c>
      <c r="BE1" s="11" t="s">
        <v>291</v>
      </c>
      <c r="BF1" s="11" t="s">
        <v>56</v>
      </c>
      <c r="BG1" s="11" t="s">
        <v>292</v>
      </c>
      <c r="BH1" s="11" t="s">
        <v>293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294</v>
      </c>
      <c r="BN1" s="10" t="s">
        <v>295</v>
      </c>
      <c r="BO1" s="10" t="s">
        <v>296</v>
      </c>
      <c r="BP1" s="10" t="s">
        <v>297</v>
      </c>
      <c r="BQ1" s="10" t="s">
        <v>298</v>
      </c>
      <c r="BR1" s="10" t="s">
        <v>299</v>
      </c>
      <c r="BS1" s="10" t="s">
        <v>300</v>
      </c>
      <c r="BT1" s="10" t="s">
        <v>301</v>
      </c>
      <c r="BU1" s="10" t="s">
        <v>302</v>
      </c>
      <c r="BV1" s="10" t="s">
        <v>303</v>
      </c>
      <c r="BW1" s="16" t="s">
        <v>304</v>
      </c>
    </row>
    <row r="2" spans="1:75" x14ac:dyDescent="0.25">
      <c r="A2" s="70">
        <v>43101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C2" s="9"/>
      <c r="BD2" s="9"/>
      <c r="BE2" s="9"/>
      <c r="BF2" s="9"/>
      <c r="BG2" s="9"/>
      <c r="BT2" s="1"/>
      <c r="BU2" s="1"/>
      <c r="BV2" s="1"/>
    </row>
    <row r="3" spans="1:75" x14ac:dyDescent="0.25">
      <c r="A3" s="70">
        <v>43132</v>
      </c>
      <c r="B3" s="9">
        <v>658</v>
      </c>
      <c r="C3" s="9">
        <v>194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C3" s="9"/>
      <c r="BD3" s="9"/>
      <c r="BE3" s="9"/>
      <c r="BF3" s="9"/>
      <c r="BG3" s="9"/>
      <c r="BT3" s="1"/>
      <c r="BU3" s="1"/>
      <c r="BV3" s="1"/>
    </row>
    <row r="4" spans="1:75" x14ac:dyDescent="0.25">
      <c r="A4" s="70">
        <v>43160</v>
      </c>
      <c r="B4" s="9">
        <v>622</v>
      </c>
      <c r="C4" s="9">
        <v>206</v>
      </c>
      <c r="D4" s="9"/>
      <c r="E4" s="9">
        <v>346</v>
      </c>
      <c r="F4" s="9">
        <v>690</v>
      </c>
      <c r="G4" s="9">
        <v>246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>
        <v>191</v>
      </c>
      <c r="AZ4" s="9"/>
      <c r="BC4" s="9"/>
      <c r="BD4" s="9"/>
      <c r="BE4" s="9"/>
      <c r="BF4" s="9"/>
      <c r="BG4" s="9"/>
      <c r="BT4" s="1"/>
      <c r="BU4" s="1"/>
      <c r="BV4" s="1"/>
    </row>
    <row r="5" spans="1:75" x14ac:dyDescent="0.25">
      <c r="A5" s="70">
        <v>43191</v>
      </c>
      <c r="B5" s="9">
        <v>551</v>
      </c>
      <c r="C5" s="9">
        <v>171</v>
      </c>
      <c r="D5" s="9">
        <v>123</v>
      </c>
      <c r="E5" s="9">
        <v>387</v>
      </c>
      <c r="F5" s="9">
        <v>575</v>
      </c>
      <c r="G5" s="9">
        <v>285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>
        <v>279</v>
      </c>
      <c r="AZ5" s="9"/>
      <c r="BC5" s="9"/>
      <c r="BD5" s="9"/>
      <c r="BE5" s="9"/>
      <c r="BF5" s="9"/>
      <c r="BG5" s="9"/>
      <c r="BT5" s="1"/>
      <c r="BU5" s="1"/>
      <c r="BV5" s="1"/>
    </row>
    <row r="6" spans="1:75" x14ac:dyDescent="0.25">
      <c r="A6" s="70">
        <v>43221</v>
      </c>
      <c r="B6" s="9">
        <v>470</v>
      </c>
      <c r="C6" s="9">
        <v>127</v>
      </c>
      <c r="D6" s="9">
        <v>90</v>
      </c>
      <c r="E6" s="9">
        <v>318</v>
      </c>
      <c r="F6" s="9">
        <v>461</v>
      </c>
      <c r="G6" s="9">
        <v>238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>
        <v>233</v>
      </c>
      <c r="AZ6" s="9"/>
      <c r="BC6" s="9"/>
      <c r="BD6" s="9"/>
      <c r="BE6" s="9"/>
      <c r="BF6" s="9"/>
      <c r="BG6" s="9"/>
      <c r="BT6" s="1"/>
      <c r="BU6" s="1"/>
      <c r="BV6" s="1"/>
    </row>
    <row r="7" spans="1:75" x14ac:dyDescent="0.25">
      <c r="A7" s="70">
        <v>43252</v>
      </c>
      <c r="B7" s="9">
        <v>374</v>
      </c>
      <c r="C7" s="9">
        <v>96</v>
      </c>
      <c r="D7" s="9">
        <v>95</v>
      </c>
      <c r="E7" s="9">
        <v>249</v>
      </c>
      <c r="F7" s="9">
        <v>358</v>
      </c>
      <c r="G7" s="9">
        <v>190</v>
      </c>
      <c r="H7" s="9">
        <v>1078</v>
      </c>
      <c r="I7" s="9">
        <v>276</v>
      </c>
      <c r="J7" s="9"/>
      <c r="K7" s="9"/>
      <c r="L7" s="9"/>
      <c r="M7" s="9"/>
      <c r="N7" s="9"/>
      <c r="O7" s="9"/>
      <c r="P7" s="9"/>
      <c r="Q7" s="9"/>
      <c r="R7" s="9"/>
      <c r="S7" s="9">
        <v>1928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>
        <v>188</v>
      </c>
      <c r="AZ7" s="9"/>
      <c r="BC7" s="9"/>
      <c r="BD7" s="9"/>
      <c r="BE7" s="9"/>
      <c r="BF7" s="9"/>
      <c r="BG7" s="9"/>
      <c r="BT7" s="1"/>
      <c r="BU7" s="1"/>
      <c r="BV7" s="1"/>
    </row>
    <row r="8" spans="1:75" x14ac:dyDescent="0.25">
      <c r="A8" s="70">
        <v>43282</v>
      </c>
      <c r="B8" s="9">
        <v>370</v>
      </c>
      <c r="C8" s="9">
        <v>101</v>
      </c>
      <c r="D8" s="9">
        <v>99</v>
      </c>
      <c r="E8" s="9">
        <v>249</v>
      </c>
      <c r="F8" s="9"/>
      <c r="G8" s="9">
        <v>183</v>
      </c>
      <c r="H8" s="9">
        <v>1066</v>
      </c>
      <c r="I8" s="9">
        <v>274</v>
      </c>
      <c r="J8" s="9">
        <v>3790</v>
      </c>
      <c r="K8" s="9">
        <v>434</v>
      </c>
      <c r="L8" s="9">
        <v>330</v>
      </c>
      <c r="M8" s="9">
        <v>374</v>
      </c>
      <c r="N8" s="9">
        <v>1500</v>
      </c>
      <c r="O8" s="9"/>
      <c r="P8" s="9"/>
      <c r="Q8" s="9"/>
      <c r="R8" s="9"/>
      <c r="S8" s="9">
        <v>1953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187</v>
      </c>
      <c r="AZ8" s="9"/>
      <c r="BC8" s="9"/>
      <c r="BD8" s="9"/>
      <c r="BE8" s="9"/>
      <c r="BF8" s="9"/>
      <c r="BG8" s="9"/>
      <c r="BT8" s="1"/>
      <c r="BU8" s="1"/>
      <c r="BV8" s="1"/>
    </row>
    <row r="9" spans="1:75" x14ac:dyDescent="0.25">
      <c r="A9" s="70">
        <v>43313</v>
      </c>
      <c r="B9" s="9">
        <v>507</v>
      </c>
      <c r="C9" s="9">
        <v>142</v>
      </c>
      <c r="D9" s="9">
        <v>133</v>
      </c>
      <c r="E9" s="9">
        <v>337</v>
      </c>
      <c r="F9" s="9"/>
      <c r="G9" s="9">
        <v>245</v>
      </c>
      <c r="H9" s="9">
        <v>1427</v>
      </c>
      <c r="I9" s="9">
        <v>384</v>
      </c>
      <c r="J9" s="9">
        <v>5242</v>
      </c>
      <c r="K9" s="9">
        <v>601</v>
      </c>
      <c r="L9" s="9">
        <v>206</v>
      </c>
      <c r="M9" s="9">
        <v>513</v>
      </c>
      <c r="N9" s="9">
        <v>2235</v>
      </c>
      <c r="O9" s="9"/>
      <c r="P9" s="9"/>
      <c r="Q9" s="9"/>
      <c r="R9" s="9"/>
      <c r="S9" s="9">
        <v>2677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>
        <v>255</v>
      </c>
      <c r="AZ9" s="9"/>
      <c r="BC9" s="9"/>
      <c r="BD9" s="9"/>
      <c r="BE9" s="9"/>
      <c r="BF9" s="9"/>
      <c r="BG9" s="9"/>
      <c r="BT9" s="1"/>
      <c r="BU9" s="1"/>
      <c r="BV9" s="1"/>
    </row>
    <row r="10" spans="1:75" x14ac:dyDescent="0.25">
      <c r="A10" s="70">
        <v>43344</v>
      </c>
      <c r="B10" s="9">
        <v>512</v>
      </c>
      <c r="C10" s="9">
        <v>156</v>
      </c>
      <c r="D10" s="9">
        <v>158</v>
      </c>
      <c r="E10" s="9">
        <v>346</v>
      </c>
      <c r="F10" s="9">
        <v>514</v>
      </c>
      <c r="G10" s="9">
        <v>240</v>
      </c>
      <c r="H10" s="9">
        <v>1593</v>
      </c>
      <c r="I10" s="9">
        <v>368</v>
      </c>
      <c r="J10" s="9">
        <v>5673</v>
      </c>
      <c r="K10" s="9">
        <v>643</v>
      </c>
      <c r="L10" s="9">
        <v>621</v>
      </c>
      <c r="M10" s="9">
        <v>525</v>
      </c>
      <c r="N10" s="9">
        <v>2362</v>
      </c>
      <c r="O10" s="9">
        <v>1197</v>
      </c>
      <c r="P10" s="9">
        <v>307</v>
      </c>
      <c r="Q10" s="9"/>
      <c r="R10" s="9"/>
      <c r="S10" s="9">
        <v>2811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>
        <v>260</v>
      </c>
      <c r="AZ10" s="9"/>
      <c r="BC10" s="9"/>
      <c r="BD10" s="9"/>
      <c r="BE10" s="9"/>
      <c r="BF10" s="9"/>
      <c r="BG10" s="9"/>
      <c r="BT10" s="1"/>
      <c r="BU10" s="1"/>
      <c r="BV10" s="1"/>
    </row>
    <row r="11" spans="1:75" x14ac:dyDescent="0.25">
      <c r="A11" s="70">
        <v>43374</v>
      </c>
      <c r="B11" s="9">
        <v>536</v>
      </c>
      <c r="C11" s="9">
        <v>188</v>
      </c>
      <c r="D11" s="9">
        <v>187</v>
      </c>
      <c r="E11" s="9">
        <v>380</v>
      </c>
      <c r="F11" s="9">
        <v>667</v>
      </c>
      <c r="G11" s="9">
        <v>250</v>
      </c>
      <c r="H11" s="9">
        <v>1770</v>
      </c>
      <c r="I11" s="9">
        <v>397</v>
      </c>
      <c r="J11" s="9">
        <v>6347</v>
      </c>
      <c r="K11" s="9">
        <v>723</v>
      </c>
      <c r="L11" s="9">
        <v>745</v>
      </c>
      <c r="M11" s="9">
        <v>567</v>
      </c>
      <c r="N11" s="9">
        <v>2578</v>
      </c>
      <c r="O11" s="9">
        <v>1454</v>
      </c>
      <c r="P11" s="9">
        <v>307</v>
      </c>
      <c r="Q11" s="9">
        <v>6919</v>
      </c>
      <c r="R11" s="9"/>
      <c r="S11" s="9">
        <v>3155</v>
      </c>
      <c r="T11" s="9"/>
      <c r="U11" s="9"/>
      <c r="V11" s="9"/>
      <c r="W11" s="9"/>
      <c r="X11" s="9"/>
      <c r="Y11" s="9"/>
      <c r="Z11" s="9">
        <v>1073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278</v>
      </c>
      <c r="AZ11" s="9"/>
      <c r="BC11" s="9"/>
      <c r="BD11" s="9"/>
      <c r="BE11" s="9"/>
      <c r="BF11" s="9"/>
      <c r="BG11" s="9"/>
      <c r="BT11" s="1"/>
      <c r="BU11" s="1"/>
      <c r="BV11" s="1"/>
    </row>
    <row r="12" spans="1:75" x14ac:dyDescent="0.25">
      <c r="A12" s="70">
        <v>43405</v>
      </c>
      <c r="B12" s="9">
        <v>648</v>
      </c>
      <c r="C12" s="9">
        <v>232</v>
      </c>
      <c r="D12" s="9">
        <v>221</v>
      </c>
      <c r="E12" s="9">
        <v>449</v>
      </c>
      <c r="F12" s="9">
        <v>851</v>
      </c>
      <c r="G12" s="9">
        <v>278</v>
      </c>
      <c r="H12" s="9">
        <v>2076</v>
      </c>
      <c r="I12" s="9">
        <v>444</v>
      </c>
      <c r="J12" s="9">
        <v>7989</v>
      </c>
      <c r="K12" s="9">
        <v>866</v>
      </c>
      <c r="L12" s="9">
        <v>909</v>
      </c>
      <c r="M12" s="9">
        <v>689</v>
      </c>
      <c r="N12" s="9">
        <v>3116</v>
      </c>
      <c r="O12" s="9">
        <v>1767</v>
      </c>
      <c r="P12" s="9">
        <v>389</v>
      </c>
      <c r="Q12" s="9">
        <v>8832</v>
      </c>
      <c r="R12" s="9">
        <v>845</v>
      </c>
      <c r="S12" s="9">
        <v>3913</v>
      </c>
      <c r="T12" s="9">
        <v>603</v>
      </c>
      <c r="U12" s="9">
        <v>533</v>
      </c>
      <c r="V12" s="9"/>
      <c r="W12" s="9"/>
      <c r="X12" s="9"/>
      <c r="Y12" s="9"/>
      <c r="Z12" s="9">
        <v>1191</v>
      </c>
      <c r="AA12" s="9"/>
      <c r="AB12" s="9">
        <v>5783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336</v>
      </c>
      <c r="AZ12" s="9"/>
      <c r="BC12" s="9"/>
      <c r="BD12" s="9"/>
      <c r="BE12" s="9"/>
      <c r="BF12" s="9"/>
      <c r="BG12" s="9"/>
      <c r="BT12" s="1"/>
      <c r="BU12" s="1"/>
      <c r="BV12" s="1"/>
    </row>
    <row r="13" spans="1:75" x14ac:dyDescent="0.25">
      <c r="A13" s="70">
        <v>43435</v>
      </c>
      <c r="B13" s="9">
        <v>698</v>
      </c>
      <c r="C13" s="9">
        <v>263</v>
      </c>
      <c r="D13" s="9">
        <v>235</v>
      </c>
      <c r="E13" s="9">
        <v>493</v>
      </c>
      <c r="F13" s="9">
        <v>950</v>
      </c>
      <c r="G13" s="9">
        <v>305</v>
      </c>
      <c r="H13" s="9">
        <v>2338</v>
      </c>
      <c r="I13" s="9">
        <v>510</v>
      </c>
      <c r="J13" s="9">
        <v>8842</v>
      </c>
      <c r="K13" s="9">
        <v>962</v>
      </c>
      <c r="L13" s="9">
        <v>1024</v>
      </c>
      <c r="M13" s="9">
        <v>747</v>
      </c>
      <c r="N13" s="9">
        <v>3442</v>
      </c>
      <c r="O13" s="9">
        <v>1949</v>
      </c>
      <c r="P13" s="9">
        <v>455</v>
      </c>
      <c r="Q13" s="9">
        <v>9876</v>
      </c>
      <c r="R13" s="9">
        <v>930</v>
      </c>
      <c r="S13" s="9">
        <v>4275</v>
      </c>
      <c r="T13" s="9">
        <v>646</v>
      </c>
      <c r="U13" s="9">
        <v>581</v>
      </c>
      <c r="V13" s="9">
        <v>1769</v>
      </c>
      <c r="W13" s="9">
        <v>971</v>
      </c>
      <c r="X13" s="9"/>
      <c r="Y13" s="9">
        <v>4502</v>
      </c>
      <c r="Z13" s="9">
        <v>1497</v>
      </c>
      <c r="AA13" s="9">
        <v>2559</v>
      </c>
      <c r="AB13" s="9">
        <v>6401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>
        <v>481</v>
      </c>
      <c r="AZ13" s="9"/>
      <c r="BC13" s="9"/>
      <c r="BD13" s="9"/>
      <c r="BE13" s="9"/>
      <c r="BF13" s="9"/>
      <c r="BG13" s="9"/>
      <c r="BT13" s="1"/>
      <c r="BU13" s="1"/>
      <c r="BV13" s="1"/>
    </row>
    <row r="14" spans="1:75" x14ac:dyDescent="0.25">
      <c r="A14" s="70">
        <v>43466</v>
      </c>
      <c r="B14" s="9">
        <v>624</v>
      </c>
      <c r="C14" s="9">
        <v>230</v>
      </c>
      <c r="D14" s="9">
        <v>230</v>
      </c>
      <c r="E14" s="9">
        <v>447</v>
      </c>
      <c r="F14" s="9">
        <v>833</v>
      </c>
      <c r="G14" s="9">
        <v>264</v>
      </c>
      <c r="H14" s="9">
        <v>2064</v>
      </c>
      <c r="I14" s="9">
        <v>432</v>
      </c>
      <c r="J14" s="9">
        <v>7816</v>
      </c>
      <c r="K14" s="9">
        <v>851</v>
      </c>
      <c r="L14" s="9">
        <v>914</v>
      </c>
      <c r="M14" s="9">
        <v>665</v>
      </c>
      <c r="N14" s="9">
        <v>3035</v>
      </c>
      <c r="O14" s="9">
        <v>1745</v>
      </c>
      <c r="P14" s="9">
        <v>406</v>
      </c>
      <c r="Q14" s="9">
        <v>8763</v>
      </c>
      <c r="R14" s="9">
        <v>841</v>
      </c>
      <c r="S14" s="9">
        <v>3805</v>
      </c>
      <c r="T14" s="9">
        <v>586</v>
      </c>
      <c r="U14" s="9">
        <v>525</v>
      </c>
      <c r="V14" s="9">
        <v>1557</v>
      </c>
      <c r="W14" s="9">
        <v>863</v>
      </c>
      <c r="X14" s="9">
        <v>1314</v>
      </c>
      <c r="Y14" s="9">
        <v>3960</v>
      </c>
      <c r="Z14" s="9">
        <v>1351</v>
      </c>
      <c r="AA14" s="9">
        <v>2475</v>
      </c>
      <c r="AB14" s="9">
        <v>5780</v>
      </c>
      <c r="AC14" s="9">
        <v>2903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>
        <v>418</v>
      </c>
      <c r="AZ14" s="9"/>
      <c r="BC14" s="9"/>
      <c r="BD14" s="9"/>
      <c r="BE14" s="9"/>
      <c r="BF14" s="9"/>
      <c r="BG14" s="9"/>
      <c r="BT14" s="1"/>
      <c r="BU14" s="1"/>
      <c r="BV14" s="1"/>
    </row>
    <row r="15" spans="1:75" x14ac:dyDescent="0.25">
      <c r="A15" s="70">
        <v>43497</v>
      </c>
      <c r="B15" s="9">
        <v>589</v>
      </c>
      <c r="C15" s="9">
        <v>208</v>
      </c>
      <c r="D15" s="9">
        <v>207</v>
      </c>
      <c r="E15" s="9">
        <v>409</v>
      </c>
      <c r="F15" s="9">
        <v>795</v>
      </c>
      <c r="G15" s="9">
        <v>271</v>
      </c>
      <c r="H15" s="9">
        <v>1926</v>
      </c>
      <c r="I15" s="9">
        <v>424</v>
      </c>
      <c r="J15" s="9">
        <v>6978</v>
      </c>
      <c r="K15" s="9">
        <v>777</v>
      </c>
      <c r="L15" s="9">
        <v>867</v>
      </c>
      <c r="M15" s="9">
        <v>618</v>
      </c>
      <c r="N15" s="9">
        <v>2780</v>
      </c>
      <c r="O15" s="9">
        <v>1554</v>
      </c>
      <c r="P15" s="9">
        <v>373</v>
      </c>
      <c r="Q15" s="9"/>
      <c r="R15" s="9">
        <v>773</v>
      </c>
      <c r="S15" s="9">
        <v>3417</v>
      </c>
      <c r="T15" s="9">
        <v>559</v>
      </c>
      <c r="U15" s="9">
        <v>500</v>
      </c>
      <c r="V15" s="9">
        <v>1392</v>
      </c>
      <c r="W15" s="9">
        <v>804</v>
      </c>
      <c r="X15" s="9">
        <v>1204</v>
      </c>
      <c r="Y15" s="9">
        <v>3538</v>
      </c>
      <c r="Z15" s="9">
        <v>1231</v>
      </c>
      <c r="AA15" s="9">
        <v>2416</v>
      </c>
      <c r="AB15" s="9">
        <v>5211</v>
      </c>
      <c r="AC15" s="9">
        <v>2693</v>
      </c>
      <c r="AD15" s="9"/>
      <c r="AE15" s="9"/>
      <c r="AF15" s="9"/>
      <c r="AG15" s="9"/>
      <c r="AH15" s="9">
        <v>1197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>
        <v>381</v>
      </c>
      <c r="AZ15" s="9"/>
      <c r="BC15" s="9"/>
      <c r="BD15" s="9"/>
      <c r="BE15" s="9"/>
      <c r="BF15" s="9"/>
      <c r="BG15" s="9"/>
      <c r="BT15" s="1"/>
      <c r="BU15" s="1"/>
      <c r="BV15" s="1"/>
    </row>
    <row r="16" spans="1:75" x14ac:dyDescent="0.25">
      <c r="A16" s="70">
        <v>43525</v>
      </c>
      <c r="B16" s="9">
        <v>592</v>
      </c>
      <c r="C16" s="9">
        <v>189</v>
      </c>
      <c r="D16" s="9">
        <v>191</v>
      </c>
      <c r="E16" s="9">
        <v>410</v>
      </c>
      <c r="F16" s="9">
        <v>677</v>
      </c>
      <c r="G16" s="9">
        <v>280</v>
      </c>
      <c r="H16" s="9">
        <v>1857</v>
      </c>
      <c r="I16" s="9">
        <v>446</v>
      </c>
      <c r="J16" s="9">
        <v>6714</v>
      </c>
      <c r="K16" s="9">
        <v>767</v>
      </c>
      <c r="L16" s="9">
        <v>736</v>
      </c>
      <c r="M16" s="9">
        <v>612</v>
      </c>
      <c r="N16" s="9">
        <v>2694</v>
      </c>
      <c r="O16" s="9">
        <v>1441</v>
      </c>
      <c r="P16" s="9">
        <v>420</v>
      </c>
      <c r="Q16" s="9">
        <v>7604</v>
      </c>
      <c r="R16" s="9">
        <v>715</v>
      </c>
      <c r="S16" s="9">
        <v>3429</v>
      </c>
      <c r="T16" s="9">
        <v>553</v>
      </c>
      <c r="U16" s="9">
        <v>513</v>
      </c>
      <c r="V16" s="9">
        <v>1267</v>
      </c>
      <c r="W16" s="9">
        <v>796</v>
      </c>
      <c r="X16" s="9">
        <v>1104</v>
      </c>
      <c r="Y16" s="9">
        <v>3338</v>
      </c>
      <c r="Z16" s="9">
        <v>1200</v>
      </c>
      <c r="AA16" s="9">
        <v>2202</v>
      </c>
      <c r="AB16" s="9">
        <v>4947</v>
      </c>
      <c r="AC16" s="9">
        <v>2592</v>
      </c>
      <c r="AD16" s="9">
        <v>6401</v>
      </c>
      <c r="AE16" s="9">
        <v>362</v>
      </c>
      <c r="AF16" s="9">
        <v>1371</v>
      </c>
      <c r="AG16" s="9">
        <v>857</v>
      </c>
      <c r="AH16" s="9">
        <v>1063</v>
      </c>
      <c r="AI16" s="9">
        <v>951</v>
      </c>
      <c r="AJ16" s="9">
        <v>486</v>
      </c>
      <c r="AK16" s="9"/>
      <c r="AL16" s="9"/>
      <c r="AM16" s="9"/>
      <c r="AN16" s="9"/>
      <c r="AO16" s="9"/>
      <c r="AP16" s="9">
        <v>370</v>
      </c>
      <c r="AQ16" s="9"/>
      <c r="AR16" s="9"/>
      <c r="AS16" s="9"/>
      <c r="AT16" s="9"/>
      <c r="AU16" s="9"/>
      <c r="AV16" s="9"/>
      <c r="AW16" s="9"/>
      <c r="AX16" s="9"/>
      <c r="AY16" s="9">
        <v>386</v>
      </c>
      <c r="AZ16" s="9"/>
      <c r="BC16" s="9"/>
      <c r="BD16" s="9"/>
      <c r="BE16" s="9"/>
      <c r="BF16" s="9"/>
      <c r="BG16" s="9"/>
      <c r="BT16" s="1"/>
      <c r="BU16" s="1"/>
      <c r="BV16" s="1"/>
    </row>
    <row r="17" spans="1:74" x14ac:dyDescent="0.25">
      <c r="A17" s="70">
        <v>43556</v>
      </c>
      <c r="B17" s="9">
        <v>460</v>
      </c>
      <c r="C17" s="9">
        <v>136</v>
      </c>
      <c r="D17" s="9">
        <v>132</v>
      </c>
      <c r="E17" s="9">
        <v>313</v>
      </c>
      <c r="F17" s="9">
        <v>494</v>
      </c>
      <c r="G17" s="9">
        <v>290</v>
      </c>
      <c r="H17" s="9">
        <v>1350</v>
      </c>
      <c r="I17" s="9">
        <v>341</v>
      </c>
      <c r="J17" s="9">
        <v>5512</v>
      </c>
      <c r="K17" s="9">
        <v>562</v>
      </c>
      <c r="L17" s="9">
        <v>560</v>
      </c>
      <c r="M17" s="9">
        <v>467</v>
      </c>
      <c r="N17" s="9">
        <v>2524</v>
      </c>
      <c r="O17" s="9">
        <v>965</v>
      </c>
      <c r="P17" s="9">
        <v>416</v>
      </c>
      <c r="Q17" s="9">
        <v>5142</v>
      </c>
      <c r="R17" s="9">
        <v>590</v>
      </c>
      <c r="S17" s="9">
        <v>2497</v>
      </c>
      <c r="T17" s="9">
        <v>445</v>
      </c>
      <c r="U17" s="9">
        <v>410</v>
      </c>
      <c r="V17" s="9">
        <v>941</v>
      </c>
      <c r="W17" s="9">
        <v>645</v>
      </c>
      <c r="X17" s="9">
        <v>745</v>
      </c>
      <c r="Y17" s="9">
        <v>2360</v>
      </c>
      <c r="Z17" s="9">
        <v>917</v>
      </c>
      <c r="AA17" s="9">
        <v>1448</v>
      </c>
      <c r="AB17" s="9">
        <v>3471</v>
      </c>
      <c r="AC17" s="9">
        <v>1895</v>
      </c>
      <c r="AD17" s="9">
        <v>4548</v>
      </c>
      <c r="AE17" s="9">
        <v>362</v>
      </c>
      <c r="AF17" s="9">
        <v>1006</v>
      </c>
      <c r="AG17" s="9">
        <v>600</v>
      </c>
      <c r="AH17" s="9">
        <v>785</v>
      </c>
      <c r="AI17" s="9">
        <v>1089</v>
      </c>
      <c r="AJ17" s="9">
        <v>341</v>
      </c>
      <c r="AK17" s="9"/>
      <c r="AL17" s="9"/>
      <c r="AM17" s="9"/>
      <c r="AN17" s="9"/>
      <c r="AO17" s="9"/>
      <c r="AP17" s="9">
        <v>288</v>
      </c>
      <c r="AQ17" s="9">
        <v>6405</v>
      </c>
      <c r="AR17" s="9"/>
      <c r="AS17" s="9"/>
      <c r="AT17" s="9"/>
      <c r="AU17" s="9"/>
      <c r="AV17" s="9"/>
      <c r="AW17" s="9"/>
      <c r="AX17" s="9"/>
      <c r="AY17" s="9">
        <v>320</v>
      </c>
      <c r="AZ17" s="9"/>
      <c r="BC17" s="9"/>
      <c r="BD17" s="9"/>
      <c r="BE17" s="9"/>
      <c r="BF17" s="9"/>
      <c r="BG17" s="9"/>
      <c r="BT17" s="1"/>
      <c r="BU17" s="1"/>
      <c r="BV17" s="1"/>
    </row>
    <row r="18" spans="1:74" x14ac:dyDescent="0.25">
      <c r="A18" s="70">
        <v>43586</v>
      </c>
      <c r="B18" s="9">
        <v>303</v>
      </c>
      <c r="C18" s="9">
        <v>84</v>
      </c>
      <c r="D18" s="9">
        <v>81</v>
      </c>
      <c r="E18" s="9">
        <v>209</v>
      </c>
      <c r="F18" s="9">
        <v>324</v>
      </c>
      <c r="G18" s="9">
        <v>220</v>
      </c>
      <c r="H18" s="9">
        <v>873</v>
      </c>
      <c r="I18" s="9">
        <v>237</v>
      </c>
      <c r="J18" s="9">
        <v>3584</v>
      </c>
      <c r="K18" s="9">
        <v>361</v>
      </c>
      <c r="L18" s="9">
        <v>366</v>
      </c>
      <c r="M18" s="9">
        <v>310</v>
      </c>
      <c r="N18" s="9">
        <v>1816</v>
      </c>
      <c r="O18" s="9">
        <v>618</v>
      </c>
      <c r="P18" s="9">
        <v>286</v>
      </c>
      <c r="Q18" s="9">
        <v>3294</v>
      </c>
      <c r="R18" s="9">
        <v>381</v>
      </c>
      <c r="S18" s="9">
        <v>1704</v>
      </c>
      <c r="T18" s="9">
        <v>297</v>
      </c>
      <c r="U18" s="9">
        <v>276</v>
      </c>
      <c r="V18" s="9">
        <v>601</v>
      </c>
      <c r="W18" s="9">
        <v>431</v>
      </c>
      <c r="X18" s="9">
        <v>475</v>
      </c>
      <c r="Y18" s="9">
        <v>1531</v>
      </c>
      <c r="Z18" s="9">
        <v>626</v>
      </c>
      <c r="AA18" s="9">
        <v>1035</v>
      </c>
      <c r="AB18" s="9">
        <v>2188</v>
      </c>
      <c r="AC18" s="9">
        <v>1254</v>
      </c>
      <c r="AD18" s="9">
        <v>2930</v>
      </c>
      <c r="AE18" s="9">
        <v>233</v>
      </c>
      <c r="AF18" s="9">
        <v>638</v>
      </c>
      <c r="AG18" s="9">
        <v>392</v>
      </c>
      <c r="AH18" s="9">
        <v>552</v>
      </c>
      <c r="AI18" s="9">
        <v>710</v>
      </c>
      <c r="AJ18" s="9">
        <v>215</v>
      </c>
      <c r="AK18" s="9">
        <v>286</v>
      </c>
      <c r="AL18" s="9">
        <v>3023</v>
      </c>
      <c r="AM18" s="9">
        <v>385</v>
      </c>
      <c r="AN18" s="9"/>
      <c r="AO18" s="9"/>
      <c r="AP18" s="9">
        <v>275</v>
      </c>
      <c r="AQ18" s="9">
        <v>4321</v>
      </c>
      <c r="AR18" s="9"/>
      <c r="AS18" s="9"/>
      <c r="AT18" s="9"/>
      <c r="AU18" s="9"/>
      <c r="AV18" s="9"/>
      <c r="AW18" s="9"/>
      <c r="AX18" s="9"/>
      <c r="AY18" s="9">
        <v>209</v>
      </c>
      <c r="AZ18" s="9"/>
      <c r="BC18" s="9"/>
      <c r="BD18" s="9"/>
      <c r="BE18" s="9"/>
      <c r="BF18" s="9"/>
      <c r="BG18" s="9"/>
      <c r="BT18" s="1"/>
      <c r="BU18" s="1"/>
      <c r="BV18" s="1"/>
    </row>
    <row r="19" spans="1:74" x14ac:dyDescent="0.25">
      <c r="A19" s="70">
        <v>43617</v>
      </c>
      <c r="B19" s="9">
        <v>437</v>
      </c>
      <c r="C19" s="9">
        <v>104</v>
      </c>
      <c r="D19" s="9">
        <v>100</v>
      </c>
      <c r="E19" s="9">
        <v>278</v>
      </c>
      <c r="F19" s="9">
        <v>385</v>
      </c>
      <c r="G19" s="9">
        <v>293</v>
      </c>
      <c r="H19" s="9">
        <v>1100</v>
      </c>
      <c r="I19" s="9">
        <v>316</v>
      </c>
      <c r="J19" s="9">
        <v>4561</v>
      </c>
      <c r="K19" s="9">
        <v>471</v>
      </c>
      <c r="L19" s="9">
        <v>439</v>
      </c>
      <c r="M19" s="9">
        <v>415</v>
      </c>
      <c r="N19" s="9">
        <v>2376</v>
      </c>
      <c r="O19" s="9">
        <v>738</v>
      </c>
      <c r="P19" s="9">
        <v>399</v>
      </c>
      <c r="Q19" s="9">
        <v>4213</v>
      </c>
      <c r="R19" s="9">
        <v>411</v>
      </c>
      <c r="S19" s="9">
        <v>2205</v>
      </c>
      <c r="T19" s="9">
        <v>411</v>
      </c>
      <c r="U19" s="9">
        <v>399</v>
      </c>
      <c r="V19" s="9">
        <v>696</v>
      </c>
      <c r="W19" s="9">
        <v>587</v>
      </c>
      <c r="X19" s="9">
        <v>574</v>
      </c>
      <c r="Y19" s="9">
        <v>1844</v>
      </c>
      <c r="Z19" s="9">
        <v>832</v>
      </c>
      <c r="AA19" s="9">
        <v>1082</v>
      </c>
      <c r="AB19" s="9">
        <v>2606</v>
      </c>
      <c r="AC19" s="9">
        <v>1600</v>
      </c>
      <c r="AD19" s="9">
        <v>3545</v>
      </c>
      <c r="AE19" s="9">
        <v>303</v>
      </c>
      <c r="AF19" s="9">
        <v>776</v>
      </c>
      <c r="AG19" s="9">
        <v>500</v>
      </c>
      <c r="AH19" s="9">
        <v>656</v>
      </c>
      <c r="AI19" s="9">
        <v>900</v>
      </c>
      <c r="AJ19" s="9">
        <v>259</v>
      </c>
      <c r="AK19" s="9">
        <v>438</v>
      </c>
      <c r="AL19" s="9">
        <v>3674</v>
      </c>
      <c r="AM19" s="9">
        <v>498</v>
      </c>
      <c r="AN19" s="9">
        <v>596</v>
      </c>
      <c r="AO19" s="9">
        <v>448</v>
      </c>
      <c r="AP19" s="9">
        <v>388</v>
      </c>
      <c r="AQ19" s="9">
        <v>6004</v>
      </c>
      <c r="AR19" s="9">
        <v>533</v>
      </c>
      <c r="AS19" s="9"/>
      <c r="AT19" s="9"/>
      <c r="AU19" s="9"/>
      <c r="AV19" s="9"/>
      <c r="AW19" s="9"/>
      <c r="AX19" s="9"/>
      <c r="AY19" s="9">
        <v>262</v>
      </c>
      <c r="AZ19" s="9"/>
      <c r="BC19" s="9"/>
      <c r="BD19" s="9"/>
      <c r="BE19" s="9"/>
      <c r="BF19" s="9"/>
      <c r="BG19" s="9"/>
      <c r="BT19" s="1"/>
      <c r="BU19" s="1"/>
      <c r="BV19" s="1"/>
    </row>
    <row r="20" spans="1:74" x14ac:dyDescent="0.25">
      <c r="A20" s="70">
        <v>43647</v>
      </c>
      <c r="B20" s="9">
        <v>431</v>
      </c>
      <c r="C20" s="9">
        <v>103</v>
      </c>
      <c r="D20" s="9">
        <v>104</v>
      </c>
      <c r="E20" s="9">
        <v>268</v>
      </c>
      <c r="F20" s="9">
        <v>384</v>
      </c>
      <c r="G20" s="9">
        <v>296</v>
      </c>
      <c r="H20" s="9">
        <v>1048</v>
      </c>
      <c r="I20" s="9">
        <v>300</v>
      </c>
      <c r="J20" s="9">
        <v>4407</v>
      </c>
      <c r="K20" s="9">
        <v>452</v>
      </c>
      <c r="L20" s="9">
        <v>437</v>
      </c>
      <c r="M20" s="9">
        <v>424</v>
      </c>
      <c r="N20" s="9">
        <v>2334</v>
      </c>
      <c r="O20" s="9">
        <v>722</v>
      </c>
      <c r="P20" s="9">
        <v>368</v>
      </c>
      <c r="Q20" s="9">
        <v>4422</v>
      </c>
      <c r="R20" s="9">
        <v>494</v>
      </c>
      <c r="S20" s="9">
        <v>1971</v>
      </c>
      <c r="T20" s="9">
        <v>388</v>
      </c>
      <c r="U20" s="9">
        <v>363</v>
      </c>
      <c r="V20" s="9">
        <v>681</v>
      </c>
      <c r="W20" s="9">
        <v>475</v>
      </c>
      <c r="X20" s="9">
        <v>533</v>
      </c>
      <c r="Y20" s="9">
        <v>1774</v>
      </c>
      <c r="Z20" s="9">
        <v>800</v>
      </c>
      <c r="AA20" s="9">
        <v>1140</v>
      </c>
      <c r="AB20" s="9">
        <v>2500</v>
      </c>
      <c r="AC20" s="9">
        <v>1553</v>
      </c>
      <c r="AD20" s="9">
        <v>3472</v>
      </c>
      <c r="AE20" s="9">
        <v>289</v>
      </c>
      <c r="AF20" s="9">
        <v>720</v>
      </c>
      <c r="AG20" s="9">
        <v>465</v>
      </c>
      <c r="AH20" s="9">
        <v>623</v>
      </c>
      <c r="AI20" s="9">
        <v>852</v>
      </c>
      <c r="AJ20" s="9">
        <v>253</v>
      </c>
      <c r="AK20" s="9">
        <v>384</v>
      </c>
      <c r="AL20" s="9">
        <v>3601</v>
      </c>
      <c r="AM20" s="9">
        <v>448</v>
      </c>
      <c r="AN20" s="9">
        <v>560</v>
      </c>
      <c r="AO20" s="9">
        <v>433</v>
      </c>
      <c r="AP20" s="9">
        <v>351</v>
      </c>
      <c r="AQ20" s="9">
        <v>5767</v>
      </c>
      <c r="AR20" s="9">
        <v>521</v>
      </c>
      <c r="AS20" s="9">
        <v>2000</v>
      </c>
      <c r="AT20" s="9">
        <v>890</v>
      </c>
      <c r="AU20" s="9">
        <v>316</v>
      </c>
      <c r="AV20" s="9"/>
      <c r="AW20" s="9"/>
      <c r="AX20" s="9">
        <v>3316</v>
      </c>
      <c r="AY20" s="9">
        <v>198</v>
      </c>
      <c r="AZ20" s="9"/>
      <c r="BC20" s="9"/>
      <c r="BD20" s="9"/>
      <c r="BE20" s="9"/>
      <c r="BF20" s="9"/>
      <c r="BG20" s="9"/>
      <c r="BT20" s="1"/>
      <c r="BU20" s="1"/>
      <c r="BV20" s="1"/>
    </row>
    <row r="21" spans="1:74" x14ac:dyDescent="0.25">
      <c r="A21" s="70">
        <v>43678</v>
      </c>
      <c r="B21" s="9">
        <v>585</v>
      </c>
      <c r="C21" s="9">
        <v>239</v>
      </c>
      <c r="D21" s="9">
        <v>155</v>
      </c>
      <c r="E21" s="9">
        <v>365</v>
      </c>
      <c r="F21" s="9">
        <v>544</v>
      </c>
      <c r="G21" s="9">
        <v>398</v>
      </c>
      <c r="H21" s="9">
        <v>1489</v>
      </c>
      <c r="I21" s="9">
        <v>405</v>
      </c>
      <c r="J21" s="9">
        <v>6204</v>
      </c>
      <c r="K21" s="9">
        <v>631</v>
      </c>
      <c r="L21" s="9">
        <v>623</v>
      </c>
      <c r="M21" s="9">
        <v>589</v>
      </c>
      <c r="N21" s="9">
        <v>3279</v>
      </c>
      <c r="O21" s="9">
        <v>1002</v>
      </c>
      <c r="P21" s="9">
        <v>504</v>
      </c>
      <c r="Q21" s="9">
        <v>6188</v>
      </c>
      <c r="R21" s="9">
        <v>695</v>
      </c>
      <c r="S21" s="9">
        <v>2789</v>
      </c>
      <c r="T21" s="9">
        <v>532</v>
      </c>
      <c r="U21" s="9">
        <v>499</v>
      </c>
      <c r="V21" s="9">
        <v>1010</v>
      </c>
      <c r="W21" s="9">
        <v>774</v>
      </c>
      <c r="X21" s="9">
        <v>845</v>
      </c>
      <c r="Y21" s="9">
        <v>2520</v>
      </c>
      <c r="Z21" s="9">
        <v>1075</v>
      </c>
      <c r="AA21" s="9"/>
      <c r="AB21" s="9">
        <v>4083</v>
      </c>
      <c r="AC21" s="9">
        <v>2183</v>
      </c>
      <c r="AD21" s="9">
        <v>4981</v>
      </c>
      <c r="AE21" s="9">
        <v>422</v>
      </c>
      <c r="AF21" s="9">
        <v>1070</v>
      </c>
      <c r="AG21" s="9">
        <v>705</v>
      </c>
      <c r="AH21" s="9">
        <v>931</v>
      </c>
      <c r="AI21" s="9">
        <v>1256</v>
      </c>
      <c r="AJ21" s="9">
        <v>483</v>
      </c>
      <c r="AK21" s="9">
        <v>536</v>
      </c>
      <c r="AL21" s="9">
        <v>5116</v>
      </c>
      <c r="AM21" s="9">
        <v>571</v>
      </c>
      <c r="AN21" s="9">
        <v>809</v>
      </c>
      <c r="AO21" s="9">
        <v>656</v>
      </c>
      <c r="AP21" s="9">
        <v>519</v>
      </c>
      <c r="AQ21" s="9"/>
      <c r="AR21" s="9">
        <v>762</v>
      </c>
      <c r="AS21" s="9">
        <v>2852</v>
      </c>
      <c r="AT21" s="9">
        <v>1292</v>
      </c>
      <c r="AU21" s="9">
        <v>456</v>
      </c>
      <c r="AV21" s="9">
        <v>633</v>
      </c>
      <c r="AW21" s="9"/>
      <c r="AX21" s="9">
        <v>4767</v>
      </c>
      <c r="AY21" s="9">
        <v>308</v>
      </c>
      <c r="AZ21" s="9">
        <v>544</v>
      </c>
      <c r="BC21" s="9"/>
      <c r="BD21" s="9"/>
      <c r="BE21" s="9"/>
      <c r="BF21" s="9"/>
      <c r="BG21" s="9"/>
      <c r="BT21" s="1"/>
      <c r="BU21" s="1"/>
      <c r="BV21" s="1"/>
    </row>
    <row r="22" spans="1:74" x14ac:dyDescent="0.25">
      <c r="A22" s="70">
        <v>43709</v>
      </c>
      <c r="B22" s="9">
        <v>574</v>
      </c>
      <c r="C22" s="9">
        <v>333</v>
      </c>
      <c r="D22" s="9">
        <v>188</v>
      </c>
      <c r="E22" s="9">
        <v>355</v>
      </c>
      <c r="F22" s="9">
        <v>560</v>
      </c>
      <c r="G22" s="9">
        <v>301</v>
      </c>
      <c r="H22" s="9">
        <v>1556</v>
      </c>
      <c r="I22" s="9">
        <v>389</v>
      </c>
      <c r="J22" s="9">
        <v>6604</v>
      </c>
      <c r="K22" s="9">
        <v>645</v>
      </c>
      <c r="L22" s="9">
        <v>651</v>
      </c>
      <c r="M22" s="9">
        <v>584</v>
      </c>
      <c r="N22" s="9">
        <v>3296</v>
      </c>
      <c r="O22" s="9">
        <v>1168</v>
      </c>
      <c r="P22" s="9">
        <v>482</v>
      </c>
      <c r="Q22" s="9">
        <v>6745</v>
      </c>
      <c r="R22" s="9">
        <v>538</v>
      </c>
      <c r="S22" s="9">
        <v>2978</v>
      </c>
      <c r="T22" s="9">
        <v>491</v>
      </c>
      <c r="U22" s="9">
        <v>473</v>
      </c>
      <c r="V22" s="9">
        <v>1092</v>
      </c>
      <c r="W22" s="9">
        <v>750</v>
      </c>
      <c r="X22" s="9">
        <v>980</v>
      </c>
      <c r="Y22" s="9">
        <v>2759</v>
      </c>
      <c r="Z22" s="9">
        <v>1145</v>
      </c>
      <c r="AA22" s="9"/>
      <c r="AB22" s="9">
        <v>4423</v>
      </c>
      <c r="AC22" s="9">
        <v>2289</v>
      </c>
      <c r="AD22" s="9">
        <v>5407</v>
      </c>
      <c r="AE22" s="9">
        <v>433</v>
      </c>
      <c r="AF22" s="9">
        <v>1146</v>
      </c>
      <c r="AG22" s="9">
        <v>783</v>
      </c>
      <c r="AH22" s="9">
        <v>1008</v>
      </c>
      <c r="AI22" s="9">
        <v>1024</v>
      </c>
      <c r="AJ22" s="9">
        <v>553</v>
      </c>
      <c r="AK22" s="9">
        <v>576</v>
      </c>
      <c r="AL22" s="9">
        <v>5614</v>
      </c>
      <c r="AM22" s="9">
        <v>755</v>
      </c>
      <c r="AN22" s="9">
        <v>899</v>
      </c>
      <c r="AO22" s="9">
        <v>710</v>
      </c>
      <c r="AP22" s="9">
        <v>517</v>
      </c>
      <c r="AQ22" s="9"/>
      <c r="AR22" s="9">
        <v>795</v>
      </c>
      <c r="AS22" s="9">
        <v>3071</v>
      </c>
      <c r="AT22" s="9">
        <v>1401</v>
      </c>
      <c r="AU22" s="9">
        <v>505</v>
      </c>
      <c r="AV22" s="9">
        <v>650</v>
      </c>
      <c r="AW22" s="9">
        <v>6160</v>
      </c>
      <c r="AX22" s="9">
        <v>5158</v>
      </c>
      <c r="AY22" s="9">
        <v>354</v>
      </c>
      <c r="AZ22" s="9"/>
      <c r="BA22" s="12">
        <v>915</v>
      </c>
      <c r="BC22" s="9">
        <v>579</v>
      </c>
      <c r="BD22" s="9"/>
      <c r="BE22" s="9"/>
      <c r="BF22" s="9"/>
      <c r="BG22" s="9"/>
      <c r="BT22" s="1"/>
      <c r="BU22" s="1"/>
      <c r="BV22" s="1"/>
    </row>
    <row r="23" spans="1:74" x14ac:dyDescent="0.25">
      <c r="A23" s="70">
        <v>43739</v>
      </c>
      <c r="B23" s="17">
        <v>527</v>
      </c>
      <c r="C23" s="17">
        <v>316</v>
      </c>
      <c r="D23" s="17">
        <v>214</v>
      </c>
      <c r="E23" s="17">
        <v>342</v>
      </c>
      <c r="F23" s="17">
        <v>557</v>
      </c>
      <c r="G23" s="17">
        <v>340</v>
      </c>
      <c r="H23" s="17">
        <v>1491</v>
      </c>
      <c r="I23" s="17"/>
      <c r="J23" s="17">
        <v>6380</v>
      </c>
      <c r="K23" s="17">
        <v>603</v>
      </c>
      <c r="L23" s="17">
        <v>621</v>
      </c>
      <c r="M23" s="17">
        <v>539</v>
      </c>
      <c r="N23" s="17">
        <v>3103</v>
      </c>
      <c r="O23" s="17">
        <v>1168</v>
      </c>
      <c r="P23" s="17">
        <v>439</v>
      </c>
      <c r="Q23" s="17">
        <v>6649</v>
      </c>
      <c r="R23" s="17">
        <v>434</v>
      </c>
      <c r="S23" s="17">
        <v>2868</v>
      </c>
      <c r="T23" s="17">
        <v>444</v>
      </c>
      <c r="U23" s="17">
        <v>418</v>
      </c>
      <c r="V23" s="17">
        <v>1078</v>
      </c>
      <c r="W23" s="17">
        <v>681</v>
      </c>
      <c r="X23" s="17">
        <v>992</v>
      </c>
      <c r="Y23" s="17">
        <v>2868</v>
      </c>
      <c r="Z23" s="17">
        <v>1060</v>
      </c>
      <c r="AA23" s="17"/>
      <c r="AB23" s="17">
        <v>4393</v>
      </c>
      <c r="AC23" s="17">
        <v>2213</v>
      </c>
      <c r="AD23" s="17">
        <v>5741</v>
      </c>
      <c r="AE23" s="17">
        <v>407</v>
      </c>
      <c r="AF23" s="17">
        <v>1141</v>
      </c>
      <c r="AG23" s="17">
        <v>785</v>
      </c>
      <c r="AH23" s="17">
        <v>938</v>
      </c>
      <c r="AI23" s="17">
        <v>1144</v>
      </c>
      <c r="AJ23" s="17">
        <v>571</v>
      </c>
      <c r="AK23" s="17">
        <v>488</v>
      </c>
      <c r="AL23" s="17">
        <v>5612</v>
      </c>
      <c r="AM23" s="17">
        <v>757</v>
      </c>
      <c r="AN23" s="17">
        <v>949</v>
      </c>
      <c r="AO23" s="17">
        <v>692</v>
      </c>
      <c r="AP23" s="17">
        <v>483</v>
      </c>
      <c r="AQ23" s="17"/>
      <c r="AR23" s="17">
        <v>761</v>
      </c>
      <c r="AS23" s="17">
        <v>3015</v>
      </c>
      <c r="AT23" s="17">
        <v>1361</v>
      </c>
      <c r="AU23" s="17">
        <v>505</v>
      </c>
      <c r="AV23" s="17">
        <v>608</v>
      </c>
      <c r="AW23" s="17">
        <v>6038</v>
      </c>
      <c r="AX23" s="17">
        <v>5081</v>
      </c>
      <c r="AY23" s="17">
        <v>324</v>
      </c>
      <c r="AZ23" s="17"/>
      <c r="BA23" s="12">
        <v>915</v>
      </c>
      <c r="BC23" s="17">
        <v>550</v>
      </c>
      <c r="BD23" s="17">
        <v>603</v>
      </c>
      <c r="BE23" s="17">
        <v>654</v>
      </c>
      <c r="BF23" s="17">
        <v>1122</v>
      </c>
      <c r="BG23" s="17">
        <v>1354</v>
      </c>
      <c r="BT23" s="1"/>
      <c r="BU23" s="1"/>
      <c r="BV23" s="1"/>
    </row>
    <row r="24" spans="1:74" x14ac:dyDescent="0.25">
      <c r="A24" s="70">
        <v>43770</v>
      </c>
      <c r="BT24" s="1"/>
      <c r="BU24" s="1"/>
      <c r="BV24" s="1"/>
    </row>
    <row r="25" spans="1:74" x14ac:dyDescent="0.25">
      <c r="A25" s="70">
        <v>43800</v>
      </c>
      <c r="BT25" s="1"/>
      <c r="BU25" s="1"/>
      <c r="BV25" s="1"/>
    </row>
    <row r="26" spans="1:74" x14ac:dyDescent="0.25">
      <c r="A26" s="70">
        <v>43831</v>
      </c>
      <c r="BT26" s="1"/>
      <c r="BU26" s="1"/>
      <c r="BV26" s="1"/>
    </row>
    <row r="27" spans="1:74" x14ac:dyDescent="0.25">
      <c r="A27" s="70">
        <v>43862</v>
      </c>
      <c r="BT27" s="1"/>
      <c r="BU27" s="1"/>
      <c r="BV27" s="1"/>
    </row>
    <row r="28" spans="1:74" x14ac:dyDescent="0.25">
      <c r="A28" s="70">
        <v>43891</v>
      </c>
      <c r="BT28" s="1"/>
      <c r="BU28" s="1"/>
      <c r="BV28" s="1"/>
    </row>
    <row r="29" spans="1:74" x14ac:dyDescent="0.25">
      <c r="A29" s="70">
        <v>43922</v>
      </c>
      <c r="BT29" s="1"/>
      <c r="BU29" s="1"/>
      <c r="BV29" s="1"/>
    </row>
    <row r="30" spans="1:74" x14ac:dyDescent="0.25">
      <c r="A30" s="70">
        <v>43952</v>
      </c>
      <c r="BT30" s="1"/>
      <c r="BU30" s="1"/>
      <c r="BV30" s="1"/>
    </row>
    <row r="31" spans="1:74" x14ac:dyDescent="0.25">
      <c r="A31" s="70">
        <v>43983</v>
      </c>
      <c r="BT31" s="1"/>
      <c r="BU31" s="1"/>
      <c r="BV31" s="1"/>
    </row>
    <row r="32" spans="1:74" x14ac:dyDescent="0.25">
      <c r="A32" s="70">
        <v>44013</v>
      </c>
      <c r="BT32" s="1"/>
      <c r="BU32" s="1"/>
      <c r="BV32" s="1"/>
    </row>
    <row r="33" spans="1:74" x14ac:dyDescent="0.25">
      <c r="A33" s="70">
        <v>44044</v>
      </c>
      <c r="BT33" s="1"/>
      <c r="BU33" s="1"/>
      <c r="BV33" s="1"/>
    </row>
    <row r="34" spans="1:74" x14ac:dyDescent="0.25">
      <c r="A34" s="70">
        <v>44075</v>
      </c>
      <c r="BT34" s="1"/>
      <c r="BU34" s="1"/>
      <c r="BV34" s="1"/>
    </row>
    <row r="35" spans="1:74" x14ac:dyDescent="0.25">
      <c r="A35" s="70">
        <v>44105</v>
      </c>
      <c r="BT35" s="1"/>
      <c r="BU35" s="1"/>
      <c r="BV35" s="1"/>
    </row>
    <row r="36" spans="1:74" x14ac:dyDescent="0.25">
      <c r="A36" s="70">
        <v>44136</v>
      </c>
      <c r="BT36" s="1"/>
      <c r="BU36" s="1"/>
      <c r="BV36" s="1"/>
    </row>
    <row r="37" spans="1:74" x14ac:dyDescent="0.25">
      <c r="A37" s="70">
        <v>44166</v>
      </c>
      <c r="BT37" s="1"/>
      <c r="BU37" s="1"/>
      <c r="BV37" s="1"/>
    </row>
    <row r="38" spans="1:74" x14ac:dyDescent="0.25">
      <c r="A38" s="70">
        <v>44197</v>
      </c>
      <c r="BT38" s="1"/>
      <c r="BU38" s="1"/>
      <c r="BV38" s="1"/>
    </row>
    <row r="39" spans="1:74" x14ac:dyDescent="0.25">
      <c r="A39" s="70">
        <v>44228</v>
      </c>
      <c r="BT39" s="1"/>
      <c r="BU39" s="1"/>
      <c r="BV39" s="1"/>
    </row>
    <row r="40" spans="1:74" x14ac:dyDescent="0.25">
      <c r="A40" s="70">
        <v>44256</v>
      </c>
      <c r="BT40" s="1"/>
      <c r="BU40" s="1"/>
      <c r="BV40" s="1"/>
    </row>
    <row r="41" spans="1:74" x14ac:dyDescent="0.25">
      <c r="A41" s="70">
        <v>44287</v>
      </c>
      <c r="BT41" s="1"/>
      <c r="BU41" s="1"/>
      <c r="BV41" s="1"/>
    </row>
    <row r="42" spans="1:74" x14ac:dyDescent="0.25">
      <c r="A42" s="70">
        <v>44317</v>
      </c>
      <c r="BT42" s="1"/>
      <c r="BU42" s="1"/>
      <c r="BV42" s="1"/>
    </row>
    <row r="43" spans="1:74" x14ac:dyDescent="0.25">
      <c r="A43" s="70">
        <v>44348</v>
      </c>
      <c r="BT43" s="1"/>
      <c r="BU43" s="1"/>
      <c r="BV43" s="1"/>
    </row>
    <row r="44" spans="1:74" x14ac:dyDescent="0.25">
      <c r="A44" s="70">
        <v>44378</v>
      </c>
      <c r="BT44" s="1"/>
      <c r="BU44" s="1"/>
      <c r="BV44" s="1"/>
    </row>
    <row r="45" spans="1:74" x14ac:dyDescent="0.25">
      <c r="A45" s="70">
        <v>44409</v>
      </c>
      <c r="BT45" s="1"/>
      <c r="BU45" s="1"/>
      <c r="BV45" s="1"/>
    </row>
    <row r="46" spans="1:74" x14ac:dyDescent="0.25">
      <c r="A46" s="70">
        <v>44440</v>
      </c>
      <c r="BT46" s="1"/>
      <c r="BU46" s="1"/>
      <c r="BV46" s="1"/>
    </row>
    <row r="47" spans="1:74" x14ac:dyDescent="0.25">
      <c r="A47" s="70">
        <v>44470</v>
      </c>
      <c r="BT47" s="1"/>
      <c r="BU47" s="1"/>
      <c r="BV47" s="1"/>
    </row>
    <row r="48" spans="1:74" x14ac:dyDescent="0.25">
      <c r="A48" s="70">
        <v>44501</v>
      </c>
      <c r="BT48" s="1"/>
      <c r="BU48" s="1"/>
      <c r="BV48" s="1"/>
    </row>
    <row r="49" spans="1:74" x14ac:dyDescent="0.25">
      <c r="A49" s="70">
        <v>44531</v>
      </c>
      <c r="BT49" s="1"/>
      <c r="BU49" s="1"/>
      <c r="BV49" s="1"/>
    </row>
    <row r="50" spans="1:74" x14ac:dyDescent="0.25">
      <c r="A50" s="70">
        <v>44562</v>
      </c>
      <c r="BT50" s="1"/>
      <c r="BU50" s="1"/>
      <c r="BV50" s="1"/>
    </row>
    <row r="51" spans="1:74" x14ac:dyDescent="0.25">
      <c r="A51" s="70">
        <v>44593</v>
      </c>
      <c r="BT51" s="1"/>
      <c r="BU51" s="1"/>
      <c r="BV51" s="1"/>
    </row>
    <row r="52" spans="1:74" x14ac:dyDescent="0.25">
      <c r="A52" s="70">
        <v>44621</v>
      </c>
      <c r="BT52" s="1"/>
      <c r="BU52" s="1"/>
      <c r="BV52" s="1"/>
    </row>
    <row r="53" spans="1:74" x14ac:dyDescent="0.25">
      <c r="A53" s="70">
        <v>44652</v>
      </c>
      <c r="BT53" s="1"/>
      <c r="BU53" s="1"/>
      <c r="BV53" s="1"/>
    </row>
    <row r="54" spans="1:74" x14ac:dyDescent="0.25">
      <c r="A54" s="70">
        <v>44682</v>
      </c>
      <c r="BT54" s="1"/>
      <c r="BU54" s="1"/>
      <c r="BV54" s="1"/>
    </row>
    <row r="55" spans="1:74" x14ac:dyDescent="0.25">
      <c r="A55" s="70">
        <v>44713</v>
      </c>
      <c r="BT55" s="1"/>
      <c r="BU55" s="1"/>
      <c r="BV55" s="1"/>
    </row>
    <row r="56" spans="1:74" x14ac:dyDescent="0.25">
      <c r="A56" s="70">
        <v>44743</v>
      </c>
      <c r="BT56" s="1"/>
      <c r="BU56" s="1"/>
      <c r="BV56" s="1"/>
    </row>
    <row r="57" spans="1:74" x14ac:dyDescent="0.25">
      <c r="A57" s="70">
        <v>44774</v>
      </c>
      <c r="BT57" s="1"/>
      <c r="BU57" s="1"/>
      <c r="BV57" s="1"/>
    </row>
    <row r="58" spans="1:74" x14ac:dyDescent="0.25">
      <c r="A58" s="70">
        <v>44805</v>
      </c>
      <c r="BT58" s="1"/>
      <c r="BU58" s="1"/>
      <c r="BV58" s="1"/>
    </row>
    <row r="59" spans="1:74" x14ac:dyDescent="0.25">
      <c r="A59" s="70">
        <v>44835</v>
      </c>
      <c r="BT59" s="1"/>
      <c r="BU59" s="1"/>
      <c r="BV59" s="1"/>
    </row>
    <row r="60" spans="1:74" x14ac:dyDescent="0.25">
      <c r="A60" s="70">
        <v>44866</v>
      </c>
      <c r="BT60" s="1"/>
      <c r="BU60" s="1"/>
      <c r="BV60" s="1"/>
    </row>
    <row r="61" spans="1:74" x14ac:dyDescent="0.25">
      <c r="A61" s="70">
        <v>44896</v>
      </c>
      <c r="BT61" s="1"/>
      <c r="BU61" s="1"/>
      <c r="BV61" s="1"/>
    </row>
    <row r="62" spans="1:74" x14ac:dyDescent="0.25">
      <c r="A62" s="70">
        <v>44927</v>
      </c>
      <c r="BT62" s="1"/>
      <c r="BU62" s="1"/>
      <c r="BV62" s="1"/>
    </row>
    <row r="63" spans="1:74" x14ac:dyDescent="0.25">
      <c r="A63" s="70">
        <v>44958</v>
      </c>
      <c r="BT63" s="1"/>
      <c r="BU63" s="1"/>
      <c r="BV63" s="1"/>
    </row>
    <row r="64" spans="1:74" x14ac:dyDescent="0.25">
      <c r="A64" s="70">
        <v>44986</v>
      </c>
      <c r="BT64" s="1"/>
      <c r="BU64" s="1"/>
      <c r="BV64" s="1"/>
    </row>
    <row r="65" spans="1:74" x14ac:dyDescent="0.25">
      <c r="A65" s="70">
        <v>45017</v>
      </c>
      <c r="BT65" s="1"/>
      <c r="BU65" s="1"/>
      <c r="BV65" s="1"/>
    </row>
    <row r="66" spans="1:74" x14ac:dyDescent="0.25">
      <c r="A66" s="70">
        <v>45047</v>
      </c>
      <c r="BT66" s="1"/>
      <c r="BU66" s="1"/>
      <c r="BV66" s="1"/>
    </row>
    <row r="67" spans="1:74" x14ac:dyDescent="0.25">
      <c r="A67" s="70">
        <v>45078</v>
      </c>
      <c r="BT67" s="1"/>
      <c r="BU67" s="1"/>
      <c r="BV67" s="1"/>
    </row>
    <row r="68" spans="1:74" x14ac:dyDescent="0.25">
      <c r="A68" s="70">
        <v>45108</v>
      </c>
      <c r="BT68" s="1"/>
      <c r="BU68" s="1"/>
      <c r="BV68" s="1"/>
    </row>
    <row r="69" spans="1:74" x14ac:dyDescent="0.25">
      <c r="A69" s="70">
        <v>45139</v>
      </c>
      <c r="BT69" s="1"/>
      <c r="BU69" s="1"/>
      <c r="BV69" s="1"/>
    </row>
    <row r="70" spans="1:74" x14ac:dyDescent="0.25">
      <c r="A70" s="70">
        <v>45170</v>
      </c>
      <c r="BT70" s="1"/>
      <c r="BU70" s="1"/>
      <c r="BV70" s="1"/>
    </row>
    <row r="71" spans="1:74" x14ac:dyDescent="0.25">
      <c r="A71" s="70">
        <v>45200</v>
      </c>
      <c r="BT71" s="1"/>
      <c r="BU71" s="1"/>
      <c r="BV71" s="1"/>
    </row>
    <row r="72" spans="1:74" x14ac:dyDescent="0.25">
      <c r="A72" s="70">
        <v>45231</v>
      </c>
      <c r="BT72" s="1"/>
      <c r="BU72" s="1"/>
      <c r="BV72" s="1"/>
    </row>
    <row r="73" spans="1:74" x14ac:dyDescent="0.25">
      <c r="A73" s="70">
        <v>45261</v>
      </c>
      <c r="BT73" s="1"/>
      <c r="BU73" s="1"/>
      <c r="BV73" s="1"/>
    </row>
    <row r="74" spans="1:74" x14ac:dyDescent="0.25">
      <c r="A74" s="70">
        <v>45292</v>
      </c>
      <c r="BT74" s="1"/>
      <c r="BU74" s="1"/>
      <c r="BV74" s="1"/>
    </row>
    <row r="75" spans="1:74" x14ac:dyDescent="0.25">
      <c r="A75" s="70">
        <v>45323</v>
      </c>
      <c r="BT75" s="1"/>
      <c r="BU75" s="1"/>
      <c r="BV75" s="1"/>
    </row>
    <row r="76" spans="1:74" x14ac:dyDescent="0.25">
      <c r="A76" s="70">
        <v>45352</v>
      </c>
      <c r="BT76" s="1"/>
      <c r="BU76" s="1"/>
      <c r="BV76" s="1"/>
    </row>
    <row r="77" spans="1:74" x14ac:dyDescent="0.25">
      <c r="A77" s="70">
        <v>45383</v>
      </c>
      <c r="BT77" s="1"/>
      <c r="BU77" s="1"/>
      <c r="BV77" s="1"/>
    </row>
    <row r="78" spans="1:74" x14ac:dyDescent="0.25">
      <c r="A78" s="70">
        <v>45413</v>
      </c>
      <c r="BT78" s="1"/>
      <c r="BU78" s="1"/>
      <c r="BV78" s="1"/>
    </row>
    <row r="79" spans="1:74" x14ac:dyDescent="0.25">
      <c r="A79" s="70">
        <v>45444</v>
      </c>
      <c r="BT79" s="1"/>
      <c r="BU79" s="1"/>
      <c r="BV79" s="1"/>
    </row>
    <row r="80" spans="1:74" x14ac:dyDescent="0.25">
      <c r="A80" s="70">
        <v>45474</v>
      </c>
      <c r="BT80" s="1"/>
      <c r="BU80" s="1"/>
      <c r="BV80" s="1"/>
    </row>
    <row r="81" spans="1:74" x14ac:dyDescent="0.25">
      <c r="A81" s="70">
        <v>45505</v>
      </c>
      <c r="BT81" s="1"/>
      <c r="BU81" s="1"/>
      <c r="BV81" s="1"/>
    </row>
    <row r="82" spans="1:74" x14ac:dyDescent="0.25">
      <c r="A82" s="70">
        <v>45536</v>
      </c>
      <c r="BT82" s="1"/>
      <c r="BU82" s="1"/>
      <c r="BV82" s="1"/>
    </row>
    <row r="83" spans="1:74" x14ac:dyDescent="0.25">
      <c r="A83" s="70">
        <v>45566</v>
      </c>
      <c r="BT83" s="1"/>
      <c r="BU83" s="1"/>
      <c r="BV83" s="1"/>
    </row>
    <row r="84" spans="1:74" x14ac:dyDescent="0.25">
      <c r="A84" s="70">
        <v>45597</v>
      </c>
      <c r="BT84" s="1"/>
      <c r="BU84" s="1"/>
      <c r="BV84" s="1"/>
    </row>
    <row r="85" spans="1:74" x14ac:dyDescent="0.25">
      <c r="A85" s="70">
        <v>45627</v>
      </c>
      <c r="BT85" s="1"/>
      <c r="BU85" s="1"/>
      <c r="BV85" s="1"/>
    </row>
    <row r="86" spans="1:74" x14ac:dyDescent="0.25">
      <c r="A86" s="70">
        <v>45658</v>
      </c>
    </row>
    <row r="87" spans="1:74" x14ac:dyDescent="0.25">
      <c r="A87" s="70">
        <v>45689</v>
      </c>
    </row>
    <row r="88" spans="1:74" x14ac:dyDescent="0.25">
      <c r="A88" s="70">
        <v>45717</v>
      </c>
    </row>
    <row r="89" spans="1:74" x14ac:dyDescent="0.25">
      <c r="A89" s="70">
        <v>45748</v>
      </c>
    </row>
    <row r="90" spans="1:74" x14ac:dyDescent="0.25">
      <c r="A90" s="70">
        <v>45778</v>
      </c>
    </row>
    <row r="91" spans="1:74" x14ac:dyDescent="0.25">
      <c r="A91" s="70">
        <v>45809</v>
      </c>
    </row>
    <row r="92" spans="1:74" x14ac:dyDescent="0.25">
      <c r="A92" s="70">
        <v>45839</v>
      </c>
    </row>
    <row r="93" spans="1:74" x14ac:dyDescent="0.25">
      <c r="A93" s="70">
        <v>45870</v>
      </c>
    </row>
    <row r="94" spans="1:74" x14ac:dyDescent="0.25">
      <c r="A94" s="70">
        <v>45901</v>
      </c>
    </row>
    <row r="95" spans="1:74" x14ac:dyDescent="0.25">
      <c r="A95" s="70">
        <v>45931</v>
      </c>
    </row>
    <row r="96" spans="1:74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dimension ref="A1:AD76"/>
  <sheetViews>
    <sheetView zoomScale="90" zoomScaleNormal="90" workbookViewId="0">
      <selection activeCell="A55" sqref="A1:XFD1048576"/>
    </sheetView>
  </sheetViews>
  <sheetFormatPr defaultRowHeight="15" x14ac:dyDescent="0.25"/>
  <cols>
    <col min="1" max="1" width="3.28515625" bestFit="1" customWidth="1"/>
    <col min="2" max="2" width="42.8554687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13" customFormat="1" ht="18" thickBot="1" x14ac:dyDescent="0.3">
      <c r="A1" s="151"/>
      <c r="B1" s="153" t="s">
        <v>132</v>
      </c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  <c r="Q1" s="158" t="s">
        <v>388</v>
      </c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60"/>
    </row>
    <row r="2" spans="1:30" s="13" customFormat="1" ht="15.75" thickBot="1" x14ac:dyDescent="0.3">
      <c r="A2" s="152"/>
      <c r="B2" s="154"/>
      <c r="C2" s="42" t="s">
        <v>389</v>
      </c>
      <c r="D2" s="40" t="s">
        <v>390</v>
      </c>
      <c r="E2" s="40" t="s">
        <v>391</v>
      </c>
      <c r="F2" s="40" t="s">
        <v>392</v>
      </c>
      <c r="G2" s="40" t="s">
        <v>393</v>
      </c>
      <c r="H2" s="40" t="s">
        <v>394</v>
      </c>
      <c r="I2" s="40" t="s">
        <v>395</v>
      </c>
      <c r="J2" s="40" t="s">
        <v>396</v>
      </c>
      <c r="K2" s="40" t="s">
        <v>397</v>
      </c>
      <c r="L2" s="40" t="s">
        <v>398</v>
      </c>
      <c r="M2" s="40" t="s">
        <v>399</v>
      </c>
      <c r="N2" s="41" t="s">
        <v>400</v>
      </c>
      <c r="O2" s="40" t="s">
        <v>401</v>
      </c>
      <c r="Q2" s="66">
        <v>31</v>
      </c>
      <c r="R2" s="66">
        <v>28</v>
      </c>
      <c r="S2" s="66">
        <v>31</v>
      </c>
      <c r="T2" s="66">
        <v>30</v>
      </c>
      <c r="U2" s="66">
        <v>31</v>
      </c>
      <c r="V2" s="66">
        <v>30</v>
      </c>
      <c r="W2" s="66">
        <v>31</v>
      </c>
      <c r="X2" s="66">
        <v>31</v>
      </c>
      <c r="Y2" s="66">
        <v>30</v>
      </c>
      <c r="Z2" s="66">
        <v>31</v>
      </c>
      <c r="AA2" s="66">
        <v>30</v>
      </c>
      <c r="AB2" s="66">
        <v>31</v>
      </c>
      <c r="AC2" s="68" t="s">
        <v>402</v>
      </c>
      <c r="AD2" s="68" t="s">
        <v>403</v>
      </c>
    </row>
    <row r="3" spans="1:30" s="13" customFormat="1" x14ac:dyDescent="0.25">
      <c r="A3" s="52">
        <f>IF(B3=B2,A2,A2+1)</f>
        <v>1</v>
      </c>
      <c r="B3" s="53" t="s">
        <v>238</v>
      </c>
      <c r="C3" s="49">
        <f>ROUNDDOWN($AD3*$AC3*(Q3*Q$2),0)</f>
        <v>627</v>
      </c>
      <c r="D3" s="39">
        <f t="shared" ref="C3:N4" si="0">ROUNDDOWN($AD3*$AC3*(R3*R$2),0)</f>
        <v>634</v>
      </c>
      <c r="E3" s="39">
        <f t="shared" si="0"/>
        <v>705</v>
      </c>
      <c r="F3" s="39">
        <f t="shared" si="0"/>
        <v>616</v>
      </c>
      <c r="G3" s="39">
        <f t="shared" si="0"/>
        <v>555</v>
      </c>
      <c r="H3" s="39">
        <f t="shared" si="0"/>
        <v>443</v>
      </c>
      <c r="I3" s="39">
        <f t="shared" si="0"/>
        <v>477</v>
      </c>
      <c r="J3" s="39">
        <f t="shared" si="0"/>
        <v>600</v>
      </c>
      <c r="K3" s="39">
        <f t="shared" si="0"/>
        <v>623</v>
      </c>
      <c r="L3" s="39">
        <f t="shared" si="0"/>
        <v>646</v>
      </c>
      <c r="M3" s="39">
        <f t="shared" si="0"/>
        <v>625</v>
      </c>
      <c r="N3" s="43">
        <f t="shared" si="0"/>
        <v>680</v>
      </c>
      <c r="O3" s="46">
        <f>AVERAGE(C3:N3)</f>
        <v>602.58333333333337</v>
      </c>
      <c r="Q3" s="59">
        <v>5.56</v>
      </c>
      <c r="R3" s="57">
        <v>6.23</v>
      </c>
      <c r="S3" s="57">
        <v>6.25</v>
      </c>
      <c r="T3" s="57">
        <v>5.65</v>
      </c>
      <c r="U3" s="57">
        <v>4.92</v>
      </c>
      <c r="V3" s="57">
        <v>4.0599999999999996</v>
      </c>
      <c r="W3" s="57">
        <v>4.2300000000000004</v>
      </c>
      <c r="X3" s="57">
        <v>5.32</v>
      </c>
      <c r="Y3" s="57">
        <v>5.71</v>
      </c>
      <c r="Z3" s="57">
        <v>5.73</v>
      </c>
      <c r="AA3" s="57">
        <v>5.73</v>
      </c>
      <c r="AB3" s="58">
        <v>6.03</v>
      </c>
      <c r="AC3" s="69">
        <v>0.8</v>
      </c>
      <c r="AD3" s="67">
        <f>VLOOKUP($B3,Tabela14[[Cliente]:[Potência]],4,0)</f>
        <v>4.55</v>
      </c>
    </row>
    <row r="4" spans="1:30" s="13" customFormat="1" x14ac:dyDescent="0.25">
      <c r="A4" s="36">
        <f>IF(B4=B3,A3,A3+1)</f>
        <v>2</v>
      </c>
      <c r="B4" s="54" t="s">
        <v>239</v>
      </c>
      <c r="C4" s="50">
        <f t="shared" si="0"/>
        <v>409</v>
      </c>
      <c r="D4" s="31">
        <f t="shared" si="0"/>
        <v>414</v>
      </c>
      <c r="E4" s="31">
        <f t="shared" si="0"/>
        <v>460</v>
      </c>
      <c r="F4" s="31">
        <f t="shared" si="0"/>
        <v>402</v>
      </c>
      <c r="G4" s="31">
        <f t="shared" si="0"/>
        <v>362</v>
      </c>
      <c r="H4" s="31">
        <f t="shared" si="0"/>
        <v>289</v>
      </c>
      <c r="I4" s="31">
        <f t="shared" si="0"/>
        <v>311</v>
      </c>
      <c r="J4" s="31">
        <f t="shared" si="0"/>
        <v>391</v>
      </c>
      <c r="K4" s="31">
        <f t="shared" si="0"/>
        <v>407</v>
      </c>
      <c r="L4" s="31">
        <f t="shared" si="0"/>
        <v>422</v>
      </c>
      <c r="M4" s="31">
        <f t="shared" si="0"/>
        <v>408</v>
      </c>
      <c r="N4" s="44">
        <f>ROUNDDOWN($AD4*$AC4*(AB4*AB$2),0)</f>
        <v>444</v>
      </c>
      <c r="O4" s="47">
        <f>AVERAGE(C4:N4)</f>
        <v>393.25</v>
      </c>
      <c r="Q4" s="60">
        <v>5.56</v>
      </c>
      <c r="R4" s="32">
        <v>6.23</v>
      </c>
      <c r="S4" s="32">
        <v>6.25</v>
      </c>
      <c r="T4" s="32">
        <v>5.65</v>
      </c>
      <c r="U4" s="32">
        <v>4.92</v>
      </c>
      <c r="V4" s="32">
        <v>4.0599999999999996</v>
      </c>
      <c r="W4" s="32">
        <v>4.2300000000000004</v>
      </c>
      <c r="X4" s="32">
        <v>5.32</v>
      </c>
      <c r="Y4" s="32">
        <v>5.71</v>
      </c>
      <c r="Z4" s="32">
        <v>5.73</v>
      </c>
      <c r="AA4" s="32">
        <v>5.73</v>
      </c>
      <c r="AB4" s="33">
        <v>6.03</v>
      </c>
      <c r="AC4" s="34">
        <v>0.8</v>
      </c>
      <c r="AD4" s="35">
        <f>VLOOKUP($B4,Tabela14[[Cliente]:[Potência]],4,0)</f>
        <v>2.97</v>
      </c>
    </row>
    <row r="5" spans="1:30" x14ac:dyDescent="0.25">
      <c r="A5" s="36">
        <f t="shared" ref="A5:A68" si="1">IF(B5=B4,A4,A4+1)</f>
        <v>3</v>
      </c>
      <c r="B5" s="54" t="s">
        <v>240</v>
      </c>
      <c r="C5" s="50">
        <f t="shared" ref="C5:C19" si="2">ROUNDDOWN($AD5*$AC5*(Q5*Q$2),0)</f>
        <v>287</v>
      </c>
      <c r="D5" s="31">
        <f t="shared" ref="D5:D19" si="3">ROUNDDOWN($AD5*$AC5*(R5*R$2),0)</f>
        <v>254</v>
      </c>
      <c r="E5" s="31">
        <f t="shared" ref="E5:E19" si="4">ROUNDDOWN($AD5*$AC5*(S5*S$2),0)</f>
        <v>276</v>
      </c>
      <c r="F5" s="31">
        <f t="shared" ref="F5:F19" si="5">ROUNDDOWN($AD5*$AC5*(T5*T$2),0)</f>
        <v>240</v>
      </c>
      <c r="G5" s="31">
        <f t="shared" ref="G5:G19" si="6">ROUNDDOWN($AD5*$AC5*(U5*U$2),0)</f>
        <v>222</v>
      </c>
      <c r="H5" s="31">
        <f t="shared" ref="H5:H19" si="7">ROUNDDOWN($AD5*$AC5*(V5*V$2),0)</f>
        <v>201</v>
      </c>
      <c r="I5" s="31">
        <f t="shared" ref="I5:I19" si="8">ROUNDDOWN($AD5*$AC5*(W5*W$2),0)</f>
        <v>206</v>
      </c>
      <c r="J5" s="31">
        <f t="shared" ref="J5:J19" si="9">ROUNDDOWN($AD5*$AC5*(X5*X$2),0)</f>
        <v>241</v>
      </c>
      <c r="K5" s="31">
        <f t="shared" ref="K5:K19" si="10">ROUNDDOWN($AD5*$AC5*(Y5*Y$2),0)</f>
        <v>241</v>
      </c>
      <c r="L5" s="31">
        <f t="shared" ref="L5:L19" si="11">ROUNDDOWN($AD5*$AC5*(Z5*Z$2),0)</f>
        <v>267</v>
      </c>
      <c r="M5" s="31">
        <f t="shared" ref="M5:M19" si="12">ROUNDDOWN($AD5*$AC5*(AA5*AA$2),0)</f>
        <v>267</v>
      </c>
      <c r="N5" s="44">
        <f t="shared" ref="N5:N19" si="13">ROUNDDOWN($AD5*$AC5*(AB5*AB$2),0)</f>
        <v>284</v>
      </c>
      <c r="O5" s="47">
        <f t="shared" ref="O5:O19" si="14">AVERAGE(C5:N5)</f>
        <v>248.83333333333334</v>
      </c>
      <c r="Q5" s="60">
        <v>6.14</v>
      </c>
      <c r="R5" s="32">
        <v>6.01</v>
      </c>
      <c r="S5" s="32">
        <v>5.89</v>
      </c>
      <c r="T5" s="32">
        <v>5.3</v>
      </c>
      <c r="U5" s="32">
        <v>4.75</v>
      </c>
      <c r="V5" s="32">
        <v>4.4400000000000004</v>
      </c>
      <c r="W5" s="32">
        <v>4.4000000000000004</v>
      </c>
      <c r="X5" s="32">
        <v>5.15</v>
      </c>
      <c r="Y5" s="32">
        <v>5.33</v>
      </c>
      <c r="Z5" s="32">
        <v>5.71</v>
      </c>
      <c r="AA5" s="32">
        <v>5.89</v>
      </c>
      <c r="AB5" s="33">
        <v>6.06</v>
      </c>
      <c r="AC5" s="34">
        <v>0.8</v>
      </c>
      <c r="AD5" s="35">
        <f>VLOOKUP($B5,Tabela14[[Cliente]:[Potência]],4,0)</f>
        <v>1.89</v>
      </c>
    </row>
    <row r="6" spans="1:30" x14ac:dyDescent="0.25">
      <c r="A6" s="36">
        <f t="shared" si="1"/>
        <v>4</v>
      </c>
      <c r="B6" s="54" t="s">
        <v>241</v>
      </c>
      <c r="C6" s="50">
        <f t="shared" si="2"/>
        <v>502</v>
      </c>
      <c r="D6" s="31">
        <f t="shared" si="3"/>
        <v>444</v>
      </c>
      <c r="E6" s="31">
        <f t="shared" si="4"/>
        <v>482</v>
      </c>
      <c r="F6" s="31">
        <f t="shared" si="5"/>
        <v>419</v>
      </c>
      <c r="G6" s="31">
        <f t="shared" si="6"/>
        <v>388</v>
      </c>
      <c r="H6" s="31">
        <f t="shared" si="7"/>
        <v>351</v>
      </c>
      <c r="I6" s="31">
        <f t="shared" si="8"/>
        <v>360</v>
      </c>
      <c r="J6" s="31">
        <f t="shared" si="9"/>
        <v>421</v>
      </c>
      <c r="K6" s="31">
        <f t="shared" si="10"/>
        <v>422</v>
      </c>
      <c r="L6" s="31">
        <f t="shared" si="11"/>
        <v>467</v>
      </c>
      <c r="M6" s="31">
        <f t="shared" si="12"/>
        <v>466</v>
      </c>
      <c r="N6" s="44">
        <f t="shared" si="13"/>
        <v>495</v>
      </c>
      <c r="O6" s="47">
        <f t="shared" si="14"/>
        <v>434.75</v>
      </c>
      <c r="Q6" s="60">
        <v>6.14</v>
      </c>
      <c r="R6" s="32">
        <v>6.01</v>
      </c>
      <c r="S6" s="32">
        <v>5.89</v>
      </c>
      <c r="T6" s="32">
        <v>5.3</v>
      </c>
      <c r="U6" s="32">
        <v>4.75</v>
      </c>
      <c r="V6" s="32">
        <v>4.4400000000000004</v>
      </c>
      <c r="W6" s="32">
        <v>4.4000000000000004</v>
      </c>
      <c r="X6" s="32">
        <v>5.15</v>
      </c>
      <c r="Y6" s="32">
        <v>5.33</v>
      </c>
      <c r="Z6" s="32">
        <v>5.71</v>
      </c>
      <c r="AA6" s="32">
        <v>5.89</v>
      </c>
      <c r="AB6" s="33">
        <v>6.06</v>
      </c>
      <c r="AC6" s="34">
        <v>0.8</v>
      </c>
      <c r="AD6" s="35">
        <f>VLOOKUP($B6,Tabela14[[Cliente]:[Potência]],4,0)</f>
        <v>3.3</v>
      </c>
    </row>
    <row r="7" spans="1:30" x14ac:dyDescent="0.25">
      <c r="A7" s="36">
        <f t="shared" si="1"/>
        <v>5</v>
      </c>
      <c r="B7" s="54" t="s">
        <v>242</v>
      </c>
      <c r="C7" s="50">
        <f t="shared" si="2"/>
        <v>986</v>
      </c>
      <c r="D7" s="31">
        <f t="shared" si="3"/>
        <v>872</v>
      </c>
      <c r="E7" s="31">
        <f t="shared" si="4"/>
        <v>946</v>
      </c>
      <c r="F7" s="31">
        <f t="shared" si="5"/>
        <v>824</v>
      </c>
      <c r="G7" s="31">
        <f t="shared" si="6"/>
        <v>763</v>
      </c>
      <c r="H7" s="31">
        <f t="shared" si="7"/>
        <v>690</v>
      </c>
      <c r="I7" s="31">
        <f t="shared" si="8"/>
        <v>707</v>
      </c>
      <c r="J7" s="31">
        <f t="shared" si="9"/>
        <v>827</v>
      </c>
      <c r="K7" s="31">
        <f t="shared" si="10"/>
        <v>828</v>
      </c>
      <c r="L7" s="31">
        <f t="shared" si="11"/>
        <v>917</v>
      </c>
      <c r="M7" s="31">
        <f t="shared" si="12"/>
        <v>916</v>
      </c>
      <c r="N7" s="44">
        <f t="shared" si="13"/>
        <v>973</v>
      </c>
      <c r="O7" s="47">
        <f t="shared" si="14"/>
        <v>854.08333333333337</v>
      </c>
      <c r="Q7" s="60">
        <v>6.14</v>
      </c>
      <c r="R7" s="32">
        <v>6.01</v>
      </c>
      <c r="S7" s="32">
        <v>5.89</v>
      </c>
      <c r="T7" s="32">
        <v>5.3</v>
      </c>
      <c r="U7" s="32">
        <v>4.75</v>
      </c>
      <c r="V7" s="32">
        <v>4.4400000000000004</v>
      </c>
      <c r="W7" s="32">
        <v>4.4000000000000004</v>
      </c>
      <c r="X7" s="32">
        <v>5.15</v>
      </c>
      <c r="Y7" s="32">
        <v>5.33</v>
      </c>
      <c r="Z7" s="32">
        <v>5.71</v>
      </c>
      <c r="AA7" s="32">
        <v>5.89</v>
      </c>
      <c r="AB7" s="33">
        <v>6.06</v>
      </c>
      <c r="AC7" s="34">
        <v>0.8</v>
      </c>
      <c r="AD7" s="35">
        <f>VLOOKUP($B7,Tabela14[[Cliente]:[Potência]],4,0)</f>
        <v>6.48</v>
      </c>
    </row>
    <row r="8" spans="1:30" x14ac:dyDescent="0.25">
      <c r="A8" s="36">
        <f t="shared" si="1"/>
        <v>6</v>
      </c>
      <c r="B8" s="54" t="s">
        <v>243</v>
      </c>
      <c r="C8" s="50">
        <f t="shared" si="2"/>
        <v>452</v>
      </c>
      <c r="D8" s="31">
        <f t="shared" si="3"/>
        <v>399</v>
      </c>
      <c r="E8" s="31">
        <f t="shared" si="4"/>
        <v>433</v>
      </c>
      <c r="F8" s="31">
        <f t="shared" si="5"/>
        <v>377</v>
      </c>
      <c r="G8" s="31">
        <f t="shared" si="6"/>
        <v>349</v>
      </c>
      <c r="H8" s="31">
        <f t="shared" si="7"/>
        <v>316</v>
      </c>
      <c r="I8" s="31">
        <f t="shared" si="8"/>
        <v>324</v>
      </c>
      <c r="J8" s="31">
        <f t="shared" si="9"/>
        <v>379</v>
      </c>
      <c r="K8" s="31">
        <f t="shared" si="10"/>
        <v>379</v>
      </c>
      <c r="L8" s="31">
        <f t="shared" si="11"/>
        <v>420</v>
      </c>
      <c r="M8" s="31">
        <f t="shared" si="12"/>
        <v>419</v>
      </c>
      <c r="N8" s="44">
        <f t="shared" si="13"/>
        <v>446</v>
      </c>
      <c r="O8" s="47">
        <f t="shared" si="14"/>
        <v>391.08333333333331</v>
      </c>
      <c r="Q8" s="60">
        <v>6.14</v>
      </c>
      <c r="R8" s="32">
        <v>6.01</v>
      </c>
      <c r="S8" s="32">
        <v>5.89</v>
      </c>
      <c r="T8" s="32">
        <v>5.3</v>
      </c>
      <c r="U8" s="32">
        <v>4.75</v>
      </c>
      <c r="V8" s="32">
        <v>4.4400000000000004</v>
      </c>
      <c r="W8" s="32">
        <v>4.4000000000000004</v>
      </c>
      <c r="X8" s="32">
        <v>5.15</v>
      </c>
      <c r="Y8" s="32">
        <v>5.33</v>
      </c>
      <c r="Z8" s="32">
        <v>5.71</v>
      </c>
      <c r="AA8" s="32">
        <v>5.89</v>
      </c>
      <c r="AB8" s="33">
        <v>6.06</v>
      </c>
      <c r="AC8" s="34">
        <v>0.8</v>
      </c>
      <c r="AD8" s="35">
        <f>VLOOKUP($B8,Tabela14[[Cliente]:[Potência]],4,0)</f>
        <v>2.97</v>
      </c>
    </row>
    <row r="9" spans="1:30" x14ac:dyDescent="0.25">
      <c r="A9" s="36">
        <f t="shared" si="1"/>
        <v>7</v>
      </c>
      <c r="B9" s="54" t="s">
        <v>244</v>
      </c>
      <c r="C9" s="50">
        <f t="shared" si="2"/>
        <v>2121</v>
      </c>
      <c r="D9" s="31">
        <f t="shared" si="3"/>
        <v>1906</v>
      </c>
      <c r="E9" s="31">
        <f t="shared" si="4"/>
        <v>2010</v>
      </c>
      <c r="F9" s="31">
        <f t="shared" si="5"/>
        <v>1700</v>
      </c>
      <c r="G9" s="31">
        <f t="shared" si="6"/>
        <v>1495</v>
      </c>
      <c r="H9" s="31">
        <f t="shared" si="7"/>
        <v>1236</v>
      </c>
      <c r="I9" s="31">
        <f t="shared" si="8"/>
        <v>1406</v>
      </c>
      <c r="J9" s="31">
        <f t="shared" si="9"/>
        <v>1627</v>
      </c>
      <c r="K9" s="31">
        <f t="shared" si="10"/>
        <v>1550</v>
      </c>
      <c r="L9" s="31">
        <f t="shared" si="11"/>
        <v>1867</v>
      </c>
      <c r="M9" s="31">
        <f t="shared" si="12"/>
        <v>2027</v>
      </c>
      <c r="N9" s="44">
        <f t="shared" si="13"/>
        <v>2158</v>
      </c>
      <c r="O9" s="47">
        <f t="shared" si="14"/>
        <v>1758.5833333333333</v>
      </c>
      <c r="Q9" s="60">
        <v>5.76</v>
      </c>
      <c r="R9" s="32">
        <v>5.73</v>
      </c>
      <c r="S9" s="32">
        <v>5.46</v>
      </c>
      <c r="T9" s="32">
        <v>4.7699999999999996</v>
      </c>
      <c r="U9" s="32">
        <v>4.0599999999999996</v>
      </c>
      <c r="V9" s="32">
        <v>3.47</v>
      </c>
      <c r="W9" s="32">
        <v>3.82</v>
      </c>
      <c r="X9" s="32">
        <v>4.42</v>
      </c>
      <c r="Y9" s="32">
        <v>4.3499999999999996</v>
      </c>
      <c r="Z9" s="32">
        <v>5.07</v>
      </c>
      <c r="AA9" s="32">
        <v>5.69</v>
      </c>
      <c r="AB9" s="33">
        <v>5.86</v>
      </c>
      <c r="AC9" s="34">
        <v>0.75</v>
      </c>
      <c r="AD9" s="35">
        <f>VLOOKUP($B9,Tabela14[[Cliente]:[Potência]],4,0)</f>
        <v>15.84</v>
      </c>
    </row>
    <row r="10" spans="1:30" x14ac:dyDescent="0.25">
      <c r="A10" s="36">
        <f t="shared" si="1"/>
        <v>8</v>
      </c>
      <c r="B10" s="54" t="s">
        <v>245</v>
      </c>
      <c r="C10" s="50">
        <f t="shared" si="2"/>
        <v>500</v>
      </c>
      <c r="D10" s="31">
        <f t="shared" si="3"/>
        <v>450</v>
      </c>
      <c r="E10" s="31">
        <f t="shared" si="4"/>
        <v>474</v>
      </c>
      <c r="F10" s="31">
        <f t="shared" si="5"/>
        <v>401</v>
      </c>
      <c r="G10" s="31">
        <f t="shared" si="6"/>
        <v>353</v>
      </c>
      <c r="H10" s="31">
        <f t="shared" si="7"/>
        <v>292</v>
      </c>
      <c r="I10" s="31">
        <f t="shared" si="8"/>
        <v>332</v>
      </c>
      <c r="J10" s="31">
        <f t="shared" si="9"/>
        <v>384</v>
      </c>
      <c r="K10" s="31">
        <f t="shared" si="10"/>
        <v>366</v>
      </c>
      <c r="L10" s="31">
        <f t="shared" si="11"/>
        <v>440</v>
      </c>
      <c r="M10" s="31">
        <f t="shared" si="12"/>
        <v>478</v>
      </c>
      <c r="N10" s="44">
        <f t="shared" si="13"/>
        <v>509</v>
      </c>
      <c r="O10" s="47">
        <f t="shared" si="14"/>
        <v>414.91666666666669</v>
      </c>
      <c r="Q10" s="60">
        <v>5.76</v>
      </c>
      <c r="R10" s="32">
        <v>5.73</v>
      </c>
      <c r="S10" s="32">
        <v>5.46</v>
      </c>
      <c r="T10" s="32">
        <v>4.7699999999999996</v>
      </c>
      <c r="U10" s="32">
        <v>4.0599999999999996</v>
      </c>
      <c r="V10" s="32">
        <v>3.47</v>
      </c>
      <c r="W10" s="32">
        <v>3.82</v>
      </c>
      <c r="X10" s="32">
        <v>4.42</v>
      </c>
      <c r="Y10" s="32">
        <v>4.3499999999999996</v>
      </c>
      <c r="Z10" s="32">
        <v>5.07</v>
      </c>
      <c r="AA10" s="32">
        <v>5.69</v>
      </c>
      <c r="AB10" s="33">
        <v>5.86</v>
      </c>
      <c r="AC10" s="34">
        <v>0.85</v>
      </c>
      <c r="AD10" s="35">
        <f>VLOOKUP($B10,Tabela14[[Cliente]:[Potência]],4,0)</f>
        <v>3.3</v>
      </c>
    </row>
    <row r="11" spans="1:30" x14ac:dyDescent="0.25">
      <c r="A11" s="36">
        <f t="shared" si="1"/>
        <v>9</v>
      </c>
      <c r="B11" s="54" t="s">
        <v>246</v>
      </c>
      <c r="C11" s="50">
        <f t="shared" si="2"/>
        <v>8762</v>
      </c>
      <c r="D11" s="31">
        <f t="shared" si="3"/>
        <v>7746</v>
      </c>
      <c r="E11" s="31">
        <f t="shared" si="4"/>
        <v>8405</v>
      </c>
      <c r="F11" s="31">
        <f t="shared" si="5"/>
        <v>7319</v>
      </c>
      <c r="G11" s="31">
        <f t="shared" si="6"/>
        <v>6778</v>
      </c>
      <c r="H11" s="31">
        <f t="shared" si="7"/>
        <v>6131</v>
      </c>
      <c r="I11" s="31">
        <f t="shared" si="8"/>
        <v>6279</v>
      </c>
      <c r="J11" s="31">
        <f t="shared" si="9"/>
        <v>7349</v>
      </c>
      <c r="K11" s="31">
        <f t="shared" si="10"/>
        <v>7360</v>
      </c>
      <c r="L11" s="31">
        <f t="shared" si="11"/>
        <v>8148</v>
      </c>
      <c r="M11" s="31">
        <f t="shared" si="12"/>
        <v>8134</v>
      </c>
      <c r="N11" s="44">
        <f t="shared" si="13"/>
        <v>8648</v>
      </c>
      <c r="O11" s="47">
        <f t="shared" si="14"/>
        <v>7588.25</v>
      </c>
      <c r="Q11" s="60">
        <v>6.14</v>
      </c>
      <c r="R11" s="32">
        <v>6.01</v>
      </c>
      <c r="S11" s="32">
        <v>5.89</v>
      </c>
      <c r="T11" s="32">
        <v>5.3</v>
      </c>
      <c r="U11" s="32">
        <v>4.75</v>
      </c>
      <c r="V11" s="32">
        <v>4.4400000000000004</v>
      </c>
      <c r="W11" s="32">
        <v>4.4000000000000004</v>
      </c>
      <c r="X11" s="32">
        <v>5.15</v>
      </c>
      <c r="Y11" s="32">
        <v>5.33</v>
      </c>
      <c r="Z11" s="32">
        <v>5.71</v>
      </c>
      <c r="AA11" s="32">
        <v>5.89</v>
      </c>
      <c r="AB11" s="33">
        <v>6.06</v>
      </c>
      <c r="AC11" s="34">
        <v>0.75</v>
      </c>
      <c r="AD11" s="35">
        <f>VLOOKUP($B11,Tabela14[[Cliente]:[Potência]],4,0)</f>
        <v>61.38</v>
      </c>
    </row>
    <row r="12" spans="1:30" x14ac:dyDescent="0.25">
      <c r="A12" s="36">
        <f t="shared" si="1"/>
        <v>10</v>
      </c>
      <c r="B12" s="54" t="s">
        <v>247</v>
      </c>
      <c r="C12" s="50">
        <f t="shared" si="2"/>
        <v>901</v>
      </c>
      <c r="D12" s="31">
        <f t="shared" si="3"/>
        <v>810</v>
      </c>
      <c r="E12" s="31">
        <f t="shared" si="4"/>
        <v>854</v>
      </c>
      <c r="F12" s="31">
        <f t="shared" si="5"/>
        <v>722</v>
      </c>
      <c r="G12" s="31">
        <f t="shared" si="6"/>
        <v>635</v>
      </c>
      <c r="H12" s="31">
        <f t="shared" si="7"/>
        <v>525</v>
      </c>
      <c r="I12" s="31">
        <f t="shared" si="8"/>
        <v>597</v>
      </c>
      <c r="J12" s="31">
        <f t="shared" si="9"/>
        <v>691</v>
      </c>
      <c r="K12" s="31">
        <f t="shared" si="10"/>
        <v>658</v>
      </c>
      <c r="L12" s="31">
        <f t="shared" si="11"/>
        <v>793</v>
      </c>
      <c r="M12" s="31">
        <f t="shared" si="12"/>
        <v>861</v>
      </c>
      <c r="N12" s="44">
        <f t="shared" si="13"/>
        <v>917</v>
      </c>
      <c r="O12" s="47">
        <f t="shared" si="14"/>
        <v>747</v>
      </c>
      <c r="Q12" s="60">
        <v>5.76</v>
      </c>
      <c r="R12" s="32">
        <v>5.73</v>
      </c>
      <c r="S12" s="32">
        <v>5.46</v>
      </c>
      <c r="T12" s="32">
        <v>4.7699999999999996</v>
      </c>
      <c r="U12" s="32">
        <v>4.0599999999999996</v>
      </c>
      <c r="V12" s="32">
        <v>3.47</v>
      </c>
      <c r="W12" s="32">
        <v>3.82</v>
      </c>
      <c r="X12" s="32">
        <v>4.42</v>
      </c>
      <c r="Y12" s="32">
        <v>4.3499999999999996</v>
      </c>
      <c r="Z12" s="32">
        <v>5.07</v>
      </c>
      <c r="AA12" s="32">
        <v>5.69</v>
      </c>
      <c r="AB12" s="33">
        <v>5.86</v>
      </c>
      <c r="AC12" s="34">
        <v>0.85</v>
      </c>
      <c r="AD12" s="35">
        <f>VLOOKUP($B12,Tabela14[[Cliente]:[Potência]],4,0)</f>
        <v>5.94</v>
      </c>
    </row>
    <row r="13" spans="1:30" x14ac:dyDescent="0.25">
      <c r="A13" s="36">
        <f t="shared" si="1"/>
        <v>11</v>
      </c>
      <c r="B13" s="54" t="s">
        <v>248</v>
      </c>
      <c r="C13" s="50">
        <f t="shared" si="2"/>
        <v>895</v>
      </c>
      <c r="D13" s="31">
        <f t="shared" si="3"/>
        <v>804</v>
      </c>
      <c r="E13" s="31">
        <f t="shared" si="4"/>
        <v>849</v>
      </c>
      <c r="F13" s="31">
        <f t="shared" si="5"/>
        <v>717</v>
      </c>
      <c r="G13" s="31">
        <f t="shared" si="6"/>
        <v>631</v>
      </c>
      <c r="H13" s="31">
        <f t="shared" si="7"/>
        <v>522</v>
      </c>
      <c r="I13" s="31">
        <f t="shared" si="8"/>
        <v>593</v>
      </c>
      <c r="J13" s="31">
        <f t="shared" si="9"/>
        <v>687</v>
      </c>
      <c r="K13" s="31">
        <f t="shared" si="10"/>
        <v>654</v>
      </c>
      <c r="L13" s="31">
        <f t="shared" si="11"/>
        <v>788</v>
      </c>
      <c r="M13" s="31">
        <f t="shared" si="12"/>
        <v>856</v>
      </c>
      <c r="N13" s="44">
        <f t="shared" si="13"/>
        <v>911</v>
      </c>
      <c r="O13" s="47">
        <f t="shared" si="14"/>
        <v>742.25</v>
      </c>
      <c r="Q13" s="60">
        <v>5.76</v>
      </c>
      <c r="R13" s="32">
        <v>5.73</v>
      </c>
      <c r="S13" s="32">
        <v>5.46</v>
      </c>
      <c r="T13" s="32">
        <v>4.7699999999999996</v>
      </c>
      <c r="U13" s="32">
        <v>4.0599999999999996</v>
      </c>
      <c r="V13" s="32">
        <v>3.47</v>
      </c>
      <c r="W13" s="32">
        <v>3.82</v>
      </c>
      <c r="X13" s="32">
        <v>4.42</v>
      </c>
      <c r="Y13" s="32">
        <v>4.3499999999999996</v>
      </c>
      <c r="Z13" s="32">
        <v>5.07</v>
      </c>
      <c r="AA13" s="32">
        <v>5.69</v>
      </c>
      <c r="AB13" s="33">
        <v>5.86</v>
      </c>
      <c r="AC13" s="34">
        <v>0.8</v>
      </c>
      <c r="AD13" s="35">
        <f>VLOOKUP($B13,Tabela14[[Cliente]:[Potência]],4,0)</f>
        <v>6.27</v>
      </c>
    </row>
    <row r="14" spans="1:30" x14ac:dyDescent="0.25">
      <c r="A14" s="36">
        <f t="shared" si="1"/>
        <v>12</v>
      </c>
      <c r="B14" s="54" t="s">
        <v>249</v>
      </c>
      <c r="C14" s="50">
        <f t="shared" si="2"/>
        <v>701</v>
      </c>
      <c r="D14" s="31">
        <f t="shared" si="3"/>
        <v>630</v>
      </c>
      <c r="E14" s="31">
        <f t="shared" si="4"/>
        <v>664</v>
      </c>
      <c r="F14" s="31">
        <f t="shared" si="5"/>
        <v>561</v>
      </c>
      <c r="G14" s="31">
        <f t="shared" si="6"/>
        <v>494</v>
      </c>
      <c r="H14" s="31">
        <f t="shared" si="7"/>
        <v>408</v>
      </c>
      <c r="I14" s="31">
        <f t="shared" si="8"/>
        <v>465</v>
      </c>
      <c r="J14" s="31">
        <f t="shared" si="9"/>
        <v>538</v>
      </c>
      <c r="K14" s="31">
        <f t="shared" si="10"/>
        <v>512</v>
      </c>
      <c r="L14" s="31">
        <f t="shared" si="11"/>
        <v>617</v>
      </c>
      <c r="M14" s="31">
        <f t="shared" si="12"/>
        <v>670</v>
      </c>
      <c r="N14" s="44">
        <f t="shared" si="13"/>
        <v>713</v>
      </c>
      <c r="O14" s="47">
        <f t="shared" si="14"/>
        <v>581.08333333333337</v>
      </c>
      <c r="Q14" s="60">
        <v>5.76</v>
      </c>
      <c r="R14" s="32">
        <v>5.73</v>
      </c>
      <c r="S14" s="32">
        <v>5.46</v>
      </c>
      <c r="T14" s="32">
        <v>4.7699999999999996</v>
      </c>
      <c r="U14" s="32">
        <v>4.0599999999999996</v>
      </c>
      <c r="V14" s="32">
        <v>3.47</v>
      </c>
      <c r="W14" s="32">
        <v>3.82</v>
      </c>
      <c r="X14" s="32">
        <v>4.42</v>
      </c>
      <c r="Y14" s="32">
        <v>4.3499999999999996</v>
      </c>
      <c r="Z14" s="32">
        <v>5.07</v>
      </c>
      <c r="AA14" s="32">
        <v>5.69</v>
      </c>
      <c r="AB14" s="33">
        <v>5.86</v>
      </c>
      <c r="AC14" s="34">
        <v>0.85</v>
      </c>
      <c r="AD14" s="35">
        <f>VLOOKUP($B14,Tabela14[[Cliente]:[Potência]],4,0)</f>
        <v>4.62</v>
      </c>
    </row>
    <row r="15" spans="1:30" x14ac:dyDescent="0.25">
      <c r="A15" s="36">
        <f t="shared" si="1"/>
        <v>13</v>
      </c>
      <c r="B15" s="54" t="s">
        <v>250</v>
      </c>
      <c r="C15" s="50">
        <f t="shared" si="2"/>
        <v>3535</v>
      </c>
      <c r="D15" s="31">
        <f t="shared" si="3"/>
        <v>3176</v>
      </c>
      <c r="E15" s="31">
        <f t="shared" si="4"/>
        <v>3351</v>
      </c>
      <c r="F15" s="31">
        <f t="shared" si="5"/>
        <v>2833</v>
      </c>
      <c r="G15" s="31">
        <f t="shared" si="6"/>
        <v>2492</v>
      </c>
      <c r="H15" s="31">
        <f t="shared" si="7"/>
        <v>2061</v>
      </c>
      <c r="I15" s="31">
        <f t="shared" si="8"/>
        <v>2344</v>
      </c>
      <c r="J15" s="31">
        <f t="shared" si="9"/>
        <v>2712</v>
      </c>
      <c r="K15" s="31">
        <f t="shared" si="10"/>
        <v>2583</v>
      </c>
      <c r="L15" s="31">
        <f t="shared" si="11"/>
        <v>3111</v>
      </c>
      <c r="M15" s="31">
        <f t="shared" si="12"/>
        <v>3379</v>
      </c>
      <c r="N15" s="44">
        <f t="shared" si="13"/>
        <v>3596</v>
      </c>
      <c r="O15" s="47">
        <f t="shared" si="14"/>
        <v>2931.0833333333335</v>
      </c>
      <c r="Q15" s="60">
        <v>5.76</v>
      </c>
      <c r="R15" s="32">
        <v>5.73</v>
      </c>
      <c r="S15" s="32">
        <v>5.46</v>
      </c>
      <c r="T15" s="32">
        <v>4.7699999999999996</v>
      </c>
      <c r="U15" s="32">
        <v>4.0599999999999996</v>
      </c>
      <c r="V15" s="32">
        <v>3.47</v>
      </c>
      <c r="W15" s="32">
        <v>3.82</v>
      </c>
      <c r="X15" s="32">
        <v>4.42</v>
      </c>
      <c r="Y15" s="32">
        <v>4.3499999999999996</v>
      </c>
      <c r="Z15" s="32">
        <v>5.07</v>
      </c>
      <c r="AA15" s="32">
        <v>5.69</v>
      </c>
      <c r="AB15" s="33">
        <v>5.86</v>
      </c>
      <c r="AC15" s="34">
        <v>0.75</v>
      </c>
      <c r="AD15" s="35">
        <f>VLOOKUP($B15,Tabela14[[Cliente]:[Potência]],4,0)</f>
        <v>26.4</v>
      </c>
    </row>
    <row r="16" spans="1:30" x14ac:dyDescent="0.25">
      <c r="A16" s="36">
        <f t="shared" si="1"/>
        <v>14</v>
      </c>
      <c r="B16" s="54" t="s">
        <v>251</v>
      </c>
      <c r="C16" s="50">
        <f t="shared" si="2"/>
        <v>1791</v>
      </c>
      <c r="D16" s="31">
        <f t="shared" si="3"/>
        <v>1609</v>
      </c>
      <c r="E16" s="31">
        <f t="shared" si="4"/>
        <v>1698</v>
      </c>
      <c r="F16" s="31">
        <f t="shared" si="5"/>
        <v>1435</v>
      </c>
      <c r="G16" s="31">
        <f t="shared" si="6"/>
        <v>1262</v>
      </c>
      <c r="H16" s="31">
        <f t="shared" si="7"/>
        <v>1044</v>
      </c>
      <c r="I16" s="31">
        <f t="shared" si="8"/>
        <v>1187</v>
      </c>
      <c r="J16" s="31">
        <f t="shared" si="9"/>
        <v>1374</v>
      </c>
      <c r="K16" s="31">
        <f t="shared" si="10"/>
        <v>1309</v>
      </c>
      <c r="L16" s="31">
        <f t="shared" si="11"/>
        <v>1576</v>
      </c>
      <c r="M16" s="31">
        <f t="shared" si="12"/>
        <v>1712</v>
      </c>
      <c r="N16" s="44">
        <f t="shared" si="13"/>
        <v>1822</v>
      </c>
      <c r="O16" s="47">
        <f t="shared" si="14"/>
        <v>1484.9166666666667</v>
      </c>
      <c r="Q16" s="60">
        <v>5.76</v>
      </c>
      <c r="R16" s="32">
        <v>5.73</v>
      </c>
      <c r="S16" s="32">
        <v>5.46</v>
      </c>
      <c r="T16" s="32">
        <v>4.7699999999999996</v>
      </c>
      <c r="U16" s="32">
        <v>4.0599999999999996</v>
      </c>
      <c r="V16" s="32">
        <v>3.47</v>
      </c>
      <c r="W16" s="32">
        <v>3.82</v>
      </c>
      <c r="X16" s="32">
        <v>4.42</v>
      </c>
      <c r="Y16" s="32">
        <v>4.3499999999999996</v>
      </c>
      <c r="Z16" s="32">
        <v>5.07</v>
      </c>
      <c r="AA16" s="32">
        <v>5.69</v>
      </c>
      <c r="AB16" s="33">
        <v>5.86</v>
      </c>
      <c r="AC16" s="34">
        <v>0.8</v>
      </c>
      <c r="AD16" s="35">
        <f>VLOOKUP($B16,Tabela14[[Cliente]:[Potência]],4,0)</f>
        <v>12.54</v>
      </c>
    </row>
    <row r="17" spans="1:30" x14ac:dyDescent="0.25">
      <c r="A17" s="36">
        <f t="shared" si="1"/>
        <v>15</v>
      </c>
      <c r="B17" s="54" t="s">
        <v>252</v>
      </c>
      <c r="C17" s="50">
        <f t="shared" si="2"/>
        <v>565</v>
      </c>
      <c r="D17" s="31">
        <f t="shared" si="3"/>
        <v>508</v>
      </c>
      <c r="E17" s="31">
        <f t="shared" si="4"/>
        <v>536</v>
      </c>
      <c r="F17" s="31">
        <f t="shared" si="5"/>
        <v>453</v>
      </c>
      <c r="G17" s="31">
        <f t="shared" si="6"/>
        <v>398</v>
      </c>
      <c r="H17" s="31">
        <f t="shared" si="7"/>
        <v>329</v>
      </c>
      <c r="I17" s="31">
        <f t="shared" si="8"/>
        <v>375</v>
      </c>
      <c r="J17" s="31">
        <f t="shared" si="9"/>
        <v>434</v>
      </c>
      <c r="K17" s="31">
        <f t="shared" si="10"/>
        <v>413</v>
      </c>
      <c r="L17" s="31">
        <f t="shared" si="11"/>
        <v>497</v>
      </c>
      <c r="M17" s="31">
        <f t="shared" si="12"/>
        <v>540</v>
      </c>
      <c r="N17" s="44">
        <f t="shared" si="13"/>
        <v>575</v>
      </c>
      <c r="O17" s="47">
        <f t="shared" si="14"/>
        <v>468.58333333333331</v>
      </c>
      <c r="Q17" s="60">
        <v>5.76</v>
      </c>
      <c r="R17" s="32">
        <v>5.73</v>
      </c>
      <c r="S17" s="32">
        <v>5.46</v>
      </c>
      <c r="T17" s="32">
        <v>4.7699999999999996</v>
      </c>
      <c r="U17" s="32">
        <v>4.0599999999999996</v>
      </c>
      <c r="V17" s="32">
        <v>3.47</v>
      </c>
      <c r="W17" s="32">
        <v>3.82</v>
      </c>
      <c r="X17" s="32">
        <v>4.42</v>
      </c>
      <c r="Y17" s="32">
        <v>4.3499999999999996</v>
      </c>
      <c r="Z17" s="32">
        <v>5.07</v>
      </c>
      <c r="AA17" s="32">
        <v>5.69</v>
      </c>
      <c r="AB17" s="33">
        <v>5.86</v>
      </c>
      <c r="AC17" s="34">
        <v>0.8</v>
      </c>
      <c r="AD17" s="35">
        <f>VLOOKUP($B17,Tabela14[[Cliente]:[Potência]],4,0)</f>
        <v>3.96</v>
      </c>
    </row>
    <row r="18" spans="1:30" x14ac:dyDescent="0.25">
      <c r="A18" s="36">
        <f t="shared" si="1"/>
        <v>16</v>
      </c>
      <c r="B18" s="54" t="s">
        <v>253</v>
      </c>
      <c r="C18" s="50">
        <f t="shared" si="2"/>
        <v>8678</v>
      </c>
      <c r="D18" s="31">
        <f t="shared" si="3"/>
        <v>7797</v>
      </c>
      <c r="E18" s="31">
        <f t="shared" si="4"/>
        <v>8226</v>
      </c>
      <c r="F18" s="31">
        <f t="shared" si="5"/>
        <v>6954</v>
      </c>
      <c r="G18" s="31">
        <f t="shared" si="6"/>
        <v>6116</v>
      </c>
      <c r="H18" s="31">
        <f t="shared" si="7"/>
        <v>5059</v>
      </c>
      <c r="I18" s="31">
        <f t="shared" si="8"/>
        <v>5755</v>
      </c>
      <c r="J18" s="31">
        <f t="shared" si="9"/>
        <v>6659</v>
      </c>
      <c r="K18" s="31">
        <f t="shared" si="10"/>
        <v>6342</v>
      </c>
      <c r="L18" s="31">
        <f t="shared" si="11"/>
        <v>7638</v>
      </c>
      <c r="M18" s="31">
        <f t="shared" si="12"/>
        <v>8296</v>
      </c>
      <c r="N18" s="44">
        <f t="shared" si="13"/>
        <v>8828</v>
      </c>
      <c r="O18" s="47">
        <f t="shared" si="14"/>
        <v>7195.666666666667</v>
      </c>
      <c r="Q18" s="60">
        <v>5.76</v>
      </c>
      <c r="R18" s="32">
        <v>5.73</v>
      </c>
      <c r="S18" s="32">
        <v>5.46</v>
      </c>
      <c r="T18" s="32">
        <v>4.7699999999999996</v>
      </c>
      <c r="U18" s="32">
        <v>4.0599999999999996</v>
      </c>
      <c r="V18" s="32">
        <v>3.47</v>
      </c>
      <c r="W18" s="32">
        <v>3.82</v>
      </c>
      <c r="X18" s="32">
        <v>4.42</v>
      </c>
      <c r="Y18" s="32">
        <v>4.3499999999999996</v>
      </c>
      <c r="Z18" s="32">
        <v>5.07</v>
      </c>
      <c r="AA18" s="32">
        <v>5.69</v>
      </c>
      <c r="AB18" s="33">
        <v>5.86</v>
      </c>
      <c r="AC18" s="34">
        <v>0.75</v>
      </c>
      <c r="AD18" s="35">
        <f>VLOOKUP($B18,Tabela14[[Cliente]:[Potência]],4,0)</f>
        <v>64.8</v>
      </c>
    </row>
    <row r="19" spans="1:30" x14ac:dyDescent="0.25">
      <c r="A19" s="36">
        <f t="shared" si="1"/>
        <v>17</v>
      </c>
      <c r="B19" s="54" t="s">
        <v>254</v>
      </c>
      <c r="C19" s="50">
        <f t="shared" si="2"/>
        <v>801</v>
      </c>
      <c r="D19" s="31">
        <f t="shared" si="3"/>
        <v>723</v>
      </c>
      <c r="E19" s="31">
        <f t="shared" si="4"/>
        <v>749</v>
      </c>
      <c r="F19" s="31">
        <f t="shared" si="5"/>
        <v>646</v>
      </c>
      <c r="G19" s="31">
        <f t="shared" si="6"/>
        <v>566</v>
      </c>
      <c r="H19" s="31">
        <f t="shared" si="7"/>
        <v>471</v>
      </c>
      <c r="I19" s="31">
        <f t="shared" si="8"/>
        <v>537</v>
      </c>
      <c r="J19" s="31">
        <f t="shared" si="9"/>
        <v>626</v>
      </c>
      <c r="K19" s="31">
        <f t="shared" si="10"/>
        <v>586</v>
      </c>
      <c r="L19" s="31">
        <f t="shared" si="11"/>
        <v>701</v>
      </c>
      <c r="M19" s="31">
        <f t="shared" si="12"/>
        <v>761</v>
      </c>
      <c r="N19" s="44">
        <f t="shared" si="13"/>
        <v>806</v>
      </c>
      <c r="O19" s="47">
        <f t="shared" si="14"/>
        <v>664.41666666666663</v>
      </c>
      <c r="Q19" s="60">
        <v>5.8</v>
      </c>
      <c r="R19" s="32">
        <v>5.8</v>
      </c>
      <c r="S19" s="32">
        <v>5.43</v>
      </c>
      <c r="T19" s="32">
        <v>4.84</v>
      </c>
      <c r="U19" s="32">
        <v>4.0999999999999996</v>
      </c>
      <c r="V19" s="32">
        <v>3.53</v>
      </c>
      <c r="W19" s="32">
        <v>3.89</v>
      </c>
      <c r="X19" s="32">
        <v>4.54</v>
      </c>
      <c r="Y19" s="32">
        <v>4.3899999999999997</v>
      </c>
      <c r="Z19" s="32">
        <v>5.08</v>
      </c>
      <c r="AA19" s="32">
        <v>5.7</v>
      </c>
      <c r="AB19" s="33">
        <v>5.84</v>
      </c>
      <c r="AC19" s="34">
        <v>0.75</v>
      </c>
      <c r="AD19" s="35">
        <f>VLOOKUP($B19,Tabela14[[Cliente]:[Potência]],4,0)</f>
        <v>5.94</v>
      </c>
    </row>
    <row r="20" spans="1:30" x14ac:dyDescent="0.25">
      <c r="A20" s="36">
        <f t="shared" si="1"/>
        <v>18</v>
      </c>
      <c r="B20" s="54" t="s">
        <v>255</v>
      </c>
      <c r="C20" s="50">
        <f t="shared" ref="C20:C76" si="15">ROUNDDOWN($AD20*$AC20*(Q20*Q$2),0)</f>
        <v>4120</v>
      </c>
      <c r="D20" s="31">
        <f t="shared" ref="D20:D76" si="16">ROUNDDOWN($AD20*$AC20*(R20*R$2),0)</f>
        <v>3642</v>
      </c>
      <c r="E20" s="31">
        <f t="shared" ref="E20:E76" si="17">ROUNDDOWN($AD20*$AC20*(S20*S$2),0)</f>
        <v>3952</v>
      </c>
      <c r="F20" s="31">
        <f t="shared" ref="F20:F76" si="18">ROUNDDOWN($AD20*$AC20*(T20*T$2),0)</f>
        <v>3442</v>
      </c>
      <c r="G20" s="31">
        <f t="shared" ref="G20:G76" si="19">ROUNDDOWN($AD20*$AC20*(U20*U$2),0)</f>
        <v>3187</v>
      </c>
      <c r="H20" s="31">
        <f t="shared" ref="H20:H76" si="20">ROUNDDOWN($AD20*$AC20*(V20*V$2),0)</f>
        <v>2883</v>
      </c>
      <c r="I20" s="31">
        <f t="shared" ref="I20:I76" si="21">ROUNDDOWN($AD20*$AC20*(W20*W$2),0)</f>
        <v>2952</v>
      </c>
      <c r="J20" s="31">
        <f t="shared" ref="J20:J76" si="22">ROUNDDOWN($AD20*$AC20*(X20*X$2),0)</f>
        <v>3456</v>
      </c>
      <c r="K20" s="31">
        <f t="shared" ref="K20:K76" si="23">ROUNDDOWN($AD20*$AC20*(Y20*Y$2),0)</f>
        <v>3461</v>
      </c>
      <c r="L20" s="31">
        <f t="shared" ref="L20:L76" si="24">ROUNDDOWN($AD20*$AC20*(Z20*Z$2),0)</f>
        <v>3831</v>
      </c>
      <c r="M20" s="31">
        <f t="shared" ref="M20:M76" si="25">ROUNDDOWN($AD20*$AC20*(AA20*AA$2),0)</f>
        <v>3825</v>
      </c>
      <c r="N20" s="44">
        <f t="shared" ref="N20:N76" si="26">ROUNDDOWN($AD20*$AC20*(AB20*AB$2),0)</f>
        <v>4066</v>
      </c>
      <c r="O20" s="47">
        <f t="shared" ref="O20:O76" si="27">AVERAGE(C20:N20)</f>
        <v>3568.0833333333335</v>
      </c>
      <c r="Q20" s="60">
        <v>6.14</v>
      </c>
      <c r="R20" s="32">
        <v>6.01</v>
      </c>
      <c r="S20" s="32">
        <v>5.89</v>
      </c>
      <c r="T20" s="32">
        <v>5.3</v>
      </c>
      <c r="U20" s="32">
        <v>4.75</v>
      </c>
      <c r="V20" s="32">
        <v>4.4400000000000004</v>
      </c>
      <c r="W20" s="32">
        <v>4.4000000000000004</v>
      </c>
      <c r="X20" s="32">
        <v>5.15</v>
      </c>
      <c r="Y20" s="32">
        <v>5.33</v>
      </c>
      <c r="Z20" s="32">
        <v>5.71</v>
      </c>
      <c r="AA20" s="32">
        <v>5.89</v>
      </c>
      <c r="AB20" s="33">
        <v>6.06</v>
      </c>
      <c r="AC20" s="34">
        <v>0.82</v>
      </c>
      <c r="AD20" s="35">
        <f>VLOOKUP($B20,Tabela14[[Cliente]:[Potência]],4,0)</f>
        <v>26.4</v>
      </c>
    </row>
    <row r="21" spans="1:30" x14ac:dyDescent="0.25">
      <c r="A21" s="36">
        <f t="shared" si="1"/>
        <v>19</v>
      </c>
      <c r="B21" s="54" t="s">
        <v>256</v>
      </c>
      <c r="C21" s="50">
        <f t="shared" si="15"/>
        <v>530</v>
      </c>
      <c r="D21" s="31">
        <f t="shared" si="16"/>
        <v>476</v>
      </c>
      <c r="E21" s="31">
        <f t="shared" si="17"/>
        <v>502</v>
      </c>
      <c r="F21" s="31">
        <f t="shared" si="18"/>
        <v>425</v>
      </c>
      <c r="G21" s="31">
        <f t="shared" si="19"/>
        <v>373</v>
      </c>
      <c r="H21" s="31">
        <f t="shared" si="20"/>
        <v>309</v>
      </c>
      <c r="I21" s="31">
        <f t="shared" si="21"/>
        <v>351</v>
      </c>
      <c r="J21" s="31">
        <f t="shared" si="22"/>
        <v>406</v>
      </c>
      <c r="K21" s="31">
        <f t="shared" si="23"/>
        <v>387</v>
      </c>
      <c r="L21" s="31">
        <f t="shared" si="24"/>
        <v>466</v>
      </c>
      <c r="M21" s="31">
        <f t="shared" si="25"/>
        <v>506</v>
      </c>
      <c r="N21" s="44">
        <f t="shared" si="26"/>
        <v>539</v>
      </c>
      <c r="O21" s="47">
        <f t="shared" si="27"/>
        <v>439.16666666666669</v>
      </c>
      <c r="Q21" s="60">
        <v>5.76</v>
      </c>
      <c r="R21" s="32">
        <v>5.73</v>
      </c>
      <c r="S21" s="32">
        <v>5.46</v>
      </c>
      <c r="T21" s="32">
        <v>4.7699999999999996</v>
      </c>
      <c r="U21" s="32">
        <v>4.0599999999999996</v>
      </c>
      <c r="V21" s="32">
        <v>3.47</v>
      </c>
      <c r="W21" s="32">
        <v>3.82</v>
      </c>
      <c r="X21" s="32">
        <v>4.42</v>
      </c>
      <c r="Y21" s="32">
        <v>4.3499999999999996</v>
      </c>
      <c r="Z21" s="32">
        <v>5.07</v>
      </c>
      <c r="AA21" s="32">
        <v>5.69</v>
      </c>
      <c r="AB21" s="33">
        <v>5.86</v>
      </c>
      <c r="AC21" s="34">
        <v>0.75</v>
      </c>
      <c r="AD21" s="35">
        <f>VLOOKUP($B21,Tabela14[[Cliente]:[Potência]],4,0)</f>
        <v>3.96</v>
      </c>
    </row>
    <row r="22" spans="1:30" x14ac:dyDescent="0.25">
      <c r="A22" s="36">
        <f t="shared" si="1"/>
        <v>20</v>
      </c>
      <c r="B22" s="54" t="s">
        <v>257</v>
      </c>
      <c r="C22" s="50">
        <f t="shared" si="15"/>
        <v>514</v>
      </c>
      <c r="D22" s="31">
        <f t="shared" si="16"/>
        <v>462</v>
      </c>
      <c r="E22" s="31">
        <f t="shared" si="17"/>
        <v>487</v>
      </c>
      <c r="F22" s="31">
        <f t="shared" si="18"/>
        <v>412</v>
      </c>
      <c r="G22" s="31">
        <f t="shared" si="19"/>
        <v>362</v>
      </c>
      <c r="H22" s="31">
        <f t="shared" si="20"/>
        <v>299</v>
      </c>
      <c r="I22" s="31">
        <f t="shared" si="21"/>
        <v>341</v>
      </c>
      <c r="J22" s="31">
        <f t="shared" si="22"/>
        <v>394</v>
      </c>
      <c r="K22" s="31">
        <f t="shared" si="23"/>
        <v>375</v>
      </c>
      <c r="L22" s="31">
        <f t="shared" si="24"/>
        <v>452</v>
      </c>
      <c r="M22" s="31">
        <f t="shared" si="25"/>
        <v>491</v>
      </c>
      <c r="N22" s="44">
        <f t="shared" si="26"/>
        <v>523</v>
      </c>
      <c r="O22" s="47">
        <f t="shared" si="27"/>
        <v>426</v>
      </c>
      <c r="Q22" s="60">
        <v>5.76</v>
      </c>
      <c r="R22" s="32">
        <v>5.73</v>
      </c>
      <c r="S22" s="32">
        <v>5.46</v>
      </c>
      <c r="T22" s="32">
        <v>4.7699999999999996</v>
      </c>
      <c r="U22" s="32">
        <v>4.0599999999999996</v>
      </c>
      <c r="V22" s="32">
        <v>3.47</v>
      </c>
      <c r="W22" s="32">
        <v>3.82</v>
      </c>
      <c r="X22" s="32">
        <v>4.42</v>
      </c>
      <c r="Y22" s="32">
        <v>4.3499999999999996</v>
      </c>
      <c r="Z22" s="32">
        <v>5.07</v>
      </c>
      <c r="AA22" s="32">
        <v>5.69</v>
      </c>
      <c r="AB22" s="33">
        <v>5.86</v>
      </c>
      <c r="AC22" s="34">
        <v>0.8</v>
      </c>
      <c r="AD22" s="35">
        <f>VLOOKUP($B22,Tabela14[[Cliente]:[Potência]],4,0)</f>
        <v>3.6</v>
      </c>
    </row>
    <row r="23" spans="1:30" x14ac:dyDescent="0.25">
      <c r="A23" s="36">
        <f t="shared" si="1"/>
        <v>21</v>
      </c>
      <c r="B23" s="54" t="s">
        <v>258</v>
      </c>
      <c r="C23" s="50">
        <f t="shared" si="15"/>
        <v>1237</v>
      </c>
      <c r="D23" s="31">
        <f t="shared" si="16"/>
        <v>1111</v>
      </c>
      <c r="E23" s="31">
        <f t="shared" si="17"/>
        <v>1172</v>
      </c>
      <c r="F23" s="31">
        <f t="shared" si="18"/>
        <v>991</v>
      </c>
      <c r="G23" s="31">
        <f t="shared" si="19"/>
        <v>872</v>
      </c>
      <c r="H23" s="31">
        <f t="shared" si="20"/>
        <v>721</v>
      </c>
      <c r="I23" s="31">
        <f t="shared" si="21"/>
        <v>820</v>
      </c>
      <c r="J23" s="31">
        <f t="shared" si="22"/>
        <v>949</v>
      </c>
      <c r="K23" s="31">
        <f t="shared" si="23"/>
        <v>904</v>
      </c>
      <c r="L23" s="31">
        <f t="shared" si="24"/>
        <v>1089</v>
      </c>
      <c r="M23" s="31">
        <f t="shared" si="25"/>
        <v>1182</v>
      </c>
      <c r="N23" s="44">
        <f t="shared" si="26"/>
        <v>1258</v>
      </c>
      <c r="O23" s="47">
        <f t="shared" si="27"/>
        <v>1025.5</v>
      </c>
      <c r="Q23" s="60">
        <v>5.76</v>
      </c>
      <c r="R23" s="32">
        <v>5.73</v>
      </c>
      <c r="S23" s="32">
        <v>5.46</v>
      </c>
      <c r="T23" s="32">
        <v>4.7699999999999996</v>
      </c>
      <c r="U23" s="32">
        <v>4.0599999999999996</v>
      </c>
      <c r="V23" s="32">
        <v>3.47</v>
      </c>
      <c r="W23" s="32">
        <v>3.82</v>
      </c>
      <c r="X23" s="32">
        <v>4.42</v>
      </c>
      <c r="Y23" s="32">
        <v>4.3499999999999996</v>
      </c>
      <c r="Z23" s="32">
        <v>5.07</v>
      </c>
      <c r="AA23" s="32">
        <v>5.69</v>
      </c>
      <c r="AB23" s="33">
        <v>5.86</v>
      </c>
      <c r="AC23" s="34">
        <v>0.7</v>
      </c>
      <c r="AD23" s="35">
        <f>VLOOKUP($B23,Tabela14[[Cliente]:[Potência]],4,0)</f>
        <v>9.9</v>
      </c>
    </row>
    <row r="24" spans="1:30" x14ac:dyDescent="0.25">
      <c r="A24" s="36">
        <f t="shared" si="1"/>
        <v>22</v>
      </c>
      <c r="B24" s="54" t="s">
        <v>259</v>
      </c>
      <c r="C24" s="50">
        <f t="shared" si="15"/>
        <v>795</v>
      </c>
      <c r="D24" s="31">
        <f t="shared" si="16"/>
        <v>714</v>
      </c>
      <c r="E24" s="31">
        <f t="shared" si="17"/>
        <v>754</v>
      </c>
      <c r="F24" s="31">
        <f t="shared" si="18"/>
        <v>637</v>
      </c>
      <c r="G24" s="31">
        <f t="shared" si="19"/>
        <v>560</v>
      </c>
      <c r="H24" s="31">
        <f t="shared" si="20"/>
        <v>463</v>
      </c>
      <c r="I24" s="31">
        <f t="shared" si="21"/>
        <v>527</v>
      </c>
      <c r="J24" s="31">
        <f t="shared" si="22"/>
        <v>610</v>
      </c>
      <c r="K24" s="31">
        <f t="shared" si="23"/>
        <v>581</v>
      </c>
      <c r="L24" s="31">
        <f t="shared" si="24"/>
        <v>700</v>
      </c>
      <c r="M24" s="31">
        <f t="shared" si="25"/>
        <v>760</v>
      </c>
      <c r="N24" s="44">
        <f t="shared" si="26"/>
        <v>809</v>
      </c>
      <c r="O24" s="47">
        <f t="shared" si="27"/>
        <v>659.16666666666663</v>
      </c>
      <c r="Q24" s="60">
        <v>5.76</v>
      </c>
      <c r="R24" s="32">
        <v>5.73</v>
      </c>
      <c r="S24" s="32">
        <v>5.46</v>
      </c>
      <c r="T24" s="32">
        <v>4.7699999999999996</v>
      </c>
      <c r="U24" s="32">
        <v>4.0599999999999996</v>
      </c>
      <c r="V24" s="32">
        <v>3.47</v>
      </c>
      <c r="W24" s="32">
        <v>3.82</v>
      </c>
      <c r="X24" s="32">
        <v>4.42</v>
      </c>
      <c r="Y24" s="32">
        <v>4.3499999999999996</v>
      </c>
      <c r="Z24" s="32">
        <v>5.07</v>
      </c>
      <c r="AA24" s="32">
        <v>5.69</v>
      </c>
      <c r="AB24" s="33">
        <v>5.86</v>
      </c>
      <c r="AC24" s="34">
        <v>0.75</v>
      </c>
      <c r="AD24" s="35">
        <f>VLOOKUP($B24,Tabela14[[Cliente]:[Potência]],4,0)</f>
        <v>5.94</v>
      </c>
    </row>
    <row r="25" spans="1:30" x14ac:dyDescent="0.25">
      <c r="A25" s="36">
        <f t="shared" si="1"/>
        <v>23</v>
      </c>
      <c r="B25" s="54" t="s">
        <v>260</v>
      </c>
      <c r="C25" s="50">
        <f t="shared" si="15"/>
        <v>1237</v>
      </c>
      <c r="D25" s="31">
        <f t="shared" si="16"/>
        <v>1111</v>
      </c>
      <c r="E25" s="31">
        <f t="shared" si="17"/>
        <v>1172</v>
      </c>
      <c r="F25" s="31">
        <f t="shared" si="18"/>
        <v>991</v>
      </c>
      <c r="G25" s="31">
        <f t="shared" si="19"/>
        <v>872</v>
      </c>
      <c r="H25" s="31">
        <f t="shared" si="20"/>
        <v>721</v>
      </c>
      <c r="I25" s="31">
        <f t="shared" si="21"/>
        <v>820</v>
      </c>
      <c r="J25" s="31">
        <f t="shared" si="22"/>
        <v>949</v>
      </c>
      <c r="K25" s="31">
        <f t="shared" si="23"/>
        <v>904</v>
      </c>
      <c r="L25" s="31">
        <f t="shared" si="24"/>
        <v>1089</v>
      </c>
      <c r="M25" s="31">
        <f t="shared" si="25"/>
        <v>1182</v>
      </c>
      <c r="N25" s="44">
        <f t="shared" si="26"/>
        <v>1258</v>
      </c>
      <c r="O25" s="47">
        <f t="shared" si="27"/>
        <v>1025.5</v>
      </c>
      <c r="Q25" s="60">
        <v>5.76</v>
      </c>
      <c r="R25" s="32">
        <v>5.73</v>
      </c>
      <c r="S25" s="32">
        <v>5.46</v>
      </c>
      <c r="T25" s="32">
        <v>4.7699999999999996</v>
      </c>
      <c r="U25" s="32">
        <v>4.0599999999999996</v>
      </c>
      <c r="V25" s="32">
        <v>3.47</v>
      </c>
      <c r="W25" s="32">
        <v>3.82</v>
      </c>
      <c r="X25" s="32">
        <v>4.42</v>
      </c>
      <c r="Y25" s="32">
        <v>4.3499999999999996</v>
      </c>
      <c r="Z25" s="32">
        <v>5.07</v>
      </c>
      <c r="AA25" s="32">
        <v>5.69</v>
      </c>
      <c r="AB25" s="33">
        <v>5.86</v>
      </c>
      <c r="AC25" s="34">
        <v>0.75</v>
      </c>
      <c r="AD25" s="35">
        <f>VLOOKUP($B25,Tabela14[[Cliente]:[Potência]],4,0)</f>
        <v>9.24</v>
      </c>
    </row>
    <row r="26" spans="1:30" x14ac:dyDescent="0.25">
      <c r="A26" s="36">
        <f t="shared" si="1"/>
        <v>24</v>
      </c>
      <c r="B26" s="54" t="s">
        <v>261</v>
      </c>
      <c r="C26" s="50">
        <f t="shared" si="15"/>
        <v>3771</v>
      </c>
      <c r="D26" s="31">
        <f t="shared" si="16"/>
        <v>3388</v>
      </c>
      <c r="E26" s="31">
        <f t="shared" si="17"/>
        <v>3574</v>
      </c>
      <c r="F26" s="31">
        <f t="shared" si="18"/>
        <v>3022</v>
      </c>
      <c r="G26" s="31">
        <f t="shared" si="19"/>
        <v>2658</v>
      </c>
      <c r="H26" s="31">
        <f t="shared" si="20"/>
        <v>2198</v>
      </c>
      <c r="I26" s="31">
        <f t="shared" si="21"/>
        <v>2501</v>
      </c>
      <c r="J26" s="31">
        <f t="shared" si="22"/>
        <v>2893</v>
      </c>
      <c r="K26" s="31">
        <f t="shared" si="23"/>
        <v>2756</v>
      </c>
      <c r="L26" s="31">
        <f t="shared" si="24"/>
        <v>3319</v>
      </c>
      <c r="M26" s="31">
        <f t="shared" si="25"/>
        <v>3605</v>
      </c>
      <c r="N26" s="44">
        <f t="shared" si="26"/>
        <v>3836</v>
      </c>
      <c r="O26" s="47">
        <f t="shared" si="27"/>
        <v>3126.75</v>
      </c>
      <c r="Q26" s="60">
        <v>5.76</v>
      </c>
      <c r="R26" s="32">
        <v>5.73</v>
      </c>
      <c r="S26" s="32">
        <v>5.46</v>
      </c>
      <c r="T26" s="32">
        <v>4.7699999999999996</v>
      </c>
      <c r="U26" s="32">
        <v>4.0599999999999996</v>
      </c>
      <c r="V26" s="32">
        <v>3.47</v>
      </c>
      <c r="W26" s="32">
        <v>3.82</v>
      </c>
      <c r="X26" s="32">
        <v>4.42</v>
      </c>
      <c r="Y26" s="32">
        <v>4.3499999999999996</v>
      </c>
      <c r="Z26" s="32">
        <v>5.07</v>
      </c>
      <c r="AA26" s="32">
        <v>5.69</v>
      </c>
      <c r="AB26" s="33">
        <v>5.86</v>
      </c>
      <c r="AC26" s="34">
        <v>0.8</v>
      </c>
      <c r="AD26" s="35">
        <f>VLOOKUP($B26,Tabela14[[Cliente]:[Potência]],4,0)</f>
        <v>26.4</v>
      </c>
    </row>
    <row r="27" spans="1:30" x14ac:dyDescent="0.25">
      <c r="A27" s="36">
        <f t="shared" si="1"/>
        <v>25</v>
      </c>
      <c r="B27" s="54" t="s">
        <v>262</v>
      </c>
      <c r="C27" s="50">
        <f t="shared" si="15"/>
        <v>1468</v>
      </c>
      <c r="D27" s="31">
        <f t="shared" si="16"/>
        <v>1233</v>
      </c>
      <c r="E27" s="31">
        <f t="shared" si="17"/>
        <v>1159</v>
      </c>
      <c r="F27" s="31">
        <f t="shared" si="18"/>
        <v>884</v>
      </c>
      <c r="G27" s="31">
        <f t="shared" si="19"/>
        <v>694</v>
      </c>
      <c r="H27" s="31">
        <f t="shared" si="20"/>
        <v>547</v>
      </c>
      <c r="I27" s="31">
        <f t="shared" si="21"/>
        <v>632</v>
      </c>
      <c r="J27" s="31">
        <f t="shared" si="22"/>
        <v>811</v>
      </c>
      <c r="K27" s="31">
        <f t="shared" si="23"/>
        <v>860</v>
      </c>
      <c r="L27" s="31">
        <f t="shared" si="24"/>
        <v>1154</v>
      </c>
      <c r="M27" s="31">
        <f t="shared" si="25"/>
        <v>1390</v>
      </c>
      <c r="N27" s="44">
        <f t="shared" si="26"/>
        <v>1526</v>
      </c>
      <c r="O27" s="47">
        <f t="shared" si="27"/>
        <v>1029.8333333333333</v>
      </c>
      <c r="Q27" s="60">
        <v>6.41</v>
      </c>
      <c r="R27" s="32">
        <v>5.96</v>
      </c>
      <c r="S27" s="32">
        <v>5.0599999999999996</v>
      </c>
      <c r="T27" s="32">
        <v>3.99</v>
      </c>
      <c r="U27" s="32">
        <v>3.03</v>
      </c>
      <c r="V27" s="32">
        <v>2.4700000000000002</v>
      </c>
      <c r="W27" s="32">
        <v>2.76</v>
      </c>
      <c r="X27" s="32">
        <v>3.54</v>
      </c>
      <c r="Y27" s="32">
        <v>3.88</v>
      </c>
      <c r="Z27" s="32">
        <v>5.04</v>
      </c>
      <c r="AA27" s="32">
        <v>6.27</v>
      </c>
      <c r="AB27" s="33">
        <v>6.66</v>
      </c>
      <c r="AC27" s="34">
        <v>0.8</v>
      </c>
      <c r="AD27" s="35">
        <f>VLOOKUP($B27,Tabela14[[Cliente]:[Potência]],4,0)</f>
        <v>9.24</v>
      </c>
    </row>
    <row r="28" spans="1:30" x14ac:dyDescent="0.25">
      <c r="A28" s="36">
        <f t="shared" si="1"/>
        <v>26</v>
      </c>
      <c r="B28" s="54" t="s">
        <v>263</v>
      </c>
      <c r="C28" s="50">
        <f t="shared" si="15"/>
        <v>2571</v>
      </c>
      <c r="D28" s="31">
        <f t="shared" si="16"/>
        <v>2310</v>
      </c>
      <c r="E28" s="31">
        <f t="shared" si="17"/>
        <v>2437</v>
      </c>
      <c r="F28" s="31">
        <f t="shared" si="18"/>
        <v>2060</v>
      </c>
      <c r="G28" s="31">
        <f t="shared" si="19"/>
        <v>1812</v>
      </c>
      <c r="H28" s="31">
        <f t="shared" si="20"/>
        <v>1499</v>
      </c>
      <c r="I28" s="31">
        <f t="shared" si="21"/>
        <v>1705</v>
      </c>
      <c r="J28" s="31">
        <f t="shared" si="22"/>
        <v>1973</v>
      </c>
      <c r="K28" s="31">
        <f t="shared" si="23"/>
        <v>1879</v>
      </c>
      <c r="L28" s="31">
        <f t="shared" si="24"/>
        <v>2263</v>
      </c>
      <c r="M28" s="31">
        <f t="shared" si="25"/>
        <v>2458</v>
      </c>
      <c r="N28" s="44">
        <f t="shared" si="26"/>
        <v>2615</v>
      </c>
      <c r="O28" s="47">
        <f t="shared" si="27"/>
        <v>2131.8333333333335</v>
      </c>
      <c r="Q28" s="60">
        <v>5.76</v>
      </c>
      <c r="R28" s="32">
        <v>5.73</v>
      </c>
      <c r="S28" s="32">
        <v>5.46</v>
      </c>
      <c r="T28" s="32">
        <v>4.7699999999999996</v>
      </c>
      <c r="U28" s="32">
        <v>4.0599999999999996</v>
      </c>
      <c r="V28" s="32">
        <v>3.47</v>
      </c>
      <c r="W28" s="32">
        <v>3.82</v>
      </c>
      <c r="X28" s="32">
        <v>4.42</v>
      </c>
      <c r="Y28" s="32">
        <v>4.3499999999999996</v>
      </c>
      <c r="Z28" s="32">
        <v>5.07</v>
      </c>
      <c r="AA28" s="32">
        <v>5.69</v>
      </c>
      <c r="AB28" s="33">
        <v>5.86</v>
      </c>
      <c r="AC28" s="34">
        <v>0.8</v>
      </c>
      <c r="AD28" s="35">
        <f>VLOOKUP($B28,Tabela14[[Cliente]:[Potência]],4,0)</f>
        <v>18</v>
      </c>
    </row>
    <row r="29" spans="1:30" x14ac:dyDescent="0.25">
      <c r="A29" s="36">
        <f t="shared" si="1"/>
        <v>27</v>
      </c>
      <c r="B29" s="54" t="s">
        <v>264</v>
      </c>
      <c r="C29" s="50">
        <f t="shared" si="15"/>
        <v>5276</v>
      </c>
      <c r="D29" s="31">
        <f t="shared" si="16"/>
        <v>4740</v>
      </c>
      <c r="E29" s="31">
        <f t="shared" si="17"/>
        <v>5001</v>
      </c>
      <c r="F29" s="31">
        <f t="shared" si="18"/>
        <v>4228</v>
      </c>
      <c r="G29" s="31">
        <f t="shared" si="19"/>
        <v>3719</v>
      </c>
      <c r="H29" s="31">
        <f t="shared" si="20"/>
        <v>3076</v>
      </c>
      <c r="I29" s="31">
        <f t="shared" si="21"/>
        <v>3499</v>
      </c>
      <c r="J29" s="31">
        <f t="shared" si="22"/>
        <v>4048</v>
      </c>
      <c r="K29" s="31">
        <f t="shared" si="23"/>
        <v>3856</v>
      </c>
      <c r="L29" s="31">
        <f t="shared" si="24"/>
        <v>4644</v>
      </c>
      <c r="M29" s="31">
        <f t="shared" si="25"/>
        <v>5043</v>
      </c>
      <c r="N29" s="44">
        <f t="shared" si="26"/>
        <v>5367</v>
      </c>
      <c r="O29" s="47">
        <f t="shared" si="27"/>
        <v>4374.75</v>
      </c>
      <c r="Q29" s="60">
        <v>5.76</v>
      </c>
      <c r="R29" s="32">
        <v>5.73</v>
      </c>
      <c r="S29" s="32">
        <v>5.46</v>
      </c>
      <c r="T29" s="32">
        <v>4.7699999999999996</v>
      </c>
      <c r="U29" s="32">
        <v>4.0599999999999996</v>
      </c>
      <c r="V29" s="32">
        <v>3.47</v>
      </c>
      <c r="W29" s="32">
        <v>3.82</v>
      </c>
      <c r="X29" s="32">
        <v>4.42</v>
      </c>
      <c r="Y29" s="32">
        <v>4.3499999999999996</v>
      </c>
      <c r="Z29" s="32">
        <v>5.07</v>
      </c>
      <c r="AA29" s="32">
        <v>5.69</v>
      </c>
      <c r="AB29" s="33">
        <v>5.86</v>
      </c>
      <c r="AC29" s="34">
        <v>0.76</v>
      </c>
      <c r="AD29" s="35">
        <f>VLOOKUP($B29,Tabela14[[Cliente]:[Potência]],4,0)</f>
        <v>38.880000000000003</v>
      </c>
    </row>
    <row r="30" spans="1:30" x14ac:dyDescent="0.25">
      <c r="A30" s="36">
        <f t="shared" si="1"/>
        <v>28</v>
      </c>
      <c r="B30" s="54" t="s">
        <v>265</v>
      </c>
      <c r="C30" s="50">
        <f t="shared" si="15"/>
        <v>2651</v>
      </c>
      <c r="D30" s="31">
        <f t="shared" si="16"/>
        <v>2382</v>
      </c>
      <c r="E30" s="31">
        <f t="shared" si="17"/>
        <v>2513</v>
      </c>
      <c r="F30" s="31">
        <f t="shared" si="18"/>
        <v>2125</v>
      </c>
      <c r="G30" s="31">
        <f t="shared" si="19"/>
        <v>1869</v>
      </c>
      <c r="H30" s="31">
        <f t="shared" si="20"/>
        <v>1545</v>
      </c>
      <c r="I30" s="31">
        <f t="shared" si="21"/>
        <v>1758</v>
      </c>
      <c r="J30" s="31">
        <f t="shared" si="22"/>
        <v>2034</v>
      </c>
      <c r="K30" s="31">
        <f t="shared" si="23"/>
        <v>1937</v>
      </c>
      <c r="L30" s="31">
        <f t="shared" si="24"/>
        <v>2333</v>
      </c>
      <c r="M30" s="31">
        <f t="shared" si="25"/>
        <v>2534</v>
      </c>
      <c r="N30" s="44">
        <f t="shared" si="26"/>
        <v>2697</v>
      </c>
      <c r="O30" s="47">
        <f t="shared" si="27"/>
        <v>2198.1666666666665</v>
      </c>
      <c r="Q30" s="60">
        <v>5.76</v>
      </c>
      <c r="R30" s="32">
        <v>5.73</v>
      </c>
      <c r="S30" s="32">
        <v>5.46</v>
      </c>
      <c r="T30" s="32">
        <v>4.7699999999999996</v>
      </c>
      <c r="U30" s="32">
        <v>4.0599999999999996</v>
      </c>
      <c r="V30" s="32">
        <v>3.47</v>
      </c>
      <c r="W30" s="32">
        <v>3.82</v>
      </c>
      <c r="X30" s="32">
        <v>4.42</v>
      </c>
      <c r="Y30" s="32">
        <v>4.3499999999999996</v>
      </c>
      <c r="Z30" s="32">
        <v>5.07</v>
      </c>
      <c r="AA30" s="32">
        <v>5.69</v>
      </c>
      <c r="AB30" s="33">
        <v>5.86</v>
      </c>
      <c r="AC30" s="34">
        <v>0.75</v>
      </c>
      <c r="AD30" s="35">
        <f>VLOOKUP($B30,Tabela14[[Cliente]:[Potência]],4,0)</f>
        <v>19.8</v>
      </c>
    </row>
    <row r="31" spans="1:30" x14ac:dyDescent="0.25">
      <c r="A31" s="36">
        <f t="shared" si="1"/>
        <v>29</v>
      </c>
      <c r="B31" s="54" t="s">
        <v>266</v>
      </c>
      <c r="C31" s="50">
        <f t="shared" si="15"/>
        <v>7273</v>
      </c>
      <c r="D31" s="31">
        <f t="shared" si="16"/>
        <v>6535</v>
      </c>
      <c r="E31" s="31">
        <f t="shared" si="17"/>
        <v>6894</v>
      </c>
      <c r="F31" s="31">
        <f t="shared" si="18"/>
        <v>5829</v>
      </c>
      <c r="G31" s="31">
        <f t="shared" si="19"/>
        <v>5127</v>
      </c>
      <c r="H31" s="31">
        <f t="shared" si="20"/>
        <v>4240</v>
      </c>
      <c r="I31" s="31">
        <f t="shared" si="21"/>
        <v>4823</v>
      </c>
      <c r="J31" s="31">
        <f t="shared" si="22"/>
        <v>5581</v>
      </c>
      <c r="K31" s="31">
        <f t="shared" si="23"/>
        <v>5316</v>
      </c>
      <c r="L31" s="31">
        <f t="shared" si="24"/>
        <v>6402</v>
      </c>
      <c r="M31" s="31">
        <f t="shared" si="25"/>
        <v>6953</v>
      </c>
      <c r="N31" s="44">
        <f t="shared" si="26"/>
        <v>7400</v>
      </c>
      <c r="O31" s="47">
        <f t="shared" si="27"/>
        <v>6031.083333333333</v>
      </c>
      <c r="Q31" s="60">
        <v>5.76</v>
      </c>
      <c r="R31" s="32">
        <v>5.73</v>
      </c>
      <c r="S31" s="32">
        <v>5.46</v>
      </c>
      <c r="T31" s="32">
        <v>4.7699999999999996</v>
      </c>
      <c r="U31" s="32">
        <v>4.0599999999999996</v>
      </c>
      <c r="V31" s="32">
        <v>3.47</v>
      </c>
      <c r="W31" s="32">
        <v>3.82</v>
      </c>
      <c r="X31" s="32">
        <v>4.42</v>
      </c>
      <c r="Y31" s="32">
        <v>4.3499999999999996</v>
      </c>
      <c r="Z31" s="32">
        <v>5.07</v>
      </c>
      <c r="AA31" s="32">
        <v>5.69</v>
      </c>
      <c r="AB31" s="33">
        <v>5.86</v>
      </c>
      <c r="AC31" s="34">
        <v>0.8</v>
      </c>
      <c r="AD31" s="35">
        <f>VLOOKUP($B31,Tabela14[[Cliente]:[Potência]],4,0)</f>
        <v>50.92</v>
      </c>
    </row>
    <row r="32" spans="1:30" x14ac:dyDescent="0.25">
      <c r="A32" s="36">
        <f t="shared" si="1"/>
        <v>30</v>
      </c>
      <c r="B32" s="54" t="s">
        <v>267</v>
      </c>
      <c r="C32" s="50">
        <f t="shared" si="15"/>
        <v>448</v>
      </c>
      <c r="D32" s="31">
        <f t="shared" si="16"/>
        <v>403</v>
      </c>
      <c r="E32" s="31">
        <f t="shared" si="17"/>
        <v>425</v>
      </c>
      <c r="F32" s="31">
        <f t="shared" si="18"/>
        <v>359</v>
      </c>
      <c r="G32" s="31">
        <f t="shared" si="19"/>
        <v>316</v>
      </c>
      <c r="H32" s="31">
        <f t="shared" si="20"/>
        <v>261</v>
      </c>
      <c r="I32" s="31">
        <f t="shared" si="21"/>
        <v>297</v>
      </c>
      <c r="J32" s="31">
        <f t="shared" si="22"/>
        <v>344</v>
      </c>
      <c r="K32" s="31">
        <f t="shared" si="23"/>
        <v>327</v>
      </c>
      <c r="L32" s="31">
        <f t="shared" si="24"/>
        <v>394</v>
      </c>
      <c r="M32" s="31">
        <f t="shared" si="25"/>
        <v>428</v>
      </c>
      <c r="N32" s="44">
        <f t="shared" si="26"/>
        <v>456</v>
      </c>
      <c r="O32" s="47">
        <f t="shared" si="27"/>
        <v>371.5</v>
      </c>
      <c r="Q32" s="60">
        <v>5.76</v>
      </c>
      <c r="R32" s="32">
        <v>5.73</v>
      </c>
      <c r="S32" s="32">
        <v>5.46</v>
      </c>
      <c r="T32" s="32">
        <v>4.7699999999999996</v>
      </c>
      <c r="U32" s="32">
        <v>4.0599999999999996</v>
      </c>
      <c r="V32" s="32">
        <v>3.47</v>
      </c>
      <c r="W32" s="32">
        <v>3.82</v>
      </c>
      <c r="X32" s="32">
        <v>4.42</v>
      </c>
      <c r="Y32" s="32">
        <v>4.3499999999999996</v>
      </c>
      <c r="Z32" s="32">
        <v>5.07</v>
      </c>
      <c r="AA32" s="32">
        <v>5.69</v>
      </c>
      <c r="AB32" s="33">
        <v>5.86</v>
      </c>
      <c r="AC32" s="34">
        <v>0.75</v>
      </c>
      <c r="AD32" s="35">
        <f>VLOOKUP($B32,Tabela14[[Cliente]:[Potência]],4,0)</f>
        <v>3.35</v>
      </c>
    </row>
    <row r="33" spans="1:30" x14ac:dyDescent="0.25">
      <c r="A33" s="36">
        <f t="shared" si="1"/>
        <v>31</v>
      </c>
      <c r="B33" s="54" t="s">
        <v>268</v>
      </c>
      <c r="C33" s="50">
        <f t="shared" si="15"/>
        <v>1525</v>
      </c>
      <c r="D33" s="31">
        <f t="shared" si="16"/>
        <v>1370</v>
      </c>
      <c r="E33" s="31">
        <f t="shared" si="17"/>
        <v>1445</v>
      </c>
      <c r="F33" s="31">
        <f t="shared" si="18"/>
        <v>1222</v>
      </c>
      <c r="G33" s="31">
        <f t="shared" si="19"/>
        <v>1075</v>
      </c>
      <c r="H33" s="31">
        <f t="shared" si="20"/>
        <v>889</v>
      </c>
      <c r="I33" s="31">
        <f t="shared" si="21"/>
        <v>1011</v>
      </c>
      <c r="J33" s="31">
        <f t="shared" si="22"/>
        <v>1170</v>
      </c>
      <c r="K33" s="31">
        <f t="shared" si="23"/>
        <v>1114</v>
      </c>
      <c r="L33" s="31">
        <f t="shared" si="24"/>
        <v>1342</v>
      </c>
      <c r="M33" s="31">
        <f t="shared" si="25"/>
        <v>1458</v>
      </c>
      <c r="N33" s="44">
        <f t="shared" si="26"/>
        <v>1551</v>
      </c>
      <c r="O33" s="47">
        <f t="shared" si="27"/>
        <v>1264.3333333333333</v>
      </c>
      <c r="Q33" s="60">
        <v>5.76</v>
      </c>
      <c r="R33" s="32">
        <v>5.73</v>
      </c>
      <c r="S33" s="32">
        <v>5.46</v>
      </c>
      <c r="T33" s="32">
        <v>4.7699999999999996</v>
      </c>
      <c r="U33" s="32">
        <v>4.0599999999999996</v>
      </c>
      <c r="V33" s="32">
        <v>3.47</v>
      </c>
      <c r="W33" s="32">
        <v>3.82</v>
      </c>
      <c r="X33" s="32">
        <v>4.42</v>
      </c>
      <c r="Y33" s="32">
        <v>4.3499999999999996</v>
      </c>
      <c r="Z33" s="32">
        <v>5.07</v>
      </c>
      <c r="AA33" s="32">
        <v>5.69</v>
      </c>
      <c r="AB33" s="33">
        <v>5.86</v>
      </c>
      <c r="AC33" s="34">
        <v>0.75</v>
      </c>
      <c r="AD33" s="35">
        <f>VLOOKUP($B33,Tabela14[[Cliente]:[Potência]],4,0)</f>
        <v>11.39</v>
      </c>
    </row>
    <row r="34" spans="1:30" x14ac:dyDescent="0.25">
      <c r="A34" s="36">
        <f t="shared" si="1"/>
        <v>32</v>
      </c>
      <c r="B34" s="54" t="s">
        <v>269</v>
      </c>
      <c r="C34" s="50">
        <f t="shared" si="15"/>
        <v>897</v>
      </c>
      <c r="D34" s="31">
        <f t="shared" si="16"/>
        <v>806</v>
      </c>
      <c r="E34" s="31">
        <f t="shared" si="17"/>
        <v>850</v>
      </c>
      <c r="F34" s="31">
        <f t="shared" si="18"/>
        <v>719</v>
      </c>
      <c r="G34" s="31">
        <f t="shared" si="19"/>
        <v>632</v>
      </c>
      <c r="H34" s="31">
        <f t="shared" si="20"/>
        <v>523</v>
      </c>
      <c r="I34" s="31">
        <f t="shared" si="21"/>
        <v>595</v>
      </c>
      <c r="J34" s="31">
        <f t="shared" si="22"/>
        <v>688</v>
      </c>
      <c r="K34" s="31">
        <f t="shared" si="23"/>
        <v>655</v>
      </c>
      <c r="L34" s="31">
        <f t="shared" si="24"/>
        <v>789</v>
      </c>
      <c r="M34" s="31">
        <f t="shared" si="25"/>
        <v>857</v>
      </c>
      <c r="N34" s="44">
        <f t="shared" si="26"/>
        <v>912</v>
      </c>
      <c r="O34" s="47">
        <f t="shared" si="27"/>
        <v>743.58333333333337</v>
      </c>
      <c r="Q34" s="60">
        <v>5.76</v>
      </c>
      <c r="R34" s="32">
        <v>5.73</v>
      </c>
      <c r="S34" s="32">
        <v>5.46</v>
      </c>
      <c r="T34" s="32">
        <v>4.7699999999999996</v>
      </c>
      <c r="U34" s="32">
        <v>4.0599999999999996</v>
      </c>
      <c r="V34" s="32">
        <v>3.47</v>
      </c>
      <c r="W34" s="32">
        <v>3.82</v>
      </c>
      <c r="X34" s="32">
        <v>4.42</v>
      </c>
      <c r="Y34" s="32">
        <v>4.3499999999999996</v>
      </c>
      <c r="Z34" s="32">
        <v>5.07</v>
      </c>
      <c r="AA34" s="32">
        <v>5.69</v>
      </c>
      <c r="AB34" s="33">
        <v>5.86</v>
      </c>
      <c r="AC34" s="34">
        <v>0.75</v>
      </c>
      <c r="AD34" s="35">
        <f>VLOOKUP($B34,Tabela14[[Cliente]:[Potência]],4,0)</f>
        <v>6.7</v>
      </c>
    </row>
    <row r="35" spans="1:30" x14ac:dyDescent="0.25">
      <c r="A35" s="36">
        <f t="shared" si="1"/>
        <v>33</v>
      </c>
      <c r="B35" s="54" t="s">
        <v>270</v>
      </c>
      <c r="C35" s="50">
        <f t="shared" si="15"/>
        <v>1339</v>
      </c>
      <c r="D35" s="31">
        <f t="shared" si="16"/>
        <v>1203</v>
      </c>
      <c r="E35" s="31">
        <f t="shared" si="17"/>
        <v>1270</v>
      </c>
      <c r="F35" s="31">
        <f t="shared" si="18"/>
        <v>1073</v>
      </c>
      <c r="G35" s="31">
        <f t="shared" si="19"/>
        <v>944</v>
      </c>
      <c r="H35" s="31">
        <f t="shared" si="20"/>
        <v>781</v>
      </c>
      <c r="I35" s="31">
        <f t="shared" si="21"/>
        <v>888</v>
      </c>
      <c r="J35" s="31">
        <f t="shared" si="22"/>
        <v>1028</v>
      </c>
      <c r="K35" s="31">
        <f t="shared" si="23"/>
        <v>979</v>
      </c>
      <c r="L35" s="31">
        <f t="shared" si="24"/>
        <v>1179</v>
      </c>
      <c r="M35" s="31">
        <f t="shared" si="25"/>
        <v>1280</v>
      </c>
      <c r="N35" s="44">
        <f t="shared" si="26"/>
        <v>1363</v>
      </c>
      <c r="O35" s="47">
        <f t="shared" si="27"/>
        <v>1110.5833333333333</v>
      </c>
      <c r="Q35" s="60">
        <v>5.76</v>
      </c>
      <c r="R35" s="32">
        <v>5.73</v>
      </c>
      <c r="S35" s="32">
        <v>5.46</v>
      </c>
      <c r="T35" s="32">
        <v>4.7699999999999996</v>
      </c>
      <c r="U35" s="32">
        <v>4.0599999999999996</v>
      </c>
      <c r="V35" s="32">
        <v>3.47</v>
      </c>
      <c r="W35" s="32">
        <v>3.82</v>
      </c>
      <c r="X35" s="32">
        <v>4.42</v>
      </c>
      <c r="Y35" s="32">
        <v>4.3499999999999996</v>
      </c>
      <c r="Z35" s="32">
        <v>5.07</v>
      </c>
      <c r="AA35" s="32">
        <v>5.69</v>
      </c>
      <c r="AB35" s="33">
        <v>5.86</v>
      </c>
      <c r="AC35" s="34">
        <v>0.8</v>
      </c>
      <c r="AD35" s="35">
        <f>VLOOKUP($B35,Tabela14[[Cliente]:[Potência]],4,0)</f>
        <v>9.3800000000000008</v>
      </c>
    </row>
    <row r="36" spans="1:30" x14ac:dyDescent="0.25">
      <c r="A36" s="36">
        <f t="shared" si="1"/>
        <v>34</v>
      </c>
      <c r="B36" s="54" t="s">
        <v>271</v>
      </c>
      <c r="C36" s="50">
        <f t="shared" si="15"/>
        <v>1627</v>
      </c>
      <c r="D36" s="31">
        <f t="shared" si="16"/>
        <v>1461</v>
      </c>
      <c r="E36" s="31">
        <f t="shared" si="17"/>
        <v>1542</v>
      </c>
      <c r="F36" s="31">
        <f t="shared" si="18"/>
        <v>1303</v>
      </c>
      <c r="G36" s="31">
        <f t="shared" si="19"/>
        <v>1146</v>
      </c>
      <c r="H36" s="31">
        <f t="shared" si="20"/>
        <v>948</v>
      </c>
      <c r="I36" s="31">
        <f t="shared" si="21"/>
        <v>1079</v>
      </c>
      <c r="J36" s="31">
        <f t="shared" si="22"/>
        <v>1248</v>
      </c>
      <c r="K36" s="31">
        <f t="shared" si="23"/>
        <v>1189</v>
      </c>
      <c r="L36" s="31">
        <f t="shared" si="24"/>
        <v>1432</v>
      </c>
      <c r="M36" s="31">
        <f t="shared" si="25"/>
        <v>1555</v>
      </c>
      <c r="N36" s="44">
        <f t="shared" si="26"/>
        <v>1655</v>
      </c>
      <c r="O36" s="47">
        <f t="shared" si="27"/>
        <v>1348.75</v>
      </c>
      <c r="Q36" s="60">
        <v>5.76</v>
      </c>
      <c r="R36" s="32">
        <v>5.73</v>
      </c>
      <c r="S36" s="32">
        <v>5.46</v>
      </c>
      <c r="T36" s="32">
        <v>4.7699999999999996</v>
      </c>
      <c r="U36" s="32">
        <v>4.0599999999999996</v>
      </c>
      <c r="V36" s="32">
        <v>3.47</v>
      </c>
      <c r="W36" s="32">
        <v>3.82</v>
      </c>
      <c r="X36" s="32">
        <v>4.42</v>
      </c>
      <c r="Y36" s="32">
        <v>4.3499999999999996</v>
      </c>
      <c r="Z36" s="32">
        <v>5.07</v>
      </c>
      <c r="AA36" s="32">
        <v>5.69</v>
      </c>
      <c r="AB36" s="33">
        <v>5.86</v>
      </c>
      <c r="AC36" s="34">
        <v>0.8</v>
      </c>
      <c r="AD36" s="35">
        <f>VLOOKUP($B36,Tabela14[[Cliente]:[Potência]],4,0)</f>
        <v>11.39</v>
      </c>
    </row>
    <row r="37" spans="1:30" x14ac:dyDescent="0.25">
      <c r="A37" s="36">
        <f t="shared" si="1"/>
        <v>35</v>
      </c>
      <c r="B37" s="54" t="s">
        <v>272</v>
      </c>
      <c r="C37" s="50">
        <f t="shared" si="15"/>
        <v>538</v>
      </c>
      <c r="D37" s="31">
        <f t="shared" si="16"/>
        <v>483</v>
      </c>
      <c r="E37" s="31">
        <f t="shared" si="17"/>
        <v>510</v>
      </c>
      <c r="F37" s="31">
        <f t="shared" si="18"/>
        <v>431</v>
      </c>
      <c r="G37" s="31">
        <f t="shared" si="19"/>
        <v>379</v>
      </c>
      <c r="H37" s="31">
        <f t="shared" si="20"/>
        <v>313</v>
      </c>
      <c r="I37" s="31">
        <f t="shared" si="21"/>
        <v>357</v>
      </c>
      <c r="J37" s="31">
        <f t="shared" si="22"/>
        <v>413</v>
      </c>
      <c r="K37" s="31">
        <f t="shared" si="23"/>
        <v>393</v>
      </c>
      <c r="L37" s="31">
        <f t="shared" si="24"/>
        <v>473</v>
      </c>
      <c r="M37" s="31">
        <f t="shared" si="25"/>
        <v>514</v>
      </c>
      <c r="N37" s="44">
        <f t="shared" si="26"/>
        <v>547</v>
      </c>
      <c r="O37" s="47">
        <f t="shared" si="27"/>
        <v>445.91666666666669</v>
      </c>
      <c r="Q37" s="60">
        <v>5.76</v>
      </c>
      <c r="R37" s="32">
        <v>5.73</v>
      </c>
      <c r="S37" s="32">
        <v>5.46</v>
      </c>
      <c r="T37" s="32">
        <v>4.7699999999999996</v>
      </c>
      <c r="U37" s="32">
        <v>4.0599999999999996</v>
      </c>
      <c r="V37" s="32">
        <v>3.47</v>
      </c>
      <c r="W37" s="32">
        <v>3.82</v>
      </c>
      <c r="X37" s="32">
        <v>4.42</v>
      </c>
      <c r="Y37" s="32">
        <v>4.3499999999999996</v>
      </c>
      <c r="Z37" s="32">
        <v>5.07</v>
      </c>
      <c r="AA37" s="32">
        <v>5.69</v>
      </c>
      <c r="AB37" s="33">
        <v>5.86</v>
      </c>
      <c r="AC37" s="34">
        <v>0.75</v>
      </c>
      <c r="AD37" s="35">
        <f>VLOOKUP($B37,Tabela14[[Cliente]:[Potência]],4,0)</f>
        <v>4.0199999999999996</v>
      </c>
    </row>
    <row r="38" spans="1:30" x14ac:dyDescent="0.25">
      <c r="A38" s="36">
        <f t="shared" si="1"/>
        <v>36</v>
      </c>
      <c r="B38" s="54" t="s">
        <v>273</v>
      </c>
      <c r="C38" s="50">
        <f t="shared" si="15"/>
        <v>538</v>
      </c>
      <c r="D38" s="31">
        <f t="shared" si="16"/>
        <v>483</v>
      </c>
      <c r="E38" s="31">
        <f t="shared" si="17"/>
        <v>510</v>
      </c>
      <c r="F38" s="31">
        <f t="shared" si="18"/>
        <v>431</v>
      </c>
      <c r="G38" s="31">
        <f t="shared" si="19"/>
        <v>379</v>
      </c>
      <c r="H38" s="31">
        <f t="shared" si="20"/>
        <v>313</v>
      </c>
      <c r="I38" s="31">
        <f t="shared" si="21"/>
        <v>357</v>
      </c>
      <c r="J38" s="31">
        <f t="shared" si="22"/>
        <v>413</v>
      </c>
      <c r="K38" s="31">
        <f t="shared" si="23"/>
        <v>393</v>
      </c>
      <c r="L38" s="31">
        <f t="shared" si="24"/>
        <v>473</v>
      </c>
      <c r="M38" s="31">
        <f t="shared" si="25"/>
        <v>514</v>
      </c>
      <c r="N38" s="44">
        <f t="shared" si="26"/>
        <v>547</v>
      </c>
      <c r="O38" s="47">
        <f t="shared" si="27"/>
        <v>445.91666666666669</v>
      </c>
      <c r="Q38" s="60">
        <v>5.76</v>
      </c>
      <c r="R38" s="32">
        <v>5.73</v>
      </c>
      <c r="S38" s="32">
        <v>5.46</v>
      </c>
      <c r="T38" s="32">
        <v>4.7699999999999996</v>
      </c>
      <c r="U38" s="32">
        <v>4.0599999999999996</v>
      </c>
      <c r="V38" s="32">
        <v>3.47</v>
      </c>
      <c r="W38" s="32">
        <v>3.82</v>
      </c>
      <c r="X38" s="32">
        <v>4.42</v>
      </c>
      <c r="Y38" s="32">
        <v>4.3499999999999996</v>
      </c>
      <c r="Z38" s="32">
        <v>5.07</v>
      </c>
      <c r="AA38" s="32">
        <v>5.69</v>
      </c>
      <c r="AB38" s="33">
        <v>5.86</v>
      </c>
      <c r="AC38" s="34">
        <v>0.75</v>
      </c>
      <c r="AD38" s="35">
        <f>VLOOKUP($B38,Tabela14[[Cliente]:[Potência]],4,0)</f>
        <v>4.0199999999999996</v>
      </c>
    </row>
    <row r="39" spans="1:30" x14ac:dyDescent="0.25">
      <c r="A39" s="36">
        <f t="shared" si="1"/>
        <v>37</v>
      </c>
      <c r="B39" s="54" t="s">
        <v>274</v>
      </c>
      <c r="C39" s="50">
        <f t="shared" si="15"/>
        <v>7234</v>
      </c>
      <c r="D39" s="31">
        <f t="shared" si="16"/>
        <v>6500</v>
      </c>
      <c r="E39" s="31">
        <f t="shared" si="17"/>
        <v>6857</v>
      </c>
      <c r="F39" s="31">
        <f t="shared" si="18"/>
        <v>5797</v>
      </c>
      <c r="G39" s="31">
        <f t="shared" si="19"/>
        <v>5099</v>
      </c>
      <c r="H39" s="31">
        <f t="shared" si="20"/>
        <v>4217</v>
      </c>
      <c r="I39" s="31">
        <f t="shared" si="21"/>
        <v>4797</v>
      </c>
      <c r="J39" s="31">
        <f t="shared" si="22"/>
        <v>5551</v>
      </c>
      <c r="K39" s="31">
        <f t="shared" si="23"/>
        <v>5287</v>
      </c>
      <c r="L39" s="31">
        <f t="shared" si="24"/>
        <v>6367</v>
      </c>
      <c r="M39" s="31">
        <f t="shared" si="25"/>
        <v>6915</v>
      </c>
      <c r="N39" s="44">
        <f t="shared" si="26"/>
        <v>7359</v>
      </c>
      <c r="O39" s="47">
        <f t="shared" si="27"/>
        <v>5998.333333333333</v>
      </c>
      <c r="Q39" s="60">
        <v>5.76</v>
      </c>
      <c r="R39" s="32">
        <v>5.73</v>
      </c>
      <c r="S39" s="32">
        <v>5.46</v>
      </c>
      <c r="T39" s="32">
        <v>4.7699999999999996</v>
      </c>
      <c r="U39" s="32">
        <v>4.0599999999999996</v>
      </c>
      <c r="V39" s="32">
        <v>3.47</v>
      </c>
      <c r="W39" s="32">
        <v>3.82</v>
      </c>
      <c r="X39" s="32">
        <v>4.42</v>
      </c>
      <c r="Y39" s="32">
        <v>4.3499999999999996</v>
      </c>
      <c r="Z39" s="32">
        <v>5.07</v>
      </c>
      <c r="AA39" s="32">
        <v>5.69</v>
      </c>
      <c r="AB39" s="33">
        <v>5.86</v>
      </c>
      <c r="AC39" s="34">
        <v>0.75</v>
      </c>
      <c r="AD39" s="35">
        <f>VLOOKUP($B39,Tabela14[[Cliente]:[Potência]],4,0)</f>
        <v>54.02</v>
      </c>
    </row>
    <row r="40" spans="1:30" x14ac:dyDescent="0.25">
      <c r="A40" s="36">
        <f t="shared" si="1"/>
        <v>38</v>
      </c>
      <c r="B40" s="54" t="s">
        <v>275</v>
      </c>
      <c r="C40" s="50">
        <f t="shared" si="15"/>
        <v>910</v>
      </c>
      <c r="D40" s="31">
        <f t="shared" si="16"/>
        <v>818</v>
      </c>
      <c r="E40" s="31">
        <f t="shared" si="17"/>
        <v>863</v>
      </c>
      <c r="F40" s="31">
        <f t="shared" si="18"/>
        <v>729</v>
      </c>
      <c r="G40" s="31">
        <f t="shared" si="19"/>
        <v>641</v>
      </c>
      <c r="H40" s="31">
        <f t="shared" si="20"/>
        <v>530</v>
      </c>
      <c r="I40" s="31">
        <f t="shared" si="21"/>
        <v>603</v>
      </c>
      <c r="J40" s="31">
        <f t="shared" si="22"/>
        <v>698</v>
      </c>
      <c r="K40" s="31">
        <f t="shared" si="23"/>
        <v>665</v>
      </c>
      <c r="L40" s="31">
        <f t="shared" si="24"/>
        <v>801</v>
      </c>
      <c r="M40" s="31">
        <f t="shared" si="25"/>
        <v>870</v>
      </c>
      <c r="N40" s="44">
        <f t="shared" si="26"/>
        <v>926</v>
      </c>
      <c r="O40" s="47">
        <f t="shared" si="27"/>
        <v>754.5</v>
      </c>
      <c r="Q40" s="60">
        <v>5.76</v>
      </c>
      <c r="R40" s="32">
        <v>5.73</v>
      </c>
      <c r="S40" s="32">
        <v>5.46</v>
      </c>
      <c r="T40" s="32">
        <v>4.7699999999999996</v>
      </c>
      <c r="U40" s="32">
        <v>4.0599999999999996</v>
      </c>
      <c r="V40" s="32">
        <v>3.47</v>
      </c>
      <c r="W40" s="32">
        <v>3.82</v>
      </c>
      <c r="X40" s="32">
        <v>4.42</v>
      </c>
      <c r="Y40" s="32">
        <v>4.3499999999999996</v>
      </c>
      <c r="Z40" s="32">
        <v>5.07</v>
      </c>
      <c r="AA40" s="32">
        <v>5.69</v>
      </c>
      <c r="AB40" s="33">
        <v>5.86</v>
      </c>
      <c r="AC40" s="34">
        <v>0.75</v>
      </c>
      <c r="AD40" s="35">
        <f>VLOOKUP($B40,Tabela14[[Cliente]:[Potência]],4,0)</f>
        <v>6.8</v>
      </c>
    </row>
    <row r="41" spans="1:30" x14ac:dyDescent="0.25">
      <c r="A41" s="36">
        <f t="shared" si="1"/>
        <v>39</v>
      </c>
      <c r="B41" s="54" t="s">
        <v>276</v>
      </c>
      <c r="C41" s="50">
        <f t="shared" si="15"/>
        <v>1274</v>
      </c>
      <c r="D41" s="31">
        <f t="shared" si="16"/>
        <v>1145</v>
      </c>
      <c r="E41" s="31">
        <f t="shared" si="17"/>
        <v>1208</v>
      </c>
      <c r="F41" s="31">
        <f t="shared" si="18"/>
        <v>1021</v>
      </c>
      <c r="G41" s="31">
        <f t="shared" si="19"/>
        <v>898</v>
      </c>
      <c r="H41" s="31">
        <f t="shared" si="20"/>
        <v>743</v>
      </c>
      <c r="I41" s="31">
        <f t="shared" si="21"/>
        <v>845</v>
      </c>
      <c r="J41" s="31">
        <f t="shared" si="22"/>
        <v>978</v>
      </c>
      <c r="K41" s="31">
        <f t="shared" si="23"/>
        <v>931</v>
      </c>
      <c r="L41" s="31">
        <f t="shared" si="24"/>
        <v>1122</v>
      </c>
      <c r="M41" s="31">
        <f t="shared" si="25"/>
        <v>1218</v>
      </c>
      <c r="N41" s="44">
        <f t="shared" si="26"/>
        <v>1297</v>
      </c>
      <c r="O41" s="47">
        <f t="shared" si="27"/>
        <v>1056.6666666666667</v>
      </c>
      <c r="Q41" s="60">
        <v>5.76</v>
      </c>
      <c r="R41" s="32">
        <v>5.73</v>
      </c>
      <c r="S41" s="32">
        <v>5.46</v>
      </c>
      <c r="T41" s="32">
        <v>4.7699999999999996</v>
      </c>
      <c r="U41" s="32">
        <v>4.0599999999999996</v>
      </c>
      <c r="V41" s="32">
        <v>3.47</v>
      </c>
      <c r="W41" s="32">
        <v>3.82</v>
      </c>
      <c r="X41" s="32">
        <v>4.42</v>
      </c>
      <c r="Y41" s="32">
        <v>4.3499999999999996</v>
      </c>
      <c r="Z41" s="32">
        <v>5.07</v>
      </c>
      <c r="AA41" s="32">
        <v>5.69</v>
      </c>
      <c r="AB41" s="33">
        <v>5.86</v>
      </c>
      <c r="AC41" s="34">
        <v>0.7</v>
      </c>
      <c r="AD41" s="35">
        <f>VLOOKUP($B41,Tabela14[[Cliente]:[Potência]],4,0)</f>
        <v>10.199999999999999</v>
      </c>
    </row>
    <row r="42" spans="1:30" x14ac:dyDescent="0.25">
      <c r="A42" s="36">
        <f t="shared" si="1"/>
        <v>40</v>
      </c>
      <c r="B42" s="54" t="s">
        <v>277</v>
      </c>
      <c r="C42" s="50">
        <f t="shared" si="15"/>
        <v>819</v>
      </c>
      <c r="D42" s="31">
        <f t="shared" si="16"/>
        <v>736</v>
      </c>
      <c r="E42" s="31">
        <f t="shared" si="17"/>
        <v>776</v>
      </c>
      <c r="F42" s="31">
        <f t="shared" si="18"/>
        <v>656</v>
      </c>
      <c r="G42" s="31">
        <f t="shared" si="19"/>
        <v>577</v>
      </c>
      <c r="H42" s="31">
        <f t="shared" si="20"/>
        <v>477</v>
      </c>
      <c r="I42" s="31">
        <f t="shared" si="21"/>
        <v>543</v>
      </c>
      <c r="J42" s="31">
        <f t="shared" si="22"/>
        <v>628</v>
      </c>
      <c r="K42" s="31">
        <f t="shared" si="23"/>
        <v>598</v>
      </c>
      <c r="L42" s="31">
        <f t="shared" si="24"/>
        <v>721</v>
      </c>
      <c r="M42" s="31">
        <f t="shared" si="25"/>
        <v>783</v>
      </c>
      <c r="N42" s="44">
        <f t="shared" si="26"/>
        <v>833</v>
      </c>
      <c r="O42" s="47">
        <f t="shared" si="27"/>
        <v>678.91666666666663</v>
      </c>
      <c r="Q42" s="60">
        <v>5.76</v>
      </c>
      <c r="R42" s="32">
        <v>5.73</v>
      </c>
      <c r="S42" s="32">
        <v>5.46</v>
      </c>
      <c r="T42" s="32">
        <v>4.7699999999999996</v>
      </c>
      <c r="U42" s="32">
        <v>4.0599999999999996</v>
      </c>
      <c r="V42" s="32">
        <v>3.47</v>
      </c>
      <c r="W42" s="32">
        <v>3.82</v>
      </c>
      <c r="X42" s="32">
        <v>4.42</v>
      </c>
      <c r="Y42" s="32">
        <v>4.3499999999999996</v>
      </c>
      <c r="Z42" s="32">
        <v>5.07</v>
      </c>
      <c r="AA42" s="32">
        <v>5.69</v>
      </c>
      <c r="AB42" s="33">
        <v>5.86</v>
      </c>
      <c r="AC42" s="34">
        <v>0.75</v>
      </c>
      <c r="AD42" s="35">
        <f>VLOOKUP($B42,Tabela14[[Cliente]:[Potência]],4,0)</f>
        <v>6.12</v>
      </c>
    </row>
    <row r="43" spans="1:30" x14ac:dyDescent="0.25">
      <c r="A43" s="36">
        <f t="shared" si="1"/>
        <v>41</v>
      </c>
      <c r="B43" s="54" t="s">
        <v>278</v>
      </c>
      <c r="C43" s="50">
        <f t="shared" si="15"/>
        <v>538</v>
      </c>
      <c r="D43" s="31">
        <f t="shared" si="16"/>
        <v>483</v>
      </c>
      <c r="E43" s="31">
        <f t="shared" si="17"/>
        <v>510</v>
      </c>
      <c r="F43" s="31">
        <f t="shared" si="18"/>
        <v>431</v>
      </c>
      <c r="G43" s="31">
        <f t="shared" si="19"/>
        <v>379</v>
      </c>
      <c r="H43" s="31">
        <f t="shared" si="20"/>
        <v>313</v>
      </c>
      <c r="I43" s="31">
        <f t="shared" si="21"/>
        <v>357</v>
      </c>
      <c r="J43" s="31">
        <f t="shared" si="22"/>
        <v>413</v>
      </c>
      <c r="K43" s="31">
        <f t="shared" si="23"/>
        <v>393</v>
      </c>
      <c r="L43" s="31">
        <f t="shared" si="24"/>
        <v>473</v>
      </c>
      <c r="M43" s="31">
        <f t="shared" si="25"/>
        <v>514</v>
      </c>
      <c r="N43" s="44">
        <f t="shared" si="26"/>
        <v>547</v>
      </c>
      <c r="O43" s="47">
        <f t="shared" si="27"/>
        <v>445.91666666666669</v>
      </c>
      <c r="Q43" s="60">
        <v>5.76</v>
      </c>
      <c r="R43" s="32">
        <v>5.73</v>
      </c>
      <c r="S43" s="32">
        <v>5.46</v>
      </c>
      <c r="T43" s="32">
        <v>4.7699999999999996</v>
      </c>
      <c r="U43" s="32">
        <v>4.0599999999999996</v>
      </c>
      <c r="V43" s="32">
        <v>3.47</v>
      </c>
      <c r="W43" s="32">
        <v>3.82</v>
      </c>
      <c r="X43" s="32">
        <v>4.42</v>
      </c>
      <c r="Y43" s="32">
        <v>4.3499999999999996</v>
      </c>
      <c r="Z43" s="32">
        <v>5.07</v>
      </c>
      <c r="AA43" s="32">
        <v>5.69</v>
      </c>
      <c r="AB43" s="33">
        <v>5.86</v>
      </c>
      <c r="AC43" s="34">
        <v>0.75</v>
      </c>
      <c r="AD43" s="35">
        <f>VLOOKUP($B43,Tabela14[[Cliente]:[Potência]],4,0)</f>
        <v>4.0199999999999996</v>
      </c>
    </row>
    <row r="44" spans="1:30" x14ac:dyDescent="0.25">
      <c r="A44" s="36">
        <f t="shared" si="1"/>
        <v>42</v>
      </c>
      <c r="B44" s="54" t="s">
        <v>41</v>
      </c>
      <c r="C44" s="50">
        <f t="shared" si="15"/>
        <v>9427</v>
      </c>
      <c r="D44" s="31">
        <f t="shared" si="16"/>
        <v>8471</v>
      </c>
      <c r="E44" s="31">
        <f t="shared" si="17"/>
        <v>8936</v>
      </c>
      <c r="F44" s="31">
        <f t="shared" si="18"/>
        <v>7555</v>
      </c>
      <c r="G44" s="31">
        <f t="shared" si="19"/>
        <v>6645</v>
      </c>
      <c r="H44" s="31">
        <f t="shared" si="20"/>
        <v>5496</v>
      </c>
      <c r="I44" s="31">
        <f t="shared" si="21"/>
        <v>6252</v>
      </c>
      <c r="J44" s="31">
        <f t="shared" si="22"/>
        <v>7234</v>
      </c>
      <c r="K44" s="31">
        <f t="shared" si="23"/>
        <v>6890</v>
      </c>
      <c r="L44" s="31">
        <f t="shared" si="24"/>
        <v>8298</v>
      </c>
      <c r="M44" s="31">
        <f t="shared" si="25"/>
        <v>9012</v>
      </c>
      <c r="N44" s="44">
        <f t="shared" si="26"/>
        <v>9591</v>
      </c>
      <c r="O44" s="47">
        <f t="shared" si="27"/>
        <v>7817.25</v>
      </c>
      <c r="Q44" s="60">
        <v>5.76</v>
      </c>
      <c r="R44" s="32">
        <v>5.73</v>
      </c>
      <c r="S44" s="32">
        <v>5.46</v>
      </c>
      <c r="T44" s="32">
        <v>4.7699999999999996</v>
      </c>
      <c r="U44" s="32">
        <v>4.0599999999999996</v>
      </c>
      <c r="V44" s="32">
        <v>3.47</v>
      </c>
      <c r="W44" s="32">
        <v>3.82</v>
      </c>
      <c r="X44" s="32">
        <v>4.42</v>
      </c>
      <c r="Y44" s="32">
        <v>4.3499999999999996</v>
      </c>
      <c r="Z44" s="32">
        <v>5.07</v>
      </c>
      <c r="AA44" s="32">
        <v>5.69</v>
      </c>
      <c r="AB44" s="33">
        <v>5.86</v>
      </c>
      <c r="AC44" s="34">
        <v>0.8</v>
      </c>
      <c r="AD44" s="35">
        <f>VLOOKUP($B44,Tabela14[[Cliente]:[Potência]],4,0)</f>
        <v>66</v>
      </c>
    </row>
    <row r="45" spans="1:30" x14ac:dyDescent="0.25">
      <c r="A45" s="36">
        <f t="shared" si="1"/>
        <v>43</v>
      </c>
      <c r="B45" s="54" t="s">
        <v>279</v>
      </c>
      <c r="C45" s="50">
        <f t="shared" si="15"/>
        <v>819</v>
      </c>
      <c r="D45" s="31">
        <f t="shared" si="16"/>
        <v>736</v>
      </c>
      <c r="E45" s="31">
        <f t="shared" si="17"/>
        <v>776</v>
      </c>
      <c r="F45" s="31">
        <f t="shared" si="18"/>
        <v>656</v>
      </c>
      <c r="G45" s="31">
        <f t="shared" si="19"/>
        <v>577</v>
      </c>
      <c r="H45" s="31">
        <f t="shared" si="20"/>
        <v>477</v>
      </c>
      <c r="I45" s="31">
        <f t="shared" si="21"/>
        <v>543</v>
      </c>
      <c r="J45" s="31">
        <f t="shared" si="22"/>
        <v>628</v>
      </c>
      <c r="K45" s="31">
        <f t="shared" si="23"/>
        <v>598</v>
      </c>
      <c r="L45" s="31">
        <f t="shared" si="24"/>
        <v>721</v>
      </c>
      <c r="M45" s="31">
        <f t="shared" si="25"/>
        <v>783</v>
      </c>
      <c r="N45" s="44">
        <f t="shared" si="26"/>
        <v>833</v>
      </c>
      <c r="O45" s="47">
        <f t="shared" si="27"/>
        <v>678.91666666666663</v>
      </c>
      <c r="Q45" s="60">
        <v>5.76</v>
      </c>
      <c r="R45" s="32">
        <v>5.73</v>
      </c>
      <c r="S45" s="32">
        <v>5.46</v>
      </c>
      <c r="T45" s="32">
        <v>4.7699999999999996</v>
      </c>
      <c r="U45" s="32">
        <v>4.0599999999999996</v>
      </c>
      <c r="V45" s="32">
        <v>3.47</v>
      </c>
      <c r="W45" s="32">
        <v>3.82</v>
      </c>
      <c r="X45" s="32">
        <v>4.42</v>
      </c>
      <c r="Y45" s="32">
        <v>4.3499999999999996</v>
      </c>
      <c r="Z45" s="32">
        <v>5.07</v>
      </c>
      <c r="AA45" s="32">
        <v>5.69</v>
      </c>
      <c r="AB45" s="33">
        <v>5.86</v>
      </c>
      <c r="AC45" s="34">
        <v>0.75</v>
      </c>
      <c r="AD45" s="35">
        <f>VLOOKUP($B45,Tabela14[[Cliente]:[Potência]],4,0)</f>
        <v>6.12</v>
      </c>
    </row>
    <row r="46" spans="1:30" x14ac:dyDescent="0.25">
      <c r="A46" s="36">
        <f t="shared" si="1"/>
        <v>44</v>
      </c>
      <c r="B46" s="54" t="s">
        <v>280</v>
      </c>
      <c r="C46" s="50">
        <f t="shared" si="15"/>
        <v>3566</v>
      </c>
      <c r="D46" s="31">
        <f t="shared" si="16"/>
        <v>3204</v>
      </c>
      <c r="E46" s="31">
        <f t="shared" si="17"/>
        <v>3380</v>
      </c>
      <c r="F46" s="31">
        <f t="shared" si="18"/>
        <v>2858</v>
      </c>
      <c r="G46" s="31">
        <f t="shared" si="19"/>
        <v>2513</v>
      </c>
      <c r="H46" s="31">
        <f t="shared" si="20"/>
        <v>2079</v>
      </c>
      <c r="I46" s="31">
        <f t="shared" si="21"/>
        <v>2365</v>
      </c>
      <c r="J46" s="31">
        <f t="shared" si="22"/>
        <v>2736</v>
      </c>
      <c r="K46" s="31">
        <f t="shared" si="23"/>
        <v>2606</v>
      </c>
      <c r="L46" s="31">
        <f t="shared" si="24"/>
        <v>3139</v>
      </c>
      <c r="M46" s="31">
        <f t="shared" si="25"/>
        <v>3409</v>
      </c>
      <c r="N46" s="44">
        <f t="shared" si="26"/>
        <v>3628</v>
      </c>
      <c r="O46" s="47">
        <f t="shared" si="27"/>
        <v>2956.9166666666665</v>
      </c>
      <c r="Q46" s="60">
        <v>5.76</v>
      </c>
      <c r="R46" s="32">
        <v>5.73</v>
      </c>
      <c r="S46" s="32">
        <v>5.46</v>
      </c>
      <c r="T46" s="32">
        <v>4.7699999999999996</v>
      </c>
      <c r="U46" s="32">
        <v>4.0599999999999996</v>
      </c>
      <c r="V46" s="32">
        <v>3.47</v>
      </c>
      <c r="W46" s="32">
        <v>3.82</v>
      </c>
      <c r="X46" s="32">
        <v>4.42</v>
      </c>
      <c r="Y46" s="32">
        <v>4.3499999999999996</v>
      </c>
      <c r="Z46" s="32">
        <v>5.07</v>
      </c>
      <c r="AA46" s="32">
        <v>5.69</v>
      </c>
      <c r="AB46" s="33">
        <v>5.86</v>
      </c>
      <c r="AC46" s="34">
        <v>0.72</v>
      </c>
      <c r="AD46" s="35">
        <f>VLOOKUP($B46,Tabela14[[Cliente]:[Potência]],4,0)</f>
        <v>27.74</v>
      </c>
    </row>
    <row r="47" spans="1:30" x14ac:dyDescent="0.25">
      <c r="A47" s="36">
        <f t="shared" si="1"/>
        <v>45</v>
      </c>
      <c r="B47" s="54" t="s">
        <v>281</v>
      </c>
      <c r="C47" s="50">
        <f t="shared" si="15"/>
        <v>1639</v>
      </c>
      <c r="D47" s="31">
        <f t="shared" si="16"/>
        <v>1472</v>
      </c>
      <c r="E47" s="31">
        <f t="shared" si="17"/>
        <v>1553</v>
      </c>
      <c r="F47" s="31">
        <f t="shared" si="18"/>
        <v>1313</v>
      </c>
      <c r="G47" s="31">
        <f t="shared" si="19"/>
        <v>1155</v>
      </c>
      <c r="H47" s="31">
        <f t="shared" si="20"/>
        <v>955</v>
      </c>
      <c r="I47" s="31">
        <f t="shared" si="21"/>
        <v>1087</v>
      </c>
      <c r="J47" s="31">
        <f t="shared" si="22"/>
        <v>1257</v>
      </c>
      <c r="K47" s="31">
        <f t="shared" si="23"/>
        <v>1197</v>
      </c>
      <c r="L47" s="31">
        <f t="shared" si="24"/>
        <v>1442</v>
      </c>
      <c r="M47" s="31">
        <f t="shared" si="25"/>
        <v>1567</v>
      </c>
      <c r="N47" s="44">
        <f t="shared" si="26"/>
        <v>1667</v>
      </c>
      <c r="O47" s="47">
        <f t="shared" si="27"/>
        <v>1358.6666666666667</v>
      </c>
      <c r="Q47" s="60">
        <v>5.76</v>
      </c>
      <c r="R47" s="32">
        <v>5.73</v>
      </c>
      <c r="S47" s="32">
        <v>5.46</v>
      </c>
      <c r="T47" s="32">
        <v>4.7699999999999996</v>
      </c>
      <c r="U47" s="32">
        <v>4.0599999999999996</v>
      </c>
      <c r="V47" s="32">
        <v>3.47</v>
      </c>
      <c r="W47" s="32">
        <v>3.82</v>
      </c>
      <c r="X47" s="32">
        <v>4.42</v>
      </c>
      <c r="Y47" s="32">
        <v>4.3499999999999996</v>
      </c>
      <c r="Z47" s="32">
        <v>5.07</v>
      </c>
      <c r="AA47" s="32">
        <v>5.69</v>
      </c>
      <c r="AB47" s="33">
        <v>5.86</v>
      </c>
      <c r="AC47" s="34">
        <v>0.75</v>
      </c>
      <c r="AD47" s="35">
        <f>VLOOKUP($B47,Tabela14[[Cliente]:[Potência]],4,0)</f>
        <v>12.24</v>
      </c>
    </row>
    <row r="48" spans="1:30" x14ac:dyDescent="0.25">
      <c r="A48" s="36">
        <f t="shared" si="1"/>
        <v>46</v>
      </c>
      <c r="B48" s="54" t="s">
        <v>282</v>
      </c>
      <c r="C48" s="50">
        <f t="shared" si="15"/>
        <v>594</v>
      </c>
      <c r="D48" s="31">
        <f t="shared" si="16"/>
        <v>534</v>
      </c>
      <c r="E48" s="31">
        <f t="shared" si="17"/>
        <v>563</v>
      </c>
      <c r="F48" s="31">
        <f t="shared" si="18"/>
        <v>476</v>
      </c>
      <c r="G48" s="31">
        <f t="shared" si="19"/>
        <v>419</v>
      </c>
      <c r="H48" s="31">
        <f t="shared" si="20"/>
        <v>346</v>
      </c>
      <c r="I48" s="31">
        <f t="shared" si="21"/>
        <v>394</v>
      </c>
      <c r="J48" s="31">
        <f t="shared" si="22"/>
        <v>456</v>
      </c>
      <c r="K48" s="31">
        <f t="shared" si="23"/>
        <v>434</v>
      </c>
      <c r="L48" s="31">
        <f t="shared" si="24"/>
        <v>523</v>
      </c>
      <c r="M48" s="31">
        <f t="shared" si="25"/>
        <v>568</v>
      </c>
      <c r="N48" s="44">
        <f t="shared" si="26"/>
        <v>605</v>
      </c>
      <c r="O48" s="47">
        <f t="shared" si="27"/>
        <v>492.66666666666669</v>
      </c>
      <c r="Q48" s="60">
        <v>5.76</v>
      </c>
      <c r="R48" s="32">
        <v>5.73</v>
      </c>
      <c r="S48" s="32">
        <v>5.46</v>
      </c>
      <c r="T48" s="32">
        <v>4.7699999999999996</v>
      </c>
      <c r="U48" s="32">
        <v>4.0599999999999996</v>
      </c>
      <c r="V48" s="32">
        <v>3.47</v>
      </c>
      <c r="W48" s="32">
        <v>3.82</v>
      </c>
      <c r="X48" s="32">
        <v>4.42</v>
      </c>
      <c r="Y48" s="32">
        <v>4.3499999999999996</v>
      </c>
      <c r="Z48" s="32">
        <v>5.07</v>
      </c>
      <c r="AA48" s="32">
        <v>5.69</v>
      </c>
      <c r="AB48" s="33">
        <v>5.86</v>
      </c>
      <c r="AC48" s="34">
        <v>0.7</v>
      </c>
      <c r="AD48" s="35">
        <f>VLOOKUP($B48,Tabela14[[Cliente]:[Potência]],4,0)</f>
        <v>4.76</v>
      </c>
    </row>
    <row r="49" spans="1:30" x14ac:dyDescent="0.25">
      <c r="A49" s="36">
        <f t="shared" si="1"/>
        <v>47</v>
      </c>
      <c r="B49" s="54" t="s">
        <v>283</v>
      </c>
      <c r="C49" s="50">
        <f t="shared" si="15"/>
        <v>502</v>
      </c>
      <c r="D49" s="31">
        <f t="shared" si="16"/>
        <v>451</v>
      </c>
      <c r="E49" s="31">
        <f t="shared" si="17"/>
        <v>476</v>
      </c>
      <c r="F49" s="31">
        <f t="shared" si="18"/>
        <v>402</v>
      </c>
      <c r="G49" s="31">
        <f t="shared" si="19"/>
        <v>353</v>
      </c>
      <c r="H49" s="31">
        <f t="shared" si="20"/>
        <v>292</v>
      </c>
      <c r="I49" s="31">
        <f t="shared" si="21"/>
        <v>333</v>
      </c>
      <c r="J49" s="31">
        <f t="shared" si="22"/>
        <v>385</v>
      </c>
      <c r="K49" s="31">
        <f t="shared" si="23"/>
        <v>367</v>
      </c>
      <c r="L49" s="31">
        <f t="shared" si="24"/>
        <v>442</v>
      </c>
      <c r="M49" s="31">
        <f t="shared" si="25"/>
        <v>480</v>
      </c>
      <c r="N49" s="44">
        <f t="shared" si="26"/>
        <v>510</v>
      </c>
      <c r="O49" s="47">
        <f t="shared" si="27"/>
        <v>416.08333333333331</v>
      </c>
      <c r="Q49" s="60">
        <v>5.76</v>
      </c>
      <c r="R49" s="32">
        <v>5.73</v>
      </c>
      <c r="S49" s="32">
        <v>5.46</v>
      </c>
      <c r="T49" s="32">
        <v>4.7699999999999996</v>
      </c>
      <c r="U49" s="32">
        <v>4.0599999999999996</v>
      </c>
      <c r="V49" s="32">
        <v>3.47</v>
      </c>
      <c r="W49" s="32">
        <v>3.82</v>
      </c>
      <c r="X49" s="32">
        <v>4.42</v>
      </c>
      <c r="Y49" s="32">
        <v>4.3499999999999996</v>
      </c>
      <c r="Z49" s="32">
        <v>5.07</v>
      </c>
      <c r="AA49" s="32">
        <v>5.69</v>
      </c>
      <c r="AB49" s="33">
        <v>5.86</v>
      </c>
      <c r="AC49" s="34">
        <v>0.75</v>
      </c>
      <c r="AD49" s="35">
        <f>VLOOKUP($B49,Tabela14[[Cliente]:[Potência]],4,0)</f>
        <v>3.75</v>
      </c>
    </row>
    <row r="50" spans="1:30" x14ac:dyDescent="0.25">
      <c r="A50" s="36">
        <f t="shared" si="1"/>
        <v>48</v>
      </c>
      <c r="B50" s="54" t="s">
        <v>284</v>
      </c>
      <c r="C50" s="50">
        <f t="shared" si="15"/>
        <v>7533</v>
      </c>
      <c r="D50" s="31">
        <f t="shared" si="16"/>
        <v>6768</v>
      </c>
      <c r="E50" s="31">
        <f t="shared" si="17"/>
        <v>7140</v>
      </c>
      <c r="F50" s="31">
        <f t="shared" si="18"/>
        <v>6037</v>
      </c>
      <c r="G50" s="31">
        <f t="shared" si="19"/>
        <v>5309</v>
      </c>
      <c r="H50" s="31">
        <f t="shared" si="20"/>
        <v>4391</v>
      </c>
      <c r="I50" s="31">
        <f t="shared" si="21"/>
        <v>4995</v>
      </c>
      <c r="J50" s="31">
        <f t="shared" si="22"/>
        <v>5780</v>
      </c>
      <c r="K50" s="31">
        <f t="shared" si="23"/>
        <v>5505</v>
      </c>
      <c r="L50" s="31">
        <f t="shared" si="24"/>
        <v>6630</v>
      </c>
      <c r="M50" s="31">
        <f t="shared" si="25"/>
        <v>7201</v>
      </c>
      <c r="N50" s="44">
        <f t="shared" si="26"/>
        <v>7663</v>
      </c>
      <c r="O50" s="47">
        <f t="shared" si="27"/>
        <v>6246</v>
      </c>
      <c r="Q50" s="60">
        <v>5.76</v>
      </c>
      <c r="R50" s="32">
        <v>5.73</v>
      </c>
      <c r="S50" s="32">
        <v>5.46</v>
      </c>
      <c r="T50" s="32">
        <v>4.7699999999999996</v>
      </c>
      <c r="U50" s="32">
        <v>4.0599999999999996</v>
      </c>
      <c r="V50" s="32">
        <v>3.47</v>
      </c>
      <c r="W50" s="32">
        <v>3.82</v>
      </c>
      <c r="X50" s="32">
        <v>4.42</v>
      </c>
      <c r="Y50" s="32">
        <v>4.3499999999999996</v>
      </c>
      <c r="Z50" s="32">
        <v>5.07</v>
      </c>
      <c r="AA50" s="32">
        <v>5.69</v>
      </c>
      <c r="AB50" s="33">
        <v>5.86</v>
      </c>
      <c r="AC50" s="34">
        <v>0.75</v>
      </c>
      <c r="AD50" s="35">
        <f>VLOOKUP($B50,Tabela14[[Cliente]:[Potência]],4,0)</f>
        <v>56.25</v>
      </c>
    </row>
    <row r="51" spans="1:30" x14ac:dyDescent="0.25">
      <c r="A51" s="36">
        <f t="shared" si="1"/>
        <v>49</v>
      </c>
      <c r="B51" s="54" t="s">
        <v>52</v>
      </c>
      <c r="C51" s="50">
        <f t="shared" si="15"/>
        <v>552</v>
      </c>
      <c r="D51" s="31">
        <f t="shared" si="16"/>
        <v>496</v>
      </c>
      <c r="E51" s="31">
        <f t="shared" si="17"/>
        <v>523</v>
      </c>
      <c r="F51" s="31">
        <f t="shared" si="18"/>
        <v>442</v>
      </c>
      <c r="G51" s="31">
        <f t="shared" si="19"/>
        <v>389</v>
      </c>
      <c r="H51" s="31">
        <f t="shared" si="20"/>
        <v>322</v>
      </c>
      <c r="I51" s="31">
        <f t="shared" si="21"/>
        <v>366</v>
      </c>
      <c r="J51" s="31">
        <f t="shared" si="22"/>
        <v>423</v>
      </c>
      <c r="K51" s="31">
        <f t="shared" si="23"/>
        <v>403</v>
      </c>
      <c r="L51" s="31">
        <f t="shared" si="24"/>
        <v>486</v>
      </c>
      <c r="M51" s="31">
        <f t="shared" si="25"/>
        <v>528</v>
      </c>
      <c r="N51" s="44">
        <f t="shared" si="26"/>
        <v>562</v>
      </c>
      <c r="O51" s="47">
        <f t="shared" si="27"/>
        <v>457.66666666666669</v>
      </c>
      <c r="Q51" s="60">
        <v>5.76</v>
      </c>
      <c r="R51" s="32">
        <v>5.73</v>
      </c>
      <c r="S51" s="32">
        <v>5.46</v>
      </c>
      <c r="T51" s="32">
        <v>4.7699999999999996</v>
      </c>
      <c r="U51" s="32">
        <v>4.0599999999999996</v>
      </c>
      <c r="V51" s="32">
        <v>3.47</v>
      </c>
      <c r="W51" s="32">
        <v>3.82</v>
      </c>
      <c r="X51" s="32">
        <v>4.42</v>
      </c>
      <c r="Y51" s="32">
        <v>4.3499999999999996</v>
      </c>
      <c r="Z51" s="32">
        <v>5.07</v>
      </c>
      <c r="AA51" s="32">
        <v>5.69</v>
      </c>
      <c r="AB51" s="33">
        <v>5.86</v>
      </c>
      <c r="AC51" s="34">
        <v>7.0000000000000007E-2</v>
      </c>
      <c r="AD51" s="35">
        <f>VLOOKUP($B51,Tabela14[[Cliente]:[Potência]],4,0)</f>
        <v>44.2</v>
      </c>
    </row>
    <row r="52" spans="1:30" x14ac:dyDescent="0.25">
      <c r="A52" s="36">
        <f t="shared" si="1"/>
        <v>50</v>
      </c>
      <c r="B52" s="54" t="s">
        <v>285</v>
      </c>
      <c r="C52" s="50">
        <f t="shared" si="15"/>
        <v>423</v>
      </c>
      <c r="D52" s="31">
        <f t="shared" si="16"/>
        <v>374</v>
      </c>
      <c r="E52" s="31">
        <f t="shared" si="17"/>
        <v>406</v>
      </c>
      <c r="F52" s="31">
        <f t="shared" si="18"/>
        <v>354</v>
      </c>
      <c r="G52" s="31">
        <f t="shared" si="19"/>
        <v>327</v>
      </c>
      <c r="H52" s="31">
        <f t="shared" si="20"/>
        <v>296</v>
      </c>
      <c r="I52" s="31">
        <f t="shared" si="21"/>
        <v>303</v>
      </c>
      <c r="J52" s="31">
        <f t="shared" si="22"/>
        <v>355</v>
      </c>
      <c r="K52" s="31">
        <f t="shared" si="23"/>
        <v>356</v>
      </c>
      <c r="L52" s="31">
        <f t="shared" si="24"/>
        <v>394</v>
      </c>
      <c r="M52" s="31">
        <f t="shared" si="25"/>
        <v>393</v>
      </c>
      <c r="N52" s="44">
        <f t="shared" si="26"/>
        <v>418</v>
      </c>
      <c r="O52" s="47">
        <f t="shared" si="27"/>
        <v>366.58333333333331</v>
      </c>
      <c r="Q52" s="60">
        <v>6.14</v>
      </c>
      <c r="R52" s="32">
        <v>6.01</v>
      </c>
      <c r="S52" s="32">
        <v>5.89</v>
      </c>
      <c r="T52" s="32">
        <v>5.3</v>
      </c>
      <c r="U52" s="32">
        <v>4.75</v>
      </c>
      <c r="V52" s="32">
        <v>4.4400000000000004</v>
      </c>
      <c r="W52" s="32">
        <v>4.4000000000000004</v>
      </c>
      <c r="X52" s="32">
        <v>5.15</v>
      </c>
      <c r="Y52" s="32">
        <v>5.33</v>
      </c>
      <c r="Z52" s="32">
        <v>5.71</v>
      </c>
      <c r="AA52" s="32">
        <v>5.89</v>
      </c>
      <c r="AB52" s="33">
        <v>6.06</v>
      </c>
      <c r="AC52" s="34">
        <v>0.75</v>
      </c>
      <c r="AD52" s="35">
        <f>VLOOKUP($B52,Tabela14[[Cliente]:[Potência]],4,0)</f>
        <v>2.97</v>
      </c>
    </row>
    <row r="53" spans="1:30" x14ac:dyDescent="0.25">
      <c r="A53" s="36">
        <f t="shared" si="1"/>
        <v>51</v>
      </c>
      <c r="B53" s="54" t="s">
        <v>286</v>
      </c>
      <c r="C53" s="50">
        <f t="shared" si="15"/>
        <v>1019</v>
      </c>
      <c r="D53" s="31">
        <f t="shared" si="16"/>
        <v>916</v>
      </c>
      <c r="E53" s="31">
        <f t="shared" si="17"/>
        <v>966</v>
      </c>
      <c r="F53" s="31">
        <f t="shared" si="18"/>
        <v>817</v>
      </c>
      <c r="G53" s="31">
        <f t="shared" si="19"/>
        <v>718</v>
      </c>
      <c r="H53" s="31">
        <f t="shared" si="20"/>
        <v>594</v>
      </c>
      <c r="I53" s="31">
        <f t="shared" si="21"/>
        <v>676</v>
      </c>
      <c r="J53" s="31">
        <f t="shared" si="22"/>
        <v>782</v>
      </c>
      <c r="K53" s="31">
        <f t="shared" si="23"/>
        <v>745</v>
      </c>
      <c r="L53" s="31">
        <f t="shared" si="24"/>
        <v>897</v>
      </c>
      <c r="M53" s="31">
        <f t="shared" si="25"/>
        <v>975</v>
      </c>
      <c r="N53" s="44">
        <f t="shared" si="26"/>
        <v>1037</v>
      </c>
      <c r="O53" s="47">
        <f t="shared" si="27"/>
        <v>845.16666666666663</v>
      </c>
      <c r="Q53" s="60">
        <v>5.76</v>
      </c>
      <c r="R53" s="32">
        <v>5.73</v>
      </c>
      <c r="S53" s="32">
        <v>5.46</v>
      </c>
      <c r="T53" s="32">
        <v>4.7699999999999996</v>
      </c>
      <c r="U53" s="32">
        <v>4.0599999999999996</v>
      </c>
      <c r="V53" s="32">
        <v>3.47</v>
      </c>
      <c r="W53" s="32">
        <v>3.82</v>
      </c>
      <c r="X53" s="32">
        <v>4.42</v>
      </c>
      <c r="Y53" s="32">
        <v>4.3499999999999996</v>
      </c>
      <c r="Z53" s="32">
        <v>5.07</v>
      </c>
      <c r="AA53" s="32">
        <v>5.69</v>
      </c>
      <c r="AB53" s="33">
        <v>5.86</v>
      </c>
      <c r="AC53" s="34">
        <v>0.7</v>
      </c>
      <c r="AD53" s="35">
        <f>VLOOKUP($B53,Tabela14[[Cliente]:[Potência]],4,0)</f>
        <v>8.16</v>
      </c>
    </row>
    <row r="54" spans="1:30" x14ac:dyDescent="0.25">
      <c r="A54" s="36">
        <f t="shared" si="1"/>
        <v>52</v>
      </c>
      <c r="B54" s="54" t="s">
        <v>287</v>
      </c>
      <c r="C54" s="50">
        <f t="shared" si="15"/>
        <v>991</v>
      </c>
      <c r="D54" s="31">
        <f t="shared" si="16"/>
        <v>890</v>
      </c>
      <c r="E54" s="31">
        <f t="shared" si="17"/>
        <v>939</v>
      </c>
      <c r="F54" s="31">
        <f t="shared" si="18"/>
        <v>794</v>
      </c>
      <c r="G54" s="31">
        <f t="shared" si="19"/>
        <v>698</v>
      </c>
      <c r="H54" s="31">
        <f t="shared" si="20"/>
        <v>577</v>
      </c>
      <c r="I54" s="31">
        <f t="shared" si="21"/>
        <v>657</v>
      </c>
      <c r="J54" s="31">
        <f t="shared" si="22"/>
        <v>760</v>
      </c>
      <c r="K54" s="31">
        <f t="shared" si="23"/>
        <v>724</v>
      </c>
      <c r="L54" s="31">
        <f t="shared" si="24"/>
        <v>872</v>
      </c>
      <c r="M54" s="31">
        <f t="shared" si="25"/>
        <v>947</v>
      </c>
      <c r="N54" s="44">
        <f t="shared" si="26"/>
        <v>1008</v>
      </c>
      <c r="O54" s="47">
        <f t="shared" si="27"/>
        <v>821.41666666666663</v>
      </c>
      <c r="Q54" s="60">
        <v>5.76</v>
      </c>
      <c r="R54" s="32">
        <v>5.73</v>
      </c>
      <c r="S54" s="32">
        <v>5.46</v>
      </c>
      <c r="T54" s="32">
        <v>4.7699999999999996</v>
      </c>
      <c r="U54" s="32">
        <v>4.0599999999999996</v>
      </c>
      <c r="V54" s="32">
        <v>3.47</v>
      </c>
      <c r="W54" s="32">
        <v>3.82</v>
      </c>
      <c r="X54" s="32">
        <v>4.42</v>
      </c>
      <c r="Y54" s="32">
        <v>4.3499999999999996</v>
      </c>
      <c r="Z54" s="32">
        <v>5.07</v>
      </c>
      <c r="AA54" s="32">
        <v>5.69</v>
      </c>
      <c r="AB54" s="33">
        <v>5.86</v>
      </c>
      <c r="AC54" s="34">
        <v>0.75</v>
      </c>
      <c r="AD54" s="35">
        <f>VLOOKUP($B54,Tabela14[[Cliente]:[Potência]],4,0)</f>
        <v>7.4</v>
      </c>
    </row>
    <row r="55" spans="1:30" x14ac:dyDescent="0.25">
      <c r="A55" s="36">
        <f t="shared" si="1"/>
        <v>53</v>
      </c>
      <c r="B55" s="54" t="s">
        <v>288</v>
      </c>
      <c r="C55" s="50">
        <f t="shared" si="15"/>
        <v>552</v>
      </c>
      <c r="D55" s="31">
        <f t="shared" si="16"/>
        <v>496</v>
      </c>
      <c r="E55" s="31">
        <f t="shared" si="17"/>
        <v>523</v>
      </c>
      <c r="F55" s="31">
        <f t="shared" si="18"/>
        <v>442</v>
      </c>
      <c r="G55" s="31">
        <f t="shared" si="19"/>
        <v>389</v>
      </c>
      <c r="H55" s="31">
        <f t="shared" si="20"/>
        <v>322</v>
      </c>
      <c r="I55" s="31">
        <f t="shared" si="21"/>
        <v>366</v>
      </c>
      <c r="J55" s="31">
        <f t="shared" si="22"/>
        <v>423</v>
      </c>
      <c r="K55" s="31">
        <f t="shared" si="23"/>
        <v>403</v>
      </c>
      <c r="L55" s="31">
        <f t="shared" si="24"/>
        <v>486</v>
      </c>
      <c r="M55" s="31">
        <f t="shared" si="25"/>
        <v>528</v>
      </c>
      <c r="N55" s="44">
        <f t="shared" si="26"/>
        <v>562</v>
      </c>
      <c r="O55" s="47">
        <f t="shared" si="27"/>
        <v>457.66666666666669</v>
      </c>
      <c r="Q55" s="60">
        <v>5.76</v>
      </c>
      <c r="R55" s="32">
        <v>5.73</v>
      </c>
      <c r="S55" s="32">
        <v>5.46</v>
      </c>
      <c r="T55" s="32">
        <v>4.7699999999999996</v>
      </c>
      <c r="U55" s="32">
        <v>4.0599999999999996</v>
      </c>
      <c r="V55" s="32">
        <v>3.47</v>
      </c>
      <c r="W55" s="32">
        <v>3.82</v>
      </c>
      <c r="X55" s="32">
        <v>4.42</v>
      </c>
      <c r="Y55" s="32">
        <v>4.3499999999999996</v>
      </c>
      <c r="Z55" s="32">
        <v>5.07</v>
      </c>
      <c r="AA55" s="32">
        <v>5.69</v>
      </c>
      <c r="AB55" s="33">
        <v>5.86</v>
      </c>
      <c r="AC55" s="34">
        <v>0.75</v>
      </c>
      <c r="AD55" s="35">
        <f>VLOOKUP($B55,Tabela14[[Cliente]:[Potência]],4,0)</f>
        <v>4.125</v>
      </c>
    </row>
    <row r="56" spans="1:30" x14ac:dyDescent="0.25">
      <c r="A56" s="36">
        <f t="shared" si="1"/>
        <v>54</v>
      </c>
      <c r="B56" s="54" t="s">
        <v>289</v>
      </c>
      <c r="C56" s="50">
        <f t="shared" si="15"/>
        <v>602</v>
      </c>
      <c r="D56" s="31">
        <f t="shared" si="16"/>
        <v>541</v>
      </c>
      <c r="E56" s="31">
        <f t="shared" si="17"/>
        <v>571</v>
      </c>
      <c r="F56" s="31">
        <f t="shared" si="18"/>
        <v>482</v>
      </c>
      <c r="G56" s="31">
        <f t="shared" si="19"/>
        <v>424</v>
      </c>
      <c r="H56" s="31">
        <f t="shared" si="20"/>
        <v>351</v>
      </c>
      <c r="I56" s="31">
        <f t="shared" si="21"/>
        <v>399</v>
      </c>
      <c r="J56" s="31">
        <f t="shared" si="22"/>
        <v>462</v>
      </c>
      <c r="K56" s="31">
        <f t="shared" si="23"/>
        <v>440</v>
      </c>
      <c r="L56" s="31">
        <f t="shared" si="24"/>
        <v>530</v>
      </c>
      <c r="M56" s="31">
        <f t="shared" si="25"/>
        <v>576</v>
      </c>
      <c r="N56" s="44">
        <f t="shared" si="26"/>
        <v>613</v>
      </c>
      <c r="O56" s="47">
        <f t="shared" si="27"/>
        <v>499.25</v>
      </c>
      <c r="Q56" s="60">
        <v>5.76</v>
      </c>
      <c r="R56" s="32">
        <v>5.73</v>
      </c>
      <c r="S56" s="32">
        <v>5.46</v>
      </c>
      <c r="T56" s="32">
        <v>4.7699999999999996</v>
      </c>
      <c r="U56" s="32">
        <v>4.0599999999999996</v>
      </c>
      <c r="V56" s="32">
        <v>3.47</v>
      </c>
      <c r="W56" s="32">
        <v>3.82</v>
      </c>
      <c r="X56" s="32">
        <v>4.42</v>
      </c>
      <c r="Y56" s="32">
        <v>4.3499999999999996</v>
      </c>
      <c r="Z56" s="32">
        <v>5.07</v>
      </c>
      <c r="AA56" s="32">
        <v>5.69</v>
      </c>
      <c r="AB56" s="33">
        <v>5.86</v>
      </c>
      <c r="AC56" s="34">
        <v>0.75</v>
      </c>
      <c r="AD56" s="35">
        <f>VLOOKUP($B56,Tabela14[[Cliente]:[Potência]],4,0)</f>
        <v>4.5</v>
      </c>
    </row>
    <row r="57" spans="1:30" x14ac:dyDescent="0.25">
      <c r="A57" s="36">
        <f t="shared" si="1"/>
        <v>55</v>
      </c>
      <c r="B57" s="54" t="s">
        <v>290</v>
      </c>
      <c r="C57" s="50">
        <f t="shared" si="15"/>
        <v>693</v>
      </c>
      <c r="D57" s="31">
        <f t="shared" si="16"/>
        <v>623</v>
      </c>
      <c r="E57" s="31">
        <f t="shared" si="17"/>
        <v>657</v>
      </c>
      <c r="F57" s="31">
        <f t="shared" si="18"/>
        <v>555</v>
      </c>
      <c r="G57" s="31">
        <f t="shared" si="19"/>
        <v>488</v>
      </c>
      <c r="H57" s="31">
        <f t="shared" si="20"/>
        <v>404</v>
      </c>
      <c r="I57" s="31">
        <f t="shared" si="21"/>
        <v>460</v>
      </c>
      <c r="J57" s="31">
        <f t="shared" si="22"/>
        <v>532</v>
      </c>
      <c r="K57" s="31">
        <f t="shared" si="23"/>
        <v>506</v>
      </c>
      <c r="L57" s="31">
        <f t="shared" si="24"/>
        <v>610</v>
      </c>
      <c r="M57" s="31">
        <f t="shared" si="25"/>
        <v>663</v>
      </c>
      <c r="N57" s="44">
        <f t="shared" si="26"/>
        <v>705</v>
      </c>
      <c r="O57" s="47">
        <f t="shared" si="27"/>
        <v>574.66666666666663</v>
      </c>
      <c r="Q57" s="60">
        <v>5.76</v>
      </c>
      <c r="R57" s="32">
        <v>5.73</v>
      </c>
      <c r="S57" s="32">
        <v>5.46</v>
      </c>
      <c r="T57" s="32">
        <v>4.7699999999999996</v>
      </c>
      <c r="U57" s="32">
        <v>4.0599999999999996</v>
      </c>
      <c r="V57" s="32">
        <v>3.47</v>
      </c>
      <c r="W57" s="32">
        <v>3.82</v>
      </c>
      <c r="X57" s="32">
        <v>4.42</v>
      </c>
      <c r="Y57" s="32">
        <v>4.3499999999999996</v>
      </c>
      <c r="Z57" s="32">
        <v>5.07</v>
      </c>
      <c r="AA57" s="32">
        <v>5.69</v>
      </c>
      <c r="AB57" s="33">
        <v>5.86</v>
      </c>
      <c r="AC57" s="34">
        <v>0.75</v>
      </c>
      <c r="AD57" s="35">
        <f>VLOOKUP($B57,Tabela14[[Cliente]:[Potência]],4,0)</f>
        <v>5.18</v>
      </c>
    </row>
    <row r="58" spans="1:30" x14ac:dyDescent="0.25">
      <c r="A58" s="36">
        <f t="shared" si="1"/>
        <v>56</v>
      </c>
      <c r="B58" s="54" t="s">
        <v>291</v>
      </c>
      <c r="C58" s="50">
        <f t="shared" si="15"/>
        <v>792</v>
      </c>
      <c r="D58" s="31">
        <f t="shared" si="16"/>
        <v>712</v>
      </c>
      <c r="E58" s="31">
        <f t="shared" si="17"/>
        <v>751</v>
      </c>
      <c r="F58" s="31">
        <f t="shared" si="18"/>
        <v>635</v>
      </c>
      <c r="G58" s="31">
        <f t="shared" si="19"/>
        <v>558</v>
      </c>
      <c r="H58" s="31">
        <f t="shared" si="20"/>
        <v>462</v>
      </c>
      <c r="I58" s="31">
        <f t="shared" si="21"/>
        <v>525</v>
      </c>
      <c r="J58" s="31">
        <f t="shared" si="22"/>
        <v>608</v>
      </c>
      <c r="K58" s="31">
        <f t="shared" si="23"/>
        <v>579</v>
      </c>
      <c r="L58" s="31">
        <f t="shared" si="24"/>
        <v>697</v>
      </c>
      <c r="M58" s="31">
        <f t="shared" si="25"/>
        <v>757</v>
      </c>
      <c r="N58" s="44">
        <f t="shared" si="26"/>
        <v>806</v>
      </c>
      <c r="O58" s="47">
        <f t="shared" si="27"/>
        <v>656.83333333333337</v>
      </c>
      <c r="Q58" s="60">
        <v>5.76</v>
      </c>
      <c r="R58" s="32">
        <v>5.73</v>
      </c>
      <c r="S58" s="32">
        <v>5.46</v>
      </c>
      <c r="T58" s="32">
        <v>4.7699999999999996</v>
      </c>
      <c r="U58" s="32">
        <v>4.0599999999999996</v>
      </c>
      <c r="V58" s="32">
        <v>3.47</v>
      </c>
      <c r="W58" s="32">
        <v>3.82</v>
      </c>
      <c r="X58" s="32">
        <v>4.42</v>
      </c>
      <c r="Y58" s="32">
        <v>4.3499999999999996</v>
      </c>
      <c r="Z58" s="32">
        <v>5.07</v>
      </c>
      <c r="AA58" s="32">
        <v>5.69</v>
      </c>
      <c r="AB58" s="33">
        <v>5.86</v>
      </c>
      <c r="AC58" s="34">
        <v>0.75</v>
      </c>
      <c r="AD58" s="35">
        <f>VLOOKUP($B58,Tabela14[[Cliente]:[Potência]],4,0)</f>
        <v>5.92</v>
      </c>
    </row>
    <row r="59" spans="1:30" x14ac:dyDescent="0.25">
      <c r="A59" s="36">
        <f t="shared" si="1"/>
        <v>57</v>
      </c>
      <c r="B59" s="54" t="s">
        <v>56</v>
      </c>
      <c r="C59" s="50">
        <f t="shared" si="15"/>
        <v>1288</v>
      </c>
      <c r="D59" s="31">
        <f t="shared" si="16"/>
        <v>1157</v>
      </c>
      <c r="E59" s="31">
        <f t="shared" si="17"/>
        <v>1221</v>
      </c>
      <c r="F59" s="31">
        <f t="shared" si="18"/>
        <v>1032</v>
      </c>
      <c r="G59" s="31">
        <f t="shared" si="19"/>
        <v>908</v>
      </c>
      <c r="H59" s="31">
        <f t="shared" si="20"/>
        <v>751</v>
      </c>
      <c r="I59" s="31">
        <f t="shared" si="21"/>
        <v>854</v>
      </c>
      <c r="J59" s="31">
        <f t="shared" si="22"/>
        <v>988</v>
      </c>
      <c r="K59" s="31">
        <f t="shared" si="23"/>
        <v>941</v>
      </c>
      <c r="L59" s="31">
        <f t="shared" si="24"/>
        <v>1133</v>
      </c>
      <c r="M59" s="31">
        <f t="shared" si="25"/>
        <v>1231</v>
      </c>
      <c r="N59" s="44">
        <f t="shared" si="26"/>
        <v>1310</v>
      </c>
      <c r="O59" s="47">
        <f t="shared" si="27"/>
        <v>1067.8333333333333</v>
      </c>
      <c r="Q59" s="60">
        <v>5.76</v>
      </c>
      <c r="R59" s="32">
        <v>5.73</v>
      </c>
      <c r="S59" s="32">
        <v>5.46</v>
      </c>
      <c r="T59" s="32">
        <v>4.7699999999999996</v>
      </c>
      <c r="U59" s="32">
        <v>4.0599999999999996</v>
      </c>
      <c r="V59" s="32">
        <v>3.47</v>
      </c>
      <c r="W59" s="32">
        <v>3.82</v>
      </c>
      <c r="X59" s="32">
        <v>4.42</v>
      </c>
      <c r="Y59" s="32">
        <v>4.3499999999999996</v>
      </c>
      <c r="Z59" s="32">
        <v>5.07</v>
      </c>
      <c r="AA59" s="32">
        <v>5.69</v>
      </c>
      <c r="AB59" s="33">
        <v>5.86</v>
      </c>
      <c r="AC59" s="34">
        <v>0.75</v>
      </c>
      <c r="AD59" s="35">
        <f>VLOOKUP($B59,Tabela14[[Cliente]:[Potência]],4,0)</f>
        <v>9.6199999999999992</v>
      </c>
    </row>
    <row r="60" spans="1:30" x14ac:dyDescent="0.25">
      <c r="A60" s="36">
        <f t="shared" si="1"/>
        <v>58</v>
      </c>
      <c r="B60" s="54" t="s">
        <v>292</v>
      </c>
      <c r="C60" s="50">
        <f t="shared" si="15"/>
        <v>1486</v>
      </c>
      <c r="D60" s="31">
        <f t="shared" si="16"/>
        <v>1335</v>
      </c>
      <c r="E60" s="31">
        <f t="shared" si="17"/>
        <v>1409</v>
      </c>
      <c r="F60" s="31">
        <f t="shared" si="18"/>
        <v>1191</v>
      </c>
      <c r="G60" s="31">
        <f t="shared" si="19"/>
        <v>1047</v>
      </c>
      <c r="H60" s="31">
        <f t="shared" si="20"/>
        <v>866</v>
      </c>
      <c r="I60" s="31">
        <f t="shared" si="21"/>
        <v>985</v>
      </c>
      <c r="J60" s="31">
        <f t="shared" si="22"/>
        <v>1140</v>
      </c>
      <c r="K60" s="31">
        <f t="shared" si="23"/>
        <v>1086</v>
      </c>
      <c r="L60" s="31">
        <f t="shared" si="24"/>
        <v>1308</v>
      </c>
      <c r="M60" s="31">
        <f t="shared" si="25"/>
        <v>1421</v>
      </c>
      <c r="N60" s="44">
        <f t="shared" si="26"/>
        <v>1512</v>
      </c>
      <c r="O60" s="47">
        <f t="shared" si="27"/>
        <v>1232.1666666666667</v>
      </c>
      <c r="Q60" s="60">
        <v>5.76</v>
      </c>
      <c r="R60" s="32">
        <v>5.73</v>
      </c>
      <c r="S60" s="32">
        <v>5.46</v>
      </c>
      <c r="T60" s="32">
        <v>4.7699999999999996</v>
      </c>
      <c r="U60" s="32">
        <v>4.0599999999999996</v>
      </c>
      <c r="V60" s="32">
        <v>3.47</v>
      </c>
      <c r="W60" s="32">
        <v>3.82</v>
      </c>
      <c r="X60" s="32">
        <v>4.42</v>
      </c>
      <c r="Y60" s="32">
        <v>4.3499999999999996</v>
      </c>
      <c r="Z60" s="32">
        <v>5.07</v>
      </c>
      <c r="AA60" s="32">
        <v>5.69</v>
      </c>
      <c r="AB60" s="33">
        <v>5.86</v>
      </c>
      <c r="AC60" s="34">
        <v>0.75</v>
      </c>
      <c r="AD60" s="35">
        <f>VLOOKUP($B60,Tabela14[[Cliente]:[Potência]],4,0)</f>
        <v>11.1</v>
      </c>
    </row>
    <row r="61" spans="1:30" x14ac:dyDescent="0.25">
      <c r="A61" s="36">
        <f t="shared" si="1"/>
        <v>59</v>
      </c>
      <c r="B61" s="54" t="s">
        <v>293</v>
      </c>
      <c r="C61" s="50">
        <f t="shared" si="15"/>
        <v>594</v>
      </c>
      <c r="D61" s="31">
        <f t="shared" si="16"/>
        <v>534</v>
      </c>
      <c r="E61" s="31">
        <f t="shared" si="17"/>
        <v>563</v>
      </c>
      <c r="F61" s="31">
        <f t="shared" si="18"/>
        <v>476</v>
      </c>
      <c r="G61" s="31">
        <f t="shared" si="19"/>
        <v>419</v>
      </c>
      <c r="H61" s="31">
        <f t="shared" si="20"/>
        <v>346</v>
      </c>
      <c r="I61" s="31">
        <f t="shared" si="21"/>
        <v>394</v>
      </c>
      <c r="J61" s="31">
        <f t="shared" si="22"/>
        <v>456</v>
      </c>
      <c r="K61" s="31">
        <f t="shared" si="23"/>
        <v>434</v>
      </c>
      <c r="L61" s="31">
        <f t="shared" si="24"/>
        <v>523</v>
      </c>
      <c r="M61" s="31">
        <f t="shared" si="25"/>
        <v>568</v>
      </c>
      <c r="N61" s="44">
        <f t="shared" si="26"/>
        <v>604</v>
      </c>
      <c r="O61" s="47">
        <f t="shared" si="27"/>
        <v>492.58333333333331</v>
      </c>
      <c r="Q61" s="60">
        <v>5.76</v>
      </c>
      <c r="R61" s="32">
        <v>5.73</v>
      </c>
      <c r="S61" s="32">
        <v>5.46</v>
      </c>
      <c r="T61" s="32">
        <v>4.7699999999999996</v>
      </c>
      <c r="U61" s="32">
        <v>4.0599999999999996</v>
      </c>
      <c r="V61" s="32">
        <v>3.47</v>
      </c>
      <c r="W61" s="32">
        <v>3.82</v>
      </c>
      <c r="X61" s="32">
        <v>4.42</v>
      </c>
      <c r="Y61" s="32">
        <v>4.3499999999999996</v>
      </c>
      <c r="Z61" s="32">
        <v>5.07</v>
      </c>
      <c r="AA61" s="32">
        <v>5.69</v>
      </c>
      <c r="AB61" s="33">
        <v>5.86</v>
      </c>
      <c r="AC61" s="34">
        <v>0.75</v>
      </c>
      <c r="AD61" s="35">
        <f>VLOOKUP($B61,Tabela14[[Cliente]:[Potência]],4,0)</f>
        <v>4.4400000000000004</v>
      </c>
    </row>
    <row r="62" spans="1:30" x14ac:dyDescent="0.25">
      <c r="A62" s="36">
        <f t="shared" si="1"/>
        <v>60</v>
      </c>
      <c r="B62" s="54" t="s">
        <v>59</v>
      </c>
      <c r="C62" s="50">
        <f t="shared" si="15"/>
        <v>637</v>
      </c>
      <c r="D62" s="31">
        <f t="shared" si="16"/>
        <v>572</v>
      </c>
      <c r="E62" s="31">
        <f t="shared" si="17"/>
        <v>604</v>
      </c>
      <c r="F62" s="31">
        <f t="shared" si="18"/>
        <v>510</v>
      </c>
      <c r="G62" s="31">
        <f t="shared" si="19"/>
        <v>449</v>
      </c>
      <c r="H62" s="31">
        <f t="shared" si="20"/>
        <v>371</v>
      </c>
      <c r="I62" s="31">
        <f t="shared" si="21"/>
        <v>422</v>
      </c>
      <c r="J62" s="31">
        <f t="shared" si="22"/>
        <v>489</v>
      </c>
      <c r="K62" s="31">
        <f t="shared" si="23"/>
        <v>465</v>
      </c>
      <c r="L62" s="31">
        <f t="shared" si="24"/>
        <v>561</v>
      </c>
      <c r="M62" s="31">
        <f t="shared" si="25"/>
        <v>609</v>
      </c>
      <c r="N62" s="44">
        <f t="shared" si="26"/>
        <v>648</v>
      </c>
      <c r="O62" s="47">
        <f t="shared" si="27"/>
        <v>528.08333333333337</v>
      </c>
      <c r="Q62" s="60">
        <v>5.76</v>
      </c>
      <c r="R62" s="32">
        <v>5.73</v>
      </c>
      <c r="S62" s="32">
        <v>5.46</v>
      </c>
      <c r="T62" s="32">
        <v>4.7699999999999996</v>
      </c>
      <c r="U62" s="32">
        <v>4.0599999999999996</v>
      </c>
      <c r="V62" s="32">
        <v>3.47</v>
      </c>
      <c r="W62" s="32">
        <v>3.82</v>
      </c>
      <c r="X62" s="32">
        <v>4.42</v>
      </c>
      <c r="Y62" s="32">
        <v>4.3499999999999996</v>
      </c>
      <c r="Z62" s="32">
        <v>5.07</v>
      </c>
      <c r="AA62" s="32">
        <v>5.69</v>
      </c>
      <c r="AB62" s="33">
        <v>5.86</v>
      </c>
      <c r="AC62" s="34">
        <v>0.75</v>
      </c>
      <c r="AD62" s="35">
        <f>VLOOKUP($B62,Tabela14[[Cliente]:[Potência]],4,0)</f>
        <v>4.76</v>
      </c>
    </row>
    <row r="63" spans="1:30" x14ac:dyDescent="0.25">
      <c r="A63" s="36">
        <f t="shared" si="1"/>
        <v>61</v>
      </c>
      <c r="B63" s="54" t="s">
        <v>60</v>
      </c>
      <c r="C63" s="50">
        <f t="shared" si="15"/>
        <v>693</v>
      </c>
      <c r="D63" s="31">
        <f t="shared" si="16"/>
        <v>623</v>
      </c>
      <c r="E63" s="31">
        <f t="shared" si="17"/>
        <v>657</v>
      </c>
      <c r="F63" s="31">
        <f t="shared" si="18"/>
        <v>555</v>
      </c>
      <c r="G63" s="31">
        <f t="shared" si="19"/>
        <v>488</v>
      </c>
      <c r="H63" s="31">
        <f t="shared" si="20"/>
        <v>404</v>
      </c>
      <c r="I63" s="31">
        <f t="shared" si="21"/>
        <v>460</v>
      </c>
      <c r="J63" s="31">
        <f t="shared" si="22"/>
        <v>532</v>
      </c>
      <c r="K63" s="31">
        <f t="shared" si="23"/>
        <v>506</v>
      </c>
      <c r="L63" s="31">
        <f t="shared" si="24"/>
        <v>610</v>
      </c>
      <c r="M63" s="31">
        <f t="shared" si="25"/>
        <v>663</v>
      </c>
      <c r="N63" s="44">
        <f t="shared" si="26"/>
        <v>705</v>
      </c>
      <c r="O63" s="47">
        <f t="shared" si="27"/>
        <v>574.66666666666663</v>
      </c>
      <c r="Q63" s="60">
        <v>5.76</v>
      </c>
      <c r="R63" s="32">
        <v>5.73</v>
      </c>
      <c r="S63" s="32">
        <v>5.46</v>
      </c>
      <c r="T63" s="32">
        <v>4.7699999999999996</v>
      </c>
      <c r="U63" s="32">
        <v>4.0599999999999996</v>
      </c>
      <c r="V63" s="32">
        <v>3.47</v>
      </c>
      <c r="W63" s="32">
        <v>3.82</v>
      </c>
      <c r="X63" s="32">
        <v>4.42</v>
      </c>
      <c r="Y63" s="32">
        <v>4.3499999999999996</v>
      </c>
      <c r="Z63" s="32">
        <v>5.07</v>
      </c>
      <c r="AA63" s="32">
        <v>5.69</v>
      </c>
      <c r="AB63" s="33">
        <v>5.86</v>
      </c>
      <c r="AC63" s="34">
        <v>0.75</v>
      </c>
      <c r="AD63" s="35">
        <f>VLOOKUP($B63,Tabela14[[Cliente]:[Potência]],4,0)</f>
        <v>5.18</v>
      </c>
    </row>
    <row r="64" spans="1:30" x14ac:dyDescent="0.25">
      <c r="A64" s="36">
        <f t="shared" si="1"/>
        <v>62</v>
      </c>
      <c r="B64" s="54" t="s">
        <v>61</v>
      </c>
      <c r="C64" s="50">
        <f t="shared" si="15"/>
        <v>396</v>
      </c>
      <c r="D64" s="31">
        <f t="shared" si="16"/>
        <v>356</v>
      </c>
      <c r="E64" s="31">
        <f t="shared" si="17"/>
        <v>375</v>
      </c>
      <c r="F64" s="31">
        <f t="shared" si="18"/>
        <v>317</v>
      </c>
      <c r="G64" s="31">
        <f t="shared" si="19"/>
        <v>279</v>
      </c>
      <c r="H64" s="31">
        <f t="shared" si="20"/>
        <v>231</v>
      </c>
      <c r="I64" s="31">
        <f t="shared" si="21"/>
        <v>262</v>
      </c>
      <c r="J64" s="31">
        <f t="shared" si="22"/>
        <v>304</v>
      </c>
      <c r="K64" s="31">
        <f t="shared" si="23"/>
        <v>289</v>
      </c>
      <c r="L64" s="31">
        <f t="shared" si="24"/>
        <v>348</v>
      </c>
      <c r="M64" s="31">
        <f t="shared" si="25"/>
        <v>378</v>
      </c>
      <c r="N64" s="44">
        <f t="shared" si="26"/>
        <v>403</v>
      </c>
      <c r="O64" s="47">
        <f t="shared" si="27"/>
        <v>328.16666666666669</v>
      </c>
      <c r="Q64" s="60">
        <v>5.76</v>
      </c>
      <c r="R64" s="32">
        <v>5.73</v>
      </c>
      <c r="S64" s="32">
        <v>5.46</v>
      </c>
      <c r="T64" s="32">
        <v>4.7699999999999996</v>
      </c>
      <c r="U64" s="32">
        <v>4.0599999999999996</v>
      </c>
      <c r="V64" s="32">
        <v>3.47</v>
      </c>
      <c r="W64" s="32">
        <v>3.82</v>
      </c>
      <c r="X64" s="32">
        <v>4.42</v>
      </c>
      <c r="Y64" s="32">
        <v>4.3499999999999996</v>
      </c>
      <c r="Z64" s="32">
        <v>5.07</v>
      </c>
      <c r="AA64" s="32">
        <v>5.69</v>
      </c>
      <c r="AB64" s="33">
        <v>5.86</v>
      </c>
      <c r="AC64" s="34">
        <v>0.75</v>
      </c>
      <c r="AD64" s="35">
        <f>VLOOKUP($B64,Tabela14[[Cliente]:[Potência]],4,0)</f>
        <v>2.96</v>
      </c>
    </row>
    <row r="65" spans="1:30" x14ac:dyDescent="0.25">
      <c r="A65" s="36">
        <f t="shared" si="1"/>
        <v>63</v>
      </c>
      <c r="B65" s="54" t="s">
        <v>62</v>
      </c>
      <c r="C65" s="50">
        <f t="shared" si="15"/>
        <v>5463</v>
      </c>
      <c r="D65" s="31">
        <f t="shared" si="16"/>
        <v>4909</v>
      </c>
      <c r="E65" s="31">
        <f t="shared" si="17"/>
        <v>5179</v>
      </c>
      <c r="F65" s="31">
        <f t="shared" si="18"/>
        <v>4378</v>
      </c>
      <c r="G65" s="31">
        <f t="shared" si="19"/>
        <v>3851</v>
      </c>
      <c r="H65" s="31">
        <f t="shared" si="20"/>
        <v>3185</v>
      </c>
      <c r="I65" s="31">
        <f t="shared" si="21"/>
        <v>3623</v>
      </c>
      <c r="J65" s="31">
        <f t="shared" si="22"/>
        <v>4192</v>
      </c>
      <c r="K65" s="31">
        <f t="shared" si="23"/>
        <v>3993</v>
      </c>
      <c r="L65" s="31">
        <f t="shared" si="24"/>
        <v>4809</v>
      </c>
      <c r="M65" s="31">
        <f t="shared" si="25"/>
        <v>5223</v>
      </c>
      <c r="N65" s="44">
        <f t="shared" si="26"/>
        <v>5558</v>
      </c>
      <c r="O65" s="47">
        <f t="shared" si="27"/>
        <v>4530.25</v>
      </c>
      <c r="Q65" s="60">
        <v>5.76</v>
      </c>
      <c r="R65" s="32">
        <v>5.73</v>
      </c>
      <c r="S65" s="32">
        <v>5.46</v>
      </c>
      <c r="T65" s="32">
        <v>4.7699999999999996</v>
      </c>
      <c r="U65" s="32">
        <v>4.0599999999999996</v>
      </c>
      <c r="V65" s="32">
        <v>3.47</v>
      </c>
      <c r="W65" s="32">
        <v>3.82</v>
      </c>
      <c r="X65" s="32">
        <v>4.42</v>
      </c>
      <c r="Y65" s="32">
        <v>4.3499999999999996</v>
      </c>
      <c r="Z65" s="32">
        <v>5.07</v>
      </c>
      <c r="AA65" s="32">
        <v>5.69</v>
      </c>
      <c r="AB65" s="33">
        <v>5.86</v>
      </c>
      <c r="AC65" s="34">
        <v>0.75</v>
      </c>
      <c r="AD65" s="35">
        <f>VLOOKUP($B65,Tabela14[[Cliente]:[Potência]],4,0)</f>
        <v>40.799999999999997</v>
      </c>
    </row>
    <row r="66" spans="1:30" x14ac:dyDescent="0.25">
      <c r="A66" s="36">
        <f t="shared" si="1"/>
        <v>64</v>
      </c>
      <c r="B66" s="54" t="s">
        <v>294</v>
      </c>
      <c r="C66" s="50">
        <f t="shared" si="15"/>
        <v>13987</v>
      </c>
      <c r="D66" s="31">
        <f t="shared" si="16"/>
        <v>12568</v>
      </c>
      <c r="E66" s="31">
        <f t="shared" si="17"/>
        <v>13259</v>
      </c>
      <c r="F66" s="31">
        <f t="shared" si="18"/>
        <v>11209</v>
      </c>
      <c r="G66" s="31">
        <f t="shared" si="19"/>
        <v>9859</v>
      </c>
      <c r="H66" s="31">
        <f t="shared" si="20"/>
        <v>8154</v>
      </c>
      <c r="I66" s="31">
        <f t="shared" si="21"/>
        <v>9276</v>
      </c>
      <c r="J66" s="31">
        <f t="shared" si="22"/>
        <v>10733</v>
      </c>
      <c r="K66" s="31">
        <f t="shared" si="23"/>
        <v>10222</v>
      </c>
      <c r="L66" s="31">
        <f t="shared" si="24"/>
        <v>12312</v>
      </c>
      <c r="M66" s="31">
        <f t="shared" si="25"/>
        <v>13371</v>
      </c>
      <c r="N66" s="44">
        <f t="shared" si="26"/>
        <v>14230</v>
      </c>
      <c r="O66" s="47">
        <f t="shared" si="27"/>
        <v>11598.333333333334</v>
      </c>
      <c r="Q66" s="60">
        <v>5.76</v>
      </c>
      <c r="R66" s="32">
        <v>5.73</v>
      </c>
      <c r="S66" s="32">
        <v>5.46</v>
      </c>
      <c r="T66" s="32">
        <v>4.7699999999999996</v>
      </c>
      <c r="U66" s="32">
        <v>4.0599999999999996</v>
      </c>
      <c r="V66" s="32">
        <v>3.47</v>
      </c>
      <c r="W66" s="32">
        <v>3.82</v>
      </c>
      <c r="X66" s="32">
        <v>4.42</v>
      </c>
      <c r="Y66" s="32">
        <v>4.3499999999999996</v>
      </c>
      <c r="Z66" s="32">
        <v>5.07</v>
      </c>
      <c r="AA66" s="32">
        <v>5.69</v>
      </c>
      <c r="AB66" s="33">
        <v>5.86</v>
      </c>
      <c r="AC66" s="34">
        <v>0.8</v>
      </c>
      <c r="AD66" s="35">
        <f>VLOOKUP($B66,Tabela14[[Cliente]:[Potência]],4,0)</f>
        <v>97.92</v>
      </c>
    </row>
    <row r="67" spans="1:30" x14ac:dyDescent="0.25">
      <c r="A67" s="36">
        <f t="shared" si="1"/>
        <v>65</v>
      </c>
      <c r="B67" s="55" t="s">
        <v>295</v>
      </c>
      <c r="C67" s="50">
        <f t="shared" si="15"/>
        <v>910</v>
      </c>
      <c r="D67" s="31">
        <f t="shared" si="16"/>
        <v>818</v>
      </c>
      <c r="E67" s="31">
        <f t="shared" si="17"/>
        <v>863</v>
      </c>
      <c r="F67" s="31">
        <f t="shared" si="18"/>
        <v>729</v>
      </c>
      <c r="G67" s="31">
        <f t="shared" si="19"/>
        <v>641</v>
      </c>
      <c r="H67" s="31">
        <f t="shared" si="20"/>
        <v>530</v>
      </c>
      <c r="I67" s="31">
        <f t="shared" si="21"/>
        <v>603</v>
      </c>
      <c r="J67" s="31">
        <f t="shared" si="22"/>
        <v>698</v>
      </c>
      <c r="K67" s="31">
        <f t="shared" si="23"/>
        <v>665</v>
      </c>
      <c r="L67" s="31">
        <f t="shared" si="24"/>
        <v>801</v>
      </c>
      <c r="M67" s="31">
        <f t="shared" si="25"/>
        <v>870</v>
      </c>
      <c r="N67" s="44">
        <f t="shared" si="26"/>
        <v>926</v>
      </c>
      <c r="O67" s="47">
        <f t="shared" si="27"/>
        <v>754.5</v>
      </c>
      <c r="Q67" s="60">
        <v>5.76</v>
      </c>
      <c r="R67" s="32">
        <v>5.73</v>
      </c>
      <c r="S67" s="32">
        <v>5.46</v>
      </c>
      <c r="T67" s="32">
        <v>4.7699999999999996</v>
      </c>
      <c r="U67" s="32">
        <v>4.0599999999999996</v>
      </c>
      <c r="V67" s="32">
        <v>3.47</v>
      </c>
      <c r="W67" s="32">
        <v>3.82</v>
      </c>
      <c r="X67" s="32">
        <v>4.42</v>
      </c>
      <c r="Y67" s="32">
        <v>4.3499999999999996</v>
      </c>
      <c r="Z67" s="32">
        <v>5.07</v>
      </c>
      <c r="AA67" s="32">
        <v>5.69</v>
      </c>
      <c r="AB67" s="33">
        <v>5.86</v>
      </c>
      <c r="AC67" s="34">
        <v>0.75</v>
      </c>
      <c r="AD67" s="35">
        <f>VLOOKUP($B67,Tabela14[[Cliente]:[Potência]],4,0)</f>
        <v>6.8</v>
      </c>
    </row>
    <row r="68" spans="1:30" x14ac:dyDescent="0.25">
      <c r="A68" s="36">
        <f t="shared" si="1"/>
        <v>66</v>
      </c>
      <c r="B68" s="55" t="s">
        <v>296</v>
      </c>
      <c r="C68" s="50">
        <f t="shared" si="15"/>
        <v>4777</v>
      </c>
      <c r="D68" s="31">
        <f t="shared" si="16"/>
        <v>4292</v>
      </c>
      <c r="E68" s="31">
        <f t="shared" si="17"/>
        <v>4528</v>
      </c>
      <c r="F68" s="31">
        <f t="shared" si="18"/>
        <v>3828</v>
      </c>
      <c r="G68" s="31">
        <f t="shared" si="19"/>
        <v>3367</v>
      </c>
      <c r="H68" s="31">
        <f t="shared" si="20"/>
        <v>2785</v>
      </c>
      <c r="I68" s="31">
        <f t="shared" si="21"/>
        <v>3168</v>
      </c>
      <c r="J68" s="31">
        <f t="shared" si="22"/>
        <v>3665</v>
      </c>
      <c r="K68" s="31">
        <f t="shared" si="23"/>
        <v>3491</v>
      </c>
      <c r="L68" s="31">
        <f t="shared" si="24"/>
        <v>4204</v>
      </c>
      <c r="M68" s="31">
        <f t="shared" si="25"/>
        <v>4566</v>
      </c>
      <c r="N68" s="44">
        <f t="shared" si="26"/>
        <v>4860</v>
      </c>
      <c r="O68" s="47">
        <f t="shared" si="27"/>
        <v>3960.9166666666665</v>
      </c>
      <c r="Q68" s="60">
        <v>5.76</v>
      </c>
      <c r="R68" s="32">
        <v>5.73</v>
      </c>
      <c r="S68" s="32">
        <v>5.46</v>
      </c>
      <c r="T68" s="32">
        <v>4.7699999999999996</v>
      </c>
      <c r="U68" s="32">
        <v>4.0599999999999996</v>
      </c>
      <c r="V68" s="32">
        <v>3.47</v>
      </c>
      <c r="W68" s="32">
        <v>3.82</v>
      </c>
      <c r="X68" s="32">
        <v>4.42</v>
      </c>
      <c r="Y68" s="32">
        <v>4.3499999999999996</v>
      </c>
      <c r="Z68" s="32">
        <v>5.07</v>
      </c>
      <c r="AA68" s="32">
        <v>5.69</v>
      </c>
      <c r="AB68" s="33">
        <v>5.86</v>
      </c>
      <c r="AC68" s="34">
        <v>0.7</v>
      </c>
      <c r="AD68" s="35">
        <f>VLOOKUP($B68,Tabela14[[Cliente]:[Potência]],4,0)</f>
        <v>38.22</v>
      </c>
    </row>
    <row r="69" spans="1:30" x14ac:dyDescent="0.25">
      <c r="A69" s="36">
        <f t="shared" ref="A69:A76" si="28">IF(B69=B68,A68,A68+1)</f>
        <v>67</v>
      </c>
      <c r="B69" s="55" t="s">
        <v>297</v>
      </c>
      <c r="C69" s="50">
        <f t="shared" si="15"/>
        <v>546</v>
      </c>
      <c r="D69" s="31">
        <f t="shared" si="16"/>
        <v>490</v>
      </c>
      <c r="E69" s="31">
        <f t="shared" si="17"/>
        <v>517</v>
      </c>
      <c r="F69" s="31">
        <f t="shared" si="18"/>
        <v>437</v>
      </c>
      <c r="G69" s="31">
        <f t="shared" si="19"/>
        <v>385</v>
      </c>
      <c r="H69" s="31">
        <f t="shared" si="20"/>
        <v>318</v>
      </c>
      <c r="I69" s="31">
        <f t="shared" si="21"/>
        <v>362</v>
      </c>
      <c r="J69" s="31">
        <f t="shared" si="22"/>
        <v>419</v>
      </c>
      <c r="K69" s="31">
        <f t="shared" si="23"/>
        <v>399</v>
      </c>
      <c r="L69" s="31">
        <f t="shared" si="24"/>
        <v>480</v>
      </c>
      <c r="M69" s="31">
        <f t="shared" si="25"/>
        <v>522</v>
      </c>
      <c r="N69" s="44">
        <f t="shared" si="26"/>
        <v>555</v>
      </c>
      <c r="O69" s="47">
        <f t="shared" si="27"/>
        <v>452.5</v>
      </c>
      <c r="Q69" s="60">
        <v>5.76</v>
      </c>
      <c r="R69" s="32">
        <v>5.73</v>
      </c>
      <c r="S69" s="32">
        <v>5.46</v>
      </c>
      <c r="T69" s="32">
        <v>4.7699999999999996</v>
      </c>
      <c r="U69" s="32">
        <v>4.0599999999999996</v>
      </c>
      <c r="V69" s="32">
        <v>3.47</v>
      </c>
      <c r="W69" s="32">
        <v>3.82</v>
      </c>
      <c r="X69" s="32">
        <v>4.42</v>
      </c>
      <c r="Y69" s="32">
        <v>4.3499999999999996</v>
      </c>
      <c r="Z69" s="32">
        <v>5.07</v>
      </c>
      <c r="AA69" s="32">
        <v>5.69</v>
      </c>
      <c r="AB69" s="33">
        <v>5.86</v>
      </c>
      <c r="AC69" s="34">
        <v>0.75</v>
      </c>
      <c r="AD69" s="35">
        <f>VLOOKUP($B69,Tabela14[[Cliente]:[Potência]],4,0)</f>
        <v>4.08</v>
      </c>
    </row>
    <row r="70" spans="1:30" x14ac:dyDescent="0.25">
      <c r="A70" s="36">
        <f t="shared" si="28"/>
        <v>68</v>
      </c>
      <c r="B70" s="55" t="s">
        <v>298</v>
      </c>
      <c r="C70" s="50">
        <f t="shared" si="15"/>
        <v>1880</v>
      </c>
      <c r="D70" s="31">
        <f t="shared" si="16"/>
        <v>1689</v>
      </c>
      <c r="E70" s="31">
        <f t="shared" si="17"/>
        <v>1782</v>
      </c>
      <c r="F70" s="31">
        <f t="shared" si="18"/>
        <v>1506</v>
      </c>
      <c r="G70" s="31">
        <f t="shared" si="19"/>
        <v>1325</v>
      </c>
      <c r="H70" s="31">
        <f t="shared" si="20"/>
        <v>1096</v>
      </c>
      <c r="I70" s="31">
        <f t="shared" si="21"/>
        <v>1246</v>
      </c>
      <c r="J70" s="31">
        <f t="shared" si="22"/>
        <v>1442</v>
      </c>
      <c r="K70" s="31">
        <f t="shared" si="23"/>
        <v>1374</v>
      </c>
      <c r="L70" s="31">
        <f t="shared" si="24"/>
        <v>1655</v>
      </c>
      <c r="M70" s="31">
        <f t="shared" si="25"/>
        <v>1797</v>
      </c>
      <c r="N70" s="44">
        <f t="shared" si="26"/>
        <v>1912</v>
      </c>
      <c r="O70" s="47">
        <f t="shared" si="27"/>
        <v>1558.6666666666667</v>
      </c>
      <c r="Q70" s="60">
        <v>5.76</v>
      </c>
      <c r="R70" s="32">
        <v>5.73</v>
      </c>
      <c r="S70" s="32">
        <v>5.46</v>
      </c>
      <c r="T70" s="32">
        <v>4.7699999999999996</v>
      </c>
      <c r="U70" s="32">
        <v>4.0599999999999996</v>
      </c>
      <c r="V70" s="32">
        <v>3.47</v>
      </c>
      <c r="W70" s="32">
        <v>3.82</v>
      </c>
      <c r="X70" s="32">
        <v>4.42</v>
      </c>
      <c r="Y70" s="32">
        <v>4.3499999999999996</v>
      </c>
      <c r="Z70" s="32">
        <v>5.07</v>
      </c>
      <c r="AA70" s="32">
        <v>5.69</v>
      </c>
      <c r="AB70" s="33">
        <v>5.86</v>
      </c>
      <c r="AC70" s="34">
        <v>0.75</v>
      </c>
      <c r="AD70" s="35">
        <f>VLOOKUP($B70,Tabela14[[Cliente]:[Potência]],4,0)</f>
        <v>14.04</v>
      </c>
    </row>
    <row r="71" spans="1:30" x14ac:dyDescent="0.25">
      <c r="A71" s="36">
        <f t="shared" si="28"/>
        <v>69</v>
      </c>
      <c r="B71" s="55" t="s">
        <v>299</v>
      </c>
      <c r="C71" s="50">
        <f t="shared" si="15"/>
        <v>637</v>
      </c>
      <c r="D71" s="31">
        <f t="shared" si="16"/>
        <v>572</v>
      </c>
      <c r="E71" s="31">
        <f t="shared" si="17"/>
        <v>604</v>
      </c>
      <c r="F71" s="31">
        <f t="shared" si="18"/>
        <v>510</v>
      </c>
      <c r="G71" s="31">
        <f t="shared" si="19"/>
        <v>449</v>
      </c>
      <c r="H71" s="31">
        <f t="shared" si="20"/>
        <v>371</v>
      </c>
      <c r="I71" s="31">
        <f t="shared" si="21"/>
        <v>422</v>
      </c>
      <c r="J71" s="31">
        <f t="shared" si="22"/>
        <v>489</v>
      </c>
      <c r="K71" s="31">
        <f t="shared" si="23"/>
        <v>465</v>
      </c>
      <c r="L71" s="31">
        <f t="shared" si="24"/>
        <v>561</v>
      </c>
      <c r="M71" s="31">
        <f t="shared" si="25"/>
        <v>609</v>
      </c>
      <c r="N71" s="44">
        <f t="shared" si="26"/>
        <v>648</v>
      </c>
      <c r="O71" s="47">
        <f t="shared" si="27"/>
        <v>528.08333333333337</v>
      </c>
      <c r="Q71" s="60">
        <v>5.76</v>
      </c>
      <c r="R71" s="32">
        <v>5.73</v>
      </c>
      <c r="S71" s="32">
        <v>5.46</v>
      </c>
      <c r="T71" s="32">
        <v>4.7699999999999996</v>
      </c>
      <c r="U71" s="32">
        <v>4.0599999999999996</v>
      </c>
      <c r="V71" s="32">
        <v>3.47</v>
      </c>
      <c r="W71" s="32">
        <v>3.82</v>
      </c>
      <c r="X71" s="32">
        <v>4.42</v>
      </c>
      <c r="Y71" s="32">
        <v>4.3499999999999996</v>
      </c>
      <c r="Z71" s="32">
        <v>5.07</v>
      </c>
      <c r="AA71" s="32">
        <v>5.69</v>
      </c>
      <c r="AB71" s="33">
        <v>5.86</v>
      </c>
      <c r="AC71" s="34">
        <v>0.75</v>
      </c>
      <c r="AD71" s="35">
        <f>VLOOKUP($B71,Tabela14[[Cliente]:[Potência]],4,0)</f>
        <v>4.76</v>
      </c>
    </row>
    <row r="72" spans="1:30" x14ac:dyDescent="0.25">
      <c r="A72" s="36">
        <f t="shared" si="28"/>
        <v>70</v>
      </c>
      <c r="B72" s="55" t="s">
        <v>300</v>
      </c>
      <c r="C72" s="50">
        <f t="shared" si="15"/>
        <v>1671</v>
      </c>
      <c r="D72" s="31">
        <f t="shared" si="16"/>
        <v>1501</v>
      </c>
      <c r="E72" s="31">
        <f t="shared" si="17"/>
        <v>1584</v>
      </c>
      <c r="F72" s="31">
        <f t="shared" si="18"/>
        <v>1339</v>
      </c>
      <c r="G72" s="31">
        <f t="shared" si="19"/>
        <v>1178</v>
      </c>
      <c r="H72" s="31">
        <f t="shared" si="20"/>
        <v>974</v>
      </c>
      <c r="I72" s="31">
        <f t="shared" si="21"/>
        <v>1108</v>
      </c>
      <c r="J72" s="31">
        <f t="shared" si="22"/>
        <v>1282</v>
      </c>
      <c r="K72" s="31">
        <f t="shared" si="23"/>
        <v>1221</v>
      </c>
      <c r="L72" s="31">
        <f t="shared" si="24"/>
        <v>1471</v>
      </c>
      <c r="M72" s="31">
        <f t="shared" si="25"/>
        <v>1597</v>
      </c>
      <c r="N72" s="44">
        <f t="shared" si="26"/>
        <v>1700</v>
      </c>
      <c r="O72" s="47">
        <f t="shared" si="27"/>
        <v>1385.5</v>
      </c>
      <c r="Q72" s="60">
        <v>5.76</v>
      </c>
      <c r="R72" s="32">
        <v>5.73</v>
      </c>
      <c r="S72" s="32">
        <v>5.46</v>
      </c>
      <c r="T72" s="32">
        <v>4.7699999999999996</v>
      </c>
      <c r="U72" s="32">
        <v>4.0599999999999996</v>
      </c>
      <c r="V72" s="32">
        <v>3.47</v>
      </c>
      <c r="W72" s="32">
        <v>3.82</v>
      </c>
      <c r="X72" s="32">
        <v>4.42</v>
      </c>
      <c r="Y72" s="32">
        <v>4.3499999999999996</v>
      </c>
      <c r="Z72" s="32">
        <v>5.07</v>
      </c>
      <c r="AA72" s="32">
        <v>5.69</v>
      </c>
      <c r="AB72" s="33">
        <v>5.86</v>
      </c>
      <c r="AC72" s="34">
        <v>0.75</v>
      </c>
      <c r="AD72" s="35">
        <f>VLOOKUP($B72,Tabela14[[Cliente]:[Potência]],4,0)</f>
        <v>12.48</v>
      </c>
    </row>
    <row r="73" spans="1:30" x14ac:dyDescent="0.25">
      <c r="A73" s="36">
        <f t="shared" si="28"/>
        <v>71</v>
      </c>
      <c r="B73" s="55" t="s">
        <v>301</v>
      </c>
      <c r="C73" s="50">
        <f t="shared" si="15"/>
        <v>728</v>
      </c>
      <c r="D73" s="31">
        <f t="shared" si="16"/>
        <v>654</v>
      </c>
      <c r="E73" s="31">
        <f t="shared" si="17"/>
        <v>690</v>
      </c>
      <c r="F73" s="31">
        <f t="shared" si="18"/>
        <v>583</v>
      </c>
      <c r="G73" s="31">
        <f t="shared" si="19"/>
        <v>513</v>
      </c>
      <c r="H73" s="31">
        <f t="shared" si="20"/>
        <v>424</v>
      </c>
      <c r="I73" s="31">
        <f t="shared" si="21"/>
        <v>483</v>
      </c>
      <c r="J73" s="31">
        <f t="shared" si="22"/>
        <v>559</v>
      </c>
      <c r="K73" s="31">
        <f t="shared" si="23"/>
        <v>532</v>
      </c>
      <c r="L73" s="31">
        <f t="shared" si="24"/>
        <v>641</v>
      </c>
      <c r="M73" s="31">
        <f t="shared" si="25"/>
        <v>696</v>
      </c>
      <c r="N73" s="44">
        <f t="shared" si="26"/>
        <v>741</v>
      </c>
      <c r="O73" s="47">
        <f t="shared" si="27"/>
        <v>603.66666666666663</v>
      </c>
      <c r="Q73" s="60">
        <v>5.76</v>
      </c>
      <c r="R73" s="32">
        <v>5.73</v>
      </c>
      <c r="S73" s="32">
        <v>5.46</v>
      </c>
      <c r="T73" s="32">
        <v>4.7699999999999996</v>
      </c>
      <c r="U73" s="32">
        <v>4.0599999999999996</v>
      </c>
      <c r="V73" s="32">
        <v>3.47</v>
      </c>
      <c r="W73" s="32">
        <v>3.82</v>
      </c>
      <c r="X73" s="32">
        <v>4.42</v>
      </c>
      <c r="Y73" s="32">
        <v>4.3499999999999996</v>
      </c>
      <c r="Z73" s="32">
        <v>5.07</v>
      </c>
      <c r="AA73" s="32">
        <v>5.69</v>
      </c>
      <c r="AB73" s="33">
        <v>5.86</v>
      </c>
      <c r="AC73" s="34">
        <v>0.75</v>
      </c>
      <c r="AD73" s="35">
        <f>VLOOKUP($B73,Tabela14[[Cliente]:[Potência]],4,0)</f>
        <v>5.44</v>
      </c>
    </row>
    <row r="74" spans="1:30" x14ac:dyDescent="0.25">
      <c r="A74" s="36">
        <f t="shared" si="28"/>
        <v>72</v>
      </c>
      <c r="B74" s="55" t="s">
        <v>302</v>
      </c>
      <c r="C74" s="50">
        <f t="shared" si="15"/>
        <v>637</v>
      </c>
      <c r="D74" s="31">
        <f t="shared" si="16"/>
        <v>572</v>
      </c>
      <c r="E74" s="31">
        <f t="shared" si="17"/>
        <v>604</v>
      </c>
      <c r="F74" s="31">
        <f t="shared" si="18"/>
        <v>510</v>
      </c>
      <c r="G74" s="31">
        <f t="shared" si="19"/>
        <v>449</v>
      </c>
      <c r="H74" s="31">
        <f t="shared" si="20"/>
        <v>371</v>
      </c>
      <c r="I74" s="31">
        <f t="shared" si="21"/>
        <v>422</v>
      </c>
      <c r="J74" s="31">
        <f t="shared" si="22"/>
        <v>489</v>
      </c>
      <c r="K74" s="31">
        <f t="shared" si="23"/>
        <v>465</v>
      </c>
      <c r="L74" s="31">
        <f t="shared" si="24"/>
        <v>561</v>
      </c>
      <c r="M74" s="31">
        <f t="shared" si="25"/>
        <v>609</v>
      </c>
      <c r="N74" s="44">
        <f t="shared" si="26"/>
        <v>648</v>
      </c>
      <c r="O74" s="47">
        <f t="shared" si="27"/>
        <v>528.08333333333337</v>
      </c>
      <c r="Q74" s="60">
        <v>5.76</v>
      </c>
      <c r="R74" s="32">
        <v>5.73</v>
      </c>
      <c r="S74" s="32">
        <v>5.46</v>
      </c>
      <c r="T74" s="32">
        <v>4.7699999999999996</v>
      </c>
      <c r="U74" s="32">
        <v>4.0599999999999996</v>
      </c>
      <c r="V74" s="32">
        <v>3.47</v>
      </c>
      <c r="W74" s="32">
        <v>3.82</v>
      </c>
      <c r="X74" s="32">
        <v>4.42</v>
      </c>
      <c r="Y74" s="32">
        <v>4.3499999999999996</v>
      </c>
      <c r="Z74" s="32">
        <v>5.07</v>
      </c>
      <c r="AA74" s="32">
        <v>5.69</v>
      </c>
      <c r="AB74" s="33">
        <v>5.86</v>
      </c>
      <c r="AC74" s="34">
        <v>0.75</v>
      </c>
      <c r="AD74" s="35">
        <f>VLOOKUP($B74,Tabela14[[Cliente]:[Potência]],4,0)</f>
        <v>4.76</v>
      </c>
    </row>
    <row r="75" spans="1:30" x14ac:dyDescent="0.25">
      <c r="A75" s="36">
        <f t="shared" si="28"/>
        <v>73</v>
      </c>
      <c r="B75" s="55" t="s">
        <v>303</v>
      </c>
      <c r="C75" s="50">
        <f t="shared" si="15"/>
        <v>409</v>
      </c>
      <c r="D75" s="31">
        <f t="shared" si="16"/>
        <v>368</v>
      </c>
      <c r="E75" s="31">
        <f t="shared" si="17"/>
        <v>388</v>
      </c>
      <c r="F75" s="31">
        <f t="shared" si="18"/>
        <v>328</v>
      </c>
      <c r="G75" s="31">
        <f t="shared" si="19"/>
        <v>288</v>
      </c>
      <c r="H75" s="31">
        <f t="shared" si="20"/>
        <v>238</v>
      </c>
      <c r="I75" s="31">
        <f t="shared" si="21"/>
        <v>271</v>
      </c>
      <c r="J75" s="31">
        <f t="shared" si="22"/>
        <v>314</v>
      </c>
      <c r="K75" s="31">
        <f t="shared" si="23"/>
        <v>299</v>
      </c>
      <c r="L75" s="31">
        <f t="shared" si="24"/>
        <v>360</v>
      </c>
      <c r="M75" s="31">
        <f t="shared" si="25"/>
        <v>391</v>
      </c>
      <c r="N75" s="44">
        <f t="shared" si="26"/>
        <v>416</v>
      </c>
      <c r="O75" s="47">
        <f t="shared" si="27"/>
        <v>339.16666666666669</v>
      </c>
      <c r="Q75" s="60">
        <v>5.76</v>
      </c>
      <c r="R75" s="32">
        <v>5.73</v>
      </c>
      <c r="S75" s="32">
        <v>5.46</v>
      </c>
      <c r="T75" s="32">
        <v>4.7699999999999996</v>
      </c>
      <c r="U75" s="32">
        <v>4.0599999999999996</v>
      </c>
      <c r="V75" s="32">
        <v>3.47</v>
      </c>
      <c r="W75" s="32">
        <v>3.82</v>
      </c>
      <c r="X75" s="32">
        <v>4.42</v>
      </c>
      <c r="Y75" s="32">
        <v>4.3499999999999996</v>
      </c>
      <c r="Z75" s="32">
        <v>5.07</v>
      </c>
      <c r="AA75" s="32">
        <v>5.69</v>
      </c>
      <c r="AB75" s="33">
        <v>5.86</v>
      </c>
      <c r="AC75" s="34">
        <v>0.75</v>
      </c>
      <c r="AD75" s="35">
        <f>VLOOKUP($B75,Tabela14[[Cliente]:[Potência]],4,0)</f>
        <v>3.06</v>
      </c>
    </row>
    <row r="76" spans="1:30" ht="15.75" thickBot="1" x14ac:dyDescent="0.3">
      <c r="A76" s="37">
        <f t="shared" si="28"/>
        <v>74</v>
      </c>
      <c r="B76" s="56" t="s">
        <v>304</v>
      </c>
      <c r="C76" s="51">
        <f t="shared" si="15"/>
        <v>1016</v>
      </c>
      <c r="D76" s="38">
        <f t="shared" si="16"/>
        <v>913</v>
      </c>
      <c r="E76" s="38">
        <f t="shared" si="17"/>
        <v>963</v>
      </c>
      <c r="F76" s="38">
        <f t="shared" si="18"/>
        <v>814</v>
      </c>
      <c r="G76" s="38">
        <f t="shared" si="19"/>
        <v>716</v>
      </c>
      <c r="H76" s="38">
        <f t="shared" si="20"/>
        <v>592</v>
      </c>
      <c r="I76" s="38">
        <f t="shared" si="21"/>
        <v>674</v>
      </c>
      <c r="J76" s="38">
        <f t="shared" si="22"/>
        <v>779</v>
      </c>
      <c r="K76" s="38">
        <f t="shared" si="23"/>
        <v>742</v>
      </c>
      <c r="L76" s="38">
        <f t="shared" si="24"/>
        <v>894</v>
      </c>
      <c r="M76" s="38">
        <f t="shared" si="25"/>
        <v>971</v>
      </c>
      <c r="N76" s="45">
        <f t="shared" si="26"/>
        <v>1034</v>
      </c>
      <c r="O76" s="48">
        <f t="shared" si="27"/>
        <v>842.33333333333337</v>
      </c>
      <c r="Q76" s="61">
        <v>5.76</v>
      </c>
      <c r="R76" s="62">
        <v>5.73</v>
      </c>
      <c r="S76" s="62">
        <v>5.46</v>
      </c>
      <c r="T76" s="62">
        <v>4.7699999999999996</v>
      </c>
      <c r="U76" s="62">
        <v>4.0599999999999996</v>
      </c>
      <c r="V76" s="62">
        <v>3.47</v>
      </c>
      <c r="W76" s="62">
        <v>3.82</v>
      </c>
      <c r="X76" s="62">
        <v>4.42</v>
      </c>
      <c r="Y76" s="62">
        <v>4.3499999999999996</v>
      </c>
      <c r="Z76" s="62">
        <v>5.07</v>
      </c>
      <c r="AA76" s="62">
        <v>5.69</v>
      </c>
      <c r="AB76" s="63">
        <v>5.86</v>
      </c>
      <c r="AC76" s="64">
        <v>0.75</v>
      </c>
      <c r="AD76" s="65">
        <f>VLOOKUP($B76,Tabela14[[Cliente]:[Potência]],4,0)</f>
        <v>7.59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dimension ref="A1:D87"/>
  <sheetViews>
    <sheetView zoomScale="90" zoomScaleNormal="90" workbookViewId="0">
      <selection activeCell="A24" sqref="A24"/>
    </sheetView>
  </sheetViews>
  <sheetFormatPr defaultRowHeight="15" x14ac:dyDescent="0.25"/>
  <cols>
    <col min="1" max="1" width="7.85546875" style="13" bestFit="1" customWidth="1"/>
    <col min="2" max="2" width="42.85546875" style="13" bestFit="1" customWidth="1"/>
    <col min="3" max="3" width="19.28515625" style="13" bestFit="1" customWidth="1"/>
    <col min="4" max="4" width="15.7109375" style="13" bestFit="1" customWidth="1"/>
    <col min="5" max="16384" width="9.140625" style="13"/>
  </cols>
  <sheetData>
    <row r="1" spans="1:4" x14ac:dyDescent="0.25">
      <c r="A1" s="19" t="s">
        <v>457</v>
      </c>
      <c r="B1" s="12" t="s">
        <v>132</v>
      </c>
      <c r="C1" s="18" t="s">
        <v>140</v>
      </c>
      <c r="D1" s="18" t="s">
        <v>141</v>
      </c>
    </row>
    <row r="2" spans="1:4" x14ac:dyDescent="0.25">
      <c r="A2" s="19">
        <v>1</v>
      </c>
      <c r="B2" s="10" t="s">
        <v>425</v>
      </c>
      <c r="C2" s="12" t="s">
        <v>133</v>
      </c>
      <c r="D2" s="12">
        <v>3083300629</v>
      </c>
    </row>
    <row r="3" spans="1:4" x14ac:dyDescent="0.25">
      <c r="A3" s="19">
        <v>2</v>
      </c>
      <c r="B3" s="10" t="s">
        <v>426</v>
      </c>
      <c r="C3" s="12" t="s">
        <v>133</v>
      </c>
      <c r="D3" s="12">
        <v>3085618498</v>
      </c>
    </row>
    <row r="4" spans="1:4" x14ac:dyDescent="0.25">
      <c r="A4" s="19">
        <v>3</v>
      </c>
      <c r="B4" s="10" t="s">
        <v>239</v>
      </c>
      <c r="C4" s="12" t="s">
        <v>134</v>
      </c>
      <c r="D4" s="12">
        <v>3085548485</v>
      </c>
    </row>
    <row r="5" spans="1:4" x14ac:dyDescent="0.25">
      <c r="A5" s="19">
        <v>4</v>
      </c>
      <c r="B5" s="10" t="s">
        <v>240</v>
      </c>
      <c r="C5" s="12" t="s">
        <v>135</v>
      </c>
      <c r="D5" s="12">
        <v>4001748269</v>
      </c>
    </row>
    <row r="6" spans="1:4" x14ac:dyDescent="0.25">
      <c r="A6" s="19">
        <v>5</v>
      </c>
      <c r="B6" s="10" t="s">
        <v>241</v>
      </c>
      <c r="C6" s="12" t="s">
        <v>136</v>
      </c>
      <c r="D6" s="12">
        <v>3085346925</v>
      </c>
    </row>
    <row r="7" spans="1:4" x14ac:dyDescent="0.25">
      <c r="A7" s="19">
        <v>6</v>
      </c>
      <c r="B7" s="10" t="s">
        <v>427</v>
      </c>
      <c r="C7" s="12" t="s">
        <v>137</v>
      </c>
      <c r="D7" s="12">
        <v>3082631096</v>
      </c>
    </row>
    <row r="8" spans="1:4" x14ac:dyDescent="0.25">
      <c r="A8" s="19">
        <v>7</v>
      </c>
      <c r="B8" s="10" t="s">
        <v>428</v>
      </c>
      <c r="C8" s="12" t="s">
        <v>137</v>
      </c>
      <c r="D8" s="12">
        <v>3081865074</v>
      </c>
    </row>
    <row r="9" spans="1:4" x14ac:dyDescent="0.25">
      <c r="A9" s="19">
        <v>8</v>
      </c>
      <c r="B9" s="10" t="s">
        <v>429</v>
      </c>
      <c r="C9" s="12" t="s">
        <v>137</v>
      </c>
      <c r="D9" s="12">
        <v>3082863143</v>
      </c>
    </row>
    <row r="10" spans="1:4" x14ac:dyDescent="0.25">
      <c r="A10" s="19">
        <v>9</v>
      </c>
      <c r="B10" s="10" t="s">
        <v>430</v>
      </c>
      <c r="C10" s="12" t="s">
        <v>137</v>
      </c>
      <c r="D10" s="12">
        <v>3085362352</v>
      </c>
    </row>
    <row r="11" spans="1:4" x14ac:dyDescent="0.25">
      <c r="A11" s="19">
        <v>10</v>
      </c>
      <c r="B11" s="10" t="s">
        <v>243</v>
      </c>
      <c r="C11" s="12" t="s">
        <v>138</v>
      </c>
      <c r="D11" s="12">
        <v>3081867061</v>
      </c>
    </row>
    <row r="12" spans="1:4" x14ac:dyDescent="0.25">
      <c r="A12" s="19">
        <v>11</v>
      </c>
      <c r="B12" s="10" t="s">
        <v>244</v>
      </c>
      <c r="C12" s="12" t="s">
        <v>139</v>
      </c>
      <c r="D12" s="12">
        <v>4001373241</v>
      </c>
    </row>
    <row r="13" spans="1:4" x14ac:dyDescent="0.25">
      <c r="A13" s="19">
        <v>12</v>
      </c>
      <c r="B13" s="10" t="s">
        <v>245</v>
      </c>
      <c r="C13" s="12" t="s">
        <v>142</v>
      </c>
      <c r="D13" s="12">
        <v>3085470066</v>
      </c>
    </row>
    <row r="14" spans="1:4" x14ac:dyDescent="0.25">
      <c r="A14" s="19">
        <v>13</v>
      </c>
      <c r="B14" s="10" t="s">
        <v>246</v>
      </c>
      <c r="C14" s="12" t="s">
        <v>143</v>
      </c>
      <c r="D14" s="12">
        <v>3085417983</v>
      </c>
    </row>
    <row r="15" spans="1:4" x14ac:dyDescent="0.25">
      <c r="A15" s="19">
        <v>14</v>
      </c>
      <c r="B15" s="10" t="s">
        <v>247</v>
      </c>
      <c r="C15" s="12" t="s">
        <v>144</v>
      </c>
      <c r="D15" s="12">
        <v>3081861508</v>
      </c>
    </row>
    <row r="16" spans="1:4" x14ac:dyDescent="0.25">
      <c r="A16" s="19">
        <v>15</v>
      </c>
      <c r="B16" s="10" t="s">
        <v>248</v>
      </c>
      <c r="C16" s="12" t="s">
        <v>145</v>
      </c>
      <c r="D16" s="12">
        <v>4001902098</v>
      </c>
    </row>
    <row r="17" spans="1:4" x14ac:dyDescent="0.25">
      <c r="A17" s="19">
        <v>16</v>
      </c>
      <c r="B17" s="10" t="s">
        <v>431</v>
      </c>
      <c r="C17" s="12" t="s">
        <v>146</v>
      </c>
      <c r="D17" s="12">
        <v>3081860306</v>
      </c>
    </row>
    <row r="18" spans="1:4" x14ac:dyDescent="0.25">
      <c r="A18" s="19">
        <v>17</v>
      </c>
      <c r="B18" s="10" t="s">
        <v>432</v>
      </c>
      <c r="C18" s="12" t="s">
        <v>146</v>
      </c>
      <c r="D18" s="12">
        <v>3081864098</v>
      </c>
    </row>
    <row r="19" spans="1:4" x14ac:dyDescent="0.25">
      <c r="A19" s="19">
        <v>18</v>
      </c>
      <c r="B19" s="10" t="s">
        <v>250</v>
      </c>
      <c r="C19" s="12" t="s">
        <v>147</v>
      </c>
      <c r="D19" s="12">
        <v>3085308153</v>
      </c>
    </row>
    <row r="20" spans="1:4" x14ac:dyDescent="0.25">
      <c r="A20" s="19">
        <v>19</v>
      </c>
      <c r="B20" s="10" t="s">
        <v>251</v>
      </c>
      <c r="C20" s="12" t="s">
        <v>148</v>
      </c>
      <c r="D20" s="12">
        <v>3081861879</v>
      </c>
    </row>
    <row r="21" spans="1:4" x14ac:dyDescent="0.25">
      <c r="A21" s="19">
        <v>20</v>
      </c>
      <c r="B21" s="71" t="s">
        <v>433</v>
      </c>
      <c r="C21" s="12" t="s">
        <v>149</v>
      </c>
      <c r="D21" s="12">
        <v>3085565602</v>
      </c>
    </row>
    <row r="22" spans="1:4" x14ac:dyDescent="0.25">
      <c r="A22" s="19">
        <v>21</v>
      </c>
      <c r="B22" s="10" t="s">
        <v>253</v>
      </c>
      <c r="C22" s="12" t="s">
        <v>150</v>
      </c>
      <c r="D22" s="12">
        <v>3081865804</v>
      </c>
    </row>
    <row r="23" spans="1:4" x14ac:dyDescent="0.25">
      <c r="A23" s="19">
        <v>22</v>
      </c>
      <c r="B23" s="10" t="s">
        <v>254</v>
      </c>
      <c r="C23" s="12" t="s">
        <v>151</v>
      </c>
      <c r="D23" s="12">
        <v>3081813649</v>
      </c>
    </row>
    <row r="24" spans="1:4" x14ac:dyDescent="0.25">
      <c r="A24" s="112">
        <v>23</v>
      </c>
      <c r="B24" s="113" t="s">
        <v>255</v>
      </c>
      <c r="C24" s="112" t="s">
        <v>456</v>
      </c>
      <c r="D24" s="114">
        <v>3085586714</v>
      </c>
    </row>
    <row r="25" spans="1:4" x14ac:dyDescent="0.25">
      <c r="A25" s="19">
        <v>24</v>
      </c>
      <c r="B25" s="10" t="s">
        <v>256</v>
      </c>
      <c r="C25" s="12" t="s">
        <v>152</v>
      </c>
      <c r="D25" s="12">
        <v>3081819254</v>
      </c>
    </row>
    <row r="26" spans="1:4" x14ac:dyDescent="0.25">
      <c r="A26" s="19">
        <v>25</v>
      </c>
      <c r="B26" s="10" t="s">
        <v>257</v>
      </c>
      <c r="C26" s="12" t="s">
        <v>153</v>
      </c>
      <c r="D26" s="12">
        <v>3085763663</v>
      </c>
    </row>
    <row r="27" spans="1:4" x14ac:dyDescent="0.25">
      <c r="A27" s="19">
        <v>26</v>
      </c>
      <c r="B27" s="10" t="s">
        <v>434</v>
      </c>
      <c r="C27" s="12" t="s">
        <v>154</v>
      </c>
      <c r="D27" s="12">
        <v>3082895949</v>
      </c>
    </row>
    <row r="28" spans="1:4" x14ac:dyDescent="0.25">
      <c r="A28" s="19">
        <v>27</v>
      </c>
      <c r="B28" s="10" t="s">
        <v>435</v>
      </c>
      <c r="C28" s="12" t="s">
        <v>154</v>
      </c>
      <c r="D28" s="12">
        <v>3082882653</v>
      </c>
    </row>
    <row r="29" spans="1:4" x14ac:dyDescent="0.25">
      <c r="A29" s="19">
        <v>28</v>
      </c>
      <c r="B29" s="10" t="s">
        <v>436</v>
      </c>
      <c r="C29" s="12" t="s">
        <v>154</v>
      </c>
      <c r="D29" s="12">
        <v>3082223745</v>
      </c>
    </row>
    <row r="30" spans="1:4" x14ac:dyDescent="0.25">
      <c r="A30" s="19">
        <v>29</v>
      </c>
      <c r="B30" s="10" t="s">
        <v>259</v>
      </c>
      <c r="C30" s="12" t="s">
        <v>155</v>
      </c>
      <c r="D30" s="12">
        <v>3085496262</v>
      </c>
    </row>
    <row r="31" spans="1:4" x14ac:dyDescent="0.25">
      <c r="A31" s="19">
        <v>30</v>
      </c>
      <c r="B31" s="10" t="s">
        <v>260</v>
      </c>
      <c r="C31" s="12" t="s">
        <v>156</v>
      </c>
      <c r="D31" s="12">
        <v>3085693298</v>
      </c>
    </row>
    <row r="32" spans="1:4" x14ac:dyDescent="0.25">
      <c r="A32" s="19">
        <v>31</v>
      </c>
      <c r="B32" s="10" t="s">
        <v>261</v>
      </c>
      <c r="C32" s="12" t="s">
        <v>157</v>
      </c>
      <c r="D32" s="12">
        <v>3085521737</v>
      </c>
    </row>
    <row r="33" spans="1:4" x14ac:dyDescent="0.25">
      <c r="A33" s="19">
        <v>32</v>
      </c>
      <c r="B33" s="10" t="s">
        <v>262</v>
      </c>
      <c r="C33" s="12" t="s">
        <v>158</v>
      </c>
      <c r="D33" s="12" t="s">
        <v>159</v>
      </c>
    </row>
    <row r="34" spans="1:4" x14ac:dyDescent="0.25">
      <c r="A34" s="19">
        <v>33</v>
      </c>
      <c r="B34" s="10" t="s">
        <v>263</v>
      </c>
      <c r="C34" s="12" t="s">
        <v>160</v>
      </c>
      <c r="D34" s="12" t="s">
        <v>161</v>
      </c>
    </row>
    <row r="35" spans="1:4" x14ac:dyDescent="0.25">
      <c r="A35" s="19">
        <v>34</v>
      </c>
      <c r="B35" s="10" t="s">
        <v>264</v>
      </c>
      <c r="C35" s="12" t="s">
        <v>162</v>
      </c>
      <c r="D35" s="12">
        <v>3081821554</v>
      </c>
    </row>
    <row r="36" spans="1:4" x14ac:dyDescent="0.25">
      <c r="A36" s="19">
        <v>35</v>
      </c>
      <c r="B36" s="10" t="s">
        <v>265</v>
      </c>
      <c r="C36" s="12" t="s">
        <v>163</v>
      </c>
      <c r="D36" s="12">
        <v>3083051155</v>
      </c>
    </row>
    <row r="37" spans="1:4" x14ac:dyDescent="0.25">
      <c r="A37" s="19">
        <v>36</v>
      </c>
      <c r="B37" s="10" t="s">
        <v>266</v>
      </c>
      <c r="C37" s="12" t="s">
        <v>164</v>
      </c>
      <c r="D37" s="12">
        <v>3081818340</v>
      </c>
    </row>
    <row r="38" spans="1:4" x14ac:dyDescent="0.25">
      <c r="A38" s="19">
        <v>37</v>
      </c>
      <c r="B38" s="10" t="s">
        <v>267</v>
      </c>
      <c r="C38" s="12" t="s">
        <v>165</v>
      </c>
      <c r="D38" s="12">
        <v>3081823500</v>
      </c>
    </row>
    <row r="39" spans="1:4" x14ac:dyDescent="0.25">
      <c r="A39" s="19">
        <v>38</v>
      </c>
      <c r="B39" s="10" t="s">
        <v>268</v>
      </c>
      <c r="C39" s="12" t="s">
        <v>166</v>
      </c>
      <c r="D39" s="12">
        <v>3081818661</v>
      </c>
    </row>
    <row r="40" spans="1:4" x14ac:dyDescent="0.25">
      <c r="A40" s="19">
        <v>39</v>
      </c>
      <c r="B40" s="10" t="s">
        <v>269</v>
      </c>
      <c r="C40" s="12" t="s">
        <v>167</v>
      </c>
      <c r="D40" s="12">
        <v>3081821814</v>
      </c>
    </row>
    <row r="41" spans="1:4" x14ac:dyDescent="0.25">
      <c r="A41" s="19">
        <v>40</v>
      </c>
      <c r="B41" s="10" t="s">
        <v>270</v>
      </c>
      <c r="C41" s="12" t="s">
        <v>168</v>
      </c>
      <c r="D41" s="12">
        <v>3081866911</v>
      </c>
    </row>
    <row r="42" spans="1:4" x14ac:dyDescent="0.25">
      <c r="A42" s="19">
        <v>41</v>
      </c>
      <c r="B42" s="10" t="s">
        <v>271</v>
      </c>
      <c r="C42" s="12" t="s">
        <v>169</v>
      </c>
      <c r="D42" s="12">
        <v>3081825941</v>
      </c>
    </row>
    <row r="43" spans="1:4" x14ac:dyDescent="0.25">
      <c r="A43" s="19">
        <v>42</v>
      </c>
      <c r="B43" s="10" t="s">
        <v>272</v>
      </c>
      <c r="C43" s="12" t="s">
        <v>170</v>
      </c>
      <c r="D43" s="12">
        <v>4001823033</v>
      </c>
    </row>
    <row r="44" spans="1:4" x14ac:dyDescent="0.25">
      <c r="A44" s="19">
        <v>43</v>
      </c>
      <c r="B44" s="10" t="s">
        <v>273</v>
      </c>
      <c r="C44" s="12" t="s">
        <v>171</v>
      </c>
      <c r="D44" s="12">
        <v>3082004835</v>
      </c>
    </row>
    <row r="45" spans="1:4" x14ac:dyDescent="0.25">
      <c r="A45" s="19">
        <v>44</v>
      </c>
      <c r="B45" s="10" t="s">
        <v>437</v>
      </c>
      <c r="C45" s="12" t="s">
        <v>172</v>
      </c>
      <c r="D45" s="12">
        <v>3081864867</v>
      </c>
    </row>
    <row r="46" spans="1:4" x14ac:dyDescent="0.25">
      <c r="A46" s="19">
        <v>45</v>
      </c>
      <c r="B46" s="10" t="s">
        <v>438</v>
      </c>
      <c r="C46" s="12" t="s">
        <v>173</v>
      </c>
      <c r="D46" s="12">
        <v>3085439775</v>
      </c>
    </row>
    <row r="47" spans="1:4" x14ac:dyDescent="0.25">
      <c r="A47" s="19">
        <v>46</v>
      </c>
      <c r="B47" s="10" t="s">
        <v>275</v>
      </c>
      <c r="C47" s="12" t="s">
        <v>174</v>
      </c>
      <c r="D47" s="12">
        <v>3081823790</v>
      </c>
    </row>
    <row r="48" spans="1:4" x14ac:dyDescent="0.25">
      <c r="A48" s="19">
        <v>47</v>
      </c>
      <c r="B48" s="10" t="s">
        <v>276</v>
      </c>
      <c r="C48" s="12" t="s">
        <v>175</v>
      </c>
      <c r="D48" s="12">
        <v>3085669302</v>
      </c>
    </row>
    <row r="49" spans="1:4" x14ac:dyDescent="0.25">
      <c r="A49" s="19">
        <v>48</v>
      </c>
      <c r="B49" s="10" t="s">
        <v>277</v>
      </c>
      <c r="C49" s="12" t="s">
        <v>176</v>
      </c>
      <c r="D49" s="12">
        <v>3085008919</v>
      </c>
    </row>
    <row r="50" spans="1:4" x14ac:dyDescent="0.25">
      <c r="A50" s="19">
        <v>49</v>
      </c>
      <c r="B50" s="10" t="s">
        <v>278</v>
      </c>
      <c r="C50" s="12" t="s">
        <v>177</v>
      </c>
      <c r="D50" s="12">
        <v>3085458559</v>
      </c>
    </row>
    <row r="51" spans="1:4" x14ac:dyDescent="0.25">
      <c r="A51" s="19">
        <v>50</v>
      </c>
      <c r="B51" s="10" t="s">
        <v>439</v>
      </c>
      <c r="C51" s="12" t="s">
        <v>178</v>
      </c>
      <c r="D51" s="12">
        <v>3082157761</v>
      </c>
    </row>
    <row r="52" spans="1:4" x14ac:dyDescent="0.25">
      <c r="A52" s="19">
        <v>51</v>
      </c>
      <c r="B52" s="10" t="s">
        <v>440</v>
      </c>
      <c r="C52" s="12" t="s">
        <v>179</v>
      </c>
      <c r="D52" s="12">
        <v>3081819696</v>
      </c>
    </row>
    <row r="53" spans="1:4" x14ac:dyDescent="0.25">
      <c r="A53" s="19">
        <v>52</v>
      </c>
      <c r="B53" s="10" t="s">
        <v>441</v>
      </c>
      <c r="C53" s="12" t="s">
        <v>180</v>
      </c>
      <c r="D53" s="12">
        <v>4001585180</v>
      </c>
    </row>
    <row r="54" spans="1:4" x14ac:dyDescent="0.25">
      <c r="A54" s="19">
        <v>53</v>
      </c>
      <c r="B54" s="10" t="s">
        <v>442</v>
      </c>
      <c r="C54" s="12" t="s">
        <v>180</v>
      </c>
      <c r="D54" s="12">
        <v>4001585181</v>
      </c>
    </row>
    <row r="55" spans="1:4" x14ac:dyDescent="0.25">
      <c r="A55" s="19">
        <v>54</v>
      </c>
      <c r="B55" s="10" t="s">
        <v>280</v>
      </c>
      <c r="C55" s="12" t="s">
        <v>181</v>
      </c>
      <c r="D55" s="12">
        <v>3085487150</v>
      </c>
    </row>
    <row r="56" spans="1:4" x14ac:dyDescent="0.25">
      <c r="A56" s="19">
        <v>55</v>
      </c>
      <c r="B56" s="10" t="s">
        <v>281</v>
      </c>
      <c r="C56" s="12" t="s">
        <v>182</v>
      </c>
      <c r="D56" s="12">
        <v>3081864290</v>
      </c>
    </row>
    <row r="57" spans="1:4" x14ac:dyDescent="0.25">
      <c r="A57" s="19">
        <v>56</v>
      </c>
      <c r="B57" s="10" t="s">
        <v>282</v>
      </c>
      <c r="C57" s="12" t="s">
        <v>183</v>
      </c>
      <c r="D57" s="12">
        <v>3081819032</v>
      </c>
    </row>
    <row r="58" spans="1:4" x14ac:dyDescent="0.25">
      <c r="A58" s="19">
        <v>57</v>
      </c>
      <c r="B58" s="10" t="s">
        <v>283</v>
      </c>
      <c r="C58" s="12" t="s">
        <v>184</v>
      </c>
      <c r="D58" s="12">
        <v>3082306691</v>
      </c>
    </row>
    <row r="59" spans="1:4" x14ac:dyDescent="0.25">
      <c r="A59" s="19">
        <v>58</v>
      </c>
      <c r="B59" s="10" t="s">
        <v>284</v>
      </c>
      <c r="C59" s="12" t="s">
        <v>185</v>
      </c>
      <c r="D59" s="12">
        <v>3081862486</v>
      </c>
    </row>
    <row r="60" spans="1:4" x14ac:dyDescent="0.25">
      <c r="A60" s="19">
        <v>59</v>
      </c>
      <c r="B60" s="10" t="s">
        <v>443</v>
      </c>
      <c r="C60" s="12" t="s">
        <v>186</v>
      </c>
      <c r="D60" s="12">
        <v>3082985586</v>
      </c>
    </row>
    <row r="61" spans="1:4" x14ac:dyDescent="0.25">
      <c r="A61" s="19">
        <v>60</v>
      </c>
      <c r="B61" s="10" t="s">
        <v>444</v>
      </c>
      <c r="C61" s="12" t="s">
        <v>186</v>
      </c>
      <c r="D61" s="12">
        <v>3083089774</v>
      </c>
    </row>
    <row r="62" spans="1:4" x14ac:dyDescent="0.25">
      <c r="A62" s="19">
        <v>61</v>
      </c>
      <c r="B62" s="10" t="s">
        <v>285</v>
      </c>
      <c r="C62" s="12"/>
      <c r="D62" s="12"/>
    </row>
    <row r="63" spans="1:4" x14ac:dyDescent="0.25">
      <c r="A63" s="19">
        <v>62</v>
      </c>
      <c r="B63" s="10" t="s">
        <v>286</v>
      </c>
      <c r="C63" s="12" t="s">
        <v>187</v>
      </c>
      <c r="D63" s="12">
        <v>3081867047</v>
      </c>
    </row>
    <row r="64" spans="1:4" x14ac:dyDescent="0.25">
      <c r="A64" s="19">
        <v>63</v>
      </c>
      <c r="B64" s="10" t="s">
        <v>287</v>
      </c>
      <c r="C64" s="12" t="s">
        <v>170</v>
      </c>
      <c r="D64" s="12">
        <v>3085274814</v>
      </c>
    </row>
    <row r="65" spans="1:4" x14ac:dyDescent="0.25">
      <c r="A65" s="19">
        <v>64</v>
      </c>
      <c r="B65" s="10" t="s">
        <v>288</v>
      </c>
      <c r="C65" s="12" t="s">
        <v>188</v>
      </c>
      <c r="D65" s="12">
        <v>29489</v>
      </c>
    </row>
    <row r="66" spans="1:4" x14ac:dyDescent="0.25">
      <c r="A66" s="19">
        <v>65</v>
      </c>
      <c r="B66" s="10" t="s">
        <v>289</v>
      </c>
      <c r="C66" s="12" t="s">
        <v>189</v>
      </c>
      <c r="D66" s="12">
        <v>3081817431</v>
      </c>
    </row>
    <row r="67" spans="1:4" x14ac:dyDescent="0.25">
      <c r="A67" s="19">
        <v>66</v>
      </c>
      <c r="B67" s="10" t="s">
        <v>290</v>
      </c>
      <c r="C67" s="12" t="s">
        <v>190</v>
      </c>
      <c r="D67" s="12">
        <v>3081862676</v>
      </c>
    </row>
    <row r="68" spans="1:4" x14ac:dyDescent="0.25">
      <c r="A68" s="19">
        <v>67</v>
      </c>
      <c r="B68" s="10" t="s">
        <v>291</v>
      </c>
      <c r="C68" s="12" t="s">
        <v>191</v>
      </c>
      <c r="D68" s="12">
        <v>3081863964</v>
      </c>
    </row>
    <row r="69" spans="1:4" x14ac:dyDescent="0.25">
      <c r="A69" s="19">
        <v>68</v>
      </c>
      <c r="B69" s="10" t="s">
        <v>56</v>
      </c>
      <c r="C69" s="12" t="s">
        <v>192</v>
      </c>
      <c r="D69" s="12">
        <v>3085594832</v>
      </c>
    </row>
    <row r="70" spans="1:4" x14ac:dyDescent="0.25">
      <c r="A70" s="19">
        <v>69</v>
      </c>
      <c r="B70" s="10" t="s">
        <v>292</v>
      </c>
      <c r="C70" s="12" t="s">
        <v>193</v>
      </c>
      <c r="D70" s="12">
        <v>3085121767</v>
      </c>
    </row>
    <row r="71" spans="1:4" x14ac:dyDescent="0.25">
      <c r="A71" s="19">
        <v>70</v>
      </c>
      <c r="B71" s="10" t="s">
        <v>293</v>
      </c>
      <c r="C71" s="12" t="s">
        <v>194</v>
      </c>
      <c r="D71" s="12">
        <v>3085678879</v>
      </c>
    </row>
    <row r="72" spans="1:4" x14ac:dyDescent="0.25">
      <c r="A72" s="19">
        <v>71</v>
      </c>
      <c r="B72" s="10" t="s">
        <v>59</v>
      </c>
      <c r="C72" s="12" t="s">
        <v>195</v>
      </c>
      <c r="D72" s="12">
        <v>3085699407</v>
      </c>
    </row>
    <row r="73" spans="1:4" x14ac:dyDescent="0.25">
      <c r="A73" s="19">
        <v>72</v>
      </c>
      <c r="B73" s="10" t="s">
        <v>60</v>
      </c>
      <c r="C73" s="12" t="s">
        <v>196</v>
      </c>
      <c r="D73" s="12">
        <v>3083059406</v>
      </c>
    </row>
    <row r="74" spans="1:4" x14ac:dyDescent="0.25">
      <c r="A74" s="19">
        <v>73</v>
      </c>
      <c r="B74" s="10" t="s">
        <v>61</v>
      </c>
      <c r="C74" s="12" t="s">
        <v>197</v>
      </c>
      <c r="D74" s="12">
        <v>3085304023</v>
      </c>
    </row>
    <row r="75" spans="1:4" x14ac:dyDescent="0.25">
      <c r="A75" s="19">
        <v>74</v>
      </c>
      <c r="B75" s="10" t="s">
        <v>62</v>
      </c>
      <c r="C75" s="12" t="s">
        <v>199</v>
      </c>
      <c r="D75" s="12">
        <v>3082631520</v>
      </c>
    </row>
    <row r="76" spans="1:4" x14ac:dyDescent="0.25">
      <c r="A76" s="19">
        <v>75</v>
      </c>
      <c r="B76" s="10" t="s">
        <v>294</v>
      </c>
      <c r="C76" s="12" t="s">
        <v>198</v>
      </c>
      <c r="D76" s="12">
        <v>4002489141</v>
      </c>
    </row>
    <row r="77" spans="1:4" x14ac:dyDescent="0.25">
      <c r="A77" s="19">
        <v>76</v>
      </c>
      <c r="B77" s="10" t="s">
        <v>295</v>
      </c>
      <c r="C77" s="12" t="s">
        <v>200</v>
      </c>
      <c r="D77" s="12">
        <v>3081866452</v>
      </c>
    </row>
    <row r="78" spans="1:4" x14ac:dyDescent="0.25">
      <c r="A78" s="19">
        <v>77</v>
      </c>
      <c r="B78" s="10" t="s">
        <v>296</v>
      </c>
      <c r="C78" s="12" t="s">
        <v>201</v>
      </c>
      <c r="D78" s="12">
        <v>3081897152</v>
      </c>
    </row>
    <row r="79" spans="1:4" x14ac:dyDescent="0.25">
      <c r="A79" s="19">
        <v>78</v>
      </c>
      <c r="B79" s="10" t="s">
        <v>297</v>
      </c>
      <c r="C79" s="12" t="s">
        <v>202</v>
      </c>
      <c r="D79" s="12">
        <v>3081820519</v>
      </c>
    </row>
    <row r="80" spans="1:4" x14ac:dyDescent="0.25">
      <c r="A80" s="19">
        <v>79</v>
      </c>
      <c r="B80" s="10" t="s">
        <v>298</v>
      </c>
      <c r="C80" s="12" t="s">
        <v>203</v>
      </c>
      <c r="D80" s="12">
        <v>3081862400</v>
      </c>
    </row>
    <row r="81" spans="1:4" x14ac:dyDescent="0.25">
      <c r="A81" s="19">
        <v>80</v>
      </c>
      <c r="B81" s="10" t="s">
        <v>299</v>
      </c>
      <c r="C81" s="12" t="s">
        <v>204</v>
      </c>
      <c r="D81" s="12">
        <v>3081863809</v>
      </c>
    </row>
    <row r="82" spans="1:4" x14ac:dyDescent="0.25">
      <c r="A82" s="19">
        <v>81</v>
      </c>
      <c r="B82" s="10" t="s">
        <v>300</v>
      </c>
      <c r="C82" s="12" t="s">
        <v>205</v>
      </c>
      <c r="D82" s="12">
        <v>3090911220</v>
      </c>
    </row>
    <row r="83" spans="1:4" x14ac:dyDescent="0.25">
      <c r="A83" s="19">
        <v>82</v>
      </c>
      <c r="B83" s="10" t="s">
        <v>445</v>
      </c>
      <c r="C83" s="12" t="s">
        <v>206</v>
      </c>
      <c r="D83" s="12">
        <v>3085532164</v>
      </c>
    </row>
    <row r="84" spans="1:4" x14ac:dyDescent="0.25">
      <c r="A84" s="19">
        <v>83</v>
      </c>
      <c r="B84" s="10" t="s">
        <v>446</v>
      </c>
      <c r="C84" s="12" t="s">
        <v>206</v>
      </c>
      <c r="D84" s="12">
        <v>3081865969</v>
      </c>
    </row>
    <row r="85" spans="1:4" x14ac:dyDescent="0.25">
      <c r="A85" s="19">
        <v>84</v>
      </c>
      <c r="B85" s="10" t="s">
        <v>302</v>
      </c>
      <c r="C85" s="12" t="s">
        <v>207</v>
      </c>
      <c r="D85" s="12">
        <v>3085643215</v>
      </c>
    </row>
    <row r="86" spans="1:4" x14ac:dyDescent="0.25">
      <c r="A86" s="19">
        <v>85</v>
      </c>
      <c r="B86" s="10" t="s">
        <v>303</v>
      </c>
      <c r="C86" s="12" t="s">
        <v>208</v>
      </c>
      <c r="D86" s="12">
        <v>3081863349</v>
      </c>
    </row>
    <row r="87" spans="1:4" x14ac:dyDescent="0.25">
      <c r="A87" s="19">
        <v>86</v>
      </c>
      <c r="B87" s="10" t="s">
        <v>304</v>
      </c>
      <c r="C87" s="19" t="s">
        <v>237</v>
      </c>
      <c r="D87" s="19">
        <v>3085752716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Valores</vt:lpstr>
      <vt:lpstr>DashBoard</vt:lpstr>
      <vt:lpstr>Gráficos</vt:lpstr>
      <vt:lpstr>Consolidação</vt:lpstr>
      <vt:lpstr>Valor</vt:lpstr>
      <vt:lpstr>GeracaoConta</vt:lpstr>
      <vt:lpstr>GeracaoPortal</vt:lpstr>
      <vt:lpstr>Prev</vt:lpstr>
      <vt:lpstr>Registro</vt:lpstr>
      <vt:lpstr>Site</vt:lpstr>
      <vt:lpstr>Pastas</vt:lpstr>
      <vt:lpstr>Relação</vt:lpstr>
      <vt:lpstr>Valor contas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2019-10-29T18:03:47Z</dcterms:created>
  <dcterms:modified xsi:type="dcterms:W3CDTF">2019-11-26T18:57:38Z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