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fiabilidade\STB32\"/>
    </mc:Choice>
  </mc:AlternateContent>
  <xr:revisionPtr revIDLastSave="0" documentId="13_ncr:1_{728B2DC8-191E-43CA-9907-F07CC9FE8375}" xr6:coauthVersionLast="47" xr6:coauthVersionMax="47" xr10:uidLastSave="{00000000-0000-0000-0000-000000000000}"/>
  <bookViews>
    <workbookView xWindow="-120" yWindow="-120" windowWidth="29040" windowHeight="15840" tabRatio="662" activeTab="4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2" i="4"/>
  <c r="I11" i="4"/>
  <c r="J11" i="4" l="1"/>
  <c r="J10" i="4"/>
  <c r="I10" i="4"/>
  <c r="J8" i="4"/>
  <c r="P33" i="5"/>
  <c r="H3" i="5" a="1"/>
  <c r="H3" i="5" s="1"/>
  <c r="H4" i="5" a="1"/>
  <c r="H4" i="5" s="1"/>
  <c r="H5" i="5" a="1"/>
  <c r="H5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H26" i="5" a="1"/>
  <c r="H26" i="5" s="1"/>
  <c r="H27" i="5" a="1"/>
  <c r="H27" i="5" s="1"/>
  <c r="H28" i="5" a="1"/>
  <c r="H28" i="5" s="1"/>
  <c r="H29" i="5" a="1"/>
  <c r="H29" i="5" s="1"/>
  <c r="H30" i="5" a="1"/>
  <c r="H30" i="5" s="1"/>
  <c r="H31" i="5" a="1"/>
  <c r="H31" i="5" s="1"/>
  <c r="H32" i="5" a="1"/>
  <c r="H32" i="5" s="1"/>
  <c r="M3" i="5" a="1"/>
  <c r="M3" i="5" s="1"/>
  <c r="M4" i="5" a="1"/>
  <c r="M4" i="5"/>
  <c r="M5" i="5" a="1"/>
  <c r="M5" i="5" s="1"/>
  <c r="M6" i="5" a="1"/>
  <c r="M6" i="5" s="1"/>
  <c r="M7" i="5" a="1"/>
  <c r="M7" i="5" s="1"/>
  <c r="M8" i="5" a="1"/>
  <c r="M8" i="5"/>
  <c r="M9" i="5" a="1"/>
  <c r="M9" i="5" s="1"/>
  <c r="M10" i="5" a="1"/>
  <c r="M10" i="5"/>
  <c r="M11" i="5" a="1"/>
  <c r="M11" i="5" s="1"/>
  <c r="M12" i="5" a="1"/>
  <c r="M12" i="5" s="1"/>
  <c r="M13" i="5" a="1"/>
  <c r="M13" i="5" s="1"/>
  <c r="M14" i="5" a="1"/>
  <c r="M14" i="5" s="1"/>
  <c r="M15" i="5" a="1"/>
  <c r="M15" i="5" s="1"/>
  <c r="M16" i="5" a="1"/>
  <c r="M16" i="5" s="1"/>
  <c r="M17" i="5" a="1"/>
  <c r="M17" i="5" s="1"/>
  <c r="M18" i="5" a="1"/>
  <c r="M18" i="5"/>
  <c r="M19" i="5" a="1"/>
  <c r="M19" i="5" s="1"/>
  <c r="M20" i="5" a="1"/>
  <c r="M20" i="5" s="1"/>
  <c r="M21" i="5" a="1"/>
  <c r="M21" i="5" s="1"/>
  <c r="M22" i="5" a="1"/>
  <c r="M22" i="5" s="1"/>
  <c r="M23" i="5" a="1"/>
  <c r="M23" i="5" s="1"/>
  <c r="M24" i="5" a="1"/>
  <c r="M24" i="5" s="1"/>
  <c r="M25" i="5" a="1"/>
  <c r="M25" i="5" s="1"/>
  <c r="M26" i="5" a="1"/>
  <c r="M26" i="5" s="1"/>
  <c r="M27" i="5" a="1"/>
  <c r="M27" i="5" s="1"/>
  <c r="M28" i="5" a="1"/>
  <c r="M28" i="5" s="1"/>
  <c r="M29" i="5" a="1"/>
  <c r="M29" i="5" s="1"/>
  <c r="M30" i="5" a="1"/>
  <c r="M30" i="5" s="1"/>
  <c r="M31" i="5" a="1"/>
  <c r="M31" i="5" s="1"/>
  <c r="M32" i="5" a="1"/>
  <c r="M32" i="5" s="1"/>
  <c r="M2" i="5" a="1"/>
  <c r="M2" i="5" s="1"/>
  <c r="F23" i="5"/>
  <c r="J23" i="5"/>
  <c r="L23" i="5"/>
  <c r="F24" i="5"/>
  <c r="J24" i="5"/>
  <c r="L24" i="5"/>
  <c r="F25" i="5"/>
  <c r="J25" i="5"/>
  <c r="L25" i="5"/>
  <c r="F26" i="5"/>
  <c r="J26" i="5"/>
  <c r="L26" i="5"/>
  <c r="F27" i="5"/>
  <c r="J27" i="5"/>
  <c r="L27" i="5"/>
  <c r="F28" i="5"/>
  <c r="J28" i="5"/>
  <c r="L28" i="5"/>
  <c r="F29" i="5"/>
  <c r="J29" i="5"/>
  <c r="L29" i="5"/>
  <c r="F30" i="5"/>
  <c r="J30" i="5"/>
  <c r="L30" i="5"/>
  <c r="F31" i="5"/>
  <c r="J31" i="5"/>
  <c r="L31" i="5"/>
  <c r="F32" i="5"/>
  <c r="J32" i="5"/>
  <c r="L32" i="5"/>
  <c r="D23" i="5"/>
  <c r="D24" i="5"/>
  <c r="D25" i="5"/>
  <c r="D26" i="5"/>
  <c r="D27" i="5"/>
  <c r="D28" i="5"/>
  <c r="D29" i="5"/>
  <c r="D30" i="5"/>
  <c r="D31" i="5"/>
  <c r="D32" i="5"/>
  <c r="D6" i="4"/>
  <c r="F6" i="4"/>
  <c r="H6" i="4" a="1"/>
  <c r="H6" i="4" s="1"/>
  <c r="I6" i="4" s="1"/>
  <c r="J6" i="4" s="1"/>
  <c r="H2" i="5" a="1"/>
  <c r="H2" i="5" s="1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" i="5"/>
  <c r="L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" i="5"/>
  <c r="D2" i="5"/>
  <c r="D2" i="4"/>
  <c r="D3" i="4"/>
  <c r="D4" i="4"/>
  <c r="D5" i="4"/>
  <c r="D7" i="4"/>
  <c r="F2" i="4"/>
  <c r="F3" i="4"/>
  <c r="F4" i="4"/>
  <c r="F5" i="4"/>
  <c r="F7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N18" i="5" l="1"/>
  <c r="N30" i="5"/>
  <c r="N15" i="5"/>
  <c r="N31" i="5"/>
  <c r="N16" i="5"/>
  <c r="N28" i="5"/>
  <c r="O28" i="5" s="1"/>
  <c r="P28" i="5" s="1"/>
  <c r="N6" i="5"/>
  <c r="N26" i="5"/>
  <c r="O26" i="5" s="1"/>
  <c r="N11" i="5"/>
  <c r="N29" i="5"/>
  <c r="N24" i="5"/>
  <c r="O24" i="5" s="1"/>
  <c r="N27" i="5"/>
  <c r="O27" i="5" s="1"/>
  <c r="P27" i="5" s="1"/>
  <c r="N23" i="5"/>
  <c r="O23" i="5" s="1"/>
  <c r="N22" i="5"/>
  <c r="N19" i="5"/>
  <c r="N25" i="5"/>
  <c r="O25" i="5" s="1"/>
  <c r="P25" i="5" s="1"/>
  <c r="O31" i="5"/>
  <c r="P31" i="5" s="1"/>
  <c r="O30" i="5"/>
  <c r="P30" i="5" s="1"/>
  <c r="N32" i="5"/>
  <c r="O29" i="5"/>
  <c r="P29" i="5" s="1"/>
  <c r="N17" i="5"/>
  <c r="N14" i="5"/>
  <c r="N2" i="5"/>
  <c r="N7" i="5"/>
  <c r="N21" i="5"/>
  <c r="N5" i="5"/>
  <c r="N20" i="5"/>
  <c r="N4" i="5"/>
  <c r="N3" i="5"/>
  <c r="N12" i="5"/>
  <c r="N9" i="5"/>
  <c r="N8" i="5"/>
  <c r="N13" i="5"/>
  <c r="N10" i="5"/>
  <c r="H7" i="4" a="1"/>
  <c r="H7" i="4" s="1"/>
  <c r="I7" i="4" s="1"/>
  <c r="J7" i="4" s="1"/>
  <c r="H5" i="4" a="1"/>
  <c r="H5" i="4" s="1"/>
  <c r="I5" i="4" s="1"/>
  <c r="J5" i="4" s="1"/>
  <c r="H4" i="4" a="1"/>
  <c r="H4" i="4" s="1"/>
  <c r="I4" i="4" s="1"/>
  <c r="J4" i="4" s="1"/>
  <c r="H3" i="4" a="1"/>
  <c r="H3" i="4" s="1"/>
  <c r="I3" i="4" s="1"/>
  <c r="J3" i="4" s="1"/>
  <c r="H2" i="4" a="1"/>
  <c r="H2" i="4" s="1"/>
  <c r="P23" i="5" l="1"/>
  <c r="P26" i="5"/>
  <c r="P24" i="5"/>
  <c r="O32" i="5"/>
  <c r="P32" i="5" s="1"/>
  <c r="O7" i="5"/>
  <c r="P7" i="5" s="1"/>
  <c r="O6" i="5"/>
  <c r="P6" i="5" s="1"/>
  <c r="O13" i="5"/>
  <c r="P13" i="5" s="1"/>
  <c r="O11" i="5"/>
  <c r="P11" i="5" s="1"/>
  <c r="I2" i="4"/>
  <c r="I8" i="4" l="1"/>
  <c r="J2" i="4"/>
  <c r="O18" i="5"/>
  <c r="P18" i="5" s="1"/>
  <c r="O16" i="5"/>
  <c r="P16" i="5" s="1"/>
  <c r="O5" i="5"/>
  <c r="P5" i="5" s="1"/>
  <c r="O22" i="5"/>
  <c r="P22" i="5"/>
  <c r="O10" i="5"/>
  <c r="P10" i="5" s="1"/>
  <c r="O3" i="5"/>
  <c r="P3" i="5" s="1"/>
  <c r="O12" i="5"/>
  <c r="P12" i="5" s="1"/>
  <c r="O9" i="5"/>
  <c r="P9" i="5" s="1"/>
  <c r="O21" i="5"/>
  <c r="P21" i="5" s="1"/>
  <c r="O17" i="5"/>
  <c r="P17" i="5" s="1"/>
  <c r="O20" i="5"/>
  <c r="P20" i="5" s="1"/>
  <c r="O14" i="5"/>
  <c r="P14" i="5" s="1"/>
  <c r="O4" i="5"/>
  <c r="P4" i="5" s="1"/>
  <c r="O15" i="5"/>
  <c r="P15" i="5" s="1"/>
  <c r="O19" i="5"/>
  <c r="P19" i="5" s="1"/>
  <c r="O8" i="5"/>
  <c r="P8" i="5" s="1"/>
  <c r="O2" i="5"/>
  <c r="H8" i="4" l="1"/>
  <c r="P2" i="5"/>
  <c r="O33" i="5"/>
  <c r="N3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<sst xmlns="http://schemas.openxmlformats.org/spreadsheetml/2006/main" count="1174" uniqueCount="109">
  <si>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</si>
  <si>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</si>
  <si>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</si>
  <si>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</si>
  <si>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</si>
  <si>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</si>
  <si>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</si>
  <si>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</si>
  <si>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</si>
  <si>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</si>
  <si>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</si>
  <si>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</si>
  <si>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</si>
  <si>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</si>
  <si>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</si>
  <si>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</si>
  <si>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</si>
  <si>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</si>
  <si>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</si>
  <si>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</si>
  <si>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</si>
  <si>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</si>
  <si>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</si>
  <si>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</si>
  <si>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</si>
  <si>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</si>
  <si>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</si>
  <si>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</si>
  <si>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</si>
  <si>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</si>
  <si>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</si>
  <si>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</si>
  <si>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</si>
  <si>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</si>
  <si>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</si>
  <si>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</si>
  <si>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</si>
  <si>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</si>
  <si>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</si>
  <si>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</si>
  <si>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</si>
  <si>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</si>
  <si>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</si>
  <si>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</si>
  <si>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</si>
  <si>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</si>
  <si>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</si>
  <si>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</si>
  <si>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</si>
  <si>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</si>
  <si>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</si>
  <si>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</si>
  <si>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</si>
  <si>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</si>
  <si>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</si>
  <si>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</si>
  <si>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</si>
  <si>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</si>
  <si>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</si>
  <si>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</si>
  <si>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</si>
  <si>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</si>
  <si>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</si>
  <si>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</si>
  <si>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</si>
  <si>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</si>
  <si>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</si>
  <si>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</si>
  <si>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</si>
  <si>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</si>
  <si>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</si>
  <si>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</si>
  <si>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</si>
  <si>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</si>
  <si>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</si>
  <si>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</si>
  <si>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</si>
  <si>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</si>
  <si>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</si>
  <si>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</si>
  <si>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</si>
  <si>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</si>
  <si>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</si>
  <si>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</si>
  <si>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</si>
  <si>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</si>
  <si>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</si>
  <si>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</si>
  <si>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</si>
  <si>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</si>
  <si>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</si>
  <si>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</si>
  <si>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</si>
  <si>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</si>
  <si>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</si>
  <si>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</si>
  <si>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</si>
  <si>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</si>
  <si>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</si>
  <si>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</si>
  <si>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</si>
  <si>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</si>
  <si>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</si>
  <si>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</si>
  <si>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</si>
  <si>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</si>
  <si>
    <t>Divergente</t>
  </si>
  <si>
    <t>Ptotal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</si>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</sst>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%"/>
    <numFmt numFmtId="166" formatCode="0.00000000E+00"/>
    <numFmt numFmtId="167" formatCode="0.0000E+00"/>
    <numFmt numFmtId="168" formatCode="0.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3" fillId="0" borderId="7" xfId="0" applyNumberFormat="1" applyFont="1" applyBorder="1"/>
    <xf numFmtId="0" fontId="3" fillId="0" borderId="4" xfId="0" applyFont="1" applyBorder="1"/>
    <xf numFmtId="0" fontId="3" fillId="0" borderId="9" xfId="0" applyFont="1" applyBorder="1"/>
    <xf numFmtId="167" fontId="4" fillId="0" borderId="9" xfId="0" applyNumberFormat="1" applyFont="1" applyBorder="1"/>
    <xf numFmtId="167" fontId="4" fillId="0" borderId="2" xfId="0" applyNumberFormat="1" applyFont="1" applyBorder="1"/>
    <xf numFmtId="166" fontId="0" fillId="0" borderId="3" xfId="0" applyNumberFormat="1" applyBorder="1" applyAlignment="1">
      <alignment horizontal="center" vertical="center"/>
    </xf>
    <xf numFmtId="0" fontId="0" fillId="0" borderId="3" xfId="0" applyBorder="1"/>
    <xf numFmtId="168" fontId="0" fillId="0" borderId="3" xfId="1" applyNumberFormat="1" applyFont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80">
    <dxf>
      <numFmt numFmtId="166" formatCode="0.000000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79" dataDxfId="78">
  <autoFilter ref="A1:E59" xr:uid="{8C4F7790-E7F7-4EF0-B54E-D1823ACE95A6}"/>
  <tableColumns count="5">
    <tableColumn id="1" xr3:uid="{9DFFAECE-7EA0-47FE-B0F2-CBBBD9745D8B}" name="Barra DE" dataDxfId="77"/>
    <tableColumn id="2" xr3:uid="{6CDB9866-C348-40F6-A1A8-3FF362B0E38A}" name="Nome DE" dataDxfId="76"/>
    <tableColumn id="3" xr3:uid="{1D42440C-9712-4E62-99A2-1CDB84338531}" name="Barra PARA" dataDxfId="75"/>
    <tableColumn id="4" xr3:uid="{6B1D0BC3-711B-44E2-866B-D350EA3C271B}" name="Nome PARA" dataDxfId="74"/>
    <tableColumn id="5" xr3:uid="{C7CF388C-D187-4A0B-B586-FD91F2513B05}" name="Circuito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E39" totalsRowShown="0" headerRowDxfId="72" dataDxfId="71">
  <autoFilter ref="A1:E39" xr:uid="{285D8EA8-3C01-4B4F-B339-304906C160CF}"/>
  <sortState xmlns:xlrd2="http://schemas.microsoft.com/office/spreadsheetml/2017/richdata2" ref="A2:E39">
    <sortCondition ref="A1:A39"/>
  </sortState>
  <tableColumns count="5">
    <tableColumn id="1" xr3:uid="{E3FAC358-335C-416F-8CDB-9FD6211A8CEA}" name="DE" dataDxfId="70"/>
    <tableColumn id="5" xr3:uid="{5BF2F4BD-C3B3-4F31-ABB3-7E6CA80DE17B}" name="De(barra)" dataDxfId="69">
      <calculatedColumnFormula>VLOOKUP(Tabela2[[#This Row],[DE]],CHOOSE({1,2},Barras!$B$2:$B$161,Barras!$A$2:$A$161),2,FALSE)</calculatedColumnFormula>
    </tableColumn>
    <tableColumn id="2" xr3:uid="{3AA0A196-07A9-4045-9D38-2549140A86BF}" name="PARA" dataDxfId="68"/>
    <tableColumn id="4" xr3:uid="{74E9DE7C-B823-49DE-B711-6B669B513093}" name="Para(barra)" dataDxfId="67">
      <calculatedColumnFormula>VLOOKUP(Tabela2[[#This Row],[PARA]],CHOOSE({1,2},Barras!$B$2:$B$161,Barras!$A$2:$A$161),2,FALSE)</calculatedColumnFormula>
    </tableColumn>
    <tableColumn id="3" xr3:uid="{A6A726EB-A685-4BC2-A0F0-E9718B181616}" name="q" dataDxfId="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65" dataDxfId="64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63"/>
    <tableColumn id="5" xr3:uid="{B948BD46-0F80-41D0-BE16-D591969D5775}" name="De(barra)" dataDxfId="62">
      <calculatedColumnFormula>VLOOKUP(Tabela25[[#This Row],[DE]],CHOOSE({1,2},Barras!$B$2:$B$161,Barras!$A$2:$A$161),2,FALSE)</calculatedColumnFormula>
    </tableColumn>
    <tableColumn id="2" xr3:uid="{E73D961C-339B-45B9-9730-525AE30076E4}" name="PARA" dataDxfId="61"/>
    <tableColumn id="4" xr3:uid="{56D5632E-73B6-4F0B-8782-BCAFB2A6E4C3}" name="Para(barra)" dataDxfId="60">
      <calculatedColumnFormula>VLOOKUP(Tabela25[[#This Row],[PARA]],CHOOSE({1,2},Barras!$B$2:$B$161,Barras!$A$2:$A$161),2,FALSE)</calculatedColumnFormula>
    </tableColumn>
    <tableColumn id="3" xr3:uid="{C46EB45B-6AB6-4ADA-A276-95123313AF32}" name="q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8" totalsRowCount="1" headerRowDxfId="58" dataDxfId="56" totalsRowDxfId="54" headerRowBorderDxfId="57" tableBorderDxfId="55" totalsRowBorderDxfId="53">
  <autoFilter ref="B1:J7" xr:uid="{82B79D8B-2802-4C3A-BA1C-7350890728F3}"/>
  <tableColumns count="9">
    <tableColumn id="1" xr3:uid="{E0DDD699-B14A-48E3-8A4D-92CDD859CB0A}" name="Contingência" dataDxfId="52" totalsRowDxfId="51"/>
    <tableColumn id="2" xr3:uid="{7E976C01-EA60-4783-93D1-F55015E78DC4}" name="De1" dataDxfId="50" totalsRowDxfId="49"/>
    <tableColumn id="3" xr3:uid="{CFAA91F6-DFEF-4E90-8840-4E5F9AAE45C7}" name="Barra (de)" dataDxfId="48" totalsRowDxfId="47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46" totalsRowDxfId="45"/>
    <tableColumn id="5" xr3:uid="{60B78CE9-C734-4759-B01D-46C0A71C4E17}" name="Barra (para)" dataDxfId="44" totalsRowDxfId="43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42" totalsRowDxfId="41"/>
    <tableColumn id="9" xr3:uid="{C92B17CD-9FE6-4C7B-995E-1933C1FAFA7C}" name="Q" totalsRowFunction="custom" dataDxfId="40" totalsRowDxfId="39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38" totalsRowDxfId="37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36" totalsRowDxfId="35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33" totalsRowCount="1" headerRowDxfId="34" dataDxfId="32" headerRowBorderDxfId="33" tableBorderDxfId="31" totalsRowBorderDxfId="30">
  <autoFilter ref="B1:P32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29" totalsRowDxfId="28"/>
    <tableColumn id="7" xr3:uid="{DBC54C2F-8ADF-4787-81A9-7040633E7F29}" name="De1" dataDxfId="27" totalsRowDxfId="26"/>
    <tableColumn id="8" xr3:uid="{02D8AC41-4D65-4650-9298-D8D4E7BD45E6}" name="Barra (de)1" dataDxfId="25" totalsRowDxfId="24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23" totalsRowDxfId="22"/>
    <tableColumn id="12" xr3:uid="{7E2A081F-15DD-4193-A1B9-6A221EB9D4D7}" name="Barra (para)1" dataDxfId="21" totalsRowDxfId="20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19" totalsRowDxfId="18"/>
    <tableColumn id="5" xr3:uid="{07B4F78E-E8D4-404A-A4B7-0DE785AF559F}" name="Q1" dataDxfId="17" totalsRowDxfId="16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15" totalsRowDxfId="14"/>
    <tableColumn id="6" xr3:uid="{C79C7F39-1E65-4A10-9F3E-7099AAEB4D9E}" name="Barra (de)2" dataDxfId="13" totalsRowDxfId="12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11" totalsRowDxfId="10"/>
    <tableColumn id="10" xr3:uid="{B471B155-F718-411A-B2B1-6059282E00EF}" name="Barra (para)2" dataDxfId="9" totalsRowDxfId="8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7" totalsRowDxfId="6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5" totalsRowDxfId="4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3" totalsRowDxfId="2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1" totalsRowDxfId="0">
      <calculatedColumnFormula>Tabela14[[#This Row],[Q Eq]]+Tabela14[[#This Row],[P Eq]]</calculatedColumnFormula>
      <totalsRowFormula>Tabela14[[#Totals],[P Eq]]+Tabela14[[#Totals],[Q Eq]]</totalsRowFormula>
    </tableColumn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topLeftCell="A31" workbookViewId="0">
      <selection activeCell="B6" sqref="B6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AE43"/>
  <sheetViews>
    <sheetView workbookViewId="0">
      <selection activeCell="K2" sqref="K2:K22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10.85546875" style="1" bestFit="1" customWidth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31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K1" s="8" t="s">
        <v>38</v>
      </c>
      <c r="L1" s="8" t="s">
        <v>94</v>
      </c>
      <c r="M1" s="8" t="s">
        <v>95</v>
      </c>
      <c r="N1" s="8" t="s">
        <v>79</v>
      </c>
      <c r="O1" s="8" t="s">
        <v>93</v>
      </c>
      <c r="P1" s="8" t="s">
        <v>92</v>
      </c>
      <c r="Q1" s="8" t="s">
        <v>96</v>
      </c>
      <c r="R1" s="8" t="s">
        <v>97</v>
      </c>
    </row>
    <row r="2" spans="1:31" x14ac:dyDescent="0.25">
      <c r="A2" s="1">
        <v>478</v>
      </c>
      <c r="B2" s="1">
        <v>2</v>
      </c>
      <c r="C2" s="1">
        <v>9.6</v>
      </c>
      <c r="D2" s="26" t="s">
        <v>98</v>
      </c>
      <c r="E2" s="1">
        <v>5</v>
      </c>
      <c r="F2" s="1">
        <v>1</v>
      </c>
      <c r="G2" s="1">
        <v>8.5</v>
      </c>
      <c r="H2" s="1">
        <v>896</v>
      </c>
      <c r="I2" s="1">
        <v>897</v>
      </c>
      <c r="K2" s="27" t="s">
        <v>98</v>
      </c>
      <c r="L2" s="8">
        <v>509</v>
      </c>
      <c r="M2" s="8">
        <v>2</v>
      </c>
      <c r="N2" s="8">
        <v>9.6</v>
      </c>
      <c r="O2" s="8">
        <v>955</v>
      </c>
      <c r="P2" s="8">
        <v>946</v>
      </c>
      <c r="Q2" s="8">
        <v>960</v>
      </c>
      <c r="R2" s="8">
        <v>1015</v>
      </c>
    </row>
    <row r="3" spans="1:31" x14ac:dyDescent="0.25">
      <c r="A3" s="1">
        <v>486</v>
      </c>
      <c r="B3" s="1">
        <v>2</v>
      </c>
      <c r="C3" s="1">
        <v>5.5</v>
      </c>
      <c r="D3" s="26"/>
      <c r="E3" s="1">
        <v>13</v>
      </c>
      <c r="F3" s="1">
        <v>1</v>
      </c>
      <c r="G3" s="1">
        <v>4.4000000000000004</v>
      </c>
      <c r="H3" s="1">
        <v>938</v>
      </c>
      <c r="I3" s="1">
        <v>959</v>
      </c>
      <c r="K3" s="27"/>
      <c r="L3" s="8">
        <v>517</v>
      </c>
      <c r="M3" s="8">
        <v>2</v>
      </c>
      <c r="N3" s="8">
        <v>5.5</v>
      </c>
      <c r="O3" s="8">
        <v>955</v>
      </c>
      <c r="P3" s="8">
        <v>946</v>
      </c>
      <c r="Q3" s="8">
        <v>1010</v>
      </c>
      <c r="R3" s="8">
        <v>947</v>
      </c>
    </row>
    <row r="4" spans="1:31" x14ac:dyDescent="0.25">
      <c r="A4" s="1">
        <v>477</v>
      </c>
      <c r="B4" s="1">
        <v>2</v>
      </c>
      <c r="C4" s="1">
        <v>5.2</v>
      </c>
      <c r="D4" s="26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27"/>
      <c r="L4" s="8">
        <v>508</v>
      </c>
      <c r="M4" s="8">
        <v>2</v>
      </c>
      <c r="N4" s="8">
        <v>5.2</v>
      </c>
      <c r="O4" s="8">
        <v>955</v>
      </c>
      <c r="P4" s="8">
        <v>946</v>
      </c>
      <c r="Q4" s="8">
        <v>959</v>
      </c>
      <c r="R4" s="8">
        <v>895</v>
      </c>
    </row>
    <row r="5" spans="1:31" x14ac:dyDescent="0.25">
      <c r="A5" s="1">
        <v>346</v>
      </c>
      <c r="B5" s="1">
        <v>2</v>
      </c>
      <c r="C5" s="1">
        <v>4.0999999999999996</v>
      </c>
      <c r="D5" s="26"/>
      <c r="E5" s="1">
        <v>20</v>
      </c>
      <c r="F5" s="1">
        <v>1</v>
      </c>
      <c r="G5" s="1">
        <v>1.4</v>
      </c>
      <c r="H5" s="1">
        <v>964</v>
      </c>
      <c r="I5" s="1">
        <v>976</v>
      </c>
      <c r="K5" s="27"/>
      <c r="L5" s="8">
        <v>352</v>
      </c>
      <c r="M5" s="8">
        <v>2</v>
      </c>
      <c r="N5" s="8">
        <v>4.0999999999999996</v>
      </c>
      <c r="O5" s="8">
        <v>933</v>
      </c>
      <c r="P5" s="8">
        <v>955</v>
      </c>
      <c r="Q5" s="8">
        <v>955</v>
      </c>
      <c r="R5" s="8">
        <v>946</v>
      </c>
    </row>
    <row r="6" spans="1:31" x14ac:dyDescent="0.25">
      <c r="A6" s="1">
        <v>344</v>
      </c>
      <c r="B6" s="1">
        <v>1</v>
      </c>
      <c r="C6" s="1">
        <v>3.5</v>
      </c>
      <c r="D6" s="26"/>
      <c r="E6" s="1">
        <v>23</v>
      </c>
      <c r="F6" s="1">
        <v>1</v>
      </c>
      <c r="G6" s="1">
        <v>1.1000000000000001</v>
      </c>
      <c r="H6" s="1">
        <v>995</v>
      </c>
      <c r="I6" s="1">
        <v>964</v>
      </c>
      <c r="K6" s="27"/>
      <c r="L6" s="8">
        <v>349</v>
      </c>
      <c r="M6" s="8">
        <v>1</v>
      </c>
      <c r="N6" s="8">
        <v>3.5</v>
      </c>
      <c r="O6" s="8">
        <v>933</v>
      </c>
      <c r="P6" s="8">
        <v>955</v>
      </c>
      <c r="Q6" s="8">
        <v>938</v>
      </c>
      <c r="R6" s="8">
        <v>946</v>
      </c>
    </row>
    <row r="7" spans="1:31" x14ac:dyDescent="0.25">
      <c r="A7" s="1">
        <v>456</v>
      </c>
      <c r="B7" s="1">
        <v>2</v>
      </c>
      <c r="C7" s="1">
        <v>3.2</v>
      </c>
      <c r="D7" s="1" t="s">
        <v>106</v>
      </c>
      <c r="E7" s="1">
        <v>17</v>
      </c>
      <c r="H7" s="1">
        <v>955</v>
      </c>
      <c r="I7" s="1">
        <v>979</v>
      </c>
      <c r="K7" s="27"/>
      <c r="L7" s="8">
        <v>487</v>
      </c>
      <c r="M7" s="8">
        <v>2</v>
      </c>
      <c r="N7" s="8">
        <v>3.2</v>
      </c>
      <c r="O7" s="8">
        <v>947</v>
      </c>
      <c r="P7" s="8">
        <v>939</v>
      </c>
      <c r="Q7" s="8">
        <v>955</v>
      </c>
      <c r="R7" s="8">
        <v>946</v>
      </c>
    </row>
    <row r="8" spans="1:31" x14ac:dyDescent="0.25">
      <c r="A8" s="1">
        <v>497</v>
      </c>
      <c r="B8" s="1">
        <v>2</v>
      </c>
      <c r="C8" s="1">
        <v>3.2</v>
      </c>
      <c r="K8" s="27"/>
      <c r="L8" s="8">
        <v>528</v>
      </c>
      <c r="M8" s="8">
        <v>2</v>
      </c>
      <c r="N8" s="8">
        <v>3.2</v>
      </c>
      <c r="O8" s="8">
        <v>955</v>
      </c>
      <c r="P8" s="8">
        <v>964</v>
      </c>
      <c r="Q8" s="8">
        <v>965</v>
      </c>
      <c r="R8" s="8">
        <v>1057</v>
      </c>
    </row>
    <row r="9" spans="1:31" x14ac:dyDescent="0.25">
      <c r="A9" s="1">
        <v>439</v>
      </c>
      <c r="B9" s="1">
        <v>1</v>
      </c>
      <c r="C9" s="1">
        <v>2.6</v>
      </c>
      <c r="K9" s="27"/>
      <c r="L9" s="8">
        <v>449</v>
      </c>
      <c r="M9" s="8">
        <v>1</v>
      </c>
      <c r="N9" s="8">
        <v>2.6</v>
      </c>
      <c r="O9" s="8">
        <v>938</v>
      </c>
      <c r="P9" s="8">
        <v>946</v>
      </c>
      <c r="Q9" s="8">
        <v>960</v>
      </c>
      <c r="R9" s="8">
        <v>1015</v>
      </c>
      <c r="V9" s="1">
        <v>638</v>
      </c>
      <c r="W9" s="1">
        <v>529</v>
      </c>
      <c r="X9" s="1">
        <v>467</v>
      </c>
      <c r="Y9" s="1">
        <v>446</v>
      </c>
      <c r="Z9" s="1">
        <v>444</v>
      </c>
      <c r="AA9" s="1">
        <v>377</v>
      </c>
      <c r="AB9" s="1">
        <v>375</v>
      </c>
      <c r="AC9" s="1">
        <v>326</v>
      </c>
      <c r="AD9" s="1">
        <v>324</v>
      </c>
      <c r="AE9" s="1">
        <v>320</v>
      </c>
    </row>
    <row r="10" spans="1:31" x14ac:dyDescent="0.25">
      <c r="A10" s="1">
        <v>507</v>
      </c>
      <c r="B10" s="1">
        <v>2</v>
      </c>
      <c r="C10" s="1">
        <v>2.4</v>
      </c>
      <c r="K10" s="27"/>
      <c r="L10" s="8">
        <v>470</v>
      </c>
      <c r="M10" s="8">
        <v>1</v>
      </c>
      <c r="N10" s="8">
        <v>2.5</v>
      </c>
      <c r="O10" s="8">
        <v>938</v>
      </c>
      <c r="P10" s="8">
        <v>955</v>
      </c>
      <c r="Q10" s="8">
        <v>960</v>
      </c>
      <c r="R10" s="8">
        <v>1015</v>
      </c>
    </row>
    <row r="11" spans="1:31" x14ac:dyDescent="0.25">
      <c r="A11" s="1">
        <v>476</v>
      </c>
      <c r="B11" s="1">
        <v>2</v>
      </c>
      <c r="C11" s="1">
        <v>2.2000000000000002</v>
      </c>
      <c r="K11" s="27"/>
      <c r="L11" s="8">
        <v>538</v>
      </c>
      <c r="M11" s="8">
        <v>2</v>
      </c>
      <c r="N11" s="8">
        <v>2.4</v>
      </c>
      <c r="O11" s="8">
        <v>955</v>
      </c>
      <c r="P11" s="8">
        <v>964</v>
      </c>
      <c r="Q11" s="8">
        <v>1047</v>
      </c>
      <c r="R11" s="8">
        <v>1069</v>
      </c>
    </row>
    <row r="12" spans="1:31" x14ac:dyDescent="0.25">
      <c r="A12" s="1">
        <v>438</v>
      </c>
      <c r="B12" s="1">
        <v>1</v>
      </c>
      <c r="C12" s="1">
        <v>1.2</v>
      </c>
      <c r="K12" s="27"/>
      <c r="L12" s="8">
        <v>507</v>
      </c>
      <c r="M12" s="8">
        <v>2</v>
      </c>
      <c r="N12" s="8">
        <v>2.2000000000000002</v>
      </c>
      <c r="O12" s="8">
        <v>955</v>
      </c>
      <c r="P12" s="8">
        <v>946</v>
      </c>
      <c r="Q12" s="8">
        <v>955</v>
      </c>
      <c r="R12" s="8">
        <v>964</v>
      </c>
    </row>
    <row r="13" spans="1:31" x14ac:dyDescent="0.25">
      <c r="A13" s="1">
        <v>511</v>
      </c>
      <c r="B13" s="1">
        <v>1</v>
      </c>
      <c r="C13" s="1">
        <v>1.1000000000000001</v>
      </c>
      <c r="K13" s="27"/>
      <c r="L13" s="8">
        <v>297</v>
      </c>
      <c r="M13" s="8">
        <v>1</v>
      </c>
      <c r="N13" s="8">
        <v>1.8</v>
      </c>
      <c r="O13" s="8">
        <v>856</v>
      </c>
      <c r="P13" s="8">
        <v>1060</v>
      </c>
      <c r="Q13" s="8">
        <v>938</v>
      </c>
      <c r="R13" s="8">
        <v>955</v>
      </c>
    </row>
    <row r="14" spans="1:31" x14ac:dyDescent="0.25">
      <c r="A14" s="1">
        <v>508</v>
      </c>
      <c r="B14" s="1">
        <v>1</v>
      </c>
      <c r="C14" s="1">
        <v>1.1000000000000001</v>
      </c>
      <c r="K14" s="27"/>
      <c r="L14" s="8">
        <v>476</v>
      </c>
      <c r="M14" s="8">
        <v>1</v>
      </c>
      <c r="N14" s="8">
        <v>1.7</v>
      </c>
      <c r="O14" s="8">
        <v>938</v>
      </c>
      <c r="P14" s="8">
        <v>955</v>
      </c>
      <c r="Q14" s="8">
        <v>999</v>
      </c>
      <c r="R14" s="8">
        <v>933</v>
      </c>
    </row>
    <row r="15" spans="1:31" x14ac:dyDescent="0.25">
      <c r="A15" s="1">
        <v>269</v>
      </c>
      <c r="B15" s="1">
        <v>1</v>
      </c>
      <c r="C15" s="1">
        <v>1.1000000000000001</v>
      </c>
      <c r="K15" s="27"/>
      <c r="L15" s="8">
        <v>269</v>
      </c>
      <c r="M15" s="8">
        <v>1</v>
      </c>
      <c r="N15" s="8">
        <v>1.2</v>
      </c>
      <c r="O15" s="8">
        <v>856</v>
      </c>
      <c r="P15" s="8">
        <v>933</v>
      </c>
      <c r="Q15" s="8">
        <v>938</v>
      </c>
      <c r="R15" s="8">
        <v>955</v>
      </c>
    </row>
    <row r="16" spans="1:31" x14ac:dyDescent="0.25">
      <c r="A16" s="1">
        <v>510</v>
      </c>
      <c r="B16" s="1">
        <v>1</v>
      </c>
      <c r="C16" s="1">
        <v>1.1000000000000001</v>
      </c>
      <c r="K16" s="27"/>
      <c r="L16" s="8">
        <v>448</v>
      </c>
      <c r="M16" s="8">
        <v>1</v>
      </c>
      <c r="N16" s="8">
        <v>1.2</v>
      </c>
      <c r="O16" s="8">
        <v>938</v>
      </c>
      <c r="P16" s="8">
        <v>946</v>
      </c>
      <c r="Q16" s="8">
        <v>959</v>
      </c>
      <c r="R16" s="8">
        <v>895</v>
      </c>
    </row>
    <row r="17" spans="1:18" x14ac:dyDescent="0.25">
      <c r="A17" s="1">
        <v>347</v>
      </c>
      <c r="B17" s="1">
        <v>1</v>
      </c>
      <c r="C17" s="1">
        <v>1</v>
      </c>
      <c r="K17" s="27"/>
      <c r="L17" s="8">
        <v>542</v>
      </c>
      <c r="M17" s="8">
        <v>1</v>
      </c>
      <c r="N17" s="8">
        <v>1.1000000000000001</v>
      </c>
      <c r="O17" s="8">
        <v>955</v>
      </c>
      <c r="P17" s="8">
        <v>964</v>
      </c>
      <c r="Q17" s="8">
        <v>1041</v>
      </c>
      <c r="R17" s="8">
        <v>963</v>
      </c>
    </row>
    <row r="18" spans="1:18" x14ac:dyDescent="0.25">
      <c r="K18" s="27"/>
      <c r="L18" s="8">
        <v>539</v>
      </c>
      <c r="M18" s="8">
        <v>1</v>
      </c>
      <c r="N18" s="8">
        <v>1.1000000000000001</v>
      </c>
      <c r="O18" s="8">
        <v>955</v>
      </c>
      <c r="P18" s="8">
        <v>964</v>
      </c>
      <c r="Q18" s="8">
        <v>1057</v>
      </c>
      <c r="R18" s="8">
        <v>1010</v>
      </c>
    </row>
    <row r="19" spans="1:18" x14ac:dyDescent="0.25">
      <c r="K19" s="27"/>
      <c r="L19" s="8">
        <v>272</v>
      </c>
      <c r="M19" s="8">
        <v>1</v>
      </c>
      <c r="N19" s="8">
        <v>1.1000000000000001</v>
      </c>
      <c r="O19" s="8">
        <v>856</v>
      </c>
      <c r="P19" s="8">
        <v>933</v>
      </c>
      <c r="Q19" s="8">
        <v>955</v>
      </c>
      <c r="R19" s="8">
        <v>964</v>
      </c>
    </row>
    <row r="20" spans="1:18" x14ac:dyDescent="0.25">
      <c r="K20" s="27"/>
      <c r="L20" s="8">
        <v>541</v>
      </c>
      <c r="M20" s="8">
        <v>1</v>
      </c>
      <c r="N20" s="8">
        <v>1.1000000000000001</v>
      </c>
      <c r="O20" s="8">
        <v>955</v>
      </c>
      <c r="P20" s="8">
        <v>964</v>
      </c>
      <c r="Q20" s="8">
        <v>1069</v>
      </c>
      <c r="R20" s="8">
        <v>1041</v>
      </c>
    </row>
    <row r="21" spans="1:18" x14ac:dyDescent="0.25">
      <c r="K21" s="27"/>
      <c r="L21" s="8">
        <v>353</v>
      </c>
      <c r="M21" s="8">
        <v>1</v>
      </c>
      <c r="N21" s="8">
        <v>1</v>
      </c>
      <c r="O21" s="8">
        <v>933</v>
      </c>
      <c r="P21" s="8">
        <v>955</v>
      </c>
      <c r="Q21" s="8">
        <v>955</v>
      </c>
      <c r="R21" s="8">
        <v>964</v>
      </c>
    </row>
    <row r="22" spans="1:18" x14ac:dyDescent="0.25">
      <c r="K22" s="27"/>
      <c r="L22" s="8">
        <v>468</v>
      </c>
      <c r="M22" s="8">
        <v>1</v>
      </c>
      <c r="N22" s="8">
        <v>1</v>
      </c>
      <c r="O22" s="8">
        <v>938</v>
      </c>
      <c r="P22" s="8">
        <v>955</v>
      </c>
      <c r="Q22" s="8">
        <v>955</v>
      </c>
      <c r="R22" s="8">
        <v>964</v>
      </c>
    </row>
    <row r="23" spans="1:18" x14ac:dyDescent="0.25">
      <c r="K23" s="27" t="s">
        <v>104</v>
      </c>
      <c r="L23" s="8">
        <v>638</v>
      </c>
      <c r="M23" s="8"/>
      <c r="N23" s="8"/>
      <c r="O23" s="8">
        <v>999</v>
      </c>
      <c r="P23" s="8">
        <v>896</v>
      </c>
      <c r="Q23" s="8">
        <v>1060</v>
      </c>
      <c r="R23" s="8">
        <v>897</v>
      </c>
    </row>
    <row r="24" spans="1:18" x14ac:dyDescent="0.25">
      <c r="K24" s="27"/>
      <c r="L24" s="8">
        <v>529</v>
      </c>
      <c r="M24" s="8"/>
      <c r="N24" s="8"/>
      <c r="O24" s="8">
        <v>955</v>
      </c>
      <c r="P24" s="8">
        <v>964</v>
      </c>
      <c r="Q24" s="8">
        <v>976</v>
      </c>
      <c r="R24" s="8">
        <v>979</v>
      </c>
    </row>
    <row r="25" spans="1:18" x14ac:dyDescent="0.25">
      <c r="K25" s="27"/>
      <c r="L25" s="8">
        <v>467</v>
      </c>
      <c r="M25" s="8"/>
      <c r="N25" s="8"/>
      <c r="O25" s="8">
        <v>938</v>
      </c>
      <c r="P25" s="8">
        <v>955</v>
      </c>
      <c r="Q25" s="8">
        <v>955</v>
      </c>
      <c r="R25" s="8">
        <v>946</v>
      </c>
    </row>
    <row r="26" spans="1:18" x14ac:dyDescent="0.25">
      <c r="K26" s="27"/>
      <c r="L26" s="8">
        <v>446</v>
      </c>
      <c r="M26" s="8"/>
      <c r="N26" s="8"/>
      <c r="O26" s="8">
        <v>938</v>
      </c>
      <c r="P26" s="8">
        <v>946</v>
      </c>
      <c r="Q26" s="8">
        <v>955</v>
      </c>
      <c r="R26" s="8">
        <v>946</v>
      </c>
    </row>
    <row r="27" spans="1:18" x14ac:dyDescent="0.25">
      <c r="K27" s="27"/>
      <c r="L27" s="8">
        <v>444</v>
      </c>
      <c r="M27" s="8"/>
      <c r="N27" s="8"/>
      <c r="O27" s="8">
        <v>938</v>
      </c>
      <c r="P27" s="8">
        <v>946</v>
      </c>
      <c r="Q27" s="8">
        <v>938</v>
      </c>
      <c r="R27" s="8">
        <v>955</v>
      </c>
    </row>
    <row r="28" spans="1:18" x14ac:dyDescent="0.25">
      <c r="K28" s="27"/>
      <c r="L28" s="8">
        <v>377</v>
      </c>
      <c r="M28" s="8"/>
      <c r="N28" s="8"/>
      <c r="O28" s="8">
        <v>933</v>
      </c>
      <c r="P28" s="8">
        <v>959</v>
      </c>
      <c r="Q28" s="8">
        <v>955</v>
      </c>
      <c r="R28" s="8">
        <v>946</v>
      </c>
    </row>
    <row r="29" spans="1:18" x14ac:dyDescent="0.25">
      <c r="K29" s="27"/>
      <c r="L29" s="8">
        <v>375</v>
      </c>
      <c r="M29" s="8"/>
      <c r="N29" s="8"/>
      <c r="O29" s="8">
        <v>933</v>
      </c>
      <c r="P29" s="8">
        <v>959</v>
      </c>
      <c r="Q29" s="8">
        <v>938</v>
      </c>
      <c r="R29" s="8">
        <v>955</v>
      </c>
    </row>
    <row r="30" spans="1:18" x14ac:dyDescent="0.25">
      <c r="K30" s="27"/>
      <c r="L30" s="8">
        <v>326</v>
      </c>
      <c r="M30" s="8"/>
      <c r="N30" s="8"/>
      <c r="O30" s="8">
        <v>933</v>
      </c>
      <c r="P30" s="8">
        <v>895</v>
      </c>
      <c r="Q30" s="8">
        <v>955</v>
      </c>
      <c r="R30" s="8">
        <v>946</v>
      </c>
    </row>
    <row r="31" spans="1:18" x14ac:dyDescent="0.25">
      <c r="K31" s="27"/>
      <c r="L31" s="8">
        <v>324</v>
      </c>
      <c r="M31" s="8"/>
      <c r="N31" s="8"/>
      <c r="O31" s="8">
        <v>933</v>
      </c>
      <c r="P31" s="8">
        <v>895</v>
      </c>
      <c r="Q31" s="8">
        <v>933</v>
      </c>
      <c r="R31" s="8">
        <v>959</v>
      </c>
    </row>
    <row r="32" spans="1:18" x14ac:dyDescent="0.25">
      <c r="K32" s="27"/>
      <c r="L32" s="8">
        <v>320</v>
      </c>
      <c r="M32" s="8"/>
      <c r="N32" s="8"/>
      <c r="O32" s="8">
        <v>933</v>
      </c>
      <c r="P32" s="8">
        <v>895</v>
      </c>
      <c r="Q32" s="8">
        <v>933</v>
      </c>
      <c r="R32" s="8">
        <v>959</v>
      </c>
    </row>
    <row r="33" spans="11:11" x14ac:dyDescent="0.25">
      <c r="K33" s="6"/>
    </row>
    <row r="34" spans="11:11" x14ac:dyDescent="0.25">
      <c r="K34" s="6"/>
    </row>
    <row r="35" spans="11:11" x14ac:dyDescent="0.25">
      <c r="K35" s="6"/>
    </row>
    <row r="36" spans="11:11" x14ac:dyDescent="0.25">
      <c r="K36" s="6"/>
    </row>
    <row r="37" spans="11:11" x14ac:dyDescent="0.25">
      <c r="K37" s="6"/>
    </row>
    <row r="38" spans="11:11" x14ac:dyDescent="0.25">
      <c r="K38" s="6"/>
    </row>
    <row r="39" spans="11:11" x14ac:dyDescent="0.25">
      <c r="K39" s="6"/>
    </row>
    <row r="40" spans="11:11" x14ac:dyDescent="0.25">
      <c r="K40" s="6"/>
    </row>
    <row r="41" spans="11:11" x14ac:dyDescent="0.25">
      <c r="K41" s="6"/>
    </row>
    <row r="42" spans="11:11" x14ac:dyDescent="0.25">
      <c r="K42" s="6"/>
    </row>
    <row r="43" spans="11:11" x14ac:dyDescent="0.25">
      <c r="K43" s="6"/>
    </row>
  </sheetData>
  <mergeCells count="3">
    <mergeCell ref="D2:D6"/>
    <mergeCell ref="K2:K22"/>
    <mergeCell ref="K23:K3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L14"/>
  <sheetViews>
    <sheetView tabSelected="1" workbookViewId="0">
      <selection activeCell="M10" sqref="M10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9" bestFit="1" customWidth="1"/>
    <col min="4" max="4" width="14.7109375" bestFit="1" customWidth="1"/>
    <col min="5" max="5" width="10.42578125" bestFit="1" customWidth="1"/>
    <col min="6" max="6" width="15.85546875" bestFit="1" customWidth="1"/>
    <col min="7" max="7" width="15.5703125" bestFit="1" customWidth="1"/>
    <col min="8" max="9" width="10.28515625" bestFit="1" customWidth="1"/>
    <col min="10" max="10" width="15.5703125" bestFit="1" customWidth="1"/>
    <col min="11" max="11" width="10.5703125" bestFit="1" customWidth="1"/>
  </cols>
  <sheetData>
    <row r="1" spans="1:12" x14ac:dyDescent="0.25">
      <c r="A1" s="12" t="s">
        <v>38</v>
      </c>
      <c r="B1" s="14" t="s">
        <v>94</v>
      </c>
      <c r="C1" s="15" t="s">
        <v>93</v>
      </c>
      <c r="D1" s="15" t="s">
        <v>81</v>
      </c>
      <c r="E1" s="15" t="s">
        <v>92</v>
      </c>
      <c r="F1" s="15" t="s">
        <v>80</v>
      </c>
      <c r="G1" s="15" t="s">
        <v>79</v>
      </c>
      <c r="H1" s="15" t="s">
        <v>87</v>
      </c>
      <c r="I1" s="15" t="s">
        <v>99</v>
      </c>
      <c r="J1" s="16" t="s">
        <v>105</v>
      </c>
    </row>
    <row r="2" spans="1:12" x14ac:dyDescent="0.25">
      <c r="A2" s="28" t="s">
        <v>98</v>
      </c>
      <c r="B2" s="17">
        <v>5</v>
      </c>
      <c r="C2" s="8">
        <v>896</v>
      </c>
      <c r="D2" s="8" t="str">
        <f>IFERROR(VLOOKUP(Tabela6[[#This Row],[De1]],Tabela5[[Barra DE]:[Nome DE]],2,0),VLOOKUP(Tabela6[[#This Row],[De1]],Tabela5[[Barra PARA]:[Nome PARA]],2,0))</f>
        <v>CASCOE-PR525</v>
      </c>
      <c r="E2" s="8">
        <v>897</v>
      </c>
      <c r="F2" s="8" t="str">
        <f>IFERROR(VLOOKUP(Tabela6[[#This Row],[Para1]],Tabela5[[Barra DE]:[Nome DE]],2,0),VLOOKUP(Tabela6[[#This Row],[Para1]],Tabela5[[Barra PARA]:[Nome PARA]],2,0))</f>
        <v>SCAXIA-PR525</v>
      </c>
      <c r="G2" s="8">
        <v>8.5</v>
      </c>
      <c r="H2" s="11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3.0980999999999999E-4</v>
      </c>
      <c r="I2" s="11">
        <f>1-Tabela6[[#This Row],[Q]]</f>
        <v>0.99969019000000003</v>
      </c>
      <c r="J2" s="18">
        <f>Tabela6[[#This Row],[P]]+Tabela6[[#This Row],[Q]]</f>
        <v>1</v>
      </c>
      <c r="L2" t="str">
        <f>Tabela6[[#This Row],[De1]]&amp;"-"&amp;Tabela6[[#This Row],[Para1]]</f>
        <v>896-897</v>
      </c>
    </row>
    <row r="3" spans="1:12" x14ac:dyDescent="0.25">
      <c r="A3" s="28"/>
      <c r="B3" s="17">
        <v>13</v>
      </c>
      <c r="C3" s="8">
        <v>938</v>
      </c>
      <c r="D3" s="8" t="str">
        <f>IFERROR(VLOOKUP(Tabela6[[#This Row],[De1]],Tabela5[[Barra DE]:[Nome DE]],2,0),VLOOKUP(Tabela6[[#This Row],[De1]],Tabela5[[Barra PARA]:[Nome PARA]],2,0))</f>
        <v>BLUMEN-SC525</v>
      </c>
      <c r="E3" s="8">
        <v>959</v>
      </c>
      <c r="F3" s="8" t="str">
        <f>IFERROR(VLOOKUP(Tabela6[[#This Row],[Para1]],Tabela5[[Barra DE]:[Nome DE]],2,0),VLOOKUP(Tabela6[[#This Row],[Para1]],Tabela5[[Barra PARA]:[Nome PARA]],2,0))</f>
        <v>CURITI-PR525</v>
      </c>
      <c r="G3" s="8">
        <v>4.4000000000000004</v>
      </c>
      <c r="H3" s="11">
        <f t="array" ref="H3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6.7836999999999997E-4</v>
      </c>
      <c r="I3" s="11">
        <f>1-Tabela6[[#This Row],[Q]]</f>
        <v>0.99932162999999996</v>
      </c>
      <c r="J3" s="18">
        <f>Tabela6[[#This Row],[P]]+Tabela6[[#This Row],[Q]]</f>
        <v>1</v>
      </c>
      <c r="L3" t="str">
        <f>Tabela6[[#This Row],[De1]]&amp;"-"&amp;Tabela6[[#This Row],[Para1]]</f>
        <v>938-959</v>
      </c>
    </row>
    <row r="4" spans="1:12" x14ac:dyDescent="0.25">
      <c r="A4" s="28"/>
      <c r="B4" s="17">
        <v>24</v>
      </c>
      <c r="C4" s="8">
        <v>995</v>
      </c>
      <c r="D4" s="8" t="str">
        <f>IFERROR(VLOOKUP(Tabela6[[#This Row],[De1]],Tabela5[[Barra DE]:[Nome DE]],2,0),VLOOKUP(Tabela6[[#This Row],[De1]],Tabela5[[Barra PARA]:[Nome PARA]],2,0))</f>
        <v>ITA-----0425</v>
      </c>
      <c r="E4" s="8">
        <v>979</v>
      </c>
      <c r="F4" s="8" t="str">
        <f>IFERROR(VLOOKUP(Tabela6[[#This Row],[Para1]],Tabela5[[Barra DE]:[Nome DE]],2,0),VLOOKUP(Tabela6[[#This Row],[Para1]],Tabela5[[Barra PARA]:[Nome PARA]],2,0))</f>
        <v>NSRITA-RS525</v>
      </c>
      <c r="G4" s="8">
        <v>3</v>
      </c>
      <c r="H4" s="11">
        <f t="array" ref="H4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1.5422000000000001E-3</v>
      </c>
      <c r="I4" s="11">
        <f>1-Tabela6[[#This Row],[Q]]</f>
        <v>0.99845779999999995</v>
      </c>
      <c r="J4" s="18">
        <f>Tabela6[[#This Row],[P]]+Tabela6[[#This Row],[Q]]</f>
        <v>1</v>
      </c>
      <c r="L4" t="str">
        <f>Tabela6[[#This Row],[De1]]&amp;"-"&amp;Tabela6[[#This Row],[Para1]]</f>
        <v>995-979</v>
      </c>
    </row>
    <row r="5" spans="1:12" x14ac:dyDescent="0.25">
      <c r="A5" s="28"/>
      <c r="B5" s="17">
        <v>20</v>
      </c>
      <c r="C5" s="8">
        <v>964</v>
      </c>
      <c r="D5" s="8" t="str">
        <f>IFERROR(VLOOKUP(Tabela6[[#This Row],[De1]],Tabela5[[Barra DE]:[Nome DE]],2,0),VLOOKUP(Tabela6[[#This Row],[De1]],Tabela5[[Barra PARA]:[Nome PARA]],2,0))</f>
        <v>CAXIAS-RS525</v>
      </c>
      <c r="E5" s="8">
        <v>976</v>
      </c>
      <c r="F5" s="8" t="str">
        <f>IFERROR(VLOOKUP(Tabela6[[#This Row],[Para1]],Tabela5[[Barra DE]:[Nome DE]],2,0),VLOOKUP(Tabela6[[#This Row],[Para1]],Tabela5[[Barra PARA]:[Nome PARA]],2,0))</f>
        <v>GRAVAT-RS525</v>
      </c>
      <c r="G5" s="8">
        <v>1.4</v>
      </c>
      <c r="H5" s="11">
        <f t="array" ref="H5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3.8747E-4</v>
      </c>
      <c r="I5" s="11">
        <f>1-Tabela6[[#This Row],[Q]]</f>
        <v>0.99961253000000005</v>
      </c>
      <c r="J5" s="18">
        <f>Tabela6[[#This Row],[P]]+Tabela6[[#This Row],[Q]]</f>
        <v>1</v>
      </c>
      <c r="L5" t="str">
        <f>Tabela6[[#This Row],[De1]]&amp;"-"&amp;Tabela6[[#This Row],[Para1]]</f>
        <v>964-976</v>
      </c>
    </row>
    <row r="6" spans="1:12" x14ac:dyDescent="0.25">
      <c r="A6" s="28"/>
      <c r="B6" s="17">
        <v>23</v>
      </c>
      <c r="C6" s="8">
        <v>995</v>
      </c>
      <c r="D6" s="7" t="str">
        <f>IFERROR(VLOOKUP(Tabela6[[#This Row],[De1]],Tabela5[[Barra DE]:[Nome DE]],2,0),VLOOKUP(Tabela6[[#This Row],[De1]],Tabela5[[Barra PARA]:[Nome PARA]],2,0))</f>
        <v>ITA-----0425</v>
      </c>
      <c r="E6" s="8">
        <v>964</v>
      </c>
      <c r="F6" s="7" t="str">
        <f>IFERROR(VLOOKUP(Tabela6[[#This Row],[Para1]],Tabela5[[Barra DE]:[Nome DE]],2,0),VLOOKUP(Tabela6[[#This Row],[Para1]],Tabela5[[Barra PARA]:[Nome PARA]],2,0))</f>
        <v>CAXIAS-RS525</v>
      </c>
      <c r="G6" s="8">
        <v>1.1000000000000001</v>
      </c>
      <c r="H6" s="11">
        <f t="array" ref="H6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1.2528000000000001E-3</v>
      </c>
      <c r="I6" s="11">
        <f>1-Tabela6[[#This Row],[Q]]</f>
        <v>0.99874719999999995</v>
      </c>
      <c r="J6" s="18">
        <f>Tabela6[[#This Row],[P]]+Tabela6[[#This Row],[Q]]</f>
        <v>1</v>
      </c>
      <c r="L6" t="str">
        <f>Tabela6[[#This Row],[De1]]&amp;"-"&amp;Tabela6[[#This Row],[Para1]]</f>
        <v>995-964</v>
      </c>
    </row>
    <row r="7" spans="1:12" x14ac:dyDescent="0.25">
      <c r="A7" s="13" t="s">
        <v>106</v>
      </c>
      <c r="B7" s="17">
        <v>17</v>
      </c>
      <c r="C7" s="8">
        <v>955</v>
      </c>
      <c r="D7" s="8" t="str">
        <f>IFERROR(VLOOKUP(Tabela6[[#This Row],[De1]],Tabela5[[Barra DE]:[Nome DE]],2,0),VLOOKUP(Tabela6[[#This Row],[De1]],Tabela5[[Barra PARA]:[Nome PARA]],2,0))</f>
        <v>CNOVOS-SC525</v>
      </c>
      <c r="E7" s="8">
        <v>979</v>
      </c>
      <c r="F7" s="8" t="str">
        <f>IFERROR(VLOOKUP(Tabela6[[#This Row],[Para1]],Tabela5[[Barra DE]:[Nome DE]],2,0),VLOOKUP(Tabela6[[#This Row],[Para1]],Tabela5[[Barra PARA]:[Nome PARA]],2,0))</f>
        <v>NSRITA-RS525</v>
      </c>
      <c r="G7" s="8"/>
      <c r="H7" s="11">
        <f t="array" ref="H7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1.2646000000000001E-3</v>
      </c>
      <c r="I7" s="11">
        <f>1-Tabela6[[#This Row],[Q]]</f>
        <v>0.99873540000000005</v>
      </c>
      <c r="J7" s="18">
        <f>Tabela6[[#This Row],[P]]+Tabela6[[#This Row],[Q]]</f>
        <v>1</v>
      </c>
      <c r="L7" t="str">
        <f>Tabela6[[#This Row],[De1]]&amp;"-"&amp;Tabela6[[#This Row],[Para1]]</f>
        <v>955-979</v>
      </c>
    </row>
    <row r="8" spans="1:12" x14ac:dyDescent="0.25">
      <c r="B8" s="19"/>
      <c r="C8" s="20"/>
      <c r="D8" s="20"/>
      <c r="E8" s="20"/>
      <c r="F8" s="20"/>
      <c r="G8" s="20"/>
      <c r="H8" s="21">
        <f>1-Tabela6[[#Totals],[P]]</f>
        <v>5.4236181757127966E-3</v>
      </c>
      <c r="I8" s="21">
        <f>PRODUCT(Tabela6[P])</f>
        <v>0.9945763818242872</v>
      </c>
      <c r="J8" s="22">
        <f>Tabela6[[#Totals],[P]]+Tabela6[[#Totals],[Q]]</f>
        <v>1</v>
      </c>
    </row>
    <row r="10" spans="1:12" x14ac:dyDescent="0.25">
      <c r="H10" s="24" t="s">
        <v>107</v>
      </c>
      <c r="I10" s="24">
        <f>PRODUCT(Tabela6[P],Tabela14[P Eq])</f>
        <v>0.9945472624124081</v>
      </c>
      <c r="J10" s="25">
        <f>I10</f>
        <v>0.9945472624124081</v>
      </c>
    </row>
    <row r="11" spans="1:12" x14ac:dyDescent="0.25">
      <c r="H11" s="24" t="s">
        <v>108</v>
      </c>
      <c r="I11" s="24">
        <f>1-I10</f>
        <v>5.4527375875919049E-3</v>
      </c>
      <c r="J11" s="25">
        <f>I11</f>
        <v>5.4527375875919049E-3</v>
      </c>
    </row>
    <row r="12" spans="1:12" x14ac:dyDescent="0.25">
      <c r="L12" s="4"/>
    </row>
    <row r="13" spans="1:12" x14ac:dyDescent="0.25">
      <c r="L13" s="4"/>
    </row>
    <row r="14" spans="1:12" x14ac:dyDescent="0.25">
      <c r="K14" s="3"/>
    </row>
  </sheetData>
  <mergeCells count="1">
    <mergeCell ref="A2:A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P33"/>
  <sheetViews>
    <sheetView workbookViewId="0">
      <selection activeCell="J23" sqref="J23"/>
    </sheetView>
  </sheetViews>
  <sheetFormatPr defaultColWidth="9" defaultRowHeight="15" x14ac:dyDescent="0.25"/>
  <cols>
    <col min="1" max="1" width="11.7109375" style="1" bestFit="1" customWidth="1"/>
    <col min="2" max="2" width="17.140625" style="1" bestFit="1" customWidth="1"/>
    <col min="3" max="3" width="9" style="1" bestFit="1" customWidth="1"/>
    <col min="4" max="4" width="15.28515625" style="1" bestFit="1" customWidth="1"/>
    <col min="5" max="5" width="10.42578125" style="1" bestFit="1" customWidth="1"/>
    <col min="6" max="6" width="16.85546875" style="1" bestFit="1" customWidth="1"/>
    <col min="7" max="7" width="15.5703125" style="1" bestFit="1" customWidth="1"/>
    <col min="8" max="8" width="11" style="1" bestFit="1" customWidth="1"/>
    <col min="9" max="9" width="9" style="1" bestFit="1" customWidth="1"/>
    <col min="10" max="10" width="15.28515625" style="1" bestFit="1" customWidth="1"/>
    <col min="11" max="11" width="10.42578125" style="1" bestFit="1" customWidth="1"/>
    <col min="12" max="12" width="16.85546875" style="1" bestFit="1" customWidth="1"/>
    <col min="13" max="13" width="11" style="1" bestFit="1" customWidth="1"/>
    <col min="14" max="14" width="15.42578125" style="1" bestFit="1" customWidth="1"/>
    <col min="15" max="15" width="14.42578125" style="5" bestFit="1" customWidth="1"/>
    <col min="16" max="16" width="15.5703125" style="1" bestFit="1" customWidth="1"/>
    <col min="17" max="16384" width="9" style="1"/>
  </cols>
  <sheetData>
    <row r="1" spans="1:16" x14ac:dyDescent="0.25">
      <c r="A1" s="7" t="s">
        <v>38</v>
      </c>
      <c r="B1" s="8" t="s">
        <v>94</v>
      </c>
      <c r="C1" s="8" t="s">
        <v>93</v>
      </c>
      <c r="D1" s="8" t="s">
        <v>90</v>
      </c>
      <c r="E1" s="8" t="s">
        <v>92</v>
      </c>
      <c r="F1" s="8" t="s">
        <v>91</v>
      </c>
      <c r="G1" s="8" t="s">
        <v>79</v>
      </c>
      <c r="H1" s="8" t="s">
        <v>89</v>
      </c>
      <c r="I1" s="8" t="s">
        <v>96</v>
      </c>
      <c r="J1" s="8" t="s">
        <v>100</v>
      </c>
      <c r="K1" s="8" t="s">
        <v>97</v>
      </c>
      <c r="L1" s="8" t="s">
        <v>101</v>
      </c>
      <c r="M1" s="8" t="s">
        <v>88</v>
      </c>
      <c r="N1" s="8" t="s">
        <v>102</v>
      </c>
      <c r="O1" s="8" t="s">
        <v>103</v>
      </c>
      <c r="P1" s="9" t="s">
        <v>105</v>
      </c>
    </row>
    <row r="2" spans="1:16" x14ac:dyDescent="0.25">
      <c r="A2" s="29" t="s">
        <v>98</v>
      </c>
      <c r="B2" s="8">
        <v>509</v>
      </c>
      <c r="C2" s="8">
        <v>955</v>
      </c>
      <c r="D2" s="7" t="str">
        <f>IFERROR(VLOOKUP(Tabela14[[#This Row],[De1]],Tabela5[[Barra DE]:[Nome DE]],2,0),VLOOKUP(Tabela14[[#This Row],[De1]],Tabela5[[Barra PARA]:[Nome PARA]],2,0))</f>
        <v>CNOVOS-SC525</v>
      </c>
      <c r="E2" s="8">
        <v>946</v>
      </c>
      <c r="F2" s="7" t="str">
        <f>IFERROR(VLOOKUP(Tabela14[[#This Row],[Para1]],Tabela5[[Barra DE]:[Nome DE]],2,0),VLOOKUP(Tabela14[[#This Row],[Para1]],Tabela5[[Barra PARA]:[Nome PARA]],2,0))</f>
        <v>BIGUAC-SC525</v>
      </c>
      <c r="G2" s="8">
        <v>9.6</v>
      </c>
      <c r="H2" s="7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2" s="8">
        <v>960</v>
      </c>
      <c r="J2" s="7" t="str">
        <f>IFERROR(VLOOKUP(Tabela14[[#This Row],[De2]],Tabela5[[Barra DE]:[Nome DE]],2,0),VLOOKUP(Tabela14[[#This Row],[De2]],Tabela5[[Barra PARA]:[Nome PARA]],2,0))</f>
        <v>CURITI-PR230</v>
      </c>
      <c r="K2" s="8">
        <v>1015</v>
      </c>
      <c r="L2" s="7" t="str">
        <f>IFERROR(VLOOKUP(Tabela14[[#This Row],[Para2]],Tabela5[[Barra DE]:[Nome DE]],2,0),VLOOKUP(Tabela14[[#This Row],[Para2]],Tabela5[[Barra PARA]:[Nome PARA]],2,0))</f>
        <v>JOINOR-SC230</v>
      </c>
      <c r="M2" s="7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2" s="7">
        <f>(Tabela14[[#This Row],[Q2]]*Tabela14[[#This Row],[Q1]])</f>
        <v>1.3305622500000001E-6</v>
      </c>
      <c r="O2" s="10">
        <f>1-Tabela14[[#This Row],[Q Eq]]</f>
        <v>0.99999866943774995</v>
      </c>
      <c r="P2" s="10">
        <f>Tabela14[[#This Row],[Q Eq]]+Tabela14[[#This Row],[P Eq]]</f>
        <v>1</v>
      </c>
    </row>
    <row r="3" spans="1:16" x14ac:dyDescent="0.25">
      <c r="A3" s="29"/>
      <c r="B3" s="8">
        <v>517</v>
      </c>
      <c r="C3" s="8">
        <v>955</v>
      </c>
      <c r="D3" s="7" t="str">
        <f>IFERROR(VLOOKUP(Tabela14[[#This Row],[De1]],Tabela5[[Barra DE]:[Nome DE]],2,0),VLOOKUP(Tabela14[[#This Row],[De1]],Tabela5[[Barra PARA]:[Nome PARA]],2,0))</f>
        <v>CNOVOS-SC525</v>
      </c>
      <c r="E3" s="8">
        <v>946</v>
      </c>
      <c r="F3" s="7" t="str">
        <f>IFERROR(VLOOKUP(Tabela14[[#This Row],[Para1]],Tabela5[[Barra DE]:[Nome DE]],2,0),VLOOKUP(Tabela14[[#This Row],[Para1]],Tabela5[[Barra PARA]:[Nome PARA]],2,0))</f>
        <v>BIGUAC-SC525</v>
      </c>
      <c r="G3" s="8">
        <v>5.5</v>
      </c>
      <c r="H3" s="7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3" s="8">
        <v>1010</v>
      </c>
      <c r="J3" s="7" t="str">
        <f>IFERROR(VLOOKUP(Tabela14[[#This Row],[De2]],Tabela5[[Barra DE]:[Nome DE]],2,0),VLOOKUP(Tabela14[[#This Row],[De2]],Tabela5[[Barra PARA]:[Nome PARA]],2,0))</f>
        <v>JLAC-B-SC230</v>
      </c>
      <c r="K3" s="8">
        <v>947</v>
      </c>
      <c r="L3" s="7" t="str">
        <f>IFERROR(VLOOKUP(Tabela14[[#This Row],[Para2]],Tabela5[[Barra DE]:[Nome DE]],2,0),VLOOKUP(Tabela14[[#This Row],[Para2]],Tabela5[[Barra PARA]:[Nome PARA]],2,0))</f>
        <v>BIGUAC-SC230</v>
      </c>
      <c r="M3" s="7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3" s="7">
        <f>(Tabela14[[#This Row],[Q2]]*Tabela14[[#This Row],[Q1]])</f>
        <v>1.3305622500000001E-6</v>
      </c>
      <c r="O3" s="10">
        <f>1-Tabela14[[#This Row],[Q Eq]]</f>
        <v>0.99999866943774995</v>
      </c>
      <c r="P3" s="10">
        <f>Tabela14[[#This Row],[Q Eq]]+Tabela14[[#This Row],[P Eq]]</f>
        <v>1</v>
      </c>
    </row>
    <row r="4" spans="1:16" x14ac:dyDescent="0.25">
      <c r="A4" s="30"/>
      <c r="B4" s="8">
        <v>508</v>
      </c>
      <c r="C4" s="8">
        <v>955</v>
      </c>
      <c r="D4" s="7" t="str">
        <f>IFERROR(VLOOKUP(Tabela14[[#This Row],[De1]],Tabela5[[Barra DE]:[Nome DE]],2,0),VLOOKUP(Tabela14[[#This Row],[De1]],Tabela5[[Barra PARA]:[Nome PARA]],2,0))</f>
        <v>CNOVOS-SC525</v>
      </c>
      <c r="E4" s="8">
        <v>946</v>
      </c>
      <c r="F4" s="7" t="str">
        <f>IFERROR(VLOOKUP(Tabela14[[#This Row],[Para1]],Tabela5[[Barra DE]:[Nome DE]],2,0),VLOOKUP(Tabela14[[#This Row],[Para1]],Tabela5[[Barra PARA]:[Nome PARA]],2,0))</f>
        <v>BIGUAC-SC525</v>
      </c>
      <c r="G4" s="8">
        <v>5.2</v>
      </c>
      <c r="H4" s="7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4" s="8">
        <v>959</v>
      </c>
      <c r="J4" s="7" t="str">
        <f>IFERROR(VLOOKUP(Tabela14[[#This Row],[De2]],Tabela5[[Barra DE]:[Nome DE]],2,0),VLOOKUP(Tabela14[[#This Row],[De2]],Tabela5[[Barra PARA]:[Nome PARA]],2,0))</f>
        <v>CURITI-PR525</v>
      </c>
      <c r="K4" s="8">
        <v>895</v>
      </c>
      <c r="L4" s="7" t="str">
        <f>IFERROR(VLOOKUP(Tabela14[[#This Row],[Para2]],Tabela5[[Barra DE]:[Nome DE]],2,0),VLOOKUP(Tabela14[[#This Row],[Para2]],Tabela5[[Barra PARA]:[Nome PARA]],2,0))</f>
        <v>BATEIA-PR525</v>
      </c>
      <c r="M4" s="7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4" s="7">
        <f>(Tabela14[[#This Row],[Q2]]*Tabela14[[#This Row],[Q1]])</f>
        <v>1.3305622500000001E-6</v>
      </c>
      <c r="O4" s="10">
        <f>1-Tabela14[[#This Row],[Q Eq]]</f>
        <v>0.99999866943774995</v>
      </c>
      <c r="P4" s="10">
        <f>Tabela14[[#This Row],[Q Eq]]+Tabela14[[#This Row],[P Eq]]</f>
        <v>1</v>
      </c>
    </row>
    <row r="5" spans="1:16" x14ac:dyDescent="0.25">
      <c r="A5" s="30"/>
      <c r="B5" s="8">
        <v>352</v>
      </c>
      <c r="C5" s="8">
        <v>933</v>
      </c>
      <c r="D5" s="7" t="str">
        <f>IFERROR(VLOOKUP(Tabela14[[#This Row],[De1]],Tabela5[[Barra DE]:[Nome DE]],2,0),VLOOKUP(Tabela14[[#This Row],[De1]],Tabela5[[Barra PARA]:[Nome PARA]],2,0))</f>
        <v>AREIA--PR525</v>
      </c>
      <c r="E5" s="8">
        <v>955</v>
      </c>
      <c r="F5" s="7" t="str">
        <f>IFERROR(VLOOKUP(Tabela14[[#This Row],[Para1]],Tabela5[[Barra DE]:[Nome DE]],2,0),VLOOKUP(Tabela14[[#This Row],[Para1]],Tabela5[[Barra PARA]:[Nome PARA]],2,0))</f>
        <v>CNOVOS-SC525</v>
      </c>
      <c r="G5" s="8">
        <v>4.0999999999999996</v>
      </c>
      <c r="H5" s="7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5" s="8">
        <v>955</v>
      </c>
      <c r="J5" s="7" t="str">
        <f>IFERROR(VLOOKUP(Tabela14[[#This Row],[De2]],Tabela5[[Barra DE]:[Nome DE]],2,0),VLOOKUP(Tabela14[[#This Row],[De2]],Tabela5[[Barra PARA]:[Nome PARA]],2,0))</f>
        <v>CNOVOS-SC525</v>
      </c>
      <c r="K5" s="8">
        <v>946</v>
      </c>
      <c r="L5" s="7" t="str">
        <f>IFERROR(VLOOKUP(Tabela14[[#This Row],[Para2]],Tabela5[[Barra DE]:[Nome DE]],2,0),VLOOKUP(Tabela14[[#This Row],[Para2]],Tabela5[[Barra PARA]:[Nome PARA]],2,0))</f>
        <v>BIGUAC-SC525</v>
      </c>
      <c r="M5" s="7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5" s="7">
        <f>(Tabela14[[#This Row],[Q2]]*Tabela14[[#This Row],[Q1]])</f>
        <v>7.5078759039999993E-7</v>
      </c>
      <c r="O5" s="10">
        <f>1-Tabela14[[#This Row],[Q Eq]]</f>
        <v>0.99999924921240957</v>
      </c>
      <c r="P5" s="10">
        <f>Tabela14[[#This Row],[Q Eq]]+Tabela14[[#This Row],[P Eq]]</f>
        <v>1</v>
      </c>
    </row>
    <row r="6" spans="1:16" x14ac:dyDescent="0.25">
      <c r="A6" s="30"/>
      <c r="B6" s="8">
        <v>349</v>
      </c>
      <c r="C6" s="8">
        <v>933</v>
      </c>
      <c r="D6" s="7" t="str">
        <f>IFERROR(VLOOKUP(Tabela14[[#This Row],[De1]],Tabela5[[Barra DE]:[Nome DE]],2,0),VLOOKUP(Tabela14[[#This Row],[De1]],Tabela5[[Barra PARA]:[Nome PARA]],2,0))</f>
        <v>AREIA--PR525</v>
      </c>
      <c r="E6" s="8">
        <v>955</v>
      </c>
      <c r="F6" s="7" t="str">
        <f>IFERROR(VLOOKUP(Tabela14[[#This Row],[Para1]],Tabela5[[Barra DE]:[Nome DE]],2,0),VLOOKUP(Tabela14[[#This Row],[Para1]],Tabela5[[Barra PARA]:[Nome PARA]],2,0))</f>
        <v>CNOVOS-SC525</v>
      </c>
      <c r="G6" s="8">
        <v>3.5</v>
      </c>
      <c r="H6" s="7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6" s="8">
        <v>938</v>
      </c>
      <c r="J6" s="7" t="str">
        <f>IFERROR(VLOOKUP(Tabela14[[#This Row],[De2]],Tabela5[[Barra DE]:[Nome DE]],2,0),VLOOKUP(Tabela14[[#This Row],[De2]],Tabela5[[Barra PARA]:[Nome PARA]],2,0))</f>
        <v>BLUMEN-SC525</v>
      </c>
      <c r="K6" s="8">
        <v>946</v>
      </c>
      <c r="L6" s="7" t="str">
        <f>IFERROR(VLOOKUP(Tabela14[[#This Row],[Para2]],Tabela5[[Barra DE]:[Nome DE]],2,0),VLOOKUP(Tabela14[[#This Row],[Para2]],Tabela5[[Barra PARA]:[Nome PARA]],2,0))</f>
        <v>BIGUAC-SC525</v>
      </c>
      <c r="M6" s="7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6" s="7">
        <f>(Tabela14[[#This Row],[Q2]]*Tabela14[[#This Row],[Q1]])</f>
        <v>7.5078759039999993E-7</v>
      </c>
      <c r="O6" s="10">
        <f>1-Tabela14[[#This Row],[Q Eq]]</f>
        <v>0.99999924921240957</v>
      </c>
      <c r="P6" s="10">
        <f>Tabela14[[#This Row],[Q Eq]]+Tabela14[[#This Row],[P Eq]]</f>
        <v>1</v>
      </c>
    </row>
    <row r="7" spans="1:16" x14ac:dyDescent="0.25">
      <c r="A7" s="30"/>
      <c r="B7" s="8">
        <v>487</v>
      </c>
      <c r="C7" s="8">
        <v>947</v>
      </c>
      <c r="D7" s="7" t="str">
        <f>IFERROR(VLOOKUP(Tabela14[[#This Row],[De1]],Tabela5[[Barra DE]:[Nome DE]],2,0),VLOOKUP(Tabela14[[#This Row],[De1]],Tabela5[[Barra PARA]:[Nome PARA]],2,0))</f>
        <v>BIGUAC-SC230</v>
      </c>
      <c r="E7" s="8">
        <v>939</v>
      </c>
      <c r="F7" s="7" t="str">
        <f>IFERROR(VLOOKUP(Tabela14[[#This Row],[Para1]],Tabela5[[Barra DE]:[Nome DE]],2,0),VLOOKUP(Tabela14[[#This Row],[Para1]],Tabela5[[Barra PARA]:[Nome PARA]],2,0))</f>
        <v>BLUMEN-SC230</v>
      </c>
      <c r="G7" s="8">
        <v>3.2</v>
      </c>
      <c r="H7" s="7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I7" s="8">
        <v>955</v>
      </c>
      <c r="J7" s="7" t="str">
        <f>IFERROR(VLOOKUP(Tabela14[[#This Row],[De2]],Tabela5[[Barra DE]:[Nome DE]],2,0),VLOOKUP(Tabela14[[#This Row],[De2]],Tabela5[[Barra PARA]:[Nome PARA]],2,0))</f>
        <v>CNOVOS-SC525</v>
      </c>
      <c r="K7" s="8">
        <v>946</v>
      </c>
      <c r="L7" s="7" t="str">
        <f>IFERROR(VLOOKUP(Tabela14[[#This Row],[Para2]],Tabela5[[Barra DE]:[Nome DE]],2,0),VLOOKUP(Tabela14[[#This Row],[Para2]],Tabela5[[Barra PARA]:[Nome PARA]],2,0))</f>
        <v>BIGUAC-SC525</v>
      </c>
      <c r="M7" s="7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N7" s="7">
        <f>(Tabela14[[#This Row],[Q2]]*Tabela14[[#This Row],[Q1]])</f>
        <v>1.1307078760000001E-7</v>
      </c>
      <c r="O7" s="10">
        <f>1-Tabela14[[#This Row],[Q Eq]]</f>
        <v>0.99999988692921238</v>
      </c>
      <c r="P7" s="10">
        <f>Tabela14[[#This Row],[Q Eq]]+Tabela14[[#This Row],[P Eq]]</f>
        <v>1</v>
      </c>
    </row>
    <row r="8" spans="1:16" x14ac:dyDescent="0.25">
      <c r="A8" s="30"/>
      <c r="B8" s="8">
        <v>528</v>
      </c>
      <c r="C8" s="8">
        <v>955</v>
      </c>
      <c r="D8" s="7" t="str">
        <f>IFERROR(VLOOKUP(Tabela14[[#This Row],[De1]],Tabela5[[Barra DE]:[Nome DE]],2,0),VLOOKUP(Tabela14[[#This Row],[De1]],Tabela5[[Barra PARA]:[Nome PARA]],2,0))</f>
        <v>CNOVOS-SC525</v>
      </c>
      <c r="E8" s="8">
        <v>964</v>
      </c>
      <c r="F8" s="7" t="str">
        <f>IFERROR(VLOOKUP(Tabela14[[#This Row],[Para1]],Tabela5[[Barra DE]:[Nome DE]],2,0),VLOOKUP(Tabela14[[#This Row],[Para1]],Tabela5[[Barra PARA]:[Nome PARA]],2,0))</f>
        <v>CAXIAS-RS525</v>
      </c>
      <c r="G8" s="8">
        <v>3.2</v>
      </c>
      <c r="H8" s="7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8" s="8">
        <v>965</v>
      </c>
      <c r="J8" s="7" t="str">
        <f>IFERROR(VLOOKUP(Tabela14[[#This Row],[De2]],Tabela5[[Barra DE]:[Nome DE]],2,0),VLOOKUP(Tabela14[[#This Row],[De2]],Tabela5[[Barra PARA]:[Nome PARA]],2,0))</f>
        <v>CAXIAS-RS230</v>
      </c>
      <c r="K8" s="8">
        <v>1057</v>
      </c>
      <c r="L8" s="7" t="str">
        <f>IFERROR(VLOOKUP(Tabela14[[#This Row],[Para2]],Tabela5[[Barra DE]:[Nome DE]],2,0),VLOOKUP(Tabela14[[#This Row],[Para2]],Tabela5[[Barra PARA]:[Nome PARA]],2,0))</f>
        <v>SIDERO-SC230</v>
      </c>
      <c r="M8" s="7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8" s="7">
        <f>(Tabela14[[#This Row],[Q2]]*Tabela14[[#This Row],[Q1]])</f>
        <v>9.9810090250000007E-7</v>
      </c>
      <c r="O8" s="10">
        <f>1-Tabela14[[#This Row],[Q Eq]]</f>
        <v>0.99999900189909752</v>
      </c>
      <c r="P8" s="10">
        <f>Tabela14[[#This Row],[Q Eq]]+Tabela14[[#This Row],[P Eq]]</f>
        <v>1</v>
      </c>
    </row>
    <row r="9" spans="1:16" x14ac:dyDescent="0.25">
      <c r="A9" s="30"/>
      <c r="B9" s="8">
        <v>449</v>
      </c>
      <c r="C9" s="8">
        <v>938</v>
      </c>
      <c r="D9" s="7" t="str">
        <f>IFERROR(VLOOKUP(Tabela14[[#This Row],[De1]],Tabela5[[Barra DE]:[Nome DE]],2,0),VLOOKUP(Tabela14[[#This Row],[De1]],Tabela5[[Barra PARA]:[Nome PARA]],2,0))</f>
        <v>BLUMEN-SC525</v>
      </c>
      <c r="E9" s="8">
        <v>946</v>
      </c>
      <c r="F9" s="7" t="str">
        <f>IFERROR(VLOOKUP(Tabela14[[#This Row],[Para1]],Tabela5[[Barra DE]:[Nome DE]],2,0),VLOOKUP(Tabela14[[#This Row],[Para1]],Tabela5[[Barra PARA]:[Nome PARA]],2,0))</f>
        <v>BIGUAC-SC525</v>
      </c>
      <c r="G9" s="8">
        <v>2.6</v>
      </c>
      <c r="H9" s="7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9" s="8">
        <v>960</v>
      </c>
      <c r="J9" s="7" t="str">
        <f>IFERROR(VLOOKUP(Tabela14[[#This Row],[De2]],Tabela5[[Barra DE]:[Nome DE]],2,0),VLOOKUP(Tabela14[[#This Row],[De2]],Tabela5[[Barra PARA]:[Nome PARA]],2,0))</f>
        <v>CURITI-PR230</v>
      </c>
      <c r="K9" s="8">
        <v>1015</v>
      </c>
      <c r="L9" s="7" t="str">
        <f>IFERROR(VLOOKUP(Tabela14[[#This Row],[Para2]],Tabela5[[Barra DE]:[Nome DE]],2,0),VLOOKUP(Tabela14[[#This Row],[Para2]],Tabela5[[Barra PARA]:[Nome PARA]],2,0))</f>
        <v>JOINOR-SC230</v>
      </c>
      <c r="M9" s="7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9" s="7">
        <f>(Tabela14[[#This Row],[Q2]]*Tabela14[[#This Row],[Q1]])</f>
        <v>1.8299572840000001E-7</v>
      </c>
      <c r="O9" s="10">
        <f>1-Tabela14[[#This Row],[Q Eq]]</f>
        <v>0.99999981700427165</v>
      </c>
      <c r="P9" s="10">
        <f>Tabela14[[#This Row],[Q Eq]]+Tabela14[[#This Row],[P Eq]]</f>
        <v>1</v>
      </c>
    </row>
    <row r="10" spans="1:16" x14ac:dyDescent="0.25">
      <c r="A10" s="30"/>
      <c r="B10" s="8">
        <v>470</v>
      </c>
      <c r="C10" s="8">
        <v>938</v>
      </c>
      <c r="D10" s="7" t="str">
        <f>IFERROR(VLOOKUP(Tabela14[[#This Row],[De1]],Tabela5[[Barra DE]:[Nome DE]],2,0),VLOOKUP(Tabela14[[#This Row],[De1]],Tabela5[[Barra PARA]:[Nome PARA]],2,0))</f>
        <v>BLUMEN-SC525</v>
      </c>
      <c r="E10" s="8">
        <v>955</v>
      </c>
      <c r="F10" s="7" t="str">
        <f>IFERROR(VLOOKUP(Tabela14[[#This Row],[Para1]],Tabela5[[Barra DE]:[Nome DE]],2,0),VLOOKUP(Tabela14[[#This Row],[Para1]],Tabela5[[Barra PARA]:[Nome PARA]],2,0))</f>
        <v>CNOVOS-SC525</v>
      </c>
      <c r="G10" s="8">
        <v>2.5</v>
      </c>
      <c r="H10" s="7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0" s="8">
        <v>960</v>
      </c>
      <c r="J10" s="7" t="str">
        <f>IFERROR(VLOOKUP(Tabela14[[#This Row],[De2]],Tabela5[[Barra DE]:[Nome DE]],2,0),VLOOKUP(Tabela14[[#This Row],[De2]],Tabela5[[Barra PARA]:[Nome PARA]],2,0))</f>
        <v>CURITI-PR230</v>
      </c>
      <c r="K10" s="8">
        <v>1015</v>
      </c>
      <c r="L10" s="7" t="str">
        <f>IFERROR(VLOOKUP(Tabela14[[#This Row],[Para2]],Tabela5[[Barra DE]:[Nome DE]],2,0),VLOOKUP(Tabela14[[#This Row],[Para2]],Tabela5[[Barra PARA]:[Nome PARA]],2,0))</f>
        <v>JOINOR-SC230</v>
      </c>
      <c r="M10" s="7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0" s="7">
        <f>(Tabela14[[#This Row],[Q2]]*Tabela14[[#This Row],[Q1]])</f>
        <v>1.5388402500000001E-6</v>
      </c>
      <c r="O10" s="10">
        <f>1-Tabela14[[#This Row],[Q Eq]]</f>
        <v>0.99999846115975</v>
      </c>
      <c r="P10" s="10">
        <f>Tabela14[[#This Row],[Q Eq]]+Tabela14[[#This Row],[P Eq]]</f>
        <v>1</v>
      </c>
    </row>
    <row r="11" spans="1:16" x14ac:dyDescent="0.25">
      <c r="A11" s="30"/>
      <c r="B11" s="8">
        <v>538</v>
      </c>
      <c r="C11" s="8">
        <v>955</v>
      </c>
      <c r="D11" s="7" t="str">
        <f>IFERROR(VLOOKUP(Tabela14[[#This Row],[De1]],Tabela5[[Barra DE]:[Nome DE]],2,0),VLOOKUP(Tabela14[[#This Row],[De1]],Tabela5[[Barra PARA]:[Nome PARA]],2,0))</f>
        <v>CNOVOS-SC525</v>
      </c>
      <c r="E11" s="8">
        <v>964</v>
      </c>
      <c r="F11" s="7" t="str">
        <f>IFERROR(VLOOKUP(Tabela14[[#This Row],[Para1]],Tabela5[[Barra DE]:[Nome DE]],2,0),VLOOKUP(Tabela14[[#This Row],[Para1]],Tabela5[[Barra PARA]:[Nome PARA]],2,0))</f>
        <v>CAXIAS-RS525</v>
      </c>
      <c r="G11" s="8">
        <v>2.4</v>
      </c>
      <c r="H11" s="7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1" s="8">
        <v>1047</v>
      </c>
      <c r="J11" s="7" t="str">
        <f>IFERROR(VLOOKUP(Tabela14[[#This Row],[De2]],Tabela5[[Barra DE]:[Nome DE]],2,0),VLOOKUP(Tabela14[[#This Row],[De2]],Tabela5[[Barra PARA]:[Nome PARA]],2,0))</f>
        <v>SOSORIO-230</v>
      </c>
      <c r="K11" s="8">
        <v>1069</v>
      </c>
      <c r="L11" s="7" t="str">
        <f>IFERROR(VLOOKUP(Tabela14[[#This Row],[Para2]],Tabela5[[Barra DE]:[Nome DE]],2,0),VLOOKUP(Tabela14[[#This Row],[Para2]],Tabela5[[Barra PARA]:[Nome PARA]],2,0))</f>
        <v>XANXER-SC230</v>
      </c>
      <c r="M11" s="7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1" s="7">
        <f>(Tabela14[[#This Row],[Q2]]*Tabela14[[#This Row],[Q1]])</f>
        <v>9.9810090250000007E-7</v>
      </c>
      <c r="O11" s="10">
        <f>1-Tabela14[[#This Row],[Q Eq]]</f>
        <v>0.99999900189909752</v>
      </c>
      <c r="P11" s="10">
        <f>Tabela14[[#This Row],[Q Eq]]+Tabela14[[#This Row],[P Eq]]</f>
        <v>1</v>
      </c>
    </row>
    <row r="12" spans="1:16" x14ac:dyDescent="0.25">
      <c r="A12" s="30"/>
      <c r="B12" s="8">
        <v>507</v>
      </c>
      <c r="C12" s="8">
        <v>955</v>
      </c>
      <c r="D12" s="7" t="str">
        <f>IFERROR(VLOOKUP(Tabela14[[#This Row],[De1]],Tabela5[[Barra DE]:[Nome DE]],2,0),VLOOKUP(Tabela14[[#This Row],[De1]],Tabela5[[Barra PARA]:[Nome PARA]],2,0))</f>
        <v>CNOVOS-SC525</v>
      </c>
      <c r="E12" s="8">
        <v>946</v>
      </c>
      <c r="F12" s="7" t="str">
        <f>IFERROR(VLOOKUP(Tabela14[[#This Row],[Para1]],Tabela5[[Barra DE]:[Nome DE]],2,0),VLOOKUP(Tabela14[[#This Row],[Para1]],Tabela5[[Barra PARA]:[Nome PARA]],2,0))</f>
        <v>BIGUAC-SC525</v>
      </c>
      <c r="G12" s="8">
        <v>2.2000000000000002</v>
      </c>
      <c r="H12" s="7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2" s="8">
        <v>955</v>
      </c>
      <c r="J12" s="7" t="str">
        <f>IFERROR(VLOOKUP(Tabela14[[#This Row],[De2]],Tabela5[[Barra DE]:[Nome DE]],2,0),VLOOKUP(Tabela14[[#This Row],[De2]],Tabela5[[Barra PARA]:[Nome PARA]],2,0))</f>
        <v>CNOVOS-SC525</v>
      </c>
      <c r="K12" s="8">
        <v>964</v>
      </c>
      <c r="L12" s="7" t="str">
        <f>IFERROR(VLOOKUP(Tabela14[[#This Row],[Para2]],Tabela5[[Barra DE]:[Nome DE]],2,0),VLOOKUP(Tabela14[[#This Row],[Para2]],Tabela5[[Barra PARA]:[Nome PARA]],2,0))</f>
        <v>CAXIAS-RS525</v>
      </c>
      <c r="M12" s="7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2" s="7">
        <f>(Tabela14[[#This Row],[Q2]]*Tabela14[[#This Row],[Q1]])</f>
        <v>1.3305622500000001E-6</v>
      </c>
      <c r="O12" s="10">
        <f>1-Tabela14[[#This Row],[Q Eq]]</f>
        <v>0.99999866943774995</v>
      </c>
      <c r="P12" s="10">
        <f>Tabela14[[#This Row],[Q Eq]]+Tabela14[[#This Row],[P Eq]]</f>
        <v>1</v>
      </c>
    </row>
    <row r="13" spans="1:16" x14ac:dyDescent="0.25">
      <c r="A13" s="30"/>
      <c r="B13" s="8">
        <v>297</v>
      </c>
      <c r="C13" s="8">
        <v>856</v>
      </c>
      <c r="D13" s="7" t="str">
        <f>IFERROR(VLOOKUP(Tabela14[[#This Row],[De1]],Tabela5[[Barra DE]:[Nome DE]],2,0),VLOOKUP(Tabela14[[#This Row],[De1]],Tabela5[[Barra PARA]:[Nome PARA]],2,0))</f>
        <v>SEGRED-PR525</v>
      </c>
      <c r="E13" s="8">
        <v>1060</v>
      </c>
      <c r="F13" s="7" t="str">
        <f>IFERROR(VLOOKUP(Tabela14[[#This Row],[Para1]],Tabela5[[Barra DE]:[Nome DE]],2,0),VLOOKUP(Tabela14[[#This Row],[Para1]],Tabela5[[Barra PARA]:[Nome PARA]],2,0))</f>
        <v>SSANTI-PR525</v>
      </c>
      <c r="G13" s="8">
        <v>1.8</v>
      </c>
      <c r="H13" s="7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I13" s="8">
        <v>938</v>
      </c>
      <c r="J13" s="7" t="str">
        <f>IFERROR(VLOOKUP(Tabela14[[#This Row],[De2]],Tabela5[[Barra DE]:[Nome DE]],2,0),VLOOKUP(Tabela14[[#This Row],[De2]],Tabela5[[Barra PARA]:[Nome PARA]],2,0))</f>
        <v>BLUMEN-SC525</v>
      </c>
      <c r="K13" s="8">
        <v>955</v>
      </c>
      <c r="L13" s="7" t="str">
        <f>IFERROR(VLOOKUP(Tabela14[[#This Row],[Para2]],Tabela5[[Barra DE]:[Nome DE]],2,0),VLOOKUP(Tabela14[[#This Row],[Para2]],Tabela5[[Barra PARA]:[Nome PARA]],2,0))</f>
        <v>CNOVOS-SC525</v>
      </c>
      <c r="M13" s="7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N13" s="7">
        <f>(Tabela14[[#This Row],[Q2]]*Tabela14[[#This Row],[Q1]])</f>
        <v>8.8512200100000011E-8</v>
      </c>
      <c r="O13" s="10">
        <f>1-Tabela14[[#This Row],[Q Eq]]</f>
        <v>0.99999991148779988</v>
      </c>
      <c r="P13" s="10">
        <f>Tabela14[[#This Row],[Q Eq]]+Tabela14[[#This Row],[P Eq]]</f>
        <v>1</v>
      </c>
    </row>
    <row r="14" spans="1:16" x14ac:dyDescent="0.25">
      <c r="A14" s="30"/>
      <c r="B14" s="8">
        <v>476</v>
      </c>
      <c r="C14" s="8">
        <v>938</v>
      </c>
      <c r="D14" s="7" t="str">
        <f>IFERROR(VLOOKUP(Tabela14[[#This Row],[De1]],Tabela5[[Barra DE]:[Nome DE]],2,0),VLOOKUP(Tabela14[[#This Row],[De1]],Tabela5[[Barra PARA]:[Nome PARA]],2,0))</f>
        <v>BLUMEN-SC525</v>
      </c>
      <c r="E14" s="8">
        <v>955</v>
      </c>
      <c r="F14" s="7" t="str">
        <f>IFERROR(VLOOKUP(Tabela14[[#This Row],[Para1]],Tabela5[[Barra DE]:[Nome DE]],2,0),VLOOKUP(Tabela14[[#This Row],[Para1]],Tabela5[[Barra PARA]:[Nome PARA]],2,0))</f>
        <v>CNOVOS-SC525</v>
      </c>
      <c r="G14" s="8">
        <v>1.7</v>
      </c>
      <c r="H14" s="7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4" s="8">
        <v>999</v>
      </c>
      <c r="J14" s="7" t="str">
        <f>IFERROR(VLOOKUP(Tabela14[[#This Row],[De2]],Tabela5[[Barra DE]:[Nome DE]],2,0),VLOOKUP(Tabela14[[#This Row],[De2]],Tabela5[[Barra PARA]:[Nome PARA]],2,0))</f>
        <v>IVAIPE-PR525</v>
      </c>
      <c r="K14" s="8">
        <v>933</v>
      </c>
      <c r="L14" s="7" t="str">
        <f>IFERROR(VLOOKUP(Tabela14[[#This Row],[Para2]],Tabela5[[Barra DE]:[Nome DE]],2,0),VLOOKUP(Tabela14[[#This Row],[Para2]],Tabela5[[Barra PARA]:[Nome PARA]],2,0))</f>
        <v>AREIA--PR525</v>
      </c>
      <c r="M14" s="7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4" s="7">
        <f>(Tabela14[[#This Row],[Q2]]*Tabela14[[#This Row],[Q1]])</f>
        <v>1.5388402500000001E-6</v>
      </c>
      <c r="O14" s="10">
        <f>1-Tabela14[[#This Row],[Q Eq]]</f>
        <v>0.99999846115975</v>
      </c>
      <c r="P14" s="10">
        <f>Tabela14[[#This Row],[Q Eq]]+Tabela14[[#This Row],[P Eq]]</f>
        <v>1</v>
      </c>
    </row>
    <row r="15" spans="1:16" x14ac:dyDescent="0.25">
      <c r="A15" s="30"/>
      <c r="B15" s="8">
        <v>269</v>
      </c>
      <c r="C15" s="8">
        <v>856</v>
      </c>
      <c r="D15" s="7" t="str">
        <f>IFERROR(VLOOKUP(Tabela14[[#This Row],[De1]],Tabela5[[Barra DE]:[Nome DE]],2,0),VLOOKUP(Tabela14[[#This Row],[De1]],Tabela5[[Barra PARA]:[Nome PARA]],2,0))</f>
        <v>SEGRED-PR525</v>
      </c>
      <c r="E15" s="8">
        <v>933</v>
      </c>
      <c r="F15" s="7" t="str">
        <f>IFERROR(VLOOKUP(Tabela14[[#This Row],[Para1]],Tabela5[[Barra DE]:[Nome DE]],2,0),VLOOKUP(Tabela14[[#This Row],[Para1]],Tabela5[[Barra PARA]:[Nome PARA]],2,0))</f>
        <v>AREIA--PR525</v>
      </c>
      <c r="G15" s="8">
        <v>1.2</v>
      </c>
      <c r="H15" s="7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5" s="8">
        <v>938</v>
      </c>
      <c r="J15" s="7" t="str">
        <f>IFERROR(VLOOKUP(Tabela14[[#This Row],[De2]],Tabela5[[Barra DE]:[Nome DE]],2,0),VLOOKUP(Tabela14[[#This Row],[De2]],Tabela5[[Barra PARA]:[Nome PARA]],2,0))</f>
        <v>BLUMEN-SC525</v>
      </c>
      <c r="K15" s="8">
        <v>955</v>
      </c>
      <c r="L15" s="7" t="str">
        <f>IFERROR(VLOOKUP(Tabela14[[#This Row],[Para2]],Tabela5[[Barra DE]:[Nome DE]],2,0),VLOOKUP(Tabela14[[#This Row],[Para2]],Tabela5[[Barra PARA]:[Nome PARA]],2,0))</f>
        <v>CNOVOS-SC525</v>
      </c>
      <c r="M15" s="7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5" s="7">
        <f>(Tabela14[[#This Row],[Q2]]*Tabela14[[#This Row],[Q1]])</f>
        <v>7.7746168899999996E-8</v>
      </c>
      <c r="O15" s="10">
        <f>1-Tabela14[[#This Row],[Q Eq]]</f>
        <v>0.99999992225383105</v>
      </c>
      <c r="P15" s="10">
        <f>Tabela14[[#This Row],[Q Eq]]+Tabela14[[#This Row],[P Eq]]</f>
        <v>1</v>
      </c>
    </row>
    <row r="16" spans="1:16" x14ac:dyDescent="0.25">
      <c r="A16" s="30"/>
      <c r="B16" s="8">
        <v>448</v>
      </c>
      <c r="C16" s="8">
        <v>938</v>
      </c>
      <c r="D16" s="7" t="str">
        <f>IFERROR(VLOOKUP(Tabela14[[#This Row],[De1]],Tabela5[[Barra DE]:[Nome DE]],2,0),VLOOKUP(Tabela14[[#This Row],[De1]],Tabela5[[Barra PARA]:[Nome PARA]],2,0))</f>
        <v>BLUMEN-SC525</v>
      </c>
      <c r="E16" s="8">
        <v>946</v>
      </c>
      <c r="F16" s="7" t="str">
        <f>IFERROR(VLOOKUP(Tabela14[[#This Row],[Para1]],Tabela5[[Barra DE]:[Nome DE]],2,0),VLOOKUP(Tabela14[[#This Row],[Para1]],Tabela5[[Barra PARA]:[Nome PARA]],2,0))</f>
        <v>BIGUAC-SC525</v>
      </c>
      <c r="G16" s="8">
        <v>1.2</v>
      </c>
      <c r="H16" s="7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16" s="8">
        <v>959</v>
      </c>
      <c r="J16" s="7" t="str">
        <f>IFERROR(VLOOKUP(Tabela14[[#This Row],[De2]],Tabela5[[Barra DE]:[Nome DE]],2,0),VLOOKUP(Tabela14[[#This Row],[De2]],Tabela5[[Barra PARA]:[Nome PARA]],2,0))</f>
        <v>CURITI-PR525</v>
      </c>
      <c r="K16" s="8">
        <v>895</v>
      </c>
      <c r="L16" s="7" t="str">
        <f>IFERROR(VLOOKUP(Tabela14[[#This Row],[Para2]],Tabela5[[Barra DE]:[Nome DE]],2,0),VLOOKUP(Tabela14[[#This Row],[Para2]],Tabela5[[Barra PARA]:[Nome PARA]],2,0))</f>
        <v>BATEIA-PR525</v>
      </c>
      <c r="M16" s="7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16" s="7">
        <f>(Tabela14[[#This Row],[Q2]]*Tabela14[[#This Row],[Q1]])</f>
        <v>1.8299572840000001E-7</v>
      </c>
      <c r="O16" s="10">
        <f>1-Tabela14[[#This Row],[Q Eq]]</f>
        <v>0.99999981700427165</v>
      </c>
      <c r="P16" s="10">
        <f>Tabela14[[#This Row],[Q Eq]]+Tabela14[[#This Row],[P Eq]]</f>
        <v>1</v>
      </c>
    </row>
    <row r="17" spans="1:16" x14ac:dyDescent="0.25">
      <c r="A17" s="30"/>
      <c r="B17" s="8">
        <v>542</v>
      </c>
      <c r="C17" s="8">
        <v>955</v>
      </c>
      <c r="D17" s="7" t="str">
        <f>IFERROR(VLOOKUP(Tabela14[[#This Row],[De1]],Tabela5[[Barra DE]:[Nome DE]],2,0),VLOOKUP(Tabela14[[#This Row],[De1]],Tabela5[[Barra PARA]:[Nome PARA]],2,0))</f>
        <v>CNOVOS-SC525</v>
      </c>
      <c r="E17" s="8">
        <v>964</v>
      </c>
      <c r="F17" s="7" t="str">
        <f>IFERROR(VLOOKUP(Tabela14[[#This Row],[Para1]],Tabela5[[Barra DE]:[Nome DE]],2,0),VLOOKUP(Tabela14[[#This Row],[Para1]],Tabela5[[Barra PARA]:[Nome PARA]],2,0))</f>
        <v>CAXIAS-RS525</v>
      </c>
      <c r="G17" s="8">
        <v>1.1000000000000001</v>
      </c>
      <c r="H17" s="7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7" s="8">
        <v>1041</v>
      </c>
      <c r="J17" s="7" t="str">
        <f>IFERROR(VLOOKUP(Tabela14[[#This Row],[De2]],Tabela5[[Barra DE]:[Nome DE]],2,0),VLOOKUP(Tabela14[[#This Row],[De2]],Tabela5[[Barra PARA]:[Nome PARA]],2,0))</f>
        <v>PFUNDO-RS230</v>
      </c>
      <c r="K17" s="8">
        <v>963</v>
      </c>
      <c r="L17" s="7" t="str">
        <f>IFERROR(VLOOKUP(Tabela14[[#This Row],[Para2]],Tabela5[[Barra DE]:[Nome DE]],2,0),VLOOKUP(Tabela14[[#This Row],[Para2]],Tabela5[[Barra PARA]:[Nome PARA]],2,0))</f>
        <v>MCLARO-RS230</v>
      </c>
      <c r="M17" s="7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7" s="7">
        <f>(Tabela14[[#This Row],[Q2]]*Tabela14[[#This Row],[Q1]])</f>
        <v>9.9810090250000007E-7</v>
      </c>
      <c r="O17" s="10">
        <f>1-Tabela14[[#This Row],[Q Eq]]</f>
        <v>0.99999900189909752</v>
      </c>
      <c r="P17" s="10">
        <f>Tabela14[[#This Row],[Q Eq]]+Tabela14[[#This Row],[P Eq]]</f>
        <v>1</v>
      </c>
    </row>
    <row r="18" spans="1:16" x14ac:dyDescent="0.25">
      <c r="A18" s="30"/>
      <c r="B18" s="8">
        <v>539</v>
      </c>
      <c r="C18" s="8">
        <v>955</v>
      </c>
      <c r="D18" s="7" t="str">
        <f>IFERROR(VLOOKUP(Tabela14[[#This Row],[De1]],Tabela5[[Barra DE]:[Nome DE]],2,0),VLOOKUP(Tabela14[[#This Row],[De1]],Tabela5[[Barra PARA]:[Nome PARA]],2,0))</f>
        <v>CNOVOS-SC525</v>
      </c>
      <c r="E18" s="8">
        <v>964</v>
      </c>
      <c r="F18" s="7" t="str">
        <f>IFERROR(VLOOKUP(Tabela14[[#This Row],[Para1]],Tabela5[[Barra DE]:[Nome DE]],2,0),VLOOKUP(Tabela14[[#This Row],[Para1]],Tabela5[[Barra PARA]:[Nome PARA]],2,0))</f>
        <v>CAXIAS-RS525</v>
      </c>
      <c r="G18" s="8">
        <v>1.1000000000000001</v>
      </c>
      <c r="H18" s="7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8" s="8">
        <v>1057</v>
      </c>
      <c r="J18" s="7" t="str">
        <f>IFERROR(VLOOKUP(Tabela14[[#This Row],[De2]],Tabela5[[Barra DE]:[Nome DE]],2,0),VLOOKUP(Tabela14[[#This Row],[De2]],Tabela5[[Barra PARA]:[Nome PARA]],2,0))</f>
        <v>SIDERO-SC230</v>
      </c>
      <c r="K18" s="8">
        <v>1010</v>
      </c>
      <c r="L18" s="7" t="str">
        <f>IFERROR(VLOOKUP(Tabela14[[#This Row],[Para2]],Tabela5[[Barra DE]:[Nome DE]],2,0),VLOOKUP(Tabela14[[#This Row],[Para2]],Tabela5[[Barra PARA]:[Nome PARA]],2,0))</f>
        <v>JLAC-B-SC230</v>
      </c>
      <c r="M18" s="7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8" s="7">
        <f>(Tabela14[[#This Row],[Q2]]*Tabela14[[#This Row],[Q1]])</f>
        <v>9.9810090250000007E-7</v>
      </c>
      <c r="O18" s="10">
        <f>1-Tabela14[[#This Row],[Q Eq]]</f>
        <v>0.99999900189909752</v>
      </c>
      <c r="P18" s="10">
        <f>Tabela14[[#This Row],[Q Eq]]+Tabela14[[#This Row],[P Eq]]</f>
        <v>1</v>
      </c>
    </row>
    <row r="19" spans="1:16" x14ac:dyDescent="0.25">
      <c r="A19" s="30"/>
      <c r="B19" s="8">
        <v>272</v>
      </c>
      <c r="C19" s="8">
        <v>856</v>
      </c>
      <c r="D19" s="7" t="str">
        <f>IFERROR(VLOOKUP(Tabela14[[#This Row],[De1]],Tabela5[[Barra DE]:[Nome DE]],2,0),VLOOKUP(Tabela14[[#This Row],[De1]],Tabela5[[Barra PARA]:[Nome PARA]],2,0))</f>
        <v>SEGRED-PR525</v>
      </c>
      <c r="E19" s="8">
        <v>933</v>
      </c>
      <c r="F19" s="7" t="str">
        <f>IFERROR(VLOOKUP(Tabela14[[#This Row],[Para1]],Tabela5[[Barra DE]:[Nome DE]],2,0),VLOOKUP(Tabela14[[#This Row],[Para1]],Tabela5[[Barra PARA]:[Nome PARA]],2,0))</f>
        <v>AREIA--PR525</v>
      </c>
      <c r="G19" s="8">
        <v>1.1000000000000001</v>
      </c>
      <c r="H19" s="7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9" s="8">
        <v>955</v>
      </c>
      <c r="J19" s="7" t="str">
        <f>IFERROR(VLOOKUP(Tabela14[[#This Row],[De2]],Tabela5[[Barra DE]:[Nome DE]],2,0),VLOOKUP(Tabela14[[#This Row],[De2]],Tabela5[[Barra PARA]:[Nome PARA]],2,0))</f>
        <v>CNOVOS-SC525</v>
      </c>
      <c r="K19" s="8">
        <v>964</v>
      </c>
      <c r="L19" s="7" t="str">
        <f>IFERROR(VLOOKUP(Tabela14[[#This Row],[Para2]],Tabela5[[Barra DE]:[Nome DE]],2,0),VLOOKUP(Tabela14[[#This Row],[Para2]],Tabela5[[Barra PARA]:[Nome PARA]],2,0))</f>
        <v>CAXIAS-RS525</v>
      </c>
      <c r="M19" s="7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9" s="7">
        <f>(Tabela14[[#This Row],[Q2]]*Tabela14[[#This Row],[Q1]])</f>
        <v>7.7746168899999996E-8</v>
      </c>
      <c r="O19" s="10">
        <f>1-Tabela14[[#This Row],[Q Eq]]</f>
        <v>0.99999992225383105</v>
      </c>
      <c r="P19" s="10">
        <f>Tabela14[[#This Row],[Q Eq]]+Tabela14[[#This Row],[P Eq]]</f>
        <v>1</v>
      </c>
    </row>
    <row r="20" spans="1:16" x14ac:dyDescent="0.25">
      <c r="A20" s="30"/>
      <c r="B20" s="8">
        <v>541</v>
      </c>
      <c r="C20" s="8">
        <v>955</v>
      </c>
      <c r="D20" s="7" t="str">
        <f>IFERROR(VLOOKUP(Tabela14[[#This Row],[De1]],Tabela5[[Barra DE]:[Nome DE]],2,0),VLOOKUP(Tabela14[[#This Row],[De1]],Tabela5[[Barra PARA]:[Nome PARA]],2,0))</f>
        <v>CNOVOS-SC525</v>
      </c>
      <c r="E20" s="8">
        <v>964</v>
      </c>
      <c r="F20" s="7" t="str">
        <f>IFERROR(VLOOKUP(Tabela14[[#This Row],[Para1]],Tabela5[[Barra DE]:[Nome DE]],2,0),VLOOKUP(Tabela14[[#This Row],[Para1]],Tabela5[[Barra PARA]:[Nome PARA]],2,0))</f>
        <v>CAXIAS-RS525</v>
      </c>
      <c r="G20" s="8">
        <v>1.1000000000000001</v>
      </c>
      <c r="H20" s="7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8">
        <v>1069</v>
      </c>
      <c r="J20" s="7" t="str">
        <f>IFERROR(VLOOKUP(Tabela14[[#This Row],[De2]],Tabela5[[Barra DE]:[Nome DE]],2,0),VLOOKUP(Tabela14[[#This Row],[De2]],Tabela5[[Barra PARA]:[Nome PARA]],2,0))</f>
        <v>XANXER-SC230</v>
      </c>
      <c r="K20" s="8">
        <v>1041</v>
      </c>
      <c r="L20" s="7" t="str">
        <f>IFERROR(VLOOKUP(Tabela14[[#This Row],[Para2]],Tabela5[[Barra DE]:[Nome DE]],2,0),VLOOKUP(Tabela14[[#This Row],[Para2]],Tabela5[[Barra PARA]:[Nome PARA]],2,0))</f>
        <v>PFUNDO-RS230</v>
      </c>
      <c r="M20" s="7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7">
        <f>(Tabela14[[#This Row],[Q2]]*Tabela14[[#This Row],[Q1]])</f>
        <v>9.9810090250000007E-7</v>
      </c>
      <c r="O20" s="10">
        <f>1-Tabela14[[#This Row],[Q Eq]]</f>
        <v>0.99999900189909752</v>
      </c>
      <c r="P20" s="10">
        <f>Tabela14[[#This Row],[Q Eq]]+Tabela14[[#This Row],[P Eq]]</f>
        <v>1</v>
      </c>
    </row>
    <row r="21" spans="1:16" x14ac:dyDescent="0.25">
      <c r="A21" s="30"/>
      <c r="B21" s="8">
        <v>353</v>
      </c>
      <c r="C21" s="8">
        <v>933</v>
      </c>
      <c r="D21" s="7" t="str">
        <f>IFERROR(VLOOKUP(Tabela14[[#This Row],[De1]],Tabela5[[Barra DE]:[Nome DE]],2,0),VLOOKUP(Tabela14[[#This Row],[De1]],Tabela5[[Barra PARA]:[Nome PARA]],2,0))</f>
        <v>AREIA--PR525</v>
      </c>
      <c r="E21" s="8">
        <v>955</v>
      </c>
      <c r="F21" s="7" t="str">
        <f>IFERROR(VLOOKUP(Tabela14[[#This Row],[Para1]],Tabela5[[Barra DE]:[Nome DE]],2,0),VLOOKUP(Tabela14[[#This Row],[Para1]],Tabela5[[Barra PARA]:[Nome PARA]],2,0))</f>
        <v>CNOVOS-SC525</v>
      </c>
      <c r="G21" s="8">
        <v>1</v>
      </c>
      <c r="H21" s="7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1" s="8">
        <v>955</v>
      </c>
      <c r="J21" s="7" t="str">
        <f>IFERROR(VLOOKUP(Tabela14[[#This Row],[De2]],Tabela5[[Barra DE]:[Nome DE]],2,0),VLOOKUP(Tabela14[[#This Row],[De2]],Tabela5[[Barra PARA]:[Nome PARA]],2,0))</f>
        <v>CNOVOS-SC525</v>
      </c>
      <c r="K21" s="8">
        <v>964</v>
      </c>
      <c r="L21" s="7" t="str">
        <f>IFERROR(VLOOKUP(Tabela14[[#This Row],[Para2]],Tabela5[[Barra DE]:[Nome DE]],2,0),VLOOKUP(Tabela14[[#This Row],[Para2]],Tabela5[[Barra PARA]:[Nome PARA]],2,0))</f>
        <v>CAXIAS-RS525</v>
      </c>
      <c r="M21" s="7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1" s="7">
        <f>(Tabela14[[#This Row],[Q2]]*Tabela14[[#This Row],[Q1]])</f>
        <v>7.5078759039999993E-7</v>
      </c>
      <c r="O21" s="10">
        <f>1-Tabela14[[#This Row],[Q Eq]]</f>
        <v>0.99999924921240957</v>
      </c>
      <c r="P21" s="10">
        <f>Tabela14[[#This Row],[Q Eq]]+Tabela14[[#This Row],[P Eq]]</f>
        <v>1</v>
      </c>
    </row>
    <row r="22" spans="1:16" x14ac:dyDescent="0.25">
      <c r="A22" s="30"/>
      <c r="B22" s="8">
        <v>468</v>
      </c>
      <c r="C22" s="8">
        <v>938</v>
      </c>
      <c r="D22" s="7" t="str">
        <f>IFERROR(VLOOKUP(Tabela14[[#This Row],[De1]],Tabela5[[Barra DE]:[Nome DE]],2,0),VLOOKUP(Tabela14[[#This Row],[De1]],Tabela5[[Barra PARA]:[Nome PARA]],2,0))</f>
        <v>BLUMEN-SC525</v>
      </c>
      <c r="E22" s="8">
        <v>955</v>
      </c>
      <c r="F22" s="7" t="str">
        <f>IFERROR(VLOOKUP(Tabela14[[#This Row],[Para1]],Tabela5[[Barra DE]:[Nome DE]],2,0),VLOOKUP(Tabela14[[#This Row],[Para1]],Tabela5[[Barra PARA]:[Nome PARA]],2,0))</f>
        <v>CNOVOS-SC525</v>
      </c>
      <c r="G22" s="8">
        <v>1</v>
      </c>
      <c r="H22" s="7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2" s="8">
        <v>955</v>
      </c>
      <c r="J22" s="7" t="str">
        <f>IFERROR(VLOOKUP(Tabela14[[#This Row],[De2]],Tabela5[[Barra DE]:[Nome DE]],2,0),VLOOKUP(Tabela14[[#This Row],[De2]],Tabela5[[Barra PARA]:[Nome PARA]],2,0))</f>
        <v>CNOVOS-SC525</v>
      </c>
      <c r="K22" s="8">
        <v>964</v>
      </c>
      <c r="L22" s="7" t="str">
        <f>IFERROR(VLOOKUP(Tabela14[[#This Row],[Para2]],Tabela5[[Barra DE]:[Nome DE]],2,0),VLOOKUP(Tabela14[[#This Row],[Para2]],Tabela5[[Barra PARA]:[Nome PARA]],2,0))</f>
        <v>CAXIAS-RS525</v>
      </c>
      <c r="M22" s="7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2" s="7">
        <f>(Tabela14[[#This Row],[Q2]]*Tabela14[[#This Row],[Q1]])</f>
        <v>1.5388402500000001E-6</v>
      </c>
      <c r="O22" s="10">
        <f>1-Tabela14[[#This Row],[Q Eq]]</f>
        <v>0.99999846115975</v>
      </c>
      <c r="P22" s="10">
        <f>Tabela14[[#This Row],[Q Eq]]+Tabela14[[#This Row],[P Eq]]</f>
        <v>1</v>
      </c>
    </row>
    <row r="23" spans="1:16" x14ac:dyDescent="0.25">
      <c r="A23" s="28" t="s">
        <v>104</v>
      </c>
      <c r="B23" s="8">
        <v>638</v>
      </c>
      <c r="C23" s="8">
        <v>999</v>
      </c>
      <c r="D23" s="7" t="str">
        <f>IFERROR(VLOOKUP(Tabela14[[#This Row],[De1]],Tabela5[[Barra DE]:[Nome DE]],2,0),VLOOKUP(Tabela14[[#This Row],[De1]],Tabela5[[Barra PARA]:[Nome PARA]],2,0))</f>
        <v>IVAIPE-PR525</v>
      </c>
      <c r="E23" s="8">
        <v>896</v>
      </c>
      <c r="F23" s="7" t="str">
        <f>IFERROR(VLOOKUP(Tabela14[[#This Row],[Para1]],Tabela5[[Barra DE]:[Nome DE]],2,0),VLOOKUP(Tabela14[[#This Row],[Para1]],Tabela5[[Barra PARA]:[Nome PARA]],2,0))</f>
        <v>CASCOE-PR525</v>
      </c>
      <c r="G23" s="8"/>
      <c r="H23" s="7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23" s="8">
        <v>1060</v>
      </c>
      <c r="J23" s="7" t="str">
        <f>IFERROR(VLOOKUP(Tabela14[[#This Row],[De2]],Tabela5[[Barra DE]:[Nome DE]],2,0),VLOOKUP(Tabela14[[#This Row],[De2]],Tabela5[[Barra PARA]:[Nome PARA]],2,0))</f>
        <v>SSANTI-PR525</v>
      </c>
      <c r="K23" s="8">
        <v>897</v>
      </c>
      <c r="L23" s="7" t="str">
        <f>IFERROR(VLOOKUP(Tabela14[[#This Row],[Para2]],Tabela5[[Barra DE]:[Nome DE]],2,0),VLOOKUP(Tabela14[[#This Row],[Para2]],Tabela5[[Barra PARA]:[Nome PARA]],2,0))</f>
        <v>SCAXIA-PR525</v>
      </c>
      <c r="M23" s="7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23" s="7">
        <f>(Tabela14[[#This Row],[Q2]]*Tabela14[[#This Row],[Q1]])</f>
        <v>1.0547289999999998E-6</v>
      </c>
      <c r="O23" s="10">
        <f>1-Tabela14[[#This Row],[Q Eq]]</f>
        <v>0.99999894527099997</v>
      </c>
      <c r="P23" s="10">
        <f>Tabela14[[#This Row],[Q Eq]]+Tabela14[[#This Row],[P Eq]]</f>
        <v>1</v>
      </c>
    </row>
    <row r="24" spans="1:16" x14ac:dyDescent="0.25">
      <c r="A24" s="28"/>
      <c r="B24" s="8">
        <v>529</v>
      </c>
      <c r="C24" s="8">
        <v>955</v>
      </c>
      <c r="D24" s="7" t="str">
        <f>IFERROR(VLOOKUP(Tabela14[[#This Row],[De1]],Tabela5[[Barra DE]:[Nome DE]],2,0),VLOOKUP(Tabela14[[#This Row],[De1]],Tabela5[[Barra PARA]:[Nome PARA]],2,0))</f>
        <v>CNOVOS-SC525</v>
      </c>
      <c r="E24" s="8">
        <v>964</v>
      </c>
      <c r="F24" s="7" t="str">
        <f>IFERROR(VLOOKUP(Tabela14[[#This Row],[Para1]],Tabela5[[Barra DE]:[Nome DE]],2,0),VLOOKUP(Tabela14[[#This Row],[Para1]],Tabela5[[Barra PARA]:[Nome PARA]],2,0))</f>
        <v>CAXIAS-RS525</v>
      </c>
      <c r="G24" s="8"/>
      <c r="H24" s="7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4" s="8">
        <v>976</v>
      </c>
      <c r="J24" s="7" t="str">
        <f>IFERROR(VLOOKUP(Tabela14[[#This Row],[De2]],Tabela5[[Barra DE]:[Nome DE]],2,0),VLOOKUP(Tabela14[[#This Row],[De2]],Tabela5[[Barra PARA]:[Nome PARA]],2,0))</f>
        <v>GRAVAT-RS525</v>
      </c>
      <c r="K24" s="8">
        <v>979</v>
      </c>
      <c r="L24" s="7" t="str">
        <f>IFERROR(VLOOKUP(Tabela14[[#This Row],[Para2]],Tabela5[[Barra DE]:[Nome DE]],2,0),VLOOKUP(Tabela14[[#This Row],[Para2]],Tabela5[[Barra PARA]:[Nome PARA]],2,0))</f>
        <v>NSRITA-RS525</v>
      </c>
      <c r="M24" s="7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4" s="7">
        <f>(Tabela14[[#This Row],[Q2]]*Tabela14[[#This Row],[Q1]])</f>
        <v>9.9810090250000007E-7</v>
      </c>
      <c r="O24" s="10">
        <f>1-Tabela14[[#This Row],[Q Eq]]</f>
        <v>0.99999900189909752</v>
      </c>
      <c r="P24" s="10">
        <f>Tabela14[[#This Row],[Q Eq]]+Tabela14[[#This Row],[P Eq]]</f>
        <v>1</v>
      </c>
    </row>
    <row r="25" spans="1:16" x14ac:dyDescent="0.25">
      <c r="A25" s="28"/>
      <c r="B25" s="8">
        <v>467</v>
      </c>
      <c r="C25" s="8">
        <v>938</v>
      </c>
      <c r="D25" s="7" t="str">
        <f>IFERROR(VLOOKUP(Tabela14[[#This Row],[De1]],Tabela5[[Barra DE]:[Nome DE]],2,0),VLOOKUP(Tabela14[[#This Row],[De1]],Tabela5[[Barra PARA]:[Nome PARA]],2,0))</f>
        <v>BLUMEN-SC525</v>
      </c>
      <c r="E25" s="8">
        <v>955</v>
      </c>
      <c r="F25" s="7" t="str">
        <f>IFERROR(VLOOKUP(Tabela14[[#This Row],[Para1]],Tabela5[[Barra DE]:[Nome DE]],2,0),VLOOKUP(Tabela14[[#This Row],[Para1]],Tabela5[[Barra PARA]:[Nome PARA]],2,0))</f>
        <v>CNOVOS-SC525</v>
      </c>
      <c r="G25" s="8"/>
      <c r="H25" s="7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5" s="8">
        <v>955</v>
      </c>
      <c r="J25" s="7" t="str">
        <f>IFERROR(VLOOKUP(Tabela14[[#This Row],[De2]],Tabela5[[Barra DE]:[Nome DE]],2,0),VLOOKUP(Tabela14[[#This Row],[De2]],Tabela5[[Barra PARA]:[Nome PARA]],2,0))</f>
        <v>CNOVOS-SC525</v>
      </c>
      <c r="K25" s="8">
        <v>946</v>
      </c>
      <c r="L25" s="7" t="str">
        <f>IFERROR(VLOOKUP(Tabela14[[#This Row],[Para2]],Tabela5[[Barra DE]:[Nome DE]],2,0),VLOOKUP(Tabela14[[#This Row],[Para2]],Tabela5[[Barra PARA]:[Nome PARA]],2,0))</f>
        <v>BIGUAC-SC525</v>
      </c>
      <c r="M25" s="7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5" s="7">
        <f>(Tabela14[[#This Row],[Q2]]*Tabela14[[#This Row],[Q1]])</f>
        <v>1.5388402500000001E-6</v>
      </c>
      <c r="O25" s="10">
        <f>1-Tabela14[[#This Row],[Q Eq]]</f>
        <v>0.99999846115975</v>
      </c>
      <c r="P25" s="10">
        <f>Tabela14[[#This Row],[Q Eq]]+Tabela14[[#This Row],[P Eq]]</f>
        <v>1</v>
      </c>
    </row>
    <row r="26" spans="1:16" x14ac:dyDescent="0.25">
      <c r="A26" s="28"/>
      <c r="B26" s="8">
        <v>446</v>
      </c>
      <c r="C26" s="8">
        <v>938</v>
      </c>
      <c r="D26" s="7" t="str">
        <f>IFERROR(VLOOKUP(Tabela14[[#This Row],[De1]],Tabela5[[Barra DE]:[Nome DE]],2,0),VLOOKUP(Tabela14[[#This Row],[De1]],Tabela5[[Barra PARA]:[Nome PARA]],2,0))</f>
        <v>BLUMEN-SC525</v>
      </c>
      <c r="E26" s="8">
        <v>946</v>
      </c>
      <c r="F26" s="7" t="str">
        <f>IFERROR(VLOOKUP(Tabela14[[#This Row],[Para1]],Tabela5[[Barra DE]:[Nome DE]],2,0),VLOOKUP(Tabela14[[#This Row],[Para1]],Tabela5[[Barra PARA]:[Nome PARA]],2,0))</f>
        <v>BIGUAC-SC525</v>
      </c>
      <c r="G26" s="8"/>
      <c r="H26" s="7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6" s="8">
        <v>955</v>
      </c>
      <c r="J26" s="7" t="str">
        <f>IFERROR(VLOOKUP(Tabela14[[#This Row],[De2]],Tabela5[[Barra DE]:[Nome DE]],2,0),VLOOKUP(Tabela14[[#This Row],[De2]],Tabela5[[Barra PARA]:[Nome PARA]],2,0))</f>
        <v>CNOVOS-SC525</v>
      </c>
      <c r="K26" s="8">
        <v>946</v>
      </c>
      <c r="L26" s="7" t="str">
        <f>IFERROR(VLOOKUP(Tabela14[[#This Row],[Para2]],Tabela5[[Barra DE]:[Nome DE]],2,0),VLOOKUP(Tabela14[[#This Row],[Para2]],Tabela5[[Barra PARA]:[Nome PARA]],2,0))</f>
        <v>BIGUAC-SC525</v>
      </c>
      <c r="M26" s="7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6" s="7">
        <f>(Tabela14[[#This Row],[Q2]]*Tabela14[[#This Row],[Q1]])</f>
        <v>1.8299572840000001E-7</v>
      </c>
      <c r="O26" s="10">
        <f>1-Tabela14[[#This Row],[Q Eq]]</f>
        <v>0.99999981700427165</v>
      </c>
      <c r="P26" s="10">
        <f>Tabela14[[#This Row],[Q Eq]]+Tabela14[[#This Row],[P Eq]]</f>
        <v>1</v>
      </c>
    </row>
    <row r="27" spans="1:16" x14ac:dyDescent="0.25">
      <c r="A27" s="28"/>
      <c r="B27" s="8">
        <v>444</v>
      </c>
      <c r="C27" s="8">
        <v>938</v>
      </c>
      <c r="D27" s="7" t="str">
        <f>IFERROR(VLOOKUP(Tabela14[[#This Row],[De1]],Tabela5[[Barra DE]:[Nome DE]],2,0),VLOOKUP(Tabela14[[#This Row],[De1]],Tabela5[[Barra PARA]:[Nome PARA]],2,0))</f>
        <v>BLUMEN-SC525</v>
      </c>
      <c r="E27" s="8">
        <v>946</v>
      </c>
      <c r="F27" s="7" t="str">
        <f>IFERROR(VLOOKUP(Tabela14[[#This Row],[Para1]],Tabela5[[Barra DE]:[Nome DE]],2,0),VLOOKUP(Tabela14[[#This Row],[Para1]],Tabela5[[Barra PARA]:[Nome PARA]],2,0))</f>
        <v>BIGUAC-SC525</v>
      </c>
      <c r="G27" s="8"/>
      <c r="H27" s="7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7" s="8">
        <v>938</v>
      </c>
      <c r="J27" s="7" t="str">
        <f>IFERROR(VLOOKUP(Tabela14[[#This Row],[De2]],Tabela5[[Barra DE]:[Nome DE]],2,0),VLOOKUP(Tabela14[[#This Row],[De2]],Tabela5[[Barra PARA]:[Nome PARA]],2,0))</f>
        <v>BLUMEN-SC525</v>
      </c>
      <c r="K27" s="8">
        <v>955</v>
      </c>
      <c r="L27" s="7" t="str">
        <f>IFERROR(VLOOKUP(Tabela14[[#This Row],[Para2]],Tabela5[[Barra DE]:[Nome DE]],2,0),VLOOKUP(Tabela14[[#This Row],[Para2]],Tabela5[[Barra PARA]:[Nome PARA]],2,0))</f>
        <v>CNOVOS-SC525</v>
      </c>
      <c r="M27" s="7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7" s="7">
        <f>(Tabela14[[#This Row],[Q2]]*Tabela14[[#This Row],[Q1]])</f>
        <v>1.8299572840000001E-7</v>
      </c>
      <c r="O27" s="10">
        <f>1-Tabela14[[#This Row],[Q Eq]]</f>
        <v>0.99999981700427165</v>
      </c>
      <c r="P27" s="10">
        <f>Tabela14[[#This Row],[Q Eq]]+Tabela14[[#This Row],[P Eq]]</f>
        <v>1</v>
      </c>
    </row>
    <row r="28" spans="1:16" x14ac:dyDescent="0.25">
      <c r="A28" s="28"/>
      <c r="B28" s="8">
        <v>377</v>
      </c>
      <c r="C28" s="8">
        <v>933</v>
      </c>
      <c r="D28" s="7" t="str">
        <f>IFERROR(VLOOKUP(Tabela14[[#This Row],[De1]],Tabela5[[Barra DE]:[Nome DE]],2,0),VLOOKUP(Tabela14[[#This Row],[De1]],Tabela5[[Barra PARA]:[Nome PARA]],2,0))</f>
        <v>AREIA--PR525</v>
      </c>
      <c r="E28" s="8">
        <v>959</v>
      </c>
      <c r="F28" s="7" t="str">
        <f>IFERROR(VLOOKUP(Tabela14[[#This Row],[Para1]],Tabela5[[Barra DE]:[Nome DE]],2,0),VLOOKUP(Tabela14[[#This Row],[Para1]],Tabela5[[Barra PARA]:[Nome PARA]],2,0))</f>
        <v>CURITI-PR525</v>
      </c>
      <c r="G28" s="8"/>
      <c r="H28" s="7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8" s="8">
        <v>955</v>
      </c>
      <c r="J28" s="7" t="str">
        <f>IFERROR(VLOOKUP(Tabela14[[#This Row],[De2]],Tabela5[[Barra DE]:[Nome DE]],2,0),VLOOKUP(Tabela14[[#This Row],[De2]],Tabela5[[Barra PARA]:[Nome PARA]],2,0))</f>
        <v>CNOVOS-SC525</v>
      </c>
      <c r="K28" s="8">
        <v>946</v>
      </c>
      <c r="L28" s="7" t="str">
        <f>IFERROR(VLOOKUP(Tabela14[[#This Row],[Para2]],Tabela5[[Barra DE]:[Nome DE]],2,0),VLOOKUP(Tabela14[[#This Row],[Para2]],Tabela5[[Barra PARA]:[Nome PARA]],2,0))</f>
        <v>BIGUAC-SC525</v>
      </c>
      <c r="M28" s="7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8" s="7">
        <f>(Tabela14[[#This Row],[Q2]]*Tabela14[[#This Row],[Q1]])</f>
        <v>1.3354113599999999E-6</v>
      </c>
      <c r="O28" s="10">
        <f>1-Tabela14[[#This Row],[Q Eq]]</f>
        <v>0.99999866458863995</v>
      </c>
      <c r="P28" s="10">
        <f>Tabela14[[#This Row],[Q Eq]]+Tabela14[[#This Row],[P Eq]]</f>
        <v>1</v>
      </c>
    </row>
    <row r="29" spans="1:16" x14ac:dyDescent="0.25">
      <c r="A29" s="28"/>
      <c r="B29" s="8">
        <v>375</v>
      </c>
      <c r="C29" s="8">
        <v>933</v>
      </c>
      <c r="D29" s="7" t="str">
        <f>IFERROR(VLOOKUP(Tabela14[[#This Row],[De1]],Tabela5[[Barra DE]:[Nome DE]],2,0),VLOOKUP(Tabela14[[#This Row],[De1]],Tabela5[[Barra PARA]:[Nome PARA]],2,0))</f>
        <v>AREIA--PR525</v>
      </c>
      <c r="E29" s="8">
        <v>959</v>
      </c>
      <c r="F29" s="7" t="str">
        <f>IFERROR(VLOOKUP(Tabela14[[#This Row],[Para1]],Tabela5[[Barra DE]:[Nome DE]],2,0),VLOOKUP(Tabela14[[#This Row],[Para1]],Tabela5[[Barra PARA]:[Nome PARA]],2,0))</f>
        <v>CURITI-PR525</v>
      </c>
      <c r="G29" s="8"/>
      <c r="H29" s="7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9" s="8">
        <v>938</v>
      </c>
      <c r="J29" s="7" t="str">
        <f>IFERROR(VLOOKUP(Tabela14[[#This Row],[De2]],Tabela5[[Barra DE]:[Nome DE]],2,0),VLOOKUP(Tabela14[[#This Row],[De2]],Tabela5[[Barra PARA]:[Nome PARA]],2,0))</f>
        <v>BLUMEN-SC525</v>
      </c>
      <c r="K29" s="8">
        <v>955</v>
      </c>
      <c r="L29" s="7" t="str">
        <f>IFERROR(VLOOKUP(Tabela14[[#This Row],[Para2]],Tabela5[[Barra DE]:[Nome DE]],2,0),VLOOKUP(Tabela14[[#This Row],[Para2]],Tabela5[[Barra PARA]:[Nome PARA]],2,0))</f>
        <v>CNOVOS-SC525</v>
      </c>
      <c r="M29" s="7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9" s="7">
        <f>(Tabela14[[#This Row],[Q2]]*Tabela14[[#This Row],[Q1]])</f>
        <v>1.3354113599999999E-6</v>
      </c>
      <c r="O29" s="10">
        <f>1-Tabela14[[#This Row],[Q Eq]]</f>
        <v>0.99999866458863995</v>
      </c>
      <c r="P29" s="10">
        <f>Tabela14[[#This Row],[Q Eq]]+Tabela14[[#This Row],[P Eq]]</f>
        <v>1</v>
      </c>
    </row>
    <row r="30" spans="1:16" x14ac:dyDescent="0.25">
      <c r="A30" s="28"/>
      <c r="B30" s="8">
        <v>326</v>
      </c>
      <c r="C30" s="8">
        <v>933</v>
      </c>
      <c r="D30" s="7" t="str">
        <f>IFERROR(VLOOKUP(Tabela14[[#This Row],[De1]],Tabela5[[Barra DE]:[Nome DE]],2,0),VLOOKUP(Tabela14[[#This Row],[De1]],Tabela5[[Barra PARA]:[Nome PARA]],2,0))</f>
        <v>AREIA--PR525</v>
      </c>
      <c r="E30" s="8">
        <v>895</v>
      </c>
      <c r="F30" s="7" t="str">
        <f>IFERROR(VLOOKUP(Tabela14[[#This Row],[Para1]],Tabela5[[Barra DE]:[Nome DE]],2,0),VLOOKUP(Tabela14[[#This Row],[Para1]],Tabela5[[Barra PARA]:[Nome PARA]],2,0))</f>
        <v>BATEIA-PR525</v>
      </c>
      <c r="G30" s="8"/>
      <c r="H30" s="7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0" s="8">
        <v>955</v>
      </c>
      <c r="J30" s="7" t="str">
        <f>IFERROR(VLOOKUP(Tabela14[[#This Row],[De2]],Tabela5[[Barra DE]:[Nome DE]],2,0),VLOOKUP(Tabela14[[#This Row],[De2]],Tabela5[[Barra PARA]:[Nome PARA]],2,0))</f>
        <v>CNOVOS-SC525</v>
      </c>
      <c r="K30" s="8">
        <v>946</v>
      </c>
      <c r="L30" s="7" t="str">
        <f>IFERROR(VLOOKUP(Tabela14[[#This Row],[Para2]],Tabela5[[Barra DE]:[Nome DE]],2,0),VLOOKUP(Tabela14[[#This Row],[Para2]],Tabela5[[Barra PARA]:[Nome PARA]],2,0))</f>
        <v>BIGUAC-SC525</v>
      </c>
      <c r="M30" s="7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0" s="7">
        <f>(Tabela14[[#This Row],[Q2]]*Tabela14[[#This Row],[Q1]])</f>
        <v>1.5818092900000001E-6</v>
      </c>
      <c r="O30" s="10">
        <f>1-Tabela14[[#This Row],[Q Eq]]</f>
        <v>0.99999841819071</v>
      </c>
      <c r="P30" s="10">
        <f>Tabela14[[#This Row],[Q Eq]]+Tabela14[[#This Row],[P Eq]]</f>
        <v>1</v>
      </c>
    </row>
    <row r="31" spans="1:16" x14ac:dyDescent="0.25">
      <c r="A31" s="28"/>
      <c r="B31" s="8">
        <v>324</v>
      </c>
      <c r="C31" s="8">
        <v>933</v>
      </c>
      <c r="D31" s="7" t="str">
        <f>IFERROR(VLOOKUP(Tabela14[[#This Row],[De1]],Tabela5[[Barra DE]:[Nome DE]],2,0),VLOOKUP(Tabela14[[#This Row],[De1]],Tabela5[[Barra PARA]:[Nome PARA]],2,0))</f>
        <v>AREIA--PR525</v>
      </c>
      <c r="E31" s="8">
        <v>895</v>
      </c>
      <c r="F31" s="7" t="str">
        <f>IFERROR(VLOOKUP(Tabela14[[#This Row],[Para1]],Tabela5[[Barra DE]:[Nome DE]],2,0),VLOOKUP(Tabela14[[#This Row],[Para1]],Tabela5[[Barra PARA]:[Nome PARA]],2,0))</f>
        <v>BATEIA-PR525</v>
      </c>
      <c r="G31" s="8"/>
      <c r="H31" s="7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1" s="8">
        <v>933</v>
      </c>
      <c r="J31" s="7" t="str">
        <f>IFERROR(VLOOKUP(Tabela14[[#This Row],[De2]],Tabela5[[Barra DE]:[Nome DE]],2,0),VLOOKUP(Tabela14[[#This Row],[De2]],Tabela5[[Barra PARA]:[Nome PARA]],2,0))</f>
        <v>AREIA--PR525</v>
      </c>
      <c r="K31" s="8">
        <v>959</v>
      </c>
      <c r="L31" s="7" t="str">
        <f>IFERROR(VLOOKUP(Tabela14[[#This Row],[Para2]],Tabela5[[Barra DE]:[Nome DE]],2,0),VLOOKUP(Tabela14[[#This Row],[Para2]],Tabela5[[Barra PARA]:[Nome PARA]],2,0))</f>
        <v>CURITI-PR525</v>
      </c>
      <c r="M31" s="7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1" s="7">
        <f>(Tabela14[[#This Row],[Q2]]*Tabela14[[#This Row],[Q1]])</f>
        <v>1.5818092900000001E-6</v>
      </c>
      <c r="O31" s="10">
        <f>1-Tabela14[[#This Row],[Q Eq]]</f>
        <v>0.99999841819071</v>
      </c>
      <c r="P31" s="10">
        <f>Tabela14[[#This Row],[Q Eq]]+Tabela14[[#This Row],[P Eq]]</f>
        <v>1</v>
      </c>
    </row>
    <row r="32" spans="1:16" x14ac:dyDescent="0.25">
      <c r="A32" s="28"/>
      <c r="B32" s="8">
        <v>320</v>
      </c>
      <c r="C32" s="8">
        <v>933</v>
      </c>
      <c r="D32" s="7" t="str">
        <f>IFERROR(VLOOKUP(Tabela14[[#This Row],[De1]],Tabela5[[Barra DE]:[Nome DE]],2,0),VLOOKUP(Tabela14[[#This Row],[De1]],Tabela5[[Barra PARA]:[Nome PARA]],2,0))</f>
        <v>AREIA--PR525</v>
      </c>
      <c r="E32" s="8">
        <v>895</v>
      </c>
      <c r="F32" s="7" t="str">
        <f>IFERROR(VLOOKUP(Tabela14[[#This Row],[Para1]],Tabela5[[Barra DE]:[Nome DE]],2,0),VLOOKUP(Tabela14[[#This Row],[Para1]],Tabela5[[Barra PARA]:[Nome PARA]],2,0))</f>
        <v>BATEIA-PR525</v>
      </c>
      <c r="G32" s="8"/>
      <c r="H32" s="7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2" s="8">
        <v>933</v>
      </c>
      <c r="J32" s="7" t="str">
        <f>IFERROR(VLOOKUP(Tabela14[[#This Row],[De2]],Tabela5[[Barra DE]:[Nome DE]],2,0),VLOOKUP(Tabela14[[#This Row],[De2]],Tabela5[[Barra PARA]:[Nome PARA]],2,0))</f>
        <v>AREIA--PR525</v>
      </c>
      <c r="K32" s="8">
        <v>959</v>
      </c>
      <c r="L32" s="7" t="str">
        <f>IFERROR(VLOOKUP(Tabela14[[#This Row],[Para2]],Tabela5[[Barra DE]:[Nome DE]],2,0),VLOOKUP(Tabela14[[#This Row],[Para2]],Tabela5[[Barra PARA]:[Nome PARA]],2,0))</f>
        <v>CURITI-PR525</v>
      </c>
      <c r="M32" s="7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2" s="7">
        <f>(Tabela14[[#This Row],[Q2]]*Tabela14[[#This Row],[Q1]])</f>
        <v>1.5818092900000001E-6</v>
      </c>
      <c r="O32" s="10">
        <f>1-Tabela14[[#This Row],[Q Eq]]</f>
        <v>0.99999841819071</v>
      </c>
      <c r="P32" s="10">
        <f>Tabela14[[#This Row],[Q Eq]]+Tabela14[[#This Row],[P Eq]]</f>
        <v>1</v>
      </c>
    </row>
    <row r="33" spans="2:16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8">
        <f>1-Tabela14[[#Totals],[P Eq]]</f>
        <v>2.9278205687321979E-5</v>
      </c>
      <c r="O33" s="8">
        <f>PRODUCT(Tabela14[P Eq])</f>
        <v>0.99997072179431268</v>
      </c>
      <c r="P33" s="23">
        <f>Tabela14[[#Totals],[P Eq]]+Tabela14[[#Totals],[Q Eq]]</f>
        <v>1</v>
      </c>
    </row>
  </sheetData>
  <mergeCells count="2">
    <mergeCell ref="A2:A22"/>
    <mergeCell ref="A23:A3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Barras</vt:lpstr>
      <vt:lpstr>Linhas</vt:lpstr>
      <vt:lpstr>Q Linhas</vt:lpstr>
      <vt:lpstr>Severidade</vt:lpstr>
      <vt:lpstr>Contigencias ordem 1</vt:lpstr>
      <vt:lpstr>Contigencias ordem 2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2022-06-21T18:41:10Z</dcterms:modified>
</cp:coreProperties>
</file>