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7 mod Gestión Económica\"/>
    </mc:Choice>
  </mc:AlternateContent>
  <xr:revisionPtr revIDLastSave="0" documentId="13_ncr:1_{5D23BE3C-1B73-4ED0-A220-5A34349BA2A1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EVALUACION PRY OPCION 1" sheetId="1" r:id="rId1"/>
    <sheet name="COSTOS PRY" sheetId="3" r:id="rId2"/>
    <sheet name="Oferta" sheetId="4" r:id="rId3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C4" i="3"/>
  <c r="D8" i="4"/>
  <c r="C8" i="4"/>
  <c r="O33" i="1"/>
  <c r="O34" i="1" s="1"/>
  <c r="O9" i="1"/>
  <c r="T9" i="1"/>
  <c r="U9" i="1"/>
  <c r="V9" i="1"/>
  <c r="W9" i="1"/>
  <c r="P9" i="1"/>
  <c r="Q9" i="1"/>
  <c r="R9" i="1"/>
  <c r="S9" i="1"/>
  <c r="X9" i="1"/>
  <c r="Y9" i="1"/>
  <c r="Z9" i="1"/>
  <c r="Q15" i="1"/>
  <c r="R15" i="1"/>
  <c r="S15" i="1"/>
  <c r="T15" i="1"/>
  <c r="U15" i="1"/>
  <c r="Z15" i="1"/>
  <c r="O15" i="1"/>
  <c r="P15" i="1"/>
  <c r="V15" i="1"/>
  <c r="W15" i="1"/>
  <c r="X15" i="1"/>
  <c r="Y15" i="1"/>
  <c r="P18" i="1"/>
  <c r="Q18" i="1"/>
  <c r="R18" i="1"/>
  <c r="S18" i="1"/>
  <c r="T18" i="1"/>
  <c r="U18" i="1"/>
  <c r="V18" i="1"/>
  <c r="W18" i="1"/>
  <c r="X18" i="1"/>
  <c r="Y18" i="1"/>
  <c r="Z18" i="1"/>
  <c r="E18" i="1"/>
  <c r="F18" i="1"/>
  <c r="G18" i="1"/>
  <c r="H18" i="1"/>
  <c r="I18" i="1"/>
  <c r="J18" i="1"/>
  <c r="K18" i="1"/>
  <c r="L18" i="1"/>
  <c r="M18" i="1"/>
  <c r="N18" i="1"/>
  <c r="D18" i="1"/>
  <c r="G13" i="1"/>
  <c r="N8" i="1"/>
  <c r="N9" i="1" s="1"/>
  <c r="H8" i="1"/>
  <c r="H9" i="1" s="1"/>
  <c r="C8" i="1"/>
  <c r="C9" i="1" s="1"/>
  <c r="C5" i="3"/>
  <c r="C12" i="3"/>
  <c r="C11" i="3"/>
  <c r="C10" i="3"/>
  <c r="C9" i="3"/>
  <c r="M9" i="1"/>
  <c r="L9" i="1"/>
  <c r="K9" i="1"/>
  <c r="J9" i="1"/>
  <c r="I9" i="1"/>
  <c r="G9" i="1"/>
  <c r="F9" i="1"/>
  <c r="E9" i="1"/>
  <c r="D9" i="1"/>
  <c r="B44" i="1" l="1"/>
  <c r="P17" i="1"/>
  <c r="P19" i="1" s="1"/>
  <c r="P33" i="1" s="1"/>
  <c r="P34" i="1" s="1"/>
  <c r="Z17" i="1"/>
  <c r="Z19" i="1" s="1"/>
  <c r="Z33" i="1" s="1"/>
  <c r="Y17" i="1"/>
  <c r="Y19" i="1" s="1"/>
  <c r="Y33" i="1" s="1"/>
  <c r="T17" i="1"/>
  <c r="T19" i="1" s="1"/>
  <c r="T33" i="1" s="1"/>
  <c r="X17" i="1"/>
  <c r="X19" i="1" s="1"/>
  <c r="X33" i="1" s="1"/>
  <c r="S17" i="1"/>
  <c r="S19" i="1" s="1"/>
  <c r="S33" i="1" s="1"/>
  <c r="W17" i="1"/>
  <c r="W19" i="1" s="1"/>
  <c r="W33" i="1" s="1"/>
  <c r="R17" i="1"/>
  <c r="R19" i="1" s="1"/>
  <c r="R33" i="1" s="1"/>
  <c r="O17" i="1"/>
  <c r="O19" i="1" s="1"/>
  <c r="U17" i="1"/>
  <c r="U19" i="1" s="1"/>
  <c r="U33" i="1" s="1"/>
  <c r="V17" i="1"/>
  <c r="V19" i="1" s="1"/>
  <c r="V33" i="1" s="1"/>
  <c r="Q17" i="1"/>
  <c r="Q19" i="1" s="1"/>
  <c r="Q33" i="1" s="1"/>
  <c r="J13" i="1"/>
  <c r="H13" i="1"/>
  <c r="I13" i="1"/>
  <c r="E13" i="1"/>
  <c r="M13" i="1"/>
  <c r="C13" i="1"/>
  <c r="K13" i="1"/>
  <c r="D13" i="1"/>
  <c r="L13" i="1"/>
  <c r="F13" i="1"/>
  <c r="N13" i="1"/>
  <c r="C16" i="3"/>
  <c r="C15" i="3"/>
  <c r="C17" i="3"/>
  <c r="C18" i="3"/>
  <c r="C14" i="3"/>
  <c r="F4" i="3" s="1"/>
  <c r="Q34" i="1" l="1"/>
  <c r="R34" i="1" s="1"/>
  <c r="S34" i="1" s="1"/>
  <c r="T34" i="1" s="1"/>
  <c r="U34" i="1" s="1"/>
  <c r="V34" i="1" s="1"/>
  <c r="W34" i="1" s="1"/>
  <c r="X34" i="1" s="1"/>
  <c r="Y34" i="1" s="1"/>
  <c r="Z34" i="1" s="1"/>
  <c r="B2" i="1"/>
  <c r="C19" i="3"/>
  <c r="B12" i="1" l="1"/>
  <c r="B26" i="1" s="1"/>
  <c r="I14" i="1"/>
  <c r="I15" i="1" s="1"/>
  <c r="I17" i="1" s="1"/>
  <c r="I19" i="1" s="1"/>
  <c r="I33" i="1" s="1"/>
  <c r="E14" i="1"/>
  <c r="E15" i="1" s="1"/>
  <c r="E17" i="1" s="1"/>
  <c r="E19" i="1" s="1"/>
  <c r="E33" i="1" s="1"/>
  <c r="D14" i="1"/>
  <c r="D15" i="1" s="1"/>
  <c r="D17" i="1" s="1"/>
  <c r="F14" i="1"/>
  <c r="F15" i="1" s="1"/>
  <c r="F17" i="1" s="1"/>
  <c r="F19" i="1" s="1"/>
  <c r="F33" i="1" s="1"/>
  <c r="G14" i="1"/>
  <c r="G15" i="1" s="1"/>
  <c r="G17" i="1" s="1"/>
  <c r="G19" i="1" s="1"/>
  <c r="G33" i="1" s="1"/>
  <c r="J14" i="1"/>
  <c r="J15" i="1" s="1"/>
  <c r="J17" i="1" s="1"/>
  <c r="J19" i="1" s="1"/>
  <c r="J33" i="1" s="1"/>
  <c r="K14" i="1"/>
  <c r="K15" i="1" s="1"/>
  <c r="K17" i="1" s="1"/>
  <c r="K19" i="1" s="1"/>
  <c r="K33" i="1" s="1"/>
  <c r="M14" i="1"/>
  <c r="M15" i="1" s="1"/>
  <c r="M17" i="1" s="1"/>
  <c r="M19" i="1" s="1"/>
  <c r="M33" i="1" s="1"/>
  <c r="L14" i="1"/>
  <c r="L15" i="1" s="1"/>
  <c r="L17" i="1" s="1"/>
  <c r="L19" i="1" s="1"/>
  <c r="L33" i="1" s="1"/>
  <c r="N14" i="1"/>
  <c r="N15" i="1" s="1"/>
  <c r="N17" i="1" s="1"/>
  <c r="N19" i="1" s="1"/>
  <c r="N33" i="1" s="1"/>
  <c r="H14" i="1"/>
  <c r="H15" i="1" s="1"/>
  <c r="H17" i="1" s="1"/>
  <c r="H19" i="1" s="1"/>
  <c r="H33" i="1" s="1"/>
  <c r="C14" i="1"/>
  <c r="D19" i="1" l="1"/>
  <c r="D33" i="1" s="1"/>
  <c r="B43" i="1"/>
  <c r="B45" i="1" s="1"/>
  <c r="C15" i="1"/>
  <c r="C17" i="1" s="1"/>
  <c r="C19" i="1" s="1"/>
  <c r="B15" i="1"/>
  <c r="B17" i="1" s="1"/>
  <c r="B19" i="1" s="1"/>
  <c r="C26" i="1"/>
  <c r="B28" i="1" l="1"/>
  <c r="B25" i="1"/>
  <c r="B27" i="1" s="1"/>
  <c r="C27" i="1" s="1"/>
  <c r="C33" i="1"/>
  <c r="C34" i="1" s="1"/>
  <c r="B46" i="1"/>
  <c r="B47" i="1" s="1"/>
  <c r="D34" i="1" l="1"/>
  <c r="E34" i="1" s="1"/>
  <c r="F34" i="1" s="1"/>
  <c r="G34" i="1" s="1"/>
  <c r="H34" i="1" s="1"/>
  <c r="I34" i="1" s="1"/>
  <c r="J34" i="1" s="1"/>
  <c r="K34" i="1" s="1"/>
  <c r="L34" i="1" s="1"/>
  <c r="M34" i="1" s="1"/>
  <c r="N34" i="1" s="1"/>
</calcChain>
</file>

<file path=xl/sharedStrings.xml><?xml version="1.0" encoding="utf-8"?>
<sst xmlns="http://schemas.openxmlformats.org/spreadsheetml/2006/main" count="109" uniqueCount="58">
  <si>
    <t>MENSUALIDAD CLIENTE (MILLONES)</t>
  </si>
  <si>
    <t>OPCION 1: Pago en tres cuotas y el cliente es el dueño de las maquinas.</t>
  </si>
  <si>
    <t>SALARIO NETO INGENIERO MENSUAL</t>
  </si>
  <si>
    <t>COSTOS FIJOS MENSUAL</t>
  </si>
  <si>
    <t>MES</t>
  </si>
  <si>
    <t>INGRESOS</t>
  </si>
  <si>
    <t>SERVICIO AUTOMATIZACION</t>
  </si>
  <si>
    <t>TOTAL INGRESOS</t>
  </si>
  <si>
    <t>EGRESOS</t>
  </si>
  <si>
    <t xml:space="preserve"> </t>
  </si>
  <si>
    <t>INVERSION</t>
  </si>
  <si>
    <t>OTROS COSTOS (ARRIENDOS, SERVICIOS ETC)</t>
  </si>
  <si>
    <t>COSTOS FIJOS (NOMINA)</t>
  </si>
  <si>
    <t>TOTAL EGRESOS</t>
  </si>
  <si>
    <t>FLUJO NETO ECONOMICO</t>
  </si>
  <si>
    <t>PAGO DEUDA</t>
  </si>
  <si>
    <t>FLUJO NETO FINANCIERO</t>
  </si>
  <si>
    <t>GANANCIA 
        O
COSTO OPORTUNIDAD</t>
  </si>
  <si>
    <t>FLUJO NETO FINANCIADO</t>
  </si>
  <si>
    <t>VA</t>
  </si>
  <si>
    <t>VAN</t>
  </si>
  <si>
    <t>TIR</t>
  </si>
  <si>
    <t>VALOR ACTUAL</t>
  </si>
  <si>
    <t>VALOR ACTUA ACUMULADO</t>
  </si>
  <si>
    <t>PAYBACK</t>
  </si>
  <si>
    <t>ESTADO DE PERDIDAS Y GANANCIAS</t>
  </si>
  <si>
    <t>VENTAS</t>
  </si>
  <si>
    <t>COSTOS</t>
  </si>
  <si>
    <t>UTILIDAD BRUTA</t>
  </si>
  <si>
    <t>GASTOS FINANCIEROS</t>
  </si>
  <si>
    <t>UTILIDAD ANTES DE IMMPUESTOS</t>
  </si>
  <si>
    <t>IMPUESTOS</t>
  </si>
  <si>
    <t>UTILIDAD NETA DEL EJERCICIO</t>
  </si>
  <si>
    <t>HARDWARE</t>
  </si>
  <si>
    <t>PLCs</t>
  </si>
  <si>
    <t>Robots</t>
  </si>
  <si>
    <t>Sensores</t>
  </si>
  <si>
    <t>SOFTWARE</t>
  </si>
  <si>
    <t>Studio 5000</t>
  </si>
  <si>
    <t>Siemenx NX</t>
  </si>
  <si>
    <t>Ignition</t>
  </si>
  <si>
    <t>NOMINA</t>
  </si>
  <si>
    <t>Ingeniero 1</t>
  </si>
  <si>
    <t>Ingeniero 2</t>
  </si>
  <si>
    <t>Ingeniero 3</t>
  </si>
  <si>
    <t>Ingeniero 4</t>
  </si>
  <si>
    <t>Ingeniero 5</t>
  </si>
  <si>
    <t>ITEM</t>
  </si>
  <si>
    <t>VALOR</t>
  </si>
  <si>
    <t>SubTotal</t>
  </si>
  <si>
    <t>Dólar</t>
  </si>
  <si>
    <t>Actuadores</t>
  </si>
  <si>
    <t>TOTAL</t>
  </si>
  <si>
    <t>MES[30%]</t>
  </si>
  <si>
    <t>MES[40%]</t>
  </si>
  <si>
    <t>Duración Proyecto</t>
  </si>
  <si>
    <t xml:space="preserve">Nomina mensual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</si>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</sst>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&quot;$&quot;#,##0"/>
    <numFmt numFmtId="165" formatCode="&quot;$&quot;#,##0.00"/>
    <numFmt numFmtId="166" formatCode="_-&quot;$&quot;\ * #,##0_-;\-&quot;$&quot;\ * #,##0_-;_-&quot;$&quot;\ * &quot;-&quot;??_-;_-@_-"/>
    <numFmt numFmtId="167" formatCode="&quot;$&quot;#,##0.0"/>
    <numFmt numFmtId="168" formatCode="0.0%"/>
    <numFmt numFmtId="169" formatCode="&quot;$&quot;\ #,##0.0"/>
  </numFmts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379"/>
        <bgColor rgb="FFFF9379"/>
      </patternFill>
    </fill>
    <fill>
      <patternFill patternType="solid">
        <fgColor rgb="FFB4C6E7"/>
        <bgColor rgb="FFB4C6E7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FFC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10" fillId="0" borderId="3" xfId="1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/>
    <xf numFmtId="0" fontId="11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5" fillId="6" borderId="1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3" borderId="2" xfId="0" applyNumberFormat="1" applyFont="1" applyFill="1" applyBorder="1" applyAlignment="1">
      <alignment vertical="center"/>
    </xf>
    <xf numFmtId="169" fontId="2" fillId="0" borderId="0" xfId="0" applyNumberFormat="1" applyFont="1" applyAlignment="1">
      <alignment vertical="center"/>
    </xf>
    <xf numFmtId="168" fontId="2" fillId="0" borderId="0" xfId="2" applyNumberFormat="1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165" fontId="2" fillId="0" borderId="1" xfId="0" applyNumberFormat="1" applyFont="1" applyFill="1" applyBorder="1" applyAlignment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vertical="center"/>
    </xf>
    <xf numFmtId="0" fontId="7" fillId="9" borderId="3" xfId="0" applyFont="1" applyFill="1" applyBorder="1"/>
    <xf numFmtId="0" fontId="8" fillId="9" borderId="3" xfId="0" applyFont="1" applyFill="1" applyBorder="1"/>
    <xf numFmtId="0" fontId="8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6" fontId="12" fillId="0" borderId="3" xfId="1" applyNumberFormat="1" applyFont="1" applyBorder="1" applyAlignment="1">
      <alignment horizontal="center" vertical="center"/>
    </xf>
    <xf numFmtId="165" fontId="2" fillId="10" borderId="0" xfId="0" applyNumberFormat="1" applyFont="1" applyFill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11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65" fontId="11" fillId="0" borderId="3" xfId="0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5" workbookViewId="0">
      <selection activeCell="C47" sqref="C47"/>
    </sheetView>
  </sheetViews>
  <sheetFormatPr baseColWidth="10" defaultColWidth="14.44140625" defaultRowHeight="15" customHeight="1" x14ac:dyDescent="0.25"/>
  <cols>
    <col min="1" max="1" width="18.44140625" customWidth="1"/>
    <col min="2" max="2" width="24.33203125" customWidth="1"/>
    <col min="3" max="3" width="22.109375" customWidth="1"/>
    <col min="4" max="5" width="16.5546875" customWidth="1"/>
    <col min="6" max="7" width="15.33203125" bestFit="1" customWidth="1"/>
    <col min="8" max="8" width="16.33203125" bestFit="1" customWidth="1"/>
    <col min="9" max="9" width="15.33203125" customWidth="1"/>
    <col min="10" max="13" width="15.33203125" bestFit="1" customWidth="1"/>
    <col min="14" max="14" width="17" bestFit="1" customWidth="1"/>
    <col min="15" max="20" width="14.33203125" bestFit="1" customWidth="1"/>
    <col min="21" max="26" width="15.33203125" bestFit="1" customWidth="1"/>
  </cols>
  <sheetData>
    <row r="1" spans="1:26" ht="12.75" customHeight="1" x14ac:dyDescent="0.25">
      <c r="A1" s="1" t="s">
        <v>0</v>
      </c>
      <c r="B1" s="2">
        <v>3091.4523810270475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1" t="s">
        <v>2</v>
      </c>
      <c r="B2" s="38">
        <f>('COSTOS PRY'!F4)/1000000</f>
        <v>5.1978370833333329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1" t="s">
        <v>3</v>
      </c>
      <c r="B3" s="38">
        <v>1.5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"/>
      <c r="B4" s="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7"/>
      <c r="B5" s="8" t="s">
        <v>4</v>
      </c>
      <c r="C5" s="40" t="s">
        <v>53</v>
      </c>
      <c r="D5" s="8" t="s">
        <v>4</v>
      </c>
      <c r="E5" s="8" t="s">
        <v>4</v>
      </c>
      <c r="F5" s="8" t="s">
        <v>4</v>
      </c>
      <c r="G5" s="8" t="s">
        <v>4</v>
      </c>
      <c r="H5" s="40" t="s">
        <v>53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40" t="s">
        <v>54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</row>
    <row r="6" spans="1:26" ht="12.75" customHeight="1" x14ac:dyDescent="0.25">
      <c r="A6" s="7"/>
      <c r="B6" s="8">
        <v>0</v>
      </c>
      <c r="C6" s="8">
        <v>1</v>
      </c>
      <c r="D6" s="8">
        <v>2</v>
      </c>
      <c r="E6" s="8">
        <v>3</v>
      </c>
      <c r="F6" s="8">
        <v>4</v>
      </c>
      <c r="G6" s="8">
        <v>5</v>
      </c>
      <c r="H6" s="8">
        <v>6</v>
      </c>
      <c r="I6" s="8">
        <v>7</v>
      </c>
      <c r="J6" s="8">
        <v>8</v>
      </c>
      <c r="K6" s="8">
        <v>9</v>
      </c>
      <c r="L6" s="8">
        <v>10</v>
      </c>
      <c r="M6" s="8">
        <v>11</v>
      </c>
      <c r="N6" s="8">
        <v>12</v>
      </c>
      <c r="O6" s="8">
        <v>13</v>
      </c>
      <c r="P6" s="8">
        <v>14</v>
      </c>
      <c r="Q6" s="8">
        <v>15</v>
      </c>
      <c r="R6" s="8">
        <v>16</v>
      </c>
      <c r="S6" s="8">
        <v>17</v>
      </c>
      <c r="T6" s="8">
        <v>18</v>
      </c>
      <c r="U6" s="8">
        <v>19</v>
      </c>
      <c r="V6" s="8">
        <v>20</v>
      </c>
      <c r="W6" s="8">
        <v>21</v>
      </c>
      <c r="X6" s="8">
        <v>22</v>
      </c>
      <c r="Y6" s="8">
        <v>23</v>
      </c>
      <c r="Z6" s="8">
        <v>24</v>
      </c>
    </row>
    <row r="7" spans="1:26" ht="12.75" customHeight="1" x14ac:dyDescent="0.25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5">
      <c r="A8" s="11" t="s">
        <v>6</v>
      </c>
      <c r="B8" s="10"/>
      <c r="C8" s="10">
        <f>$B$1*1000000*0.3</f>
        <v>927435714.30811429</v>
      </c>
      <c r="D8" s="10">
        <v>0</v>
      </c>
      <c r="E8" s="10">
        <v>0</v>
      </c>
      <c r="F8" s="10">
        <v>0</v>
      </c>
      <c r="G8" s="10">
        <v>0</v>
      </c>
      <c r="H8" s="10">
        <f>$B$1*1000000*0.3</f>
        <v>927435714.30811429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f>$B$1*1000000*0.4</f>
        <v>1236580952.4108191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</row>
    <row r="9" spans="1:26" ht="12.75" customHeight="1" x14ac:dyDescent="0.25">
      <c r="A9" s="11" t="s">
        <v>7</v>
      </c>
      <c r="B9" s="10"/>
      <c r="C9" s="10">
        <f t="shared" ref="C9:N9" si="0">SUM(C8)</f>
        <v>927435714.30811429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927435714.30811429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0"/>
        <v>0</v>
      </c>
      <c r="N9" s="10">
        <f t="shared" si="0"/>
        <v>1236580952.4108191</v>
      </c>
      <c r="O9" s="10">
        <f t="shared" ref="O9:Z9" si="1">SUM(O8)</f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1"/>
        <v>0</v>
      </c>
      <c r="X9" s="10">
        <f t="shared" si="1"/>
        <v>0</v>
      </c>
      <c r="Y9" s="10">
        <f t="shared" si="1"/>
        <v>0</v>
      </c>
      <c r="Z9" s="10">
        <f t="shared" si="1"/>
        <v>0</v>
      </c>
    </row>
    <row r="10" spans="1:26" ht="12.75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2" t="s">
        <v>8</v>
      </c>
      <c r="B11" s="13" t="s">
        <v>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25">
      <c r="A12" s="14" t="s">
        <v>10</v>
      </c>
      <c r="B12" s="13">
        <f>'COSTOS PRY'!C19</f>
        <v>997984720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 x14ac:dyDescent="0.25">
      <c r="A13" s="14" t="s">
        <v>11</v>
      </c>
      <c r="B13" s="13"/>
      <c r="C13" s="13">
        <f t="shared" ref="C13:N13" si="2">$B$3*1000000</f>
        <v>1500000</v>
      </c>
      <c r="D13" s="13">
        <f t="shared" si="2"/>
        <v>1500000</v>
      </c>
      <c r="E13" s="13">
        <f t="shared" si="2"/>
        <v>1500000</v>
      </c>
      <c r="F13" s="13">
        <f t="shared" si="2"/>
        <v>1500000</v>
      </c>
      <c r="G13" s="13">
        <f t="shared" si="2"/>
        <v>1500000</v>
      </c>
      <c r="H13" s="13">
        <f t="shared" si="2"/>
        <v>1500000</v>
      </c>
      <c r="I13" s="13">
        <f t="shared" si="2"/>
        <v>1500000</v>
      </c>
      <c r="J13" s="13">
        <f t="shared" si="2"/>
        <v>1500000</v>
      </c>
      <c r="K13" s="13">
        <f t="shared" si="2"/>
        <v>1500000</v>
      </c>
      <c r="L13" s="13">
        <f t="shared" si="2"/>
        <v>1500000</v>
      </c>
      <c r="M13" s="13">
        <f t="shared" si="2"/>
        <v>1500000</v>
      </c>
      <c r="N13" s="13">
        <f t="shared" si="2"/>
        <v>1500000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</row>
    <row r="14" spans="1:26" ht="26.4" x14ac:dyDescent="0.25">
      <c r="A14" s="14" t="s">
        <v>12</v>
      </c>
      <c r="B14" s="13"/>
      <c r="C14" s="13">
        <f t="shared" ref="C14:N14" si="3">($B$2*1000000*1.6)*5</f>
        <v>41582696.666666664</v>
      </c>
      <c r="D14" s="13">
        <f t="shared" si="3"/>
        <v>41582696.666666664</v>
      </c>
      <c r="E14" s="13">
        <f t="shared" si="3"/>
        <v>41582696.666666664</v>
      </c>
      <c r="F14" s="13">
        <f t="shared" si="3"/>
        <v>41582696.666666664</v>
      </c>
      <c r="G14" s="13">
        <f t="shared" si="3"/>
        <v>41582696.666666664</v>
      </c>
      <c r="H14" s="13">
        <f t="shared" si="3"/>
        <v>41582696.666666664</v>
      </c>
      <c r="I14" s="13">
        <f t="shared" si="3"/>
        <v>41582696.666666664</v>
      </c>
      <c r="J14" s="13">
        <f t="shared" si="3"/>
        <v>41582696.666666664</v>
      </c>
      <c r="K14" s="13">
        <f t="shared" si="3"/>
        <v>41582696.666666664</v>
      </c>
      <c r="L14" s="13">
        <f t="shared" si="3"/>
        <v>41582696.666666664</v>
      </c>
      <c r="M14" s="13">
        <f t="shared" si="3"/>
        <v>41582696.666666664</v>
      </c>
      <c r="N14" s="13">
        <f t="shared" si="3"/>
        <v>41582696.666666664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</row>
    <row r="15" spans="1:26" ht="12.75" customHeight="1" x14ac:dyDescent="0.25">
      <c r="A15" s="14" t="s">
        <v>13</v>
      </c>
      <c r="B15" s="13">
        <f t="shared" ref="B15:N15" si="4">SUM(B12:B14)</f>
        <v>997984720</v>
      </c>
      <c r="C15" s="13">
        <f t="shared" si="4"/>
        <v>43082696.666666664</v>
      </c>
      <c r="D15" s="13">
        <f t="shared" si="4"/>
        <v>43082696.666666664</v>
      </c>
      <c r="E15" s="13">
        <f t="shared" si="4"/>
        <v>43082696.666666664</v>
      </c>
      <c r="F15" s="13">
        <f t="shared" si="4"/>
        <v>43082696.666666664</v>
      </c>
      <c r="G15" s="13">
        <f t="shared" si="4"/>
        <v>43082696.666666664</v>
      </c>
      <c r="H15" s="13">
        <f t="shared" si="4"/>
        <v>43082696.666666664</v>
      </c>
      <c r="I15" s="13">
        <f t="shared" si="4"/>
        <v>43082696.666666664</v>
      </c>
      <c r="J15" s="13">
        <f t="shared" si="4"/>
        <v>43082696.666666664</v>
      </c>
      <c r="K15" s="13">
        <f t="shared" si="4"/>
        <v>43082696.666666664</v>
      </c>
      <c r="L15" s="13">
        <f t="shared" si="4"/>
        <v>43082696.666666664</v>
      </c>
      <c r="M15" s="13">
        <f t="shared" si="4"/>
        <v>43082696.666666664</v>
      </c>
      <c r="N15" s="13">
        <f t="shared" si="4"/>
        <v>43082696.666666664</v>
      </c>
      <c r="O15" s="13">
        <f t="shared" ref="O15:Z15" si="5">SUM(O12:O14)</f>
        <v>0</v>
      </c>
      <c r="P15" s="13">
        <f t="shared" si="5"/>
        <v>0</v>
      </c>
      <c r="Q15" s="13">
        <f t="shared" si="5"/>
        <v>0</v>
      </c>
      <c r="R15" s="13">
        <f t="shared" si="5"/>
        <v>0</v>
      </c>
      <c r="S15" s="13">
        <f t="shared" si="5"/>
        <v>0</v>
      </c>
      <c r="T15" s="13">
        <f t="shared" si="5"/>
        <v>0</v>
      </c>
      <c r="U15" s="13">
        <f t="shared" si="5"/>
        <v>0</v>
      </c>
      <c r="V15" s="13">
        <f t="shared" si="5"/>
        <v>0</v>
      </c>
      <c r="W15" s="13">
        <f t="shared" si="5"/>
        <v>0</v>
      </c>
      <c r="X15" s="13">
        <f t="shared" si="5"/>
        <v>0</v>
      </c>
      <c r="Y15" s="13">
        <f t="shared" si="5"/>
        <v>0</v>
      </c>
      <c r="Z15" s="13">
        <f t="shared" si="5"/>
        <v>0</v>
      </c>
    </row>
    <row r="16" spans="1:26" ht="12.75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5" t="s">
        <v>14</v>
      </c>
      <c r="B17" s="6">
        <f t="shared" ref="B17:N17" si="6">B9-B15</f>
        <v>-997984720</v>
      </c>
      <c r="C17" s="6">
        <f>C9-C15</f>
        <v>884353017.64144766</v>
      </c>
      <c r="D17" s="6">
        <f t="shared" si="6"/>
        <v>-43082696.666666664</v>
      </c>
      <c r="E17" s="6">
        <f t="shared" si="6"/>
        <v>-43082696.666666664</v>
      </c>
      <c r="F17" s="6">
        <f t="shared" si="6"/>
        <v>-43082696.666666664</v>
      </c>
      <c r="G17" s="6">
        <f t="shared" si="6"/>
        <v>-43082696.666666664</v>
      </c>
      <c r="H17" s="6">
        <f t="shared" si="6"/>
        <v>884353017.64144766</v>
      </c>
      <c r="I17" s="6">
        <f t="shared" si="6"/>
        <v>-43082696.666666664</v>
      </c>
      <c r="J17" s="6">
        <f t="shared" si="6"/>
        <v>-43082696.666666664</v>
      </c>
      <c r="K17" s="6">
        <f t="shared" si="6"/>
        <v>-43082696.666666664</v>
      </c>
      <c r="L17" s="6">
        <f t="shared" si="6"/>
        <v>-43082696.666666664</v>
      </c>
      <c r="M17" s="6">
        <f t="shared" si="6"/>
        <v>-43082696.666666664</v>
      </c>
      <c r="N17" s="6">
        <f t="shared" si="6"/>
        <v>1193498255.7441523</v>
      </c>
      <c r="O17" s="6">
        <f>O9-O15</f>
        <v>0</v>
      </c>
      <c r="P17" s="6">
        <f t="shared" ref="P17:Z17" si="7">P9-P15</f>
        <v>0</v>
      </c>
      <c r="Q17" s="6">
        <f t="shared" si="7"/>
        <v>0</v>
      </c>
      <c r="R17" s="6">
        <f t="shared" si="7"/>
        <v>0</v>
      </c>
      <c r="S17" s="6">
        <f t="shared" si="7"/>
        <v>0</v>
      </c>
      <c r="T17" s="6">
        <f t="shared" si="7"/>
        <v>0</v>
      </c>
      <c r="U17" s="6">
        <f t="shared" si="7"/>
        <v>0</v>
      </c>
      <c r="V17" s="6">
        <f t="shared" si="7"/>
        <v>0</v>
      </c>
      <c r="W17" s="6">
        <f t="shared" si="7"/>
        <v>0</v>
      </c>
      <c r="X17" s="6">
        <f t="shared" si="7"/>
        <v>0</v>
      </c>
      <c r="Y17" s="6">
        <f t="shared" si="7"/>
        <v>0</v>
      </c>
      <c r="Z17" s="6">
        <f t="shared" si="7"/>
        <v>0</v>
      </c>
    </row>
    <row r="18" spans="1:26" ht="12.75" customHeight="1" x14ac:dyDescent="0.25">
      <c r="A18" s="5" t="s">
        <v>15</v>
      </c>
      <c r="B18" s="6"/>
      <c r="C18" s="6">
        <v>50503946</v>
      </c>
      <c r="D18" s="6">
        <f>$C$18</f>
        <v>50503946</v>
      </c>
      <c r="E18" s="6">
        <f t="shared" ref="E18:N18" si="8">$C$18</f>
        <v>50503946</v>
      </c>
      <c r="F18" s="6">
        <f t="shared" si="8"/>
        <v>50503946</v>
      </c>
      <c r="G18" s="6">
        <f t="shared" si="8"/>
        <v>50503946</v>
      </c>
      <c r="H18" s="6">
        <f t="shared" si="8"/>
        <v>50503946</v>
      </c>
      <c r="I18" s="6">
        <f t="shared" si="8"/>
        <v>50503946</v>
      </c>
      <c r="J18" s="6">
        <f t="shared" si="8"/>
        <v>50503946</v>
      </c>
      <c r="K18" s="6">
        <f t="shared" si="8"/>
        <v>50503946</v>
      </c>
      <c r="L18" s="6">
        <f t="shared" si="8"/>
        <v>50503946</v>
      </c>
      <c r="M18" s="6">
        <f t="shared" si="8"/>
        <v>50503946</v>
      </c>
      <c r="N18" s="6">
        <f t="shared" si="8"/>
        <v>50503946</v>
      </c>
      <c r="O18" s="6">
        <v>50503947</v>
      </c>
      <c r="P18" s="6">
        <f>$C$18</f>
        <v>50503946</v>
      </c>
      <c r="Q18" s="6">
        <f t="shared" ref="Q18:Z18" si="9">$C$18</f>
        <v>50503946</v>
      </c>
      <c r="R18" s="6">
        <f t="shared" si="9"/>
        <v>50503946</v>
      </c>
      <c r="S18" s="6">
        <f t="shared" si="9"/>
        <v>50503946</v>
      </c>
      <c r="T18" s="6">
        <f t="shared" si="9"/>
        <v>50503946</v>
      </c>
      <c r="U18" s="6">
        <f t="shared" si="9"/>
        <v>50503946</v>
      </c>
      <c r="V18" s="6">
        <f t="shared" si="9"/>
        <v>50503946</v>
      </c>
      <c r="W18" s="6">
        <f t="shared" si="9"/>
        <v>50503946</v>
      </c>
      <c r="X18" s="6">
        <f t="shared" si="9"/>
        <v>50503946</v>
      </c>
      <c r="Y18" s="6">
        <f t="shared" si="9"/>
        <v>50503946</v>
      </c>
      <c r="Z18" s="6">
        <f t="shared" si="9"/>
        <v>50503946</v>
      </c>
    </row>
    <row r="19" spans="1:26" ht="12.75" customHeight="1" x14ac:dyDescent="0.25">
      <c r="A19" s="15" t="s">
        <v>16</v>
      </c>
      <c r="B19" s="16">
        <f t="shared" ref="B19:N19" si="10">B17-B18</f>
        <v>-997984720</v>
      </c>
      <c r="C19" s="42">
        <f>C17-C18</f>
        <v>833849071.64144766</v>
      </c>
      <c r="D19" s="16">
        <f>D17-D18</f>
        <v>-93586642.666666657</v>
      </c>
      <c r="E19" s="16">
        <f t="shared" si="10"/>
        <v>-93586642.666666657</v>
      </c>
      <c r="F19" s="16">
        <f t="shared" si="10"/>
        <v>-93586642.666666657</v>
      </c>
      <c r="G19" s="16">
        <f t="shared" si="10"/>
        <v>-93586642.666666657</v>
      </c>
      <c r="H19" s="16">
        <f t="shared" si="10"/>
        <v>833849071.64144766</v>
      </c>
      <c r="I19" s="16">
        <f t="shared" si="10"/>
        <v>-93586642.666666657</v>
      </c>
      <c r="J19" s="16">
        <f t="shared" si="10"/>
        <v>-93586642.666666657</v>
      </c>
      <c r="K19" s="16">
        <f t="shared" si="10"/>
        <v>-93586642.666666657</v>
      </c>
      <c r="L19" s="16">
        <f t="shared" si="10"/>
        <v>-93586642.666666657</v>
      </c>
      <c r="M19" s="16">
        <f t="shared" si="10"/>
        <v>-93586642.666666657</v>
      </c>
      <c r="N19" s="16">
        <f t="shared" si="10"/>
        <v>1142994309.7441523</v>
      </c>
      <c r="O19" s="42">
        <f>O17-O18</f>
        <v>-50503947</v>
      </c>
      <c r="P19" s="16">
        <f t="shared" ref="P19:Z19" si="11">P17-P18</f>
        <v>-50503946</v>
      </c>
      <c r="Q19" s="16">
        <f t="shared" si="11"/>
        <v>-50503946</v>
      </c>
      <c r="R19" s="16">
        <f t="shared" si="11"/>
        <v>-50503946</v>
      </c>
      <c r="S19" s="16">
        <f t="shared" si="11"/>
        <v>-50503946</v>
      </c>
      <c r="T19" s="16">
        <f t="shared" si="11"/>
        <v>-50503946</v>
      </c>
      <c r="U19" s="16">
        <f t="shared" si="11"/>
        <v>-50503946</v>
      </c>
      <c r="V19" s="16">
        <f t="shared" si="11"/>
        <v>-50503946</v>
      </c>
      <c r="W19" s="16">
        <f t="shared" si="11"/>
        <v>-50503946</v>
      </c>
      <c r="X19" s="16">
        <f t="shared" si="11"/>
        <v>-50503946</v>
      </c>
      <c r="Y19" s="16">
        <f t="shared" si="11"/>
        <v>-50503946</v>
      </c>
      <c r="Z19" s="16">
        <f t="shared" si="11"/>
        <v>-50503946</v>
      </c>
    </row>
    <row r="20" spans="1:26" ht="12.75" customHeight="1" x14ac:dyDescent="0.2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7" t="s">
        <v>17</v>
      </c>
      <c r="B22" s="44">
        <v>0.08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8" t="s">
        <v>18</v>
      </c>
      <c r="B24" s="1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63" t="s">
        <v>9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20" t="s">
        <v>19</v>
      </c>
      <c r="B25" s="21">
        <f>NPV(B22,C19:Z19)</f>
        <v>1077823496.9999986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20" t="s">
        <v>10</v>
      </c>
      <c r="B26" s="21">
        <f>$B$12</f>
        <v>997984720</v>
      </c>
      <c r="C26" s="46">
        <f>B26*B22</f>
        <v>79838777.600000009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22" t="s">
        <v>20</v>
      </c>
      <c r="B27" s="23">
        <f>B25-B26</f>
        <v>79838776.999998569</v>
      </c>
      <c r="C27" s="47">
        <f>(B27/B26)</f>
        <v>7.999999939878695E-2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22" t="s">
        <v>21</v>
      </c>
      <c r="B28" s="45">
        <f>IRR(B19:Z19)</f>
        <v>0.10507881688314979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/>
      <c r="B31" s="3"/>
      <c r="C31" s="8" t="s">
        <v>4</v>
      </c>
      <c r="D31" s="8" t="s">
        <v>4</v>
      </c>
      <c r="E31" s="8" t="s">
        <v>4</v>
      </c>
      <c r="F31" s="8" t="s">
        <v>4</v>
      </c>
      <c r="G31" s="8" t="s">
        <v>4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</row>
    <row r="32" spans="1:26" ht="12.75" customHeight="1" x14ac:dyDescent="0.25">
      <c r="A32" s="5"/>
      <c r="B32" s="3"/>
      <c r="C32" s="8">
        <v>1</v>
      </c>
      <c r="D32" s="8">
        <v>2</v>
      </c>
      <c r="E32" s="8">
        <v>3</v>
      </c>
      <c r="F32" s="8">
        <v>4</v>
      </c>
      <c r="G32" s="8">
        <v>5</v>
      </c>
      <c r="H32" s="8">
        <v>6</v>
      </c>
      <c r="I32" s="8">
        <v>7</v>
      </c>
      <c r="J32" s="8">
        <v>8</v>
      </c>
      <c r="K32" s="8">
        <v>9</v>
      </c>
      <c r="L32" s="8">
        <v>10</v>
      </c>
      <c r="M32" s="8">
        <v>11</v>
      </c>
      <c r="N32" s="8">
        <v>12</v>
      </c>
      <c r="O32" s="8">
        <v>13</v>
      </c>
      <c r="P32" s="8">
        <v>14</v>
      </c>
      <c r="Q32" s="8">
        <v>15</v>
      </c>
      <c r="R32" s="8">
        <v>16</v>
      </c>
      <c r="S32" s="8">
        <v>17</v>
      </c>
      <c r="T32" s="8">
        <v>18</v>
      </c>
      <c r="U32" s="8">
        <v>19</v>
      </c>
      <c r="V32" s="8">
        <v>20</v>
      </c>
      <c r="W32" s="8">
        <v>21</v>
      </c>
      <c r="X32" s="8">
        <v>22</v>
      </c>
      <c r="Y32" s="8">
        <v>23</v>
      </c>
      <c r="Z32" s="8">
        <v>24</v>
      </c>
    </row>
    <row r="33" spans="1:26" ht="12.75" customHeight="1" x14ac:dyDescent="0.25">
      <c r="A33" s="24" t="s">
        <v>22</v>
      </c>
      <c r="B33" s="3"/>
      <c r="C33" s="6">
        <f t="shared" ref="C33:N33" si="12">C19/POWER(1+$B$22,C32)</f>
        <v>772082473.74208117</v>
      </c>
      <c r="D33" s="6">
        <f t="shared" si="12"/>
        <v>-80235461.819844514</v>
      </c>
      <c r="E33" s="6">
        <f t="shared" si="12"/>
        <v>-74292094.277633816</v>
      </c>
      <c r="F33" s="6">
        <f t="shared" si="12"/>
        <v>-68788976.182994261</v>
      </c>
      <c r="G33" s="6">
        <f t="shared" si="12"/>
        <v>-63693496.465735428</v>
      </c>
      <c r="H33" s="6">
        <f t="shared" si="12"/>
        <v>525466358.35311419</v>
      </c>
      <c r="I33" s="6">
        <f t="shared" si="12"/>
        <v>-54606907.120829403</v>
      </c>
      <c r="J33" s="6">
        <f t="shared" si="12"/>
        <v>-50561951.037805006</v>
      </c>
      <c r="K33" s="6">
        <f t="shared" si="12"/>
        <v>-46816621.331300929</v>
      </c>
      <c r="L33" s="6">
        <f t="shared" si="12"/>
        <v>-43348723.454908267</v>
      </c>
      <c r="M33" s="6">
        <f t="shared" si="12"/>
        <v>-40137706.90269284</v>
      </c>
      <c r="N33" s="6">
        <f t="shared" si="12"/>
        <v>453898766.45348066</v>
      </c>
      <c r="O33" s="6">
        <f t="shared" ref="O33:Z33" si="13">O19/POWER(1+$B$22,O32)</f>
        <v>-18570196.499655496</v>
      </c>
      <c r="P33" s="6">
        <f t="shared" si="13"/>
        <v>-17194626.048108857</v>
      </c>
      <c r="Q33" s="6">
        <f t="shared" si="13"/>
        <v>-15920950.044545239</v>
      </c>
      <c r="R33" s="6">
        <f t="shared" si="13"/>
        <v>-14741620.411615962</v>
      </c>
      <c r="S33" s="6">
        <f t="shared" si="13"/>
        <v>-13649648.529274039</v>
      </c>
      <c r="T33" s="6">
        <f t="shared" si="13"/>
        <v>-12638563.453031516</v>
      </c>
      <c r="U33" s="6">
        <f t="shared" si="13"/>
        <v>-11702373.567621773</v>
      </c>
      <c r="V33" s="6">
        <f t="shared" si="13"/>
        <v>-10835531.081131272</v>
      </c>
      <c r="W33" s="6">
        <f t="shared" si="13"/>
        <v>-10032899.149195621</v>
      </c>
      <c r="X33" s="6">
        <f t="shared" si="13"/>
        <v>-9289721.4344403893</v>
      </c>
      <c r="Y33" s="6">
        <f t="shared" si="13"/>
        <v>-8601593.9207781386</v>
      </c>
      <c r="Z33" s="6">
        <f t="shared" si="13"/>
        <v>-7964438.8155353125</v>
      </c>
    </row>
    <row r="34" spans="1:26" ht="12.75" customHeight="1" x14ac:dyDescent="0.25">
      <c r="A34" s="24" t="s">
        <v>23</v>
      </c>
      <c r="B34" s="3"/>
      <c r="C34" s="49">
        <f>C33</f>
        <v>772082473.74208117</v>
      </c>
      <c r="D34" s="49">
        <f>C34+D33</f>
        <v>691847011.92223668</v>
      </c>
      <c r="E34" s="49">
        <f t="shared" ref="E34:N34" si="14">D34+E33</f>
        <v>617554917.64460289</v>
      </c>
      <c r="F34" s="49">
        <f t="shared" si="14"/>
        <v>548765941.46160865</v>
      </c>
      <c r="G34" s="49">
        <f t="shared" si="14"/>
        <v>485072444.99587321</v>
      </c>
      <c r="H34" s="61">
        <f t="shared" si="14"/>
        <v>1010538803.3489873</v>
      </c>
      <c r="I34" s="6">
        <f t="shared" si="14"/>
        <v>955931896.228158</v>
      </c>
      <c r="J34" s="6">
        <f t="shared" si="14"/>
        <v>905369945.19035304</v>
      </c>
      <c r="K34" s="6">
        <f t="shared" si="14"/>
        <v>858553323.85905206</v>
      </c>
      <c r="L34" s="6">
        <f t="shared" si="14"/>
        <v>815204600.40414381</v>
      </c>
      <c r="M34" s="6">
        <f t="shared" si="14"/>
        <v>775066893.50145102</v>
      </c>
      <c r="N34" s="6">
        <f t="shared" si="14"/>
        <v>1228965659.9549317</v>
      </c>
      <c r="O34" s="49">
        <f>O33</f>
        <v>-18570196.499655496</v>
      </c>
      <c r="P34" s="49">
        <f>O34+P33</f>
        <v>-35764822.547764353</v>
      </c>
      <c r="Q34" s="49">
        <f t="shared" ref="Q34" si="15">P34+Q33</f>
        <v>-51685772.592309594</v>
      </c>
      <c r="R34" s="49">
        <f t="shared" ref="R34" si="16">Q34+R33</f>
        <v>-66427393.003925554</v>
      </c>
      <c r="S34" s="49">
        <f t="shared" ref="S34" si="17">R34+S33</f>
        <v>-80077041.533199593</v>
      </c>
      <c r="T34" s="6">
        <f t="shared" ref="T34" si="18">S34+T33</f>
        <v>-92715604.986231104</v>
      </c>
      <c r="U34" s="6">
        <f t="shared" ref="U34" si="19">T34+U33</f>
        <v>-104417978.55385287</v>
      </c>
      <c r="V34" s="6">
        <f t="shared" ref="V34" si="20">U34+V33</f>
        <v>-115253509.63498414</v>
      </c>
      <c r="W34" s="6">
        <f t="shared" ref="W34" si="21">V34+W33</f>
        <v>-125286408.78417976</v>
      </c>
      <c r="X34" s="6">
        <f t="shared" ref="X34" si="22">W34+X33</f>
        <v>-134576130.21862015</v>
      </c>
      <c r="Y34" s="6">
        <f t="shared" ref="Y34" si="23">X34+Y33</f>
        <v>-143177724.13939828</v>
      </c>
      <c r="Z34" s="6">
        <f t="shared" ref="Z34" si="24">Y34+Z33</f>
        <v>-151142162.95493358</v>
      </c>
    </row>
    <row r="35" spans="1:26" ht="12.75" customHeight="1" x14ac:dyDescent="0.25">
      <c r="A35" s="25" t="s">
        <v>24</v>
      </c>
      <c r="B35" s="48">
        <v>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64" t="s">
        <v>25</v>
      </c>
      <c r="B39" s="6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64"/>
      <c r="B40" s="6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57" t="s">
        <v>26</v>
      </c>
      <c r="B41" s="58">
        <f>SUM(C8:N8)</f>
        <v>3091452381.0270476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7" t="s">
        <v>27</v>
      </c>
      <c r="B42" s="58">
        <f>SUM(C13:Z14)</f>
        <v>516992360.00000006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57" t="s">
        <v>28</v>
      </c>
      <c r="B43" s="58">
        <f>B41-B42</f>
        <v>2574460021.0270476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6.4" x14ac:dyDescent="0.25">
      <c r="A44" s="57" t="s">
        <v>29</v>
      </c>
      <c r="B44" s="58">
        <f>SUM(C18:Z18)</f>
        <v>1212094705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6.4" x14ac:dyDescent="0.25">
      <c r="A45" s="57" t="s">
        <v>30</v>
      </c>
      <c r="B45" s="58">
        <f>B43-B44</f>
        <v>1362365316.0270476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57" t="s">
        <v>31</v>
      </c>
      <c r="B46" s="58">
        <f>B45*0.19</f>
        <v>258849410.04513904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6.4" x14ac:dyDescent="0.25">
      <c r="A47" s="65" t="s">
        <v>32</v>
      </c>
      <c r="B47" s="66">
        <f>B45-B46</f>
        <v>1103515905.9819086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39:B40"/>
  </mergeCells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2"/>
  <sheetViews>
    <sheetView showGridLines="0" tabSelected="1" zoomScale="145" zoomScaleNormal="145" workbookViewId="0">
      <selection activeCell="C12" sqref="C12"/>
    </sheetView>
  </sheetViews>
  <sheetFormatPr baseColWidth="10" defaultColWidth="14.44140625" defaultRowHeight="15" customHeight="1" x14ac:dyDescent="0.25"/>
  <cols>
    <col min="1" max="2" width="10.6640625" customWidth="1"/>
    <col min="3" max="3" width="15.5546875" bestFit="1" customWidth="1"/>
    <col min="4" max="4" width="12" bestFit="1" customWidth="1"/>
    <col min="5" max="5" width="16.44140625" style="27" bestFit="1" customWidth="1"/>
    <col min="6" max="6" width="12" style="27" bestFit="1" customWidth="1"/>
    <col min="7" max="26" width="10.6640625" customWidth="1"/>
  </cols>
  <sheetData>
    <row r="1" spans="2:6" ht="12.75" customHeight="1" x14ac:dyDescent="0.25"/>
    <row r="2" spans="2:6" ht="12.75" customHeight="1" x14ac:dyDescent="0.25">
      <c r="B2" s="43" t="s">
        <v>47</v>
      </c>
      <c r="C2" s="43" t="s">
        <v>48</v>
      </c>
      <c r="E2" s="55" t="s">
        <v>50</v>
      </c>
      <c r="F2" s="32">
        <v>3720</v>
      </c>
    </row>
    <row r="3" spans="2:6" ht="12.75" customHeight="1" x14ac:dyDescent="0.3">
      <c r="B3" s="52" t="s">
        <v>33</v>
      </c>
      <c r="C3" s="33"/>
      <c r="E3" s="55" t="s">
        <v>55</v>
      </c>
      <c r="F3" s="33">
        <v>12</v>
      </c>
    </row>
    <row r="4" spans="2:6" ht="12.75" customHeight="1" x14ac:dyDescent="0.3">
      <c r="B4" s="28" t="s">
        <v>34</v>
      </c>
      <c r="C4" s="34">
        <f>$F$2*18000</f>
        <v>66960000</v>
      </c>
      <c r="E4" s="55" t="s">
        <v>56</v>
      </c>
      <c r="F4" s="34">
        <f>($C$14/$F$3)/1.6</f>
        <v>5197837.083333333</v>
      </c>
    </row>
    <row r="5" spans="2:6" ht="12.75" customHeight="1" x14ac:dyDescent="0.3">
      <c r="B5" s="28" t="s">
        <v>35</v>
      </c>
      <c r="C5" s="34">
        <f>$F$2*95000</f>
        <v>353400000</v>
      </c>
    </row>
    <row r="6" spans="2:6" ht="12.75" customHeight="1" x14ac:dyDescent="0.3">
      <c r="B6" s="30" t="s">
        <v>51</v>
      </c>
      <c r="C6" s="34">
        <v>35000000</v>
      </c>
    </row>
    <row r="7" spans="2:6" ht="12.75" customHeight="1" x14ac:dyDescent="0.3">
      <c r="B7" s="28" t="s">
        <v>36</v>
      </c>
      <c r="C7" s="32">
        <v>7500000</v>
      </c>
    </row>
    <row r="8" spans="2:6" ht="12.75" customHeight="1" x14ac:dyDescent="0.3">
      <c r="B8" s="53" t="s">
        <v>37</v>
      </c>
      <c r="C8" s="35"/>
    </row>
    <row r="9" spans="2:6" ht="12.75" customHeight="1" x14ac:dyDescent="0.3">
      <c r="B9" s="28" t="s">
        <v>38</v>
      </c>
      <c r="C9" s="32">
        <f>$F$2*2093</f>
        <v>7785960</v>
      </c>
      <c r="F9" s="36"/>
    </row>
    <row r="10" spans="2:6" ht="12.75" customHeight="1" x14ac:dyDescent="0.3">
      <c r="B10" s="28" t="s">
        <v>39</v>
      </c>
      <c r="C10" s="32">
        <f>$F$2*6000</f>
        <v>22320000</v>
      </c>
    </row>
    <row r="11" spans="2:6" ht="12.75" customHeight="1" x14ac:dyDescent="0.3">
      <c r="B11" s="28" t="s">
        <v>40</v>
      </c>
      <c r="C11" s="37">
        <f>$F$2*1620</f>
        <v>6026400</v>
      </c>
    </row>
    <row r="12" spans="2:6" ht="12.75" customHeight="1" x14ac:dyDescent="0.3">
      <c r="B12" s="59" t="s">
        <v>49</v>
      </c>
      <c r="C12" s="60">
        <f>SUM(C4:C11)</f>
        <v>498992360</v>
      </c>
    </row>
    <row r="13" spans="2:6" ht="12.75" customHeight="1" x14ac:dyDescent="0.3">
      <c r="B13" s="54" t="s">
        <v>41</v>
      </c>
      <c r="C13" s="32"/>
    </row>
    <row r="14" spans="2:6" ht="12.75" customHeight="1" x14ac:dyDescent="0.3">
      <c r="B14" s="29" t="s">
        <v>42</v>
      </c>
      <c r="C14" s="32">
        <f>$C$12/5</f>
        <v>99798472</v>
      </c>
      <c r="D14" s="39"/>
      <c r="E14" s="31"/>
      <c r="F14" s="41"/>
    </row>
    <row r="15" spans="2:6" ht="12.75" customHeight="1" x14ac:dyDescent="0.3">
      <c r="B15" s="29" t="s">
        <v>43</v>
      </c>
      <c r="C15" s="32">
        <f t="shared" ref="C15:C18" si="0">$C$12/5</f>
        <v>99798472</v>
      </c>
      <c r="D15" s="39"/>
      <c r="F15" s="36"/>
    </row>
    <row r="16" spans="2:6" ht="12.75" customHeight="1" x14ac:dyDescent="0.3">
      <c r="B16" s="29" t="s">
        <v>44</v>
      </c>
      <c r="C16" s="32">
        <f t="shared" si="0"/>
        <v>99798472</v>
      </c>
    </row>
    <row r="17" spans="2:6" ht="12.75" customHeight="1" x14ac:dyDescent="0.3">
      <c r="B17" s="29" t="s">
        <v>45</v>
      </c>
      <c r="C17" s="32">
        <f t="shared" si="0"/>
        <v>99798472</v>
      </c>
    </row>
    <row r="18" spans="2:6" ht="12.75" customHeight="1" x14ac:dyDescent="0.3">
      <c r="B18" s="29" t="s">
        <v>46</v>
      </c>
      <c r="C18" s="32">
        <f t="shared" si="0"/>
        <v>99798472</v>
      </c>
      <c r="F18" s="36"/>
    </row>
    <row r="19" spans="2:6" ht="12.75" customHeight="1" x14ac:dyDescent="0.25">
      <c r="B19" s="56" t="s">
        <v>52</v>
      </c>
      <c r="C19" s="60">
        <f>SUM(C14:C18)+C12</f>
        <v>997984720</v>
      </c>
    </row>
    <row r="20" spans="2:6" ht="12.75" customHeight="1" x14ac:dyDescent="0.25"/>
    <row r="21" spans="2:6" ht="12.75" customHeight="1" x14ac:dyDescent="0.25"/>
    <row r="22" spans="2:6" ht="12.75" customHeight="1" x14ac:dyDescent="0.25"/>
    <row r="23" spans="2:6" ht="12.75" customHeight="1" x14ac:dyDescent="0.25"/>
    <row r="24" spans="2:6" ht="12.75" customHeight="1" x14ac:dyDescent="0.25"/>
    <row r="25" spans="2:6" ht="12.75" customHeight="1" x14ac:dyDescent="0.25"/>
    <row r="26" spans="2:6" ht="12.75" customHeight="1" x14ac:dyDescent="0.3">
      <c r="C26" s="26"/>
    </row>
    <row r="27" spans="2:6" ht="12.75" customHeight="1" x14ac:dyDescent="0.25"/>
    <row r="28" spans="2:6" ht="12.75" customHeight="1" x14ac:dyDescent="0.25"/>
    <row r="29" spans="2:6" ht="12.75" customHeight="1" x14ac:dyDescent="0.25"/>
    <row r="30" spans="2:6" ht="12.75" customHeight="1" x14ac:dyDescent="0.25"/>
    <row r="31" spans="2:6" ht="12.75" customHeight="1" x14ac:dyDescent="0.25"/>
    <row r="32" spans="2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2E7C-EACD-4E1E-94F3-D24A8EAF9EA9}">
  <dimension ref="B4:D8"/>
  <sheetViews>
    <sheetView showGridLines="0" zoomScale="160" zoomScaleNormal="160" workbookViewId="0">
      <selection activeCell="B21" sqref="B21"/>
    </sheetView>
  </sheetViews>
  <sheetFormatPr baseColWidth="10" defaultRowHeight="13.2" x14ac:dyDescent="0.25"/>
  <cols>
    <col min="2" max="2" width="6.5546875" style="27" bestFit="1" customWidth="1"/>
    <col min="3" max="3" width="15.5546875" style="27" bestFit="1" customWidth="1"/>
    <col min="4" max="4" width="11.5546875" style="27"/>
  </cols>
  <sheetData>
    <row r="4" spans="2:4" ht="15.6" x14ac:dyDescent="0.25">
      <c r="B4" s="43" t="s">
        <v>4</v>
      </c>
      <c r="C4" s="43" t="s">
        <v>48</v>
      </c>
      <c r="D4" s="43" t="s">
        <v>57</v>
      </c>
    </row>
    <row r="5" spans="2:4" x14ac:dyDescent="0.25">
      <c r="B5" s="33">
        <v>1</v>
      </c>
      <c r="C5" s="32">
        <v>927435714.30999994</v>
      </c>
      <c r="D5" s="33">
        <v>30</v>
      </c>
    </row>
    <row r="6" spans="2:4" x14ac:dyDescent="0.25">
      <c r="B6" s="33">
        <v>6</v>
      </c>
      <c r="C6" s="32">
        <v>927435714.30999994</v>
      </c>
      <c r="D6" s="33">
        <v>30</v>
      </c>
    </row>
    <row r="7" spans="2:4" x14ac:dyDescent="0.25">
      <c r="B7" s="33">
        <v>12</v>
      </c>
      <c r="C7" s="32">
        <v>1236580952.4100001</v>
      </c>
      <c r="D7" s="33">
        <v>40</v>
      </c>
    </row>
    <row r="8" spans="2:4" x14ac:dyDescent="0.25">
      <c r="B8" s="62" t="s">
        <v>52</v>
      </c>
      <c r="C8" s="32">
        <f>SUM(C5:C7)</f>
        <v>3091452381.0299997</v>
      </c>
      <c r="D8" s="33">
        <f>SUM(D5:D7)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 PRY OPCION 1</vt:lpstr>
      <vt:lpstr>COSTOS PRY</vt:lpstr>
      <vt:lpstr>Oferta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M. Benitez</cp:lastModifiedBy>
  <dcterms:modified xsi:type="dcterms:W3CDTF">2021-04-30T03:40:59Z</dcterms:modified>
</cp:coreProperties>
</file>