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miarodriguezur_unal_edu_co/Documents/Doceabo semestre/AUTO/"/>
    </mc:Choice>
  </mc:AlternateContent>
  <xr:revisionPtr revIDLastSave="395" documentId="8_{C3A09DDA-1F33-43AF-BF06-9AD47F41F0C3}" xr6:coauthVersionLast="45" xr6:coauthVersionMax="45" xr10:uidLastSave="{D0A9F812-21EB-4BDB-849A-36D3F3FF4516}"/>
  <bookViews>
    <workbookView xWindow="-120" yWindow="-120" windowWidth="29040" windowHeight="15840" activeTab="1" xr2:uid="{F57C0DAA-5EAC-44A1-81C7-CBC6933FA777}"/>
  </bookViews>
  <sheets>
    <sheet name="Cilindro 1A" sheetId="1" r:id="rId1"/>
    <sheet name="Cilindro 2A" sheetId="2" r:id="rId2"/>
    <sheet name="Cilindro 3A" sheetId="3" r:id="rId3"/>
    <sheet name="Tiempos" sheetId="4" r:id="rId4"/>
    <sheet name="Dim Cubo" sheetId="5" r:id="rId5"/>
    <sheet name="Compreso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5" i="1" l="1"/>
  <c r="E6" i="6"/>
  <c r="H28" i="3"/>
  <c r="H30" i="3" s="1"/>
  <c r="H33" i="3" s="1"/>
  <c r="H37" i="3" s="1"/>
  <c r="H40" i="3" s="1"/>
  <c r="H20" i="3"/>
  <c r="H21" i="3" s="1"/>
  <c r="H5" i="3"/>
  <c r="H4" i="3"/>
  <c r="H6" i="3" s="1"/>
  <c r="H7" i="3" s="1"/>
  <c r="H8" i="3" s="1"/>
  <c r="H14" i="3" s="1"/>
  <c r="H15" i="3" s="1"/>
  <c r="H22" i="3" s="1"/>
  <c r="H23" i="3" s="1"/>
  <c r="H4" i="2"/>
  <c r="H5" i="2"/>
  <c r="H6" i="2"/>
  <c r="H7" i="2" s="1"/>
  <c r="H8" i="2" s="1"/>
  <c r="H14" i="2" s="1"/>
  <c r="H15" i="2" s="1"/>
  <c r="H22" i="2" s="1"/>
  <c r="H23" i="2" s="1"/>
  <c r="H20" i="2"/>
  <c r="H21" i="2" s="1"/>
  <c r="H28" i="2"/>
  <c r="H30" i="2"/>
  <c r="H33" i="2" s="1"/>
  <c r="H37" i="2" s="1"/>
  <c r="H40" i="2" s="1"/>
  <c r="J23" i="1"/>
  <c r="H22" i="1"/>
  <c r="H21" i="1"/>
  <c r="H20" i="1"/>
  <c r="H24" i="3" l="1"/>
  <c r="H25" i="3" s="1"/>
  <c r="J23" i="3"/>
  <c r="J23" i="2"/>
  <c r="H24" i="2"/>
  <c r="H25" i="2"/>
  <c r="H28" i="1"/>
  <c r="H30" i="1" s="1"/>
  <c r="H33" i="1" s="1"/>
  <c r="H37" i="1" s="1"/>
  <c r="H40" i="1" s="1"/>
  <c r="H5" i="1"/>
  <c r="H4" i="1"/>
  <c r="H6" i="1" s="1"/>
  <c r="H7" i="1" s="1"/>
  <c r="H8" i="1" s="1"/>
  <c r="H14" i="1" s="1"/>
  <c r="C28" i="3"/>
  <c r="C27" i="3"/>
  <c r="C28" i="2"/>
  <c r="C13" i="3"/>
  <c r="C7" i="3"/>
  <c r="C11" i="3" s="1"/>
  <c r="C14" i="3" s="1"/>
  <c r="C13" i="2"/>
  <c r="C27" i="2" s="1"/>
  <c r="C7" i="2"/>
  <c r="C11" i="2" s="1"/>
  <c r="C14" i="2" s="1"/>
  <c r="H15" i="1" l="1"/>
  <c r="H23" i="1" s="1"/>
  <c r="H24" i="1" s="1"/>
  <c r="H25" i="1" s="1"/>
  <c r="C16" i="3"/>
  <c r="C19" i="3" s="1"/>
  <c r="C15" i="3"/>
  <c r="C18" i="3" s="1"/>
  <c r="C16" i="2"/>
  <c r="C19" i="2" s="1"/>
  <c r="C15" i="2"/>
  <c r="C18" i="2" s="1"/>
  <c r="C13" i="1"/>
  <c r="C7" i="1"/>
  <c r="C11" i="1" s="1"/>
  <c r="H48" i="1" l="1"/>
  <c r="H50" i="1"/>
  <c r="H53" i="1" s="1"/>
  <c r="C28" i="1"/>
  <c r="C27" i="1"/>
  <c r="C14" i="1"/>
  <c r="C15" i="1" s="1"/>
  <c r="C18" i="1" s="1"/>
  <c r="C16" i="1" l="1"/>
  <c r="C19" i="1" s="1"/>
</calcChain>
</file>

<file path=xl/sharedStrings.xml><?xml version="1.0" encoding="utf-8"?>
<sst xmlns="http://schemas.openxmlformats.org/spreadsheetml/2006/main" count="179" uniqueCount="67">
  <si>
    <t>1 Selección del cilindro</t>
  </si>
  <si>
    <t>Fc =</t>
  </si>
  <si>
    <t>Fm (N)</t>
  </si>
  <si>
    <t>2 Diametro mínimo</t>
  </si>
  <si>
    <t>F = Fc</t>
  </si>
  <si>
    <t>presion (bar)</t>
  </si>
  <si>
    <t>Conver. Presion (Pa)</t>
  </si>
  <si>
    <t>Amin (m^2) =</t>
  </si>
  <si>
    <t>Amin (cm^2) =</t>
  </si>
  <si>
    <t>Amin (mm^2) =</t>
  </si>
  <si>
    <t>Dmin (cm)</t>
  </si>
  <si>
    <t>Dmin (mm)</t>
  </si>
  <si>
    <t xml:space="preserve">3 Fuerza de avance </t>
  </si>
  <si>
    <t>D normalizado mm</t>
  </si>
  <si>
    <t>d normalizado mm</t>
  </si>
  <si>
    <t>Fa (N)</t>
  </si>
  <si>
    <t>Fr (N)</t>
  </si>
  <si>
    <t xml:space="preserve">3 Fuerza de avance y retroceso </t>
  </si>
  <si>
    <t>Cilindro escogido</t>
  </si>
  <si>
    <t xml:space="preserve">CP96 SD B 50 - 160 - </t>
  </si>
  <si>
    <t>L5050</t>
  </si>
  <si>
    <t>Accesorio Fijacion</t>
  </si>
  <si>
    <t xml:space="preserve">CP96 SD B 40 - 50 - </t>
  </si>
  <si>
    <t xml:space="preserve">CP96 SD B 40 - 160 - </t>
  </si>
  <si>
    <t>4. Pandeo</t>
  </si>
  <si>
    <t>5. Amortiguamiento</t>
  </si>
  <si>
    <t>6. Consumo de aire</t>
  </si>
  <si>
    <t>L (mm)</t>
  </si>
  <si>
    <t>V (mm)^3</t>
  </si>
  <si>
    <t>V (cm)^3</t>
  </si>
  <si>
    <t>7. consumo de aire en n ciclos del cilindro</t>
  </si>
  <si>
    <t>k</t>
  </si>
  <si>
    <t>n</t>
  </si>
  <si>
    <t>V(m)^3</t>
  </si>
  <si>
    <t>C m^3</t>
  </si>
  <si>
    <t>Factor de ajuste</t>
  </si>
  <si>
    <t>8. caudal de un cilindro</t>
  </si>
  <si>
    <t>vm (m/s)</t>
  </si>
  <si>
    <t>9, Velocidad de avance</t>
  </si>
  <si>
    <t>10. Velocidad flujo tuberia</t>
  </si>
  <si>
    <t>Re</t>
  </si>
  <si>
    <t>Vt (m/s)</t>
  </si>
  <si>
    <t>Va (m/s)</t>
  </si>
  <si>
    <t>Total (L/min)</t>
  </si>
  <si>
    <t>q (m^3/s)</t>
  </si>
  <si>
    <t>A (m^2)</t>
  </si>
  <si>
    <t>Q</t>
  </si>
  <si>
    <t>deltaP</t>
  </si>
  <si>
    <t>sg</t>
  </si>
  <si>
    <t>Q (m^3/h)</t>
  </si>
  <si>
    <t xml:space="preserve">sg </t>
  </si>
  <si>
    <t>desltaP</t>
  </si>
  <si>
    <t>Cv</t>
  </si>
  <si>
    <t>SMC</t>
  </si>
  <si>
    <t>No aplica</t>
  </si>
  <si>
    <t>11. Numero de reynolds</t>
  </si>
  <si>
    <t>D (mm)</t>
  </si>
  <si>
    <t>Total consumo entre cilindros (L/min)</t>
  </si>
  <si>
    <t>C Litros</t>
  </si>
  <si>
    <t>Consumo en condiciones normales</t>
  </si>
  <si>
    <t>Tiempo n (s)</t>
  </si>
  <si>
    <t>Tiempo 1 ciclo (s)</t>
  </si>
  <si>
    <t>Timpo n (min)</t>
  </si>
  <si>
    <t>Ccn (L/min)</t>
  </si>
  <si>
    <t>C L/min</t>
  </si>
  <si>
    <t>Ccn (CFM)</t>
  </si>
  <si>
    <t>Coeficiente de valvula (No esta correctamente calculado)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</si>
</sst>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2" fillId="0" borderId="0" xfId="0" applyFont="1" applyFill="1"/>
    <xf numFmtId="0" fontId="1" fillId="4" borderId="0" xfId="0" applyFont="1" applyFill="1"/>
    <xf numFmtId="0" fontId="0" fillId="4" borderId="0" xfId="0" applyFill="1"/>
    <xf numFmtId="0" fontId="0" fillId="0" borderId="1" xfId="0" applyFill="1" applyBorder="1"/>
    <xf numFmtId="0" fontId="1" fillId="3" borderId="1" xfId="0" applyFont="1" applyFill="1" applyBorder="1"/>
    <xf numFmtId="0" fontId="0" fillId="2" borderId="1" xfId="0" applyFont="1" applyFill="1" applyBorder="1"/>
    <xf numFmtId="0" fontId="1" fillId="5" borderId="1" xfId="0" applyFont="1" applyFill="1" applyBorder="1"/>
    <xf numFmtId="0" fontId="3" fillId="4" borderId="0" xfId="0" applyFont="1" applyFill="1"/>
    <xf numFmtId="0" fontId="4" fillId="4" borderId="0" xfId="0" applyFont="1" applyFill="1"/>
    <xf numFmtId="0" fontId="1" fillId="2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6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9.png"/><Relationship Id="rId3" Type="http://schemas.openxmlformats.org/officeDocument/2006/relationships/image" Target="../media/image3.png"/><Relationship Id="rId7" Type="http://schemas.openxmlformats.org/officeDocument/2006/relationships/image" Target="../media/image14.png"/><Relationship Id="rId12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6.png"/><Relationship Id="rId11" Type="http://schemas.openxmlformats.org/officeDocument/2006/relationships/image" Target="../media/image7.png"/><Relationship Id="rId5" Type="http://schemas.openxmlformats.org/officeDocument/2006/relationships/image" Target="../media/image15.png"/><Relationship Id="rId10" Type="http://schemas.openxmlformats.org/officeDocument/2006/relationships/image" Target="../media/image6.png"/><Relationship Id="rId4" Type="http://schemas.openxmlformats.org/officeDocument/2006/relationships/image" Target="../media/image17.png"/><Relationship Id="rId9" Type="http://schemas.openxmlformats.org/officeDocument/2006/relationships/image" Target="../media/image5.png"/><Relationship Id="rId1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9.png"/><Relationship Id="rId3" Type="http://schemas.openxmlformats.org/officeDocument/2006/relationships/image" Target="../media/image3.png"/><Relationship Id="rId7" Type="http://schemas.openxmlformats.org/officeDocument/2006/relationships/image" Target="../media/image16.png"/><Relationship Id="rId12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5.png"/><Relationship Id="rId11" Type="http://schemas.openxmlformats.org/officeDocument/2006/relationships/image" Target="../media/image7.png"/><Relationship Id="rId5" Type="http://schemas.openxmlformats.org/officeDocument/2006/relationships/image" Target="../media/image14.png"/><Relationship Id="rId10" Type="http://schemas.openxmlformats.org/officeDocument/2006/relationships/image" Target="../media/image6.png"/><Relationship Id="rId4" Type="http://schemas.openxmlformats.org/officeDocument/2006/relationships/image" Target="../media/image17.png"/><Relationship Id="rId9" Type="http://schemas.openxmlformats.org/officeDocument/2006/relationships/image" Target="../media/image5.png"/><Relationship Id="rId1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143607</xdr:colOff>
      <xdr:row>4</xdr:row>
      <xdr:rowOff>65942</xdr:rowOff>
    </xdr:from>
    <xdr:to>
      <xdr:col>4</xdr:col>
      <xdr:colOff>117231</xdr:colOff>
      <xdr:row>6</xdr:row>
      <xdr:rowOff>159316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2EC947A-C011-4DC3-89E9-ADCB9444E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5665" y="827942"/>
          <a:ext cx="735624" cy="474374"/>
        </a:xfrm>
        <a:prstGeom prst="rect">
          <a:avLst/>
        </a:prstGeom>
      </xdr:spPr>
    </xdr:pic>
    <xdr:clientData/>
  </xdr:twoCellAnchor>
  <xdr:oneCellAnchor>
    <xdr:from>
      <xdr:col>1</xdr:col>
      <xdr:colOff>47625</xdr:colOff>
      <xdr:row>4</xdr:row>
      <xdr:rowOff>23812</xdr:rowOff>
    </xdr:from>
    <xdr:ext cx="592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049C8AB-E002-47CA-AE62-15F389EAAFF0}"/>
                </a:ext>
              </a:extLst>
            </xdr:cNvPr>
            <xdr:cNvSpPr txBox="1"/>
          </xdr:nvSpPr>
          <xdr:spPr>
            <a:xfrm>
              <a:off x="809625" y="785812"/>
              <a:ext cx="592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𝜆</m:t>
                  </m:r>
                </m:oMath>
              </a14:m>
              <a:r>
                <a:rPr lang="es-CO" sz="1100"/>
                <a:t> (0,4-,07)</a:t>
              </a: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049C8AB-E002-47CA-AE62-15F389EAAFF0}"/>
                </a:ext>
              </a:extLst>
            </xdr:cNvPr>
            <xdr:cNvSpPr txBox="1"/>
          </xdr:nvSpPr>
          <xdr:spPr>
            <a:xfrm>
              <a:off x="809625" y="785812"/>
              <a:ext cx="592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CO" sz="1100"/>
                <a:t> (0,4-,07)</a:t>
              </a:r>
            </a:p>
          </xdr:txBody>
        </xdr:sp>
      </mc:Fallback>
    </mc:AlternateContent>
    <xdr:clientData/>
  </xdr:oneCellAnchor>
  <xdr:oneCellAnchor>
    <xdr:from>
      <xdr:col>1</xdr:col>
      <xdr:colOff>0</xdr:colOff>
      <xdr:row>5</xdr:row>
      <xdr:rowOff>4762</xdr:rowOff>
    </xdr:from>
    <xdr:ext cx="9085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B4F6911-2067-47D0-8ECF-7A8D0C9EC757}"/>
                </a:ext>
              </a:extLst>
            </xdr:cNvPr>
            <xdr:cNvSpPr txBox="1"/>
          </xdr:nvSpPr>
          <xdr:spPr>
            <a:xfrm>
              <a:off x="762000" y="957262"/>
              <a:ext cx="908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(0,85 −0,9)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B4F6911-2067-47D0-8ECF-7A8D0C9EC757}"/>
                </a:ext>
              </a:extLst>
            </xdr:cNvPr>
            <xdr:cNvSpPr txBox="1"/>
          </xdr:nvSpPr>
          <xdr:spPr>
            <a:xfrm>
              <a:off x="762000" y="957262"/>
              <a:ext cx="908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(0,85 −0,9)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3</xdr:col>
      <xdr:colOff>153133</xdr:colOff>
      <xdr:row>13</xdr:row>
      <xdr:rowOff>42494</xdr:rowOff>
    </xdr:from>
    <xdr:to>
      <xdr:col>4</xdr:col>
      <xdr:colOff>183173</xdr:colOff>
      <xdr:row>15</xdr:row>
      <xdr:rowOff>14251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BA3A582-D4F7-4A5B-825E-06A48F455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35191" y="2518994"/>
          <a:ext cx="792040" cy="352757"/>
        </a:xfrm>
        <a:prstGeom prst="rect">
          <a:avLst/>
        </a:prstGeom>
      </xdr:spPr>
    </xdr:pic>
    <xdr:clientData/>
  </xdr:twoCellAnchor>
  <xdr:twoCellAnchor editAs="oneCell">
    <xdr:from>
      <xdr:col>3</xdr:col>
      <xdr:colOff>118697</xdr:colOff>
      <xdr:row>16</xdr:row>
      <xdr:rowOff>171450</xdr:rowOff>
    </xdr:from>
    <xdr:to>
      <xdr:col>4</xdr:col>
      <xdr:colOff>547322</xdr:colOff>
      <xdr:row>19</xdr:row>
      <xdr:rowOff>77409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C9509BB-A9B4-4795-8437-11DC94A1C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00755" y="3219450"/>
          <a:ext cx="1190625" cy="477459"/>
        </a:xfrm>
        <a:prstGeom prst="rect">
          <a:avLst/>
        </a:prstGeom>
      </xdr:spPr>
    </xdr:pic>
    <xdr:clientData/>
  </xdr:twoCellAnchor>
  <xdr:twoCellAnchor editAs="oneCell">
    <xdr:from>
      <xdr:col>8</xdr:col>
      <xdr:colOff>327515</xdr:colOff>
      <xdr:row>2</xdr:row>
      <xdr:rowOff>109904</xdr:rowOff>
    </xdr:from>
    <xdr:to>
      <xdr:col>9</xdr:col>
      <xdr:colOff>381001</xdr:colOff>
      <xdr:row>4</xdr:row>
      <xdr:rowOff>94284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9DDA4EF-7154-498F-A6BE-AAED4A53D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96630" y="2395904"/>
          <a:ext cx="815486" cy="365380"/>
        </a:xfrm>
        <a:prstGeom prst="rect">
          <a:avLst/>
        </a:prstGeom>
      </xdr:spPr>
    </xdr:pic>
    <xdr:clientData/>
  </xdr:twoCellAnchor>
  <xdr:twoCellAnchor editAs="oneCell">
    <xdr:from>
      <xdr:col>8</xdr:col>
      <xdr:colOff>254266</xdr:colOff>
      <xdr:row>13</xdr:row>
      <xdr:rowOff>77718</xdr:rowOff>
    </xdr:from>
    <xdr:to>
      <xdr:col>9</xdr:col>
      <xdr:colOff>626929</xdr:colOff>
      <xdr:row>14</xdr:row>
      <xdr:rowOff>143432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D41587F-8E10-4F47-97C9-D07585C62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60744" y="2554218"/>
          <a:ext cx="1134663" cy="256214"/>
        </a:xfrm>
        <a:prstGeom prst="rect">
          <a:avLst/>
        </a:prstGeom>
      </xdr:spPr>
    </xdr:pic>
    <xdr:clientData/>
  </xdr:twoCellAnchor>
  <xdr:twoCellAnchor editAs="oneCell">
    <xdr:from>
      <xdr:col>8</xdr:col>
      <xdr:colOff>523037</xdr:colOff>
      <xdr:row>23</xdr:row>
      <xdr:rowOff>52730</xdr:rowOff>
    </xdr:from>
    <xdr:to>
      <xdr:col>9</xdr:col>
      <xdr:colOff>754462</xdr:colOff>
      <xdr:row>25</xdr:row>
      <xdr:rowOff>7966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2482600-1D81-4B98-A691-7BF45D1D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9515" y="5196230"/>
          <a:ext cx="993425" cy="336236"/>
        </a:xfrm>
        <a:prstGeom prst="rect">
          <a:avLst/>
        </a:prstGeom>
      </xdr:spPr>
    </xdr:pic>
    <xdr:clientData/>
  </xdr:twoCellAnchor>
  <xdr:twoCellAnchor editAs="oneCell">
    <xdr:from>
      <xdr:col>8</xdr:col>
      <xdr:colOff>368893</xdr:colOff>
      <xdr:row>28</xdr:row>
      <xdr:rowOff>152591</xdr:rowOff>
    </xdr:from>
    <xdr:to>
      <xdr:col>9</xdr:col>
      <xdr:colOff>426872</xdr:colOff>
      <xdr:row>30</xdr:row>
      <xdr:rowOff>31182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B49899F-60A5-4780-9E9B-EDA2CB0D4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38008" y="5867591"/>
          <a:ext cx="819979" cy="259591"/>
        </a:xfrm>
        <a:prstGeom prst="rect">
          <a:avLst/>
        </a:prstGeom>
      </xdr:spPr>
    </xdr:pic>
    <xdr:clientData/>
  </xdr:twoCellAnchor>
  <xdr:twoCellAnchor editAs="oneCell">
    <xdr:from>
      <xdr:col>8</xdr:col>
      <xdr:colOff>397565</xdr:colOff>
      <xdr:row>31</xdr:row>
      <xdr:rowOff>93341</xdr:rowOff>
    </xdr:from>
    <xdr:to>
      <xdr:col>9</xdr:col>
      <xdr:colOff>300256</xdr:colOff>
      <xdr:row>33</xdr:row>
      <xdr:rowOff>58617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8CAE94EF-82B9-413C-848D-5BC7395C0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66680" y="6379841"/>
          <a:ext cx="664691" cy="346276"/>
        </a:xfrm>
        <a:prstGeom prst="rect">
          <a:avLst/>
        </a:prstGeom>
      </xdr:spPr>
    </xdr:pic>
    <xdr:clientData/>
  </xdr:twoCellAnchor>
  <xdr:twoCellAnchor editAs="oneCell">
    <xdr:from>
      <xdr:col>8</xdr:col>
      <xdr:colOff>420821</xdr:colOff>
      <xdr:row>35</xdr:row>
      <xdr:rowOff>23892</xdr:rowOff>
    </xdr:from>
    <xdr:to>
      <xdr:col>9</xdr:col>
      <xdr:colOff>652096</xdr:colOff>
      <xdr:row>37</xdr:row>
      <xdr:rowOff>17103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C4C2E69B-2D8F-4894-B903-ED66D493B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9936" y="7072392"/>
          <a:ext cx="993275" cy="374211"/>
        </a:xfrm>
        <a:prstGeom prst="rect">
          <a:avLst/>
        </a:prstGeom>
      </xdr:spPr>
    </xdr:pic>
    <xdr:clientData/>
  </xdr:twoCellAnchor>
  <xdr:twoCellAnchor editAs="oneCell">
    <xdr:from>
      <xdr:col>8</xdr:col>
      <xdr:colOff>405530</xdr:colOff>
      <xdr:row>38</xdr:row>
      <xdr:rowOff>36637</xdr:rowOff>
    </xdr:from>
    <xdr:to>
      <xdr:col>9</xdr:col>
      <xdr:colOff>208283</xdr:colOff>
      <xdr:row>40</xdr:row>
      <xdr:rowOff>29308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12E1DB4-D684-4BCE-B952-C0E84E45F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74645" y="7656637"/>
          <a:ext cx="564753" cy="373671"/>
        </a:xfrm>
        <a:prstGeom prst="rect">
          <a:avLst/>
        </a:prstGeom>
      </xdr:spPr>
    </xdr:pic>
    <xdr:clientData/>
  </xdr:twoCellAnchor>
  <xdr:twoCellAnchor editAs="oneCell">
    <xdr:from>
      <xdr:col>8</xdr:col>
      <xdr:colOff>257904</xdr:colOff>
      <xdr:row>46</xdr:row>
      <xdr:rowOff>76543</xdr:rowOff>
    </xdr:from>
    <xdr:to>
      <xdr:col>12</xdr:col>
      <xdr:colOff>248479</xdr:colOff>
      <xdr:row>50</xdr:row>
      <xdr:rowOff>61192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F11C845-140D-4966-8CAF-F4794CCF7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126382" y="9220543"/>
          <a:ext cx="3038575" cy="746649"/>
        </a:xfrm>
        <a:prstGeom prst="rect">
          <a:avLst/>
        </a:prstGeom>
      </xdr:spPr>
    </xdr:pic>
    <xdr:clientData/>
  </xdr:twoCellAnchor>
  <xdr:twoCellAnchor editAs="oneCell">
    <xdr:from>
      <xdr:col>1</xdr:col>
      <xdr:colOff>133114</xdr:colOff>
      <xdr:row>105</xdr:row>
      <xdr:rowOff>146129</xdr:rowOff>
    </xdr:from>
    <xdr:to>
      <xdr:col>14</xdr:col>
      <xdr:colOff>494855</xdr:colOff>
      <xdr:row>136</xdr:row>
      <xdr:rowOff>88248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3BB6DAA4-9B6B-48F7-912C-544D1D7D9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5114" y="20148629"/>
          <a:ext cx="11614848" cy="58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312964</xdr:colOff>
      <xdr:row>136</xdr:row>
      <xdr:rowOff>81643</xdr:rowOff>
    </xdr:from>
    <xdr:to>
      <xdr:col>10</xdr:col>
      <xdr:colOff>113181</xdr:colOff>
      <xdr:row>163</xdr:row>
      <xdr:rowOff>119095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47AFC4BC-2118-443A-BC20-1912BD9F3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74964" y="25989643"/>
          <a:ext cx="8005324" cy="5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97163</xdr:colOff>
      <xdr:row>26</xdr:row>
      <xdr:rowOff>2231</xdr:rowOff>
    </xdr:from>
    <xdr:to>
      <xdr:col>4</xdr:col>
      <xdr:colOff>697969</xdr:colOff>
      <xdr:row>29</xdr:row>
      <xdr:rowOff>6565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73519B50-301F-4FB1-A817-B75CD673B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78902" y="4955231"/>
          <a:ext cx="1362806" cy="575834"/>
        </a:xfrm>
        <a:prstGeom prst="rect">
          <a:avLst/>
        </a:prstGeom>
      </xdr:spPr>
    </xdr:pic>
    <xdr:clientData/>
  </xdr:twoCellAnchor>
  <xdr:twoCellAnchor editAs="oneCell">
    <xdr:from>
      <xdr:col>3</xdr:col>
      <xdr:colOff>43962</xdr:colOff>
      <xdr:row>36</xdr:row>
      <xdr:rowOff>139212</xdr:rowOff>
    </xdr:from>
    <xdr:to>
      <xdr:col>3</xdr:col>
      <xdr:colOff>718039</xdr:colOff>
      <xdr:row>39</xdr:row>
      <xdr:rowOff>56810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95E82B03-347D-49DC-857B-7636BA0BD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913077" y="520212"/>
          <a:ext cx="674077" cy="489098"/>
        </a:xfrm>
        <a:prstGeom prst="rect">
          <a:avLst/>
        </a:prstGeom>
      </xdr:spPr>
    </xdr:pic>
    <xdr:clientData/>
  </xdr:twoCellAnchor>
  <xdr:twoCellAnchor editAs="oneCell">
    <xdr:from>
      <xdr:col>3</xdr:col>
      <xdr:colOff>117232</xdr:colOff>
      <xdr:row>42</xdr:row>
      <xdr:rowOff>73268</xdr:rowOff>
    </xdr:from>
    <xdr:to>
      <xdr:col>4</xdr:col>
      <xdr:colOff>725366</xdr:colOff>
      <xdr:row>43</xdr:row>
      <xdr:rowOff>180467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5985D36-5D1F-48B1-91B1-1354DFA81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986347" y="1597268"/>
          <a:ext cx="1370134" cy="297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209551</xdr:colOff>
      <xdr:row>5</xdr:row>
      <xdr:rowOff>19050</xdr:rowOff>
    </xdr:from>
    <xdr:to>
      <xdr:col>4</xdr:col>
      <xdr:colOff>58533</xdr:colOff>
      <xdr:row>7</xdr:row>
      <xdr:rowOff>32048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38E9E19-7745-4FC0-B960-9E8FFC9EE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7576" y="971550"/>
          <a:ext cx="610982" cy="393998"/>
        </a:xfrm>
        <a:prstGeom prst="rect">
          <a:avLst/>
        </a:prstGeom>
      </xdr:spPr>
    </xdr:pic>
    <xdr:clientData/>
  </xdr:twoCellAnchor>
  <xdr:oneCellAnchor>
    <xdr:from>
      <xdr:col>1</xdr:col>
      <xdr:colOff>47625</xdr:colOff>
      <xdr:row>4</xdr:row>
      <xdr:rowOff>23812</xdr:rowOff>
    </xdr:from>
    <xdr:ext cx="592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5B4B2A2-AB4B-4540-BF7A-03200AC4963A}"/>
                </a:ext>
              </a:extLst>
            </xdr:cNvPr>
            <xdr:cNvSpPr txBox="1"/>
          </xdr:nvSpPr>
          <xdr:spPr>
            <a:xfrm>
              <a:off x="809625" y="785812"/>
              <a:ext cx="592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𝜆</m:t>
                  </m:r>
                </m:oMath>
              </a14:m>
              <a:r>
                <a:rPr lang="es-CO" sz="1100"/>
                <a:t> (0,4-,07)</a:t>
              </a: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5B4B2A2-AB4B-4540-BF7A-03200AC4963A}"/>
                </a:ext>
              </a:extLst>
            </xdr:cNvPr>
            <xdr:cNvSpPr txBox="1"/>
          </xdr:nvSpPr>
          <xdr:spPr>
            <a:xfrm>
              <a:off x="809625" y="785812"/>
              <a:ext cx="592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CO" sz="1100"/>
                <a:t> (0,4-,07)</a:t>
              </a:r>
            </a:p>
          </xdr:txBody>
        </xdr:sp>
      </mc:Fallback>
    </mc:AlternateContent>
    <xdr:clientData/>
  </xdr:oneCellAnchor>
  <xdr:oneCellAnchor>
    <xdr:from>
      <xdr:col>1</xdr:col>
      <xdr:colOff>0</xdr:colOff>
      <xdr:row>5</xdr:row>
      <xdr:rowOff>4762</xdr:rowOff>
    </xdr:from>
    <xdr:ext cx="9085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1B289A7-E4A7-43BE-B647-EE35E9D756E3}"/>
                </a:ext>
              </a:extLst>
            </xdr:cNvPr>
            <xdr:cNvSpPr txBox="1"/>
          </xdr:nvSpPr>
          <xdr:spPr>
            <a:xfrm>
              <a:off x="762000" y="957262"/>
              <a:ext cx="908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(0,85 −0,9)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1B289A7-E4A7-43BE-B647-EE35E9D756E3}"/>
                </a:ext>
              </a:extLst>
            </xdr:cNvPr>
            <xdr:cNvSpPr txBox="1"/>
          </xdr:nvSpPr>
          <xdr:spPr>
            <a:xfrm>
              <a:off x="762000" y="957262"/>
              <a:ext cx="908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(0,85 −0,9)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3</xdr:col>
      <xdr:colOff>266700</xdr:colOff>
      <xdr:row>13</xdr:row>
      <xdr:rowOff>161925</xdr:rowOff>
    </xdr:from>
    <xdr:to>
      <xdr:col>4</xdr:col>
      <xdr:colOff>314325</xdr:colOff>
      <xdr:row>15</xdr:row>
      <xdr:rowOff>141514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7488F11-68CB-4B24-9BA5-BBE8A45F4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14725" y="2638425"/>
          <a:ext cx="809625" cy="360589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16</xdr:row>
      <xdr:rowOff>95251</xdr:rowOff>
    </xdr:from>
    <xdr:to>
      <xdr:col>4</xdr:col>
      <xdr:colOff>666750</xdr:colOff>
      <xdr:row>19</xdr:row>
      <xdr:rowOff>1210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CE48ADB-B4EE-488D-B7F0-A18AD3CE2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86150" y="3143251"/>
          <a:ext cx="1190625" cy="477459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45</xdr:row>
      <xdr:rowOff>19050</xdr:rowOff>
    </xdr:from>
    <xdr:to>
      <xdr:col>5</xdr:col>
      <xdr:colOff>438150</xdr:colOff>
      <xdr:row>53</xdr:row>
      <xdr:rowOff>37757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B8B34E3-4C00-4050-9135-BDFCB1B49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" y="8591550"/>
          <a:ext cx="4543425" cy="1542707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36</xdr:row>
      <xdr:rowOff>9525</xdr:rowOff>
    </xdr:from>
    <xdr:to>
      <xdr:col>3</xdr:col>
      <xdr:colOff>702652</xdr:colOff>
      <xdr:row>38</xdr:row>
      <xdr:rowOff>117623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4E42C30-6871-4AE7-8492-A9A03F78D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58075" y="390525"/>
          <a:ext cx="674077" cy="489098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742950</xdr:colOff>
      <xdr:row>42</xdr:row>
      <xdr:rowOff>76200</xdr:rowOff>
    </xdr:from>
    <xdr:to>
      <xdr:col>4</xdr:col>
      <xdr:colOff>198559</xdr:colOff>
      <xdr:row>43</xdr:row>
      <xdr:rowOff>183399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D361A75-3D5B-4F32-81E8-FE80802A1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10450" y="1600200"/>
          <a:ext cx="1370134" cy="297699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25</xdr:row>
      <xdr:rowOff>142875</xdr:rowOff>
    </xdr:from>
    <xdr:to>
      <xdr:col>4</xdr:col>
      <xdr:colOff>686531</xdr:colOff>
      <xdr:row>28</xdr:row>
      <xdr:rowOff>147209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94EFFFD-DBB7-436A-A2B0-F503B31B3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33750" y="4905375"/>
          <a:ext cx="1362806" cy="575834"/>
        </a:xfrm>
        <a:prstGeom prst="rect">
          <a:avLst/>
        </a:prstGeom>
      </xdr:spPr>
    </xdr:pic>
    <xdr:clientData/>
  </xdr:twoCellAnchor>
  <xdr:twoCellAnchor editAs="oneCell">
    <xdr:from>
      <xdr:col>8</xdr:col>
      <xdr:colOff>327515</xdr:colOff>
      <xdr:row>2</xdr:row>
      <xdr:rowOff>109904</xdr:rowOff>
    </xdr:from>
    <xdr:to>
      <xdr:col>9</xdr:col>
      <xdr:colOff>381001</xdr:colOff>
      <xdr:row>4</xdr:row>
      <xdr:rowOff>94284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8868F3F3-A873-4028-B79B-0BF7F0BD7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33165" y="490904"/>
          <a:ext cx="815486" cy="365380"/>
        </a:xfrm>
        <a:prstGeom prst="rect">
          <a:avLst/>
        </a:prstGeom>
      </xdr:spPr>
    </xdr:pic>
    <xdr:clientData/>
  </xdr:twoCellAnchor>
  <xdr:twoCellAnchor editAs="oneCell">
    <xdr:from>
      <xdr:col>8</xdr:col>
      <xdr:colOff>254266</xdr:colOff>
      <xdr:row>13</xdr:row>
      <xdr:rowOff>77718</xdr:rowOff>
    </xdr:from>
    <xdr:to>
      <xdr:col>9</xdr:col>
      <xdr:colOff>626929</xdr:colOff>
      <xdr:row>14</xdr:row>
      <xdr:rowOff>143432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797E6C02-24B3-4CE8-8258-14BB87816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59916" y="2554218"/>
          <a:ext cx="1134663" cy="256214"/>
        </a:xfrm>
        <a:prstGeom prst="rect">
          <a:avLst/>
        </a:prstGeom>
      </xdr:spPr>
    </xdr:pic>
    <xdr:clientData/>
  </xdr:twoCellAnchor>
  <xdr:twoCellAnchor editAs="oneCell">
    <xdr:from>
      <xdr:col>8</xdr:col>
      <xdr:colOff>523037</xdr:colOff>
      <xdr:row>23</xdr:row>
      <xdr:rowOff>52730</xdr:rowOff>
    </xdr:from>
    <xdr:to>
      <xdr:col>9</xdr:col>
      <xdr:colOff>754462</xdr:colOff>
      <xdr:row>25</xdr:row>
      <xdr:rowOff>7966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89FF58FC-616D-4B97-9B82-CFC2F7EB3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8687" y="4434230"/>
          <a:ext cx="993425" cy="336236"/>
        </a:xfrm>
        <a:prstGeom prst="rect">
          <a:avLst/>
        </a:prstGeom>
      </xdr:spPr>
    </xdr:pic>
    <xdr:clientData/>
  </xdr:twoCellAnchor>
  <xdr:twoCellAnchor editAs="oneCell">
    <xdr:from>
      <xdr:col>8</xdr:col>
      <xdr:colOff>368893</xdr:colOff>
      <xdr:row>28</xdr:row>
      <xdr:rowOff>152591</xdr:rowOff>
    </xdr:from>
    <xdr:to>
      <xdr:col>9</xdr:col>
      <xdr:colOff>426872</xdr:colOff>
      <xdr:row>30</xdr:row>
      <xdr:rowOff>31182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9F6F30D0-12AD-4A5D-AC58-84C833BEA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74543" y="5486591"/>
          <a:ext cx="819979" cy="259591"/>
        </a:xfrm>
        <a:prstGeom prst="rect">
          <a:avLst/>
        </a:prstGeom>
      </xdr:spPr>
    </xdr:pic>
    <xdr:clientData/>
  </xdr:twoCellAnchor>
  <xdr:twoCellAnchor editAs="oneCell">
    <xdr:from>
      <xdr:col>8</xdr:col>
      <xdr:colOff>397565</xdr:colOff>
      <xdr:row>31</xdr:row>
      <xdr:rowOff>93341</xdr:rowOff>
    </xdr:from>
    <xdr:to>
      <xdr:col>9</xdr:col>
      <xdr:colOff>300256</xdr:colOff>
      <xdr:row>33</xdr:row>
      <xdr:rowOff>58617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93A18E32-3708-47E5-95A9-34D696F60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503215" y="5998841"/>
          <a:ext cx="664691" cy="346276"/>
        </a:xfrm>
        <a:prstGeom prst="rect">
          <a:avLst/>
        </a:prstGeom>
      </xdr:spPr>
    </xdr:pic>
    <xdr:clientData/>
  </xdr:twoCellAnchor>
  <xdr:twoCellAnchor editAs="oneCell">
    <xdr:from>
      <xdr:col>8</xdr:col>
      <xdr:colOff>420821</xdr:colOff>
      <xdr:row>35</xdr:row>
      <xdr:rowOff>23892</xdr:rowOff>
    </xdr:from>
    <xdr:to>
      <xdr:col>9</xdr:col>
      <xdr:colOff>652096</xdr:colOff>
      <xdr:row>37</xdr:row>
      <xdr:rowOff>17103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8AB3E3A-83CA-42F1-869D-F823E3603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526471" y="6691392"/>
          <a:ext cx="993275" cy="374211"/>
        </a:xfrm>
        <a:prstGeom prst="rect">
          <a:avLst/>
        </a:prstGeom>
      </xdr:spPr>
    </xdr:pic>
    <xdr:clientData/>
  </xdr:twoCellAnchor>
  <xdr:twoCellAnchor editAs="oneCell">
    <xdr:from>
      <xdr:col>8</xdr:col>
      <xdr:colOff>405530</xdr:colOff>
      <xdr:row>38</xdr:row>
      <xdr:rowOff>36637</xdr:rowOff>
    </xdr:from>
    <xdr:to>
      <xdr:col>9</xdr:col>
      <xdr:colOff>208283</xdr:colOff>
      <xdr:row>40</xdr:row>
      <xdr:rowOff>29308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8775E760-48FD-4C75-9988-CE60313BA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511180" y="7275637"/>
          <a:ext cx="564753" cy="3736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4</xdr:row>
      <xdr:rowOff>66674</xdr:rowOff>
    </xdr:from>
    <xdr:to>
      <xdr:col>4</xdr:col>
      <xdr:colOff>225151</xdr:colOff>
      <xdr:row>6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FC2C06-0771-49DF-867E-E04DAF036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3775" y="828674"/>
          <a:ext cx="768076" cy="495301"/>
        </a:xfrm>
        <a:prstGeom prst="rect">
          <a:avLst/>
        </a:prstGeom>
      </xdr:spPr>
    </xdr:pic>
    <xdr:clientData/>
  </xdr:twoCellAnchor>
  <xdr:oneCellAnchor>
    <xdr:from>
      <xdr:col>1</xdr:col>
      <xdr:colOff>47625</xdr:colOff>
      <xdr:row>4</xdr:row>
      <xdr:rowOff>23812</xdr:rowOff>
    </xdr:from>
    <xdr:ext cx="592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BC2C60B-26D8-4324-A24A-850E4D125FD7}"/>
                </a:ext>
              </a:extLst>
            </xdr:cNvPr>
            <xdr:cNvSpPr txBox="1"/>
          </xdr:nvSpPr>
          <xdr:spPr>
            <a:xfrm>
              <a:off x="809625" y="785812"/>
              <a:ext cx="592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𝜆</m:t>
                  </m:r>
                </m:oMath>
              </a14:m>
              <a:r>
                <a:rPr lang="es-CO" sz="1100"/>
                <a:t> (0,4-,07)</a:t>
              </a: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BC2C60B-26D8-4324-A24A-850E4D125FD7}"/>
                </a:ext>
              </a:extLst>
            </xdr:cNvPr>
            <xdr:cNvSpPr txBox="1"/>
          </xdr:nvSpPr>
          <xdr:spPr>
            <a:xfrm>
              <a:off x="809625" y="785812"/>
              <a:ext cx="592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CO" sz="1100"/>
                <a:t> (0,4-,07)</a:t>
              </a:r>
            </a:p>
          </xdr:txBody>
        </xdr:sp>
      </mc:Fallback>
    </mc:AlternateContent>
    <xdr:clientData/>
  </xdr:oneCellAnchor>
  <xdr:oneCellAnchor>
    <xdr:from>
      <xdr:col>1</xdr:col>
      <xdr:colOff>0</xdr:colOff>
      <xdr:row>5</xdr:row>
      <xdr:rowOff>4762</xdr:rowOff>
    </xdr:from>
    <xdr:ext cx="9085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9EE6D50-34BC-4045-B6CD-459E06E62D54}"/>
                </a:ext>
              </a:extLst>
            </xdr:cNvPr>
            <xdr:cNvSpPr txBox="1"/>
          </xdr:nvSpPr>
          <xdr:spPr>
            <a:xfrm>
              <a:off x="762000" y="957262"/>
              <a:ext cx="908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(0,85 −0,9)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9EE6D50-34BC-4045-B6CD-459E06E62D54}"/>
                </a:ext>
              </a:extLst>
            </xdr:cNvPr>
            <xdr:cNvSpPr txBox="1"/>
          </xdr:nvSpPr>
          <xdr:spPr>
            <a:xfrm>
              <a:off x="762000" y="957262"/>
              <a:ext cx="908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(0,85 −0,9)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3</xdr:col>
      <xdr:colOff>209550</xdr:colOff>
      <xdr:row>13</xdr:row>
      <xdr:rowOff>161925</xdr:rowOff>
    </xdr:from>
    <xdr:to>
      <xdr:col>4</xdr:col>
      <xdr:colOff>276225</xdr:colOff>
      <xdr:row>15</xdr:row>
      <xdr:rowOff>149999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609781A-DE16-4CAC-AF43-9C17C0021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0" y="2638425"/>
          <a:ext cx="828675" cy="369074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16</xdr:row>
      <xdr:rowOff>171451</xdr:rowOff>
    </xdr:from>
    <xdr:to>
      <xdr:col>4</xdr:col>
      <xdr:colOff>582588</xdr:colOff>
      <xdr:row>19</xdr:row>
      <xdr:rowOff>104775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83D3365-67D7-45A3-9913-C7B2CADCB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00425" y="3219451"/>
          <a:ext cx="1258863" cy="504824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742951</xdr:colOff>
      <xdr:row>45</xdr:row>
      <xdr:rowOff>47626</xdr:rowOff>
    </xdr:from>
    <xdr:to>
      <xdr:col>5</xdr:col>
      <xdr:colOff>600075</xdr:colOff>
      <xdr:row>53</xdr:row>
      <xdr:rowOff>118080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199F77A-45DE-4947-AC43-0A459CD18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2951" y="8620126"/>
          <a:ext cx="4695824" cy="159445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25</xdr:row>
      <xdr:rowOff>95250</xdr:rowOff>
    </xdr:from>
    <xdr:to>
      <xdr:col>4</xdr:col>
      <xdr:colOff>696056</xdr:colOff>
      <xdr:row>28</xdr:row>
      <xdr:rowOff>99584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D99CFEB-CBB7-426C-8F9F-FA6CE5BB7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09950" y="4857750"/>
          <a:ext cx="1362806" cy="575834"/>
        </a:xfrm>
        <a:prstGeom prst="rect">
          <a:avLst/>
        </a:prstGeom>
      </xdr:spPr>
    </xdr:pic>
    <xdr:clientData/>
  </xdr:twoCellAnchor>
  <xdr:twoCellAnchor editAs="oneCell">
    <xdr:from>
      <xdr:col>2</xdr:col>
      <xdr:colOff>733425</xdr:colOff>
      <xdr:row>36</xdr:row>
      <xdr:rowOff>161925</xdr:rowOff>
    </xdr:from>
    <xdr:to>
      <xdr:col>3</xdr:col>
      <xdr:colOff>188302</xdr:colOff>
      <xdr:row>39</xdr:row>
      <xdr:rowOff>79523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8389346-5548-4366-AE14-1EADE71F1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58075" y="542925"/>
          <a:ext cx="674077" cy="489098"/>
        </a:xfrm>
        <a:prstGeom prst="rect">
          <a:avLst/>
        </a:prstGeom>
      </xdr:spPr>
    </xdr:pic>
    <xdr:clientData/>
  </xdr:twoCellAnchor>
  <xdr:twoCellAnchor editAs="oneCell">
    <xdr:from>
      <xdr:col>2</xdr:col>
      <xdr:colOff>704850</xdr:colOff>
      <xdr:row>42</xdr:row>
      <xdr:rowOff>114300</xdr:rowOff>
    </xdr:from>
    <xdr:to>
      <xdr:col>4</xdr:col>
      <xdr:colOff>93784</xdr:colOff>
      <xdr:row>44</xdr:row>
      <xdr:rowOff>30999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06976B5-49D5-4A9F-BD20-DB966CB11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9500" y="1638300"/>
          <a:ext cx="1370134" cy="297699"/>
        </a:xfrm>
        <a:prstGeom prst="rect">
          <a:avLst/>
        </a:prstGeom>
      </xdr:spPr>
    </xdr:pic>
    <xdr:clientData/>
  </xdr:twoCellAnchor>
  <xdr:twoCellAnchor editAs="oneCell">
    <xdr:from>
      <xdr:col>8</xdr:col>
      <xdr:colOff>327515</xdr:colOff>
      <xdr:row>2</xdr:row>
      <xdr:rowOff>109904</xdr:rowOff>
    </xdr:from>
    <xdr:to>
      <xdr:col>9</xdr:col>
      <xdr:colOff>381001</xdr:colOff>
      <xdr:row>4</xdr:row>
      <xdr:rowOff>94284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CC1C746-68DC-4971-809F-78DE30C29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33165" y="490904"/>
          <a:ext cx="815486" cy="365380"/>
        </a:xfrm>
        <a:prstGeom prst="rect">
          <a:avLst/>
        </a:prstGeom>
      </xdr:spPr>
    </xdr:pic>
    <xdr:clientData/>
  </xdr:twoCellAnchor>
  <xdr:twoCellAnchor editAs="oneCell">
    <xdr:from>
      <xdr:col>8</xdr:col>
      <xdr:colOff>254266</xdr:colOff>
      <xdr:row>13</xdr:row>
      <xdr:rowOff>77718</xdr:rowOff>
    </xdr:from>
    <xdr:to>
      <xdr:col>9</xdr:col>
      <xdr:colOff>626929</xdr:colOff>
      <xdr:row>14</xdr:row>
      <xdr:rowOff>143432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E5D2528-72C9-4913-A230-5DAE8861A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59916" y="2554218"/>
          <a:ext cx="1134663" cy="256214"/>
        </a:xfrm>
        <a:prstGeom prst="rect">
          <a:avLst/>
        </a:prstGeom>
      </xdr:spPr>
    </xdr:pic>
    <xdr:clientData/>
  </xdr:twoCellAnchor>
  <xdr:twoCellAnchor editAs="oneCell">
    <xdr:from>
      <xdr:col>8</xdr:col>
      <xdr:colOff>523037</xdr:colOff>
      <xdr:row>23</xdr:row>
      <xdr:rowOff>52730</xdr:rowOff>
    </xdr:from>
    <xdr:to>
      <xdr:col>9</xdr:col>
      <xdr:colOff>754462</xdr:colOff>
      <xdr:row>25</xdr:row>
      <xdr:rowOff>7966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7839EF6A-00A1-4F62-A887-983A23254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8687" y="4434230"/>
          <a:ext cx="993425" cy="336236"/>
        </a:xfrm>
        <a:prstGeom prst="rect">
          <a:avLst/>
        </a:prstGeom>
      </xdr:spPr>
    </xdr:pic>
    <xdr:clientData/>
  </xdr:twoCellAnchor>
  <xdr:twoCellAnchor editAs="oneCell">
    <xdr:from>
      <xdr:col>8</xdr:col>
      <xdr:colOff>368893</xdr:colOff>
      <xdr:row>28</xdr:row>
      <xdr:rowOff>152591</xdr:rowOff>
    </xdr:from>
    <xdr:to>
      <xdr:col>9</xdr:col>
      <xdr:colOff>426872</xdr:colOff>
      <xdr:row>30</xdr:row>
      <xdr:rowOff>31182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DC6F16A8-74BF-4DD3-9EF9-3385C54F8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74543" y="5486591"/>
          <a:ext cx="819979" cy="259591"/>
        </a:xfrm>
        <a:prstGeom prst="rect">
          <a:avLst/>
        </a:prstGeom>
      </xdr:spPr>
    </xdr:pic>
    <xdr:clientData/>
  </xdr:twoCellAnchor>
  <xdr:twoCellAnchor editAs="oneCell">
    <xdr:from>
      <xdr:col>8</xdr:col>
      <xdr:colOff>397565</xdr:colOff>
      <xdr:row>31</xdr:row>
      <xdr:rowOff>93341</xdr:rowOff>
    </xdr:from>
    <xdr:to>
      <xdr:col>9</xdr:col>
      <xdr:colOff>300256</xdr:colOff>
      <xdr:row>33</xdr:row>
      <xdr:rowOff>58617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25741433-0252-47C0-AA9F-1B1E7A897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503215" y="5998841"/>
          <a:ext cx="664691" cy="346276"/>
        </a:xfrm>
        <a:prstGeom prst="rect">
          <a:avLst/>
        </a:prstGeom>
      </xdr:spPr>
    </xdr:pic>
    <xdr:clientData/>
  </xdr:twoCellAnchor>
  <xdr:twoCellAnchor editAs="oneCell">
    <xdr:from>
      <xdr:col>8</xdr:col>
      <xdr:colOff>420821</xdr:colOff>
      <xdr:row>35</xdr:row>
      <xdr:rowOff>23892</xdr:rowOff>
    </xdr:from>
    <xdr:to>
      <xdr:col>9</xdr:col>
      <xdr:colOff>652096</xdr:colOff>
      <xdr:row>37</xdr:row>
      <xdr:rowOff>17103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81566423-7ADF-4909-9B14-86F0F78D2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526471" y="6691392"/>
          <a:ext cx="993275" cy="374211"/>
        </a:xfrm>
        <a:prstGeom prst="rect">
          <a:avLst/>
        </a:prstGeom>
      </xdr:spPr>
    </xdr:pic>
    <xdr:clientData/>
  </xdr:twoCellAnchor>
  <xdr:twoCellAnchor editAs="oneCell">
    <xdr:from>
      <xdr:col>8</xdr:col>
      <xdr:colOff>405530</xdr:colOff>
      <xdr:row>38</xdr:row>
      <xdr:rowOff>36637</xdr:rowOff>
    </xdr:from>
    <xdr:to>
      <xdr:col>9</xdr:col>
      <xdr:colOff>208283</xdr:colOff>
      <xdr:row>40</xdr:row>
      <xdr:rowOff>29308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5425E815-A25E-4849-95C8-5CC60D433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511180" y="7275637"/>
          <a:ext cx="564753" cy="3736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6</xdr:col>
      <xdr:colOff>466725</xdr:colOff>
      <xdr:row>21</xdr:row>
      <xdr:rowOff>189767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7416CB-D323-4417-8D59-A657D44C5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71500"/>
          <a:ext cx="4276725" cy="36187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18</xdr:col>
      <xdr:colOff>179524</xdr:colOff>
      <xdr:row>84</xdr:row>
      <xdr:rowOff>132619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3B3ECB-374B-4AE4-B9B7-A702B3EF0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10287000"/>
          <a:ext cx="11609524" cy="5847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2</xdr:row>
      <xdr:rowOff>57150</xdr:rowOff>
    </xdr:from>
    <xdr:to>
      <xdr:col>8</xdr:col>
      <xdr:colOff>657225</xdr:colOff>
      <xdr:row>19</xdr:row>
      <xdr:rowOff>81155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27DFE9-D169-46C0-B304-5F07E3E7C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438150"/>
          <a:ext cx="6076950" cy="3262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1B2D-8CC3-4BAE-955E-51B1E8E0B7DF}">
  <dimension ref="B2:J53"/>
  <sheetViews>
    <sheetView topLeftCell="A25" zoomScale="115" zoomScaleNormal="115" workbookViewId="0">
      <selection activeCell="H47" sqref="H47"/>
    </sheetView>
  </sheetViews>
  <sheetFormatPr baseColWidth="10" defaultRowHeight="15" x14ac:dyDescent="0.25"/>
  <cols>
    <col min="1" max="1" width="6.42578125" customWidth="1"/>
    <col min="2" max="2" width="20" customWidth="1"/>
    <col min="3" max="3" width="18.28515625" bestFit="1" customWidth="1"/>
    <col min="7" max="7" width="15.5703125" customWidth="1"/>
    <col min="8" max="8" width="12" bestFit="1" customWidth="1"/>
  </cols>
  <sheetData>
    <row r="2" spans="2:8" x14ac:dyDescent="0.25">
      <c r="B2" s="6" t="s">
        <v>0</v>
      </c>
      <c r="C2" s="7"/>
      <c r="G2" s="6" t="s">
        <v>26</v>
      </c>
      <c r="H2" s="7"/>
    </row>
    <row r="4" spans="2:8" x14ac:dyDescent="0.25">
      <c r="B4" s="1" t="s">
        <v>2</v>
      </c>
      <c r="C4" s="1">
        <v>406.13</v>
      </c>
      <c r="G4" s="1" t="s">
        <v>27</v>
      </c>
      <c r="H4" s="1">
        <f>C23</f>
        <v>160</v>
      </c>
    </row>
    <row r="5" spans="2:8" x14ac:dyDescent="0.25">
      <c r="B5" s="1"/>
      <c r="C5" s="1">
        <v>0.46</v>
      </c>
      <c r="G5" s="1" t="s">
        <v>56</v>
      </c>
      <c r="H5" s="1">
        <f>C21</f>
        <v>50</v>
      </c>
    </row>
    <row r="6" spans="2:8" x14ac:dyDescent="0.25">
      <c r="B6" s="1"/>
      <c r="C6" s="1">
        <v>0.87</v>
      </c>
      <c r="G6" s="3" t="s">
        <v>28</v>
      </c>
      <c r="H6" s="1">
        <f>(PI()/4)*H4*(H5^2)</f>
        <v>314159.26535897929</v>
      </c>
    </row>
    <row r="7" spans="2:8" x14ac:dyDescent="0.25">
      <c r="B7" s="2" t="s">
        <v>1</v>
      </c>
      <c r="C7" s="2">
        <f>C4/(C5*C6)</f>
        <v>1014.8175912043978</v>
      </c>
      <c r="G7" s="3" t="s">
        <v>29</v>
      </c>
      <c r="H7" s="1">
        <f>H6/1000</f>
        <v>314.15926535897927</v>
      </c>
    </row>
    <row r="8" spans="2:8" x14ac:dyDescent="0.25">
      <c r="G8" s="3" t="s">
        <v>33</v>
      </c>
      <c r="H8" s="1">
        <f>H7/1000000</f>
        <v>3.1415926535897925E-4</v>
      </c>
    </row>
    <row r="9" spans="2:8" x14ac:dyDescent="0.25">
      <c r="B9" s="6" t="s">
        <v>3</v>
      </c>
      <c r="C9" s="7"/>
    </row>
    <row r="10" spans="2:8" x14ac:dyDescent="0.25">
      <c r="G10" s="6" t="s">
        <v>30</v>
      </c>
      <c r="H10" s="7"/>
    </row>
    <row r="11" spans="2:8" x14ac:dyDescent="0.25">
      <c r="B11" s="1" t="s">
        <v>4</v>
      </c>
      <c r="C11" s="1">
        <f>C7</f>
        <v>1014.8175912043978</v>
      </c>
    </row>
    <row r="12" spans="2:8" x14ac:dyDescent="0.25">
      <c r="B12" s="1" t="s">
        <v>5</v>
      </c>
      <c r="C12" s="1">
        <v>6</v>
      </c>
      <c r="G12" s="1" t="s">
        <v>31</v>
      </c>
      <c r="H12" s="1">
        <v>2</v>
      </c>
    </row>
    <row r="13" spans="2:8" x14ac:dyDescent="0.25">
      <c r="B13" s="1" t="s">
        <v>6</v>
      </c>
      <c r="C13" s="1">
        <f>C12*100000</f>
        <v>600000</v>
      </c>
      <c r="G13" s="1" t="s">
        <v>32</v>
      </c>
      <c r="H13" s="1">
        <v>8</v>
      </c>
    </row>
    <row r="14" spans="2:8" x14ac:dyDescent="0.25">
      <c r="B14" s="3" t="s">
        <v>7</v>
      </c>
      <c r="C14" s="3">
        <f>C11/C13</f>
        <v>1.6913626520073297E-3</v>
      </c>
      <c r="G14" s="3" t="s">
        <v>34</v>
      </c>
      <c r="H14" s="1">
        <f>H12*H13*H8</f>
        <v>5.0265482457436681E-3</v>
      </c>
    </row>
    <row r="15" spans="2:8" x14ac:dyDescent="0.25">
      <c r="B15" s="3" t="s">
        <v>8</v>
      </c>
      <c r="C15" s="3">
        <f>C14*10000</f>
        <v>16.913626520073297</v>
      </c>
      <c r="G15" s="10" t="s">
        <v>58</v>
      </c>
      <c r="H15" s="15">
        <f>H14*1000</f>
        <v>5.0265482457436681</v>
      </c>
    </row>
    <row r="16" spans="2:8" x14ac:dyDescent="0.25">
      <c r="B16" s="3" t="s">
        <v>9</v>
      </c>
      <c r="C16" s="3">
        <f>C14*1000000</f>
        <v>1691.3626520073296</v>
      </c>
    </row>
    <row r="17" spans="2:10" x14ac:dyDescent="0.25">
      <c r="G17" s="6" t="s">
        <v>59</v>
      </c>
      <c r="H17" s="6"/>
    </row>
    <row r="18" spans="2:10" x14ac:dyDescent="0.25">
      <c r="B18" s="3" t="s">
        <v>10</v>
      </c>
      <c r="C18" s="3">
        <f>SQRT((4*C15)/PI())</f>
        <v>4.6405924331100978</v>
      </c>
    </row>
    <row r="19" spans="2:10" x14ac:dyDescent="0.25">
      <c r="B19" s="3" t="s">
        <v>11</v>
      </c>
      <c r="C19" s="3">
        <f>SQRT((4*C16)/PI())</f>
        <v>46.405924331100977</v>
      </c>
      <c r="G19" s="1" t="s">
        <v>61</v>
      </c>
      <c r="H19" s="1">
        <v>2.6</v>
      </c>
    </row>
    <row r="20" spans="2:10" x14ac:dyDescent="0.25">
      <c r="G20" s="1" t="s">
        <v>60</v>
      </c>
      <c r="H20" s="1">
        <f>H13*H19</f>
        <v>20.8</v>
      </c>
    </row>
    <row r="21" spans="2:10" x14ac:dyDescent="0.25">
      <c r="B21" s="3" t="s">
        <v>13</v>
      </c>
      <c r="C21" s="1">
        <v>50</v>
      </c>
      <c r="G21" s="8" t="s">
        <v>62</v>
      </c>
      <c r="H21" s="1">
        <f>H20/60</f>
        <v>0.34666666666666668</v>
      </c>
    </row>
    <row r="22" spans="2:10" x14ac:dyDescent="0.25">
      <c r="B22" s="3" t="s">
        <v>14</v>
      </c>
      <c r="C22" s="1">
        <v>20</v>
      </c>
      <c r="G22" s="1" t="s">
        <v>64</v>
      </c>
      <c r="H22" s="1">
        <f>H15/H21</f>
        <v>14.499658401183657</v>
      </c>
    </row>
    <row r="23" spans="2:10" x14ac:dyDescent="0.25">
      <c r="B23" s="3" t="s">
        <v>27</v>
      </c>
      <c r="C23" s="1">
        <v>160</v>
      </c>
      <c r="G23" s="1" t="s">
        <v>63</v>
      </c>
      <c r="H23" s="1">
        <f>((C12*0.986923+1)/(1))*H22</f>
        <v>100.35993661081193</v>
      </c>
      <c r="I23" s="1" t="s">
        <v>65</v>
      </c>
      <c r="J23" s="1">
        <f>H23*0.035314666721</f>
        <v>3.5441777135515093</v>
      </c>
    </row>
    <row r="24" spans="2:10" x14ac:dyDescent="0.25">
      <c r="G24" s="4" t="s">
        <v>35</v>
      </c>
      <c r="H24" s="1">
        <f>H23*0.25</f>
        <v>25.089984152702982</v>
      </c>
    </row>
    <row r="25" spans="2:10" x14ac:dyDescent="0.25">
      <c r="B25" s="6" t="s">
        <v>17</v>
      </c>
      <c r="C25" s="7"/>
      <c r="G25" s="2" t="s">
        <v>43</v>
      </c>
      <c r="H25" s="1">
        <f>H23+H24</f>
        <v>125.44992076351491</v>
      </c>
    </row>
    <row r="27" spans="2:10" x14ac:dyDescent="0.25">
      <c r="B27" s="10" t="s">
        <v>15</v>
      </c>
      <c r="C27" s="1">
        <f>(PI()/4)*C13*(C21*0.001)^2</f>
        <v>1178.0972450961726</v>
      </c>
      <c r="G27" s="6" t="s">
        <v>36</v>
      </c>
      <c r="H27" s="7"/>
    </row>
    <row r="28" spans="2:10" x14ac:dyDescent="0.25">
      <c r="B28" s="10" t="s">
        <v>16</v>
      </c>
      <c r="C28" s="1">
        <f>(PI()/4)*C13*((C21*0.001)^2-(C22*0.001)^2)</f>
        <v>989.601685880785</v>
      </c>
      <c r="G28" s="8" t="s">
        <v>45</v>
      </c>
      <c r="H28" s="1">
        <f>PI()*((C21/1000)/2)^2</f>
        <v>1.9634954084936209E-3</v>
      </c>
    </row>
    <row r="29" spans="2:10" x14ac:dyDescent="0.25">
      <c r="G29" s="8" t="s">
        <v>37</v>
      </c>
      <c r="H29" s="1">
        <v>1</v>
      </c>
    </row>
    <row r="30" spans="2:10" x14ac:dyDescent="0.25">
      <c r="G30" s="2" t="s">
        <v>44</v>
      </c>
      <c r="H30" s="1">
        <f>H28*H29</f>
        <v>1.9634954084936209E-3</v>
      </c>
    </row>
    <row r="31" spans="2:10" x14ac:dyDescent="0.25">
      <c r="B31" s="5"/>
    </row>
    <row r="32" spans="2:10" x14ac:dyDescent="0.25">
      <c r="B32" s="9" t="s">
        <v>18</v>
      </c>
      <c r="C32" s="1" t="s">
        <v>19</v>
      </c>
      <c r="D32" t="s">
        <v>53</v>
      </c>
      <c r="G32" s="6" t="s">
        <v>38</v>
      </c>
      <c r="H32" s="7"/>
    </row>
    <row r="33" spans="2:8" x14ac:dyDescent="0.25">
      <c r="B33" s="9" t="s">
        <v>21</v>
      </c>
      <c r="C33" s="1" t="s">
        <v>20</v>
      </c>
      <c r="G33" s="2" t="s">
        <v>42</v>
      </c>
      <c r="H33" s="1">
        <f>(4/PI())*(H30/(C21/1000)^2)</f>
        <v>0.99999999999999989</v>
      </c>
    </row>
    <row r="35" spans="2:8" x14ac:dyDescent="0.25">
      <c r="G35" s="6" t="s">
        <v>39</v>
      </c>
      <c r="H35" s="7"/>
    </row>
    <row r="36" spans="2:8" x14ac:dyDescent="0.25">
      <c r="B36" s="6" t="s">
        <v>24</v>
      </c>
      <c r="C36" s="7"/>
    </row>
    <row r="37" spans="2:8" x14ac:dyDescent="0.25">
      <c r="G37" s="3" t="s">
        <v>41</v>
      </c>
      <c r="H37" s="1">
        <f>H33*(((C21/1000)^2)/(0.009525)^2)</f>
        <v>27.555610666776889</v>
      </c>
    </row>
    <row r="38" spans="2:8" x14ac:dyDescent="0.25">
      <c r="B38" t="s">
        <v>54</v>
      </c>
    </row>
    <row r="39" spans="2:8" x14ac:dyDescent="0.25">
      <c r="G39" s="6" t="s">
        <v>55</v>
      </c>
      <c r="H39" s="7"/>
    </row>
    <row r="40" spans="2:8" x14ac:dyDescent="0.25">
      <c r="G40" s="3" t="s">
        <v>40</v>
      </c>
      <c r="H40" s="1">
        <f>(H37*(0.0095))/0.0000151</f>
        <v>17336.311346647712</v>
      </c>
    </row>
    <row r="42" spans="2:8" x14ac:dyDescent="0.25">
      <c r="B42" s="6" t="s">
        <v>25</v>
      </c>
      <c r="C42" s="7"/>
    </row>
    <row r="43" spans="2:8" x14ac:dyDescent="0.25">
      <c r="G43" s="6" t="s">
        <v>66</v>
      </c>
      <c r="H43" s="7"/>
    </row>
    <row r="44" spans="2:8" x14ac:dyDescent="0.25">
      <c r="B44" t="s">
        <v>54</v>
      </c>
    </row>
    <row r="45" spans="2:8" x14ac:dyDescent="0.25">
      <c r="G45" s="16" t="s">
        <v>49</v>
      </c>
      <c r="H45" s="1">
        <f>H25/16.667</f>
        <v>7.5268447089167152</v>
      </c>
    </row>
    <row r="46" spans="2:8" x14ac:dyDescent="0.25">
      <c r="G46" s="16" t="s">
        <v>47</v>
      </c>
      <c r="H46" s="1">
        <v>1</v>
      </c>
    </row>
    <row r="47" spans="2:8" x14ac:dyDescent="0.25">
      <c r="G47" s="16" t="s">
        <v>50</v>
      </c>
      <c r="H47" s="1">
        <v>1</v>
      </c>
    </row>
    <row r="48" spans="2:8" x14ac:dyDescent="0.25">
      <c r="G48" s="16" t="s">
        <v>31</v>
      </c>
      <c r="H48" s="1">
        <f>H45/(SQRT(H46/H47))</f>
        <v>7.5268447089167152</v>
      </c>
    </row>
    <row r="50" spans="7:8" x14ac:dyDescent="0.25">
      <c r="G50" s="16" t="s">
        <v>46</v>
      </c>
      <c r="H50" s="1">
        <f>H25*0.2642</f>
        <v>33.143869065720637</v>
      </c>
    </row>
    <row r="51" spans="7:8" x14ac:dyDescent="0.25">
      <c r="G51" s="16" t="s">
        <v>51</v>
      </c>
      <c r="H51" s="1">
        <v>1</v>
      </c>
    </row>
    <row r="52" spans="7:8" x14ac:dyDescent="0.25">
      <c r="G52" s="16" t="s">
        <v>48</v>
      </c>
      <c r="H52" s="1">
        <v>1</v>
      </c>
    </row>
    <row r="53" spans="7:8" x14ac:dyDescent="0.25">
      <c r="G53" s="16" t="s">
        <v>52</v>
      </c>
      <c r="H53" s="1">
        <f>H50/(SQRT(H51/H52))</f>
        <v>33.143869065720637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4667-EA88-46E0-9193-C4884AD09B9C}">
  <dimension ref="B2:J44"/>
  <sheetViews>
    <sheetView tabSelected="1" workbookViewId="0">
      <selection activeCell="I48" sqref="I48"/>
    </sheetView>
  </sheetViews>
  <sheetFormatPr baseColWidth="10" defaultRowHeight="15" x14ac:dyDescent="0.25"/>
  <cols>
    <col min="2" max="2" width="20" customWidth="1"/>
    <col min="3" max="3" width="17.28515625" bestFit="1" customWidth="1"/>
    <col min="7" max="7" width="17" customWidth="1"/>
  </cols>
  <sheetData>
    <row r="2" spans="2:8" x14ac:dyDescent="0.25">
      <c r="B2" s="6" t="s">
        <v>0</v>
      </c>
      <c r="C2" s="7"/>
      <c r="G2" s="6" t="s">
        <v>26</v>
      </c>
      <c r="H2" s="7"/>
    </row>
    <row r="4" spans="2:8" x14ac:dyDescent="0.25">
      <c r="B4" s="1" t="s">
        <v>2</v>
      </c>
      <c r="C4" s="1">
        <v>239.48</v>
      </c>
      <c r="G4" s="1" t="s">
        <v>27</v>
      </c>
      <c r="H4" s="1">
        <f>C23</f>
        <v>50</v>
      </c>
    </row>
    <row r="5" spans="2:8" x14ac:dyDescent="0.25">
      <c r="B5" s="1"/>
      <c r="C5" s="1">
        <v>0.46</v>
      </c>
      <c r="G5" s="1" t="s">
        <v>56</v>
      </c>
      <c r="H5" s="1">
        <f>C21</f>
        <v>40</v>
      </c>
    </row>
    <row r="6" spans="2:8" x14ac:dyDescent="0.25">
      <c r="B6" s="1"/>
      <c r="C6" s="1">
        <v>0.87</v>
      </c>
      <c r="G6" s="3" t="s">
        <v>28</v>
      </c>
      <c r="H6" s="1">
        <f>(PI()/4)*H4*(H5^2)</f>
        <v>62831.853071795864</v>
      </c>
    </row>
    <row r="7" spans="2:8" x14ac:dyDescent="0.25">
      <c r="B7" s="2" t="s">
        <v>1</v>
      </c>
      <c r="C7" s="2">
        <f>C4/(C5*C6)</f>
        <v>598.40079960019989</v>
      </c>
      <c r="G7" s="3" t="s">
        <v>29</v>
      </c>
      <c r="H7" s="1">
        <f>H6/1000</f>
        <v>62.831853071795862</v>
      </c>
    </row>
    <row r="8" spans="2:8" x14ac:dyDescent="0.25">
      <c r="G8" s="3" t="s">
        <v>33</v>
      </c>
      <c r="H8" s="1">
        <f>H7/1000000</f>
        <v>6.2831853071795856E-5</v>
      </c>
    </row>
    <row r="9" spans="2:8" x14ac:dyDescent="0.25">
      <c r="B9" s="6" t="s">
        <v>3</v>
      </c>
      <c r="C9" s="7"/>
    </row>
    <row r="10" spans="2:8" x14ac:dyDescent="0.25">
      <c r="G10" s="6" t="s">
        <v>30</v>
      </c>
      <c r="H10" s="7"/>
    </row>
    <row r="11" spans="2:8" x14ac:dyDescent="0.25">
      <c r="B11" s="1" t="s">
        <v>4</v>
      </c>
      <c r="C11" s="1">
        <f>C7</f>
        <v>598.40079960019989</v>
      </c>
    </row>
    <row r="12" spans="2:8" x14ac:dyDescent="0.25">
      <c r="B12" s="1" t="s">
        <v>5</v>
      </c>
      <c r="C12" s="1">
        <v>6</v>
      </c>
      <c r="G12" s="1" t="s">
        <v>31</v>
      </c>
      <c r="H12" s="1">
        <v>2</v>
      </c>
    </row>
    <row r="13" spans="2:8" x14ac:dyDescent="0.25">
      <c r="B13" s="1" t="s">
        <v>6</v>
      </c>
      <c r="C13" s="1">
        <f>C12*100000</f>
        <v>600000</v>
      </c>
      <c r="G13" s="1" t="s">
        <v>32</v>
      </c>
      <c r="H13" s="1">
        <v>8</v>
      </c>
    </row>
    <row r="14" spans="2:8" x14ac:dyDescent="0.25">
      <c r="B14" s="3" t="s">
        <v>7</v>
      </c>
      <c r="C14" s="3">
        <f>C11/C13</f>
        <v>9.9733466600033312E-4</v>
      </c>
      <c r="G14" s="3" t="s">
        <v>34</v>
      </c>
      <c r="H14" s="1">
        <f>H12*H13*H8</f>
        <v>1.0053096491487337E-3</v>
      </c>
    </row>
    <row r="15" spans="2:8" x14ac:dyDescent="0.25">
      <c r="B15" s="3" t="s">
        <v>8</v>
      </c>
      <c r="C15" s="3">
        <f>C14*10000</f>
        <v>9.9733466600033314</v>
      </c>
      <c r="G15" s="10" t="s">
        <v>58</v>
      </c>
      <c r="H15" s="15">
        <f>H14*1000</f>
        <v>1.0053096491487337</v>
      </c>
    </row>
    <row r="16" spans="2:8" x14ac:dyDescent="0.25">
      <c r="B16" s="3" t="s">
        <v>9</v>
      </c>
      <c r="C16" s="3">
        <f>C14*1000000</f>
        <v>997.33466600033307</v>
      </c>
    </row>
    <row r="17" spans="2:10" x14ac:dyDescent="0.25">
      <c r="G17" s="6" t="s">
        <v>59</v>
      </c>
      <c r="H17" s="6"/>
    </row>
    <row r="18" spans="2:10" x14ac:dyDescent="0.25">
      <c r="B18" s="3" t="s">
        <v>10</v>
      </c>
      <c r="C18" s="3">
        <f>SQRT((4*C15)/PI())</f>
        <v>3.5634897728025821</v>
      </c>
    </row>
    <row r="19" spans="2:10" x14ac:dyDescent="0.25">
      <c r="B19" s="3" t="s">
        <v>11</v>
      </c>
      <c r="C19" s="3">
        <f>SQRT((4*C16)/PI())</f>
        <v>35.63489772802582</v>
      </c>
      <c r="G19" s="1" t="s">
        <v>61</v>
      </c>
      <c r="H19" s="1">
        <v>2.6</v>
      </c>
    </row>
    <row r="20" spans="2:10" x14ac:dyDescent="0.25">
      <c r="G20" s="1" t="s">
        <v>60</v>
      </c>
      <c r="H20" s="1">
        <f>H13*H19</f>
        <v>20.8</v>
      </c>
    </row>
    <row r="21" spans="2:10" x14ac:dyDescent="0.25">
      <c r="B21" s="3" t="s">
        <v>13</v>
      </c>
      <c r="C21" s="1">
        <v>40</v>
      </c>
      <c r="G21" s="8" t="s">
        <v>62</v>
      </c>
      <c r="H21" s="1">
        <f>H20/60</f>
        <v>0.34666666666666668</v>
      </c>
    </row>
    <row r="22" spans="2:10" x14ac:dyDescent="0.25">
      <c r="B22" s="3" t="s">
        <v>14</v>
      </c>
      <c r="C22" s="1">
        <v>16</v>
      </c>
      <c r="G22" s="1" t="s">
        <v>64</v>
      </c>
      <c r="H22" s="1">
        <f>H15/H21</f>
        <v>2.8999316802367314</v>
      </c>
    </row>
    <row r="23" spans="2:10" x14ac:dyDescent="0.25">
      <c r="B23" s="3" t="s">
        <v>27</v>
      </c>
      <c r="C23" s="1">
        <v>50</v>
      </c>
      <c r="G23" s="1" t="s">
        <v>63</v>
      </c>
      <c r="H23" s="1">
        <f>((C12*0.986923+1)/(1))*H22</f>
        <v>20.071987322162386</v>
      </c>
      <c r="I23" s="1" t="s">
        <v>65</v>
      </c>
      <c r="J23" s="1">
        <f>H23*0.035314666721</f>
        <v>0.7088355427103018</v>
      </c>
    </row>
    <row r="24" spans="2:10" x14ac:dyDescent="0.25">
      <c r="G24" s="4" t="s">
        <v>35</v>
      </c>
      <c r="H24" s="1">
        <f>H23*0.25</f>
        <v>5.0179968305405964</v>
      </c>
    </row>
    <row r="25" spans="2:10" x14ac:dyDescent="0.25">
      <c r="B25" s="6" t="s">
        <v>12</v>
      </c>
      <c r="C25" s="7"/>
      <c r="G25" s="2" t="s">
        <v>43</v>
      </c>
      <c r="H25" s="1">
        <f>H23+H24</f>
        <v>25.089984152702982</v>
      </c>
    </row>
    <row r="27" spans="2:10" x14ac:dyDescent="0.25">
      <c r="B27" s="3" t="s">
        <v>15</v>
      </c>
      <c r="C27" s="1">
        <f>(PI()/4)*C13*(C21*0.001)^2</f>
        <v>753.9822368615504</v>
      </c>
      <c r="G27" s="6" t="s">
        <v>36</v>
      </c>
      <c r="H27" s="7"/>
    </row>
    <row r="28" spans="2:10" x14ac:dyDescent="0.25">
      <c r="B28" s="3" t="s">
        <v>16</v>
      </c>
      <c r="C28" s="1">
        <f>(PI()/4)*C13*((C21*0.001)^2-(C22*0.001)^2)</f>
        <v>633.34507896370235</v>
      </c>
      <c r="G28" s="8" t="s">
        <v>45</v>
      </c>
      <c r="H28" s="1">
        <f>PI()*((C21/1000)/2)^2</f>
        <v>1.2566370614359172E-3</v>
      </c>
    </row>
    <row r="29" spans="2:10" x14ac:dyDescent="0.25">
      <c r="G29" s="8" t="s">
        <v>37</v>
      </c>
      <c r="H29" s="1">
        <v>1</v>
      </c>
    </row>
    <row r="30" spans="2:10" x14ac:dyDescent="0.25">
      <c r="G30" s="2" t="s">
        <v>44</v>
      </c>
      <c r="H30" s="1">
        <f>H28*H29</f>
        <v>1.2566370614359172E-3</v>
      </c>
    </row>
    <row r="32" spans="2:10" x14ac:dyDescent="0.25">
      <c r="B32" s="11" t="s">
        <v>18</v>
      </c>
      <c r="C32" s="1" t="s">
        <v>22</v>
      </c>
      <c r="G32" s="6" t="s">
        <v>38</v>
      </c>
      <c r="H32" s="7"/>
    </row>
    <row r="33" spans="2:10" x14ac:dyDescent="0.25">
      <c r="B33" s="11" t="s">
        <v>21</v>
      </c>
      <c r="C33" s="1" t="s">
        <v>20</v>
      </c>
      <c r="G33" s="2" t="s">
        <v>42</v>
      </c>
      <c r="H33" s="1">
        <f>(4/PI())*(H30/(C21/1000)^2)</f>
        <v>1</v>
      </c>
    </row>
    <row r="35" spans="2:10" x14ac:dyDescent="0.25">
      <c r="G35" s="6" t="s">
        <v>39</v>
      </c>
      <c r="H35" s="7"/>
    </row>
    <row r="36" spans="2:10" x14ac:dyDescent="0.25">
      <c r="B36" s="12" t="s">
        <v>24</v>
      </c>
      <c r="C36" s="13"/>
    </row>
    <row r="37" spans="2:10" x14ac:dyDescent="0.25">
      <c r="G37" s="3" t="s">
        <v>41</v>
      </c>
      <c r="H37" s="1">
        <f>H33*(((C21/1000)^2)/(0.009525)^2)</f>
        <v>17.635590826737207</v>
      </c>
    </row>
    <row r="38" spans="2:10" x14ac:dyDescent="0.25">
      <c r="B38" t="s">
        <v>54</v>
      </c>
    </row>
    <row r="39" spans="2:10" x14ac:dyDescent="0.25">
      <c r="G39" s="6" t="s">
        <v>55</v>
      </c>
      <c r="H39" s="7"/>
    </row>
    <row r="40" spans="2:10" x14ac:dyDescent="0.25">
      <c r="G40" s="3" t="s">
        <v>40</v>
      </c>
      <c r="H40" s="1">
        <f>(H37*(0.0095))/0.0000151</f>
        <v>11095.239261854535</v>
      </c>
    </row>
    <row r="42" spans="2:10" x14ac:dyDescent="0.25">
      <c r="B42" s="6" t="s">
        <v>25</v>
      </c>
      <c r="C42" s="7"/>
      <c r="I42" s="17"/>
      <c r="J42" s="17"/>
    </row>
    <row r="44" spans="2:10" x14ac:dyDescent="0.25">
      <c r="B44" t="s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6899-D81A-44E9-B8F7-84B3D8C6B97E}">
  <dimension ref="B2:L47"/>
  <sheetViews>
    <sheetView topLeftCell="A17" workbookViewId="0">
      <selection activeCell="H53" sqref="H53"/>
    </sheetView>
  </sheetViews>
  <sheetFormatPr baseColWidth="10" defaultRowHeight="15" x14ac:dyDescent="0.25"/>
  <cols>
    <col min="2" max="2" width="20" customWidth="1"/>
    <col min="3" max="3" width="18.28515625" bestFit="1" customWidth="1"/>
    <col min="7" max="7" width="16.85546875" customWidth="1"/>
  </cols>
  <sheetData>
    <row r="2" spans="2:12" x14ac:dyDescent="0.25">
      <c r="B2" s="6" t="s">
        <v>0</v>
      </c>
      <c r="C2" s="7"/>
      <c r="G2" s="6" t="s">
        <v>26</v>
      </c>
      <c r="H2" s="7"/>
    </row>
    <row r="4" spans="2:12" x14ac:dyDescent="0.25">
      <c r="B4" s="1" t="s">
        <v>2</v>
      </c>
      <c r="C4" s="1">
        <v>237.38</v>
      </c>
      <c r="G4" s="1" t="s">
        <v>27</v>
      </c>
      <c r="H4" s="1">
        <f>C23</f>
        <v>160</v>
      </c>
    </row>
    <row r="5" spans="2:12" x14ac:dyDescent="0.25">
      <c r="B5" s="1"/>
      <c r="C5" s="1">
        <v>0.46</v>
      </c>
      <c r="G5" s="1" t="s">
        <v>56</v>
      </c>
      <c r="H5" s="1">
        <f>C21</f>
        <v>40</v>
      </c>
    </row>
    <row r="6" spans="2:12" x14ac:dyDescent="0.25">
      <c r="B6" s="1"/>
      <c r="C6" s="1">
        <v>0.87</v>
      </c>
      <c r="G6" s="3" t="s">
        <v>28</v>
      </c>
      <c r="H6" s="1">
        <f>(PI()/4)*H4*(H5^2)</f>
        <v>201061.92982974675</v>
      </c>
    </row>
    <row r="7" spans="2:12" x14ac:dyDescent="0.25">
      <c r="B7" s="10" t="s">
        <v>1</v>
      </c>
      <c r="C7" s="2">
        <f>C4/(C5*C6)</f>
        <v>593.15342328835584</v>
      </c>
      <c r="G7" s="3" t="s">
        <v>29</v>
      </c>
      <c r="H7" s="1">
        <f>H6/1000</f>
        <v>201.06192982974676</v>
      </c>
    </row>
    <row r="8" spans="2:12" x14ac:dyDescent="0.25">
      <c r="G8" s="3" t="s">
        <v>33</v>
      </c>
      <c r="H8" s="1">
        <f>H7/1000000</f>
        <v>2.0106192982974677E-4</v>
      </c>
    </row>
    <row r="9" spans="2:12" x14ac:dyDescent="0.25">
      <c r="B9" s="6" t="s">
        <v>3</v>
      </c>
      <c r="C9" s="7"/>
    </row>
    <row r="10" spans="2:12" x14ac:dyDescent="0.25">
      <c r="F10" s="17"/>
      <c r="G10" s="6" t="s">
        <v>30</v>
      </c>
      <c r="H10" s="7"/>
      <c r="L10" s="17"/>
    </row>
    <row r="11" spans="2:12" x14ac:dyDescent="0.25">
      <c r="B11" s="1" t="s">
        <v>4</v>
      </c>
      <c r="C11" s="1">
        <f>C7</f>
        <v>593.15342328835584</v>
      </c>
      <c r="F11" s="17"/>
      <c r="L11" s="17"/>
    </row>
    <row r="12" spans="2:12" x14ac:dyDescent="0.25">
      <c r="B12" s="1" t="s">
        <v>5</v>
      </c>
      <c r="C12" s="1">
        <v>6</v>
      </c>
      <c r="F12" s="17"/>
      <c r="G12" s="1" t="s">
        <v>31</v>
      </c>
      <c r="H12" s="1">
        <v>2</v>
      </c>
      <c r="L12" s="17"/>
    </row>
    <row r="13" spans="2:12" x14ac:dyDescent="0.25">
      <c r="B13" s="1" t="s">
        <v>6</v>
      </c>
      <c r="C13" s="1">
        <f>C12*100000</f>
        <v>600000</v>
      </c>
      <c r="F13" s="17"/>
      <c r="G13" s="1" t="s">
        <v>32</v>
      </c>
      <c r="H13" s="1">
        <v>8</v>
      </c>
      <c r="L13" s="17"/>
    </row>
    <row r="14" spans="2:12" x14ac:dyDescent="0.25">
      <c r="B14" s="10" t="s">
        <v>7</v>
      </c>
      <c r="C14" s="3">
        <f>C11/C13</f>
        <v>9.8858903881392647E-4</v>
      </c>
      <c r="F14" s="17"/>
      <c r="G14" s="3" t="s">
        <v>34</v>
      </c>
      <c r="H14" s="1">
        <f>H12*H13*H8</f>
        <v>3.2169908772759484E-3</v>
      </c>
      <c r="L14" s="17"/>
    </row>
    <row r="15" spans="2:12" x14ac:dyDescent="0.25">
      <c r="B15" s="10" t="s">
        <v>8</v>
      </c>
      <c r="C15" s="3">
        <f>C14*10000</f>
        <v>9.8858903881392646</v>
      </c>
      <c r="F15" s="17"/>
      <c r="G15" s="10" t="s">
        <v>58</v>
      </c>
      <c r="H15" s="15">
        <f>H14*1000</f>
        <v>3.2169908772759483</v>
      </c>
      <c r="L15" s="17"/>
    </row>
    <row r="16" spans="2:12" x14ac:dyDescent="0.25">
      <c r="B16" s="10" t="s">
        <v>9</v>
      </c>
      <c r="C16" s="3">
        <f>C14*1000000</f>
        <v>988.58903881392644</v>
      </c>
      <c r="F16" s="17"/>
      <c r="L16" s="17"/>
    </row>
    <row r="17" spans="2:12" x14ac:dyDescent="0.25">
      <c r="F17" s="17"/>
      <c r="G17" s="6" t="s">
        <v>59</v>
      </c>
      <c r="H17" s="6"/>
      <c r="L17" s="17"/>
    </row>
    <row r="18" spans="2:12" x14ac:dyDescent="0.25">
      <c r="B18" s="10" t="s">
        <v>10</v>
      </c>
      <c r="C18" s="3">
        <f>SQRT((4*C15)/PI())</f>
        <v>3.5478312498054581</v>
      </c>
      <c r="F18" s="17"/>
      <c r="L18" s="17"/>
    </row>
    <row r="19" spans="2:12" x14ac:dyDescent="0.25">
      <c r="B19" s="10" t="s">
        <v>11</v>
      </c>
      <c r="C19" s="3">
        <f>SQRT((4*C16)/PI())</f>
        <v>35.478312498054578</v>
      </c>
      <c r="F19" s="17"/>
      <c r="G19" s="1" t="s">
        <v>61</v>
      </c>
      <c r="H19" s="1">
        <v>2.6</v>
      </c>
      <c r="L19" s="17"/>
    </row>
    <row r="20" spans="2:12" x14ac:dyDescent="0.25">
      <c r="F20" s="17"/>
      <c r="G20" s="1" t="s">
        <v>60</v>
      </c>
      <c r="H20" s="1">
        <f>H13*H19</f>
        <v>20.8</v>
      </c>
      <c r="L20" s="17"/>
    </row>
    <row r="21" spans="2:12" x14ac:dyDescent="0.25">
      <c r="B21" s="3" t="s">
        <v>13</v>
      </c>
      <c r="C21" s="1">
        <v>40</v>
      </c>
      <c r="F21" s="17"/>
      <c r="G21" s="8" t="s">
        <v>62</v>
      </c>
      <c r="H21" s="1">
        <f>H20/60</f>
        <v>0.34666666666666668</v>
      </c>
      <c r="L21" s="17"/>
    </row>
    <row r="22" spans="2:12" x14ac:dyDescent="0.25">
      <c r="B22" s="3" t="s">
        <v>14</v>
      </c>
      <c r="C22" s="1">
        <v>16</v>
      </c>
      <c r="F22" s="17"/>
      <c r="G22" s="1" t="s">
        <v>64</v>
      </c>
      <c r="H22" s="1">
        <f>H15/H21</f>
        <v>9.2797813767575423</v>
      </c>
      <c r="L22" s="17"/>
    </row>
    <row r="23" spans="2:12" x14ac:dyDescent="0.25">
      <c r="B23" s="3" t="s">
        <v>27</v>
      </c>
      <c r="C23" s="1">
        <v>160</v>
      </c>
      <c r="F23" s="17"/>
      <c r="G23" s="1" t="s">
        <v>63</v>
      </c>
      <c r="H23" s="1">
        <f>((C12*0.986923+1)/(1))*H22</f>
        <v>64.230359430919648</v>
      </c>
      <c r="I23" s="1" t="s">
        <v>65</v>
      </c>
      <c r="J23" s="1">
        <f>H23*0.035314666721</f>
        <v>2.2682737366729664</v>
      </c>
      <c r="L23" s="17"/>
    </row>
    <row r="24" spans="2:12" x14ac:dyDescent="0.25">
      <c r="F24" s="17"/>
      <c r="G24" s="4" t="s">
        <v>35</v>
      </c>
      <c r="H24" s="1">
        <f>H23*0.25</f>
        <v>16.057589857729912</v>
      </c>
      <c r="L24" s="17"/>
    </row>
    <row r="25" spans="2:12" x14ac:dyDescent="0.25">
      <c r="B25" s="6" t="s">
        <v>12</v>
      </c>
      <c r="C25" s="7"/>
      <c r="F25" s="17"/>
      <c r="G25" s="2" t="s">
        <v>43</v>
      </c>
      <c r="H25" s="1">
        <f>H23+H24</f>
        <v>80.287949288649557</v>
      </c>
      <c r="L25" s="17"/>
    </row>
    <row r="26" spans="2:12" x14ac:dyDescent="0.25">
      <c r="F26" s="17"/>
      <c r="L26" s="17"/>
    </row>
    <row r="27" spans="2:12" x14ac:dyDescent="0.25">
      <c r="B27" s="3" t="s">
        <v>15</v>
      </c>
      <c r="C27" s="1">
        <f>(PI()/4)*C13*(C21*0.001)^2</f>
        <v>753.9822368615504</v>
      </c>
      <c r="F27" s="17"/>
      <c r="G27" s="6" t="s">
        <v>36</v>
      </c>
      <c r="H27" s="7"/>
      <c r="L27" s="17"/>
    </row>
    <row r="28" spans="2:12" x14ac:dyDescent="0.25">
      <c r="B28" s="3" t="s">
        <v>16</v>
      </c>
      <c r="C28" s="1">
        <f>(PI()/4)*C13*((C21*0.001)^2-(C22*0.001)^2)</f>
        <v>633.34507896370235</v>
      </c>
      <c r="F28" s="17"/>
      <c r="G28" s="8" t="s">
        <v>45</v>
      </c>
      <c r="H28" s="1">
        <f>PI()*((C21/1000)/2)^2</f>
        <v>1.2566370614359172E-3</v>
      </c>
      <c r="L28" s="17"/>
    </row>
    <row r="29" spans="2:12" x14ac:dyDescent="0.25">
      <c r="F29" s="17"/>
      <c r="G29" s="8" t="s">
        <v>37</v>
      </c>
      <c r="H29" s="1">
        <v>1</v>
      </c>
      <c r="L29" s="17"/>
    </row>
    <row r="30" spans="2:12" x14ac:dyDescent="0.25">
      <c r="F30" s="17"/>
      <c r="G30" s="2" t="s">
        <v>44</v>
      </c>
      <c r="H30" s="1">
        <f>H28*H29</f>
        <v>1.2566370614359172E-3</v>
      </c>
      <c r="L30" s="17"/>
    </row>
    <row r="31" spans="2:12" x14ac:dyDescent="0.25">
      <c r="F31" s="17"/>
      <c r="L31" s="17"/>
    </row>
    <row r="32" spans="2:12" x14ac:dyDescent="0.25">
      <c r="B32" s="11" t="s">
        <v>18</v>
      </c>
      <c r="C32" s="1" t="s">
        <v>23</v>
      </c>
      <c r="F32" s="17"/>
      <c r="G32" s="6" t="s">
        <v>38</v>
      </c>
      <c r="H32" s="7"/>
      <c r="L32" s="17"/>
    </row>
    <row r="33" spans="2:12" x14ac:dyDescent="0.25">
      <c r="B33" s="11" t="s">
        <v>21</v>
      </c>
      <c r="C33" s="1" t="s">
        <v>20</v>
      </c>
      <c r="F33" s="17"/>
      <c r="G33" s="2" t="s">
        <v>42</v>
      </c>
      <c r="H33" s="1">
        <f>(4/PI())*(H30/(C21/1000)^2)</f>
        <v>1</v>
      </c>
      <c r="L33" s="17"/>
    </row>
    <row r="34" spans="2:12" x14ac:dyDescent="0.25">
      <c r="F34" s="17"/>
      <c r="L34" s="17"/>
    </row>
    <row r="35" spans="2:12" x14ac:dyDescent="0.25">
      <c r="F35" s="17"/>
      <c r="G35" s="6" t="s">
        <v>39</v>
      </c>
      <c r="H35" s="7"/>
      <c r="L35" s="17"/>
    </row>
    <row r="36" spans="2:12" x14ac:dyDescent="0.25">
      <c r="B36" s="12" t="s">
        <v>24</v>
      </c>
      <c r="C36" s="13"/>
      <c r="F36" s="17"/>
      <c r="L36" s="17"/>
    </row>
    <row r="37" spans="2:12" x14ac:dyDescent="0.25">
      <c r="F37" s="17"/>
      <c r="G37" s="3" t="s">
        <v>41</v>
      </c>
      <c r="H37" s="1">
        <f>H33*(((C21/1000)^2)/(0.009525)^2)</f>
        <v>17.635590826737207</v>
      </c>
      <c r="L37" s="17"/>
    </row>
    <row r="38" spans="2:12" x14ac:dyDescent="0.25">
      <c r="B38" t="s">
        <v>54</v>
      </c>
      <c r="F38" s="17"/>
      <c r="L38" s="17"/>
    </row>
    <row r="39" spans="2:12" x14ac:dyDescent="0.25">
      <c r="F39" s="17"/>
      <c r="G39" s="6" t="s">
        <v>55</v>
      </c>
      <c r="H39" s="7"/>
      <c r="L39" s="17"/>
    </row>
    <row r="40" spans="2:12" x14ac:dyDescent="0.25">
      <c r="F40" s="17"/>
      <c r="G40" s="3" t="s">
        <v>40</v>
      </c>
      <c r="H40" s="1">
        <f>(H37*(0.0095))/0.0000151</f>
        <v>11095.239261854535</v>
      </c>
      <c r="L40" s="17"/>
    </row>
    <row r="41" spans="2:12" x14ac:dyDescent="0.25">
      <c r="F41" s="17"/>
      <c r="L41" s="17"/>
    </row>
    <row r="42" spans="2:12" x14ac:dyDescent="0.25">
      <c r="B42" s="6" t="s">
        <v>25</v>
      </c>
      <c r="C42" s="7"/>
      <c r="F42" s="17"/>
      <c r="L42" s="17"/>
    </row>
    <row r="43" spans="2:12" x14ac:dyDescent="0.25">
      <c r="F43" s="17"/>
      <c r="G43" s="17"/>
      <c r="H43" s="17"/>
      <c r="I43" s="17"/>
      <c r="J43" s="17"/>
      <c r="K43" s="17"/>
      <c r="L43" s="17"/>
    </row>
    <row r="44" spans="2:12" x14ac:dyDescent="0.25">
      <c r="B44" t="s">
        <v>54</v>
      </c>
      <c r="F44" s="17"/>
      <c r="G44" s="17"/>
      <c r="H44" s="17"/>
      <c r="I44" s="17"/>
      <c r="J44" s="17"/>
      <c r="K44" s="17"/>
      <c r="L44" s="17"/>
    </row>
    <row r="45" spans="2:12" x14ac:dyDescent="0.25">
      <c r="F45" s="17"/>
      <c r="G45" s="17"/>
      <c r="H45" s="17"/>
      <c r="I45" s="17"/>
      <c r="J45" s="17"/>
      <c r="K45" s="17"/>
      <c r="L45" s="17"/>
    </row>
    <row r="46" spans="2:12" x14ac:dyDescent="0.25">
      <c r="F46" s="17"/>
      <c r="G46" s="17"/>
      <c r="H46" s="17"/>
      <c r="I46" s="17"/>
      <c r="J46" s="17"/>
      <c r="K46" s="17"/>
      <c r="L46" s="17"/>
    </row>
    <row r="47" spans="2:12" x14ac:dyDescent="0.25">
      <c r="F47" s="17"/>
      <c r="G47" s="17"/>
      <c r="H47" s="17"/>
      <c r="I47" s="17"/>
      <c r="J47" s="17"/>
      <c r="K47" s="17"/>
      <c r="L47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0A99-BF1B-443E-97D4-14CD8B365D5B}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2103-EBCA-43E4-B3EB-F7150CF78A06}">
  <dimension ref="A1"/>
  <sheetViews>
    <sheetView workbookViewId="0">
      <selection activeCell="H29" sqref="H2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15B-542B-4540-B074-6E2A900E61AB}">
  <dimension ref="B6:E6"/>
  <sheetViews>
    <sheetView workbookViewId="0">
      <selection activeCell="E7" sqref="E7"/>
    </sheetView>
  </sheetViews>
  <sheetFormatPr baseColWidth="10" defaultRowHeight="15" x14ac:dyDescent="0.25"/>
  <sheetData>
    <row r="6" spans="2:5" x14ac:dyDescent="0.25">
      <c r="B6" s="14" t="s">
        <v>57</v>
      </c>
      <c r="C6" s="14"/>
      <c r="D6" s="14"/>
      <c r="E6" s="1">
        <f>'Cilindro 1A'!$H$25+'Cilindro 2A'!H25+'Cilindro 3A'!H25</f>
        <v>230.82785420486744</v>
      </c>
    </row>
  </sheetData>
  <mergeCells count="1"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Cilindro 1A</vt:lpstr>
      <vt:lpstr>Cilindro 2A</vt:lpstr>
      <vt:lpstr>Cilindro 3A</vt:lpstr>
      <vt:lpstr>Tiempos</vt:lpstr>
      <vt:lpstr>Dim Cubo</vt:lpstr>
      <vt:lpstr>Compresor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Michael  Rodriguez</cp:lastModifiedBy>
  <dcterms:created xsi:type="dcterms:W3CDTF">2021-06-17T05:51:02Z</dcterms:created>
  <dcterms:modified xsi:type="dcterms:W3CDTF">2021-06-27T05:05:46Z</dcterms:modified>
</cp:coreProperties>
</file>