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wmf" ContentType="image/x-wmf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libratin_raw_data pH" sheetId="1" state="visible" r:id="rId3"/>
    <sheet name="Messung Kalibration 20250117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<sst xmlns="http://schemas.openxmlformats.org/spreadsheetml/2006/main" count="189" uniqueCount="145">
  <si>
    <t xml:space="preserve">2-Point-Calibration pH accordig to common pH-Meters (Küster-Thiel (1982))</t>
  </si>
  <si>
    <t xml:space="preserve">t [°C]</t>
  </si>
  <si>
    <t xml:space="preserve">0,025 M KH2PO4 + 0,025M Na2HPO4</t>
  </si>
  <si>
    <t xml:space="preserve">0,008695M KH2PO4+0,03043 Na2HPO4</t>
  </si>
  <si>
    <t xml:space="preserve">Micrometrics-Vietnam</t>
  </si>
  <si>
    <t xml:space="preserve">Date:</t>
  </si>
  <si>
    <t xml:space="preserve">Temperature correktion</t>
  </si>
  <si>
    <t xml:space="preserve">Sensor no.:2</t>
  </si>
  <si>
    <t xml:space="preserve">S1</t>
  </si>
  <si>
    <t xml:space="preserve">S2</t>
  </si>
  <si>
    <t xml:space="preserve">slope S1    intercept S1</t>
  </si>
  <si>
    <t xml:space="preserve">slope S2     intercept S2</t>
  </si>
  <si>
    <t xml:space="preserve">pH 4.00 ±0.02</t>
  </si>
  <si>
    <t xml:space="preserve">pH 7.00 ±0.02</t>
  </si>
  <si>
    <t xml:space="preserve">pH 9.21 ±0.02</t>
  </si>
  <si>
    <t xml:space="preserve">Interpolation pH(T) Mettler-Toledo Buffers</t>
  </si>
  <si>
    <t xml:space="preserve">Buffer 2 and 1</t>
  </si>
  <si>
    <t xml:space="preserve">T[°C] Glass-Elektrode</t>
  </si>
  <si>
    <t xml:space="preserve">T[°C] Ag/Ag+ Elektrode</t>
  </si>
  <si>
    <t xml:space="preserve">pH(t)</t>
  </si>
  <si>
    <t xml:space="preserve">signal [V]</t>
  </si>
  <si>
    <t xml:space="preserve">Standard/Buffer</t>
  </si>
  <si>
    <t xml:space="preserve">T [°C]</t>
  </si>
  <si>
    <t xml:space="preserve">pH(t) 4.00</t>
  </si>
  <si>
    <t xml:space="preserve">Mettler-Toledo</t>
  </si>
  <si>
    <r>
      <rPr>
        <sz val="10"/>
        <rFont val="Arial"/>
        <family val="0"/>
        <charset val="1"/>
      </rPr>
      <t xml:space="preserve">pH</t>
    </r>
    <r>
      <rPr>
        <vertAlign val="subscript"/>
        <sz val="10"/>
        <rFont val="Arial"/>
        <family val="2"/>
        <charset val="1"/>
      </rPr>
      <t xml:space="preserve">9.21</t>
    </r>
  </si>
  <si>
    <t xml:space="preserve">pH(t) 7.00</t>
  </si>
  <si>
    <t xml:space="preserve">slope recomended 100% - 85%</t>
  </si>
  <si>
    <t xml:space="preserve">pH(t) 9.00</t>
  </si>
  <si>
    <r>
      <rPr>
        <sz val="10"/>
        <rFont val="Arial"/>
        <family val="0"/>
        <charset val="1"/>
      </rPr>
      <t xml:space="preserve">pH</t>
    </r>
    <r>
      <rPr>
        <vertAlign val="subscript"/>
        <sz val="10"/>
        <rFont val="Arial"/>
        <family val="2"/>
        <charset val="1"/>
      </rPr>
      <t xml:space="preserve">7.00</t>
    </r>
  </si>
  <si>
    <r>
      <rPr>
        <sz val="10"/>
        <rFont val="Arial"/>
        <family val="0"/>
        <charset val="1"/>
      </rPr>
      <t xml:space="preserve">T</t>
    </r>
    <r>
      <rPr>
        <vertAlign val="subscript"/>
        <sz val="10"/>
        <rFont val="Arial"/>
        <family val="2"/>
        <charset val="1"/>
      </rPr>
      <t xml:space="preserve">avg</t>
    </r>
    <r>
      <rPr>
        <sz val="10"/>
        <rFont val="Arial"/>
        <family val="0"/>
        <charset val="1"/>
      </rPr>
      <t xml:space="preserve">[°C]:</t>
    </r>
  </si>
  <si>
    <t xml:space="preserve">EXAMPLES</t>
  </si>
  <si>
    <t xml:space="preserve">Null correktion</t>
  </si>
  <si>
    <t xml:space="preserve">a = Null S1 (pH7.00)</t>
  </si>
  <si>
    <t xml:space="preserve">a = Null S2 (pH7.00)</t>
  </si>
  <si>
    <t xml:space="preserve">ID</t>
  </si>
  <si>
    <t xml:space="preserve">measured signal1[V]</t>
  </si>
  <si>
    <t xml:space="preserve">measured signal2[V]</t>
  </si>
  <si>
    <t xml:space="preserve">pH(S1)</t>
  </si>
  <si>
    <t xml:space="preserve">pH(S2)</t>
  </si>
  <si>
    <t xml:space="preserve">S1[V] </t>
  </si>
  <si>
    <r>
      <rPr>
        <sz val="10"/>
        <rFont val="Arial"/>
        <family val="0"/>
        <charset val="1"/>
      </rPr>
      <t xml:space="preserve">pH</t>
    </r>
    <r>
      <rPr>
        <vertAlign val="subscript"/>
        <sz val="10"/>
        <rFont val="Arial"/>
        <family val="2"/>
        <charset val="1"/>
      </rPr>
      <t xml:space="preserve">4.00</t>
    </r>
  </si>
  <si>
    <t xml:space="preserve">sample_01pH_01</t>
  </si>
  <si>
    <t xml:space="preserve">Fscorr. = S1 </t>
  </si>
  <si>
    <t xml:space="preserve">Fscorr. = S2 </t>
  </si>
  <si>
    <t xml:space="preserve">Reference temperature</t>
  </si>
  <si>
    <t xml:space="preserve">sample_02pH_02</t>
  </si>
  <si>
    <t xml:space="preserve">S2[V]</t>
  </si>
  <si>
    <t xml:space="preserve">y=-0,66057x+224,243</t>
  </si>
  <si>
    <t xml:space="preserve">sample_03pH_03</t>
  </si>
  <si>
    <t xml:space="preserve">slope check (&gt;85% of theoretical value)</t>
  </si>
  <si>
    <t xml:space="preserve">null check (±0.030 V of theoretical value at pH7.00)</t>
  </si>
  <si>
    <t xml:space="preserve">Messbereich ADS1115_4096</t>
  </si>
  <si>
    <t xml:space="preserve">pH7</t>
  </si>
  <si>
    <t xml:space="preserve">pH4,01</t>
  </si>
  <si>
    <t xml:space="preserve">«&lt;</t>
  </si>
  <si>
    <t xml:space="preserve">TABELLE 1</t>
  </si>
  <si>
    <t xml:space="preserve">Formeln zur Temperaturkompensation der in situ Messungen und der Kalibration (Tabelle1):</t>
  </si>
  <si>
    <t xml:space="preserve">Bei einwertigen Ionen wie dem Wasserstoffion gelten </t>
  </si>
  <si>
    <r>
      <rPr>
        <b val="true"/>
        <sz val="12"/>
        <rFont val="Arial"/>
        <family val="2"/>
        <charset val="1"/>
      </rPr>
      <t xml:space="preserve">pH </t>
    </r>
    <r>
      <rPr>
        <b val="true"/>
        <vertAlign val="subscript"/>
        <sz val="12"/>
        <rFont val="Arial"/>
        <family val="2"/>
        <charset val="1"/>
      </rPr>
      <t xml:space="preserve">t2 </t>
    </r>
    <r>
      <rPr>
        <b val="true"/>
        <sz val="12"/>
        <rFont val="Arial"/>
        <family val="2"/>
        <charset val="1"/>
      </rPr>
      <t xml:space="preserve">= pH </t>
    </r>
    <r>
      <rPr>
        <b val="true"/>
        <vertAlign val="subscript"/>
        <sz val="12"/>
        <rFont val="Arial"/>
        <family val="2"/>
        <charset val="1"/>
      </rPr>
      <t xml:space="preserve">t1 </t>
    </r>
    <r>
      <rPr>
        <b val="true"/>
        <sz val="12"/>
        <rFont val="Arial"/>
        <family val="2"/>
        <charset val="1"/>
      </rPr>
      <t xml:space="preserve">+ 0.0114(t1-t2)  ; t1 = Kalibriertemperatur , t2 = in situ Temperatur</t>
    </r>
  </si>
  <si>
    <t xml:space="preserve">folgende Temperaturabhängigkeiten der Nernstspannung.</t>
  </si>
  <si>
    <t xml:space="preserve">7.7 Calculation of the in situ pH for seawater (Grasshoff)</t>
  </si>
  <si>
    <t xml:space="preserve"> </t>
  </si>
  <si>
    <r>
      <rPr>
        <sz val="10"/>
        <rFont val="Symbol"/>
        <family val="1"/>
        <charset val="2"/>
      </rPr>
      <t xml:space="preserve">J </t>
    </r>
    <r>
      <rPr>
        <sz val="10"/>
        <rFont val="Arial"/>
        <family val="0"/>
        <charset val="1"/>
      </rPr>
      <t xml:space="preserve">[°C] </t>
    </r>
  </si>
  <si>
    <t xml:space="preserve">S [mV] </t>
  </si>
  <si>
    <t xml:space="preserve">S [mV]</t>
  </si>
  <si>
    <t xml:space="preserve">7.7.1 Temperature correction</t>
  </si>
  <si>
    <t xml:space="preserve">The method described is based on a pH measurement at constant temperature. The in situ</t>
  </si>
  <si>
    <t xml:space="preserve">value of the pH must then be computed. Gieskes (1969a, 1970) has shown that for practical</t>
  </si>
  <si>
    <t xml:space="preserve">purposes one temperature coefficient can be usod because of the fact that the determinations</t>
  </si>
  <si>
    <t xml:space="preserve">of the equilibrium constants in the carbonic acid system, the boric acid and different ion pair</t>
  </si>
  <si>
    <t xml:space="preserve">formations involved do not justify an apparent accuracy of the pH data of better than ± 0.02</t>
  </si>
  <si>
    <t xml:space="preserve">pH units.</t>
  </si>
  <si>
    <t xml:space="preserve">If the data of Buch (1951) and those of Lyman (1956) are corrected for the NBS pH scale, a</t>
  </si>
  <si>
    <t xml:space="preserve">A change of 1 pH unit causes a change of voltage:</t>
  </si>
  <si>
    <t xml:space="preserve">temperature coefficient of 0.0114 seems to be representative (Gieskes, 1969a, 1970). The pH</t>
  </si>
  <si>
    <t xml:space="preserve">55,19 mV (5°C), 59,16 mV (25°C) or 63,12 mV (45°C). All Nernst linear regression lines crossing the </t>
  </si>
  <si>
    <t xml:space="preserve">at the in situ temperature can then be calculated from</t>
  </si>
  <si>
    <t xml:space="preserve"> Isotherme at pH = 7.00.</t>
  </si>
  <si>
    <t xml:space="preserve">PHt2 = pHt1 + 0.0114 (t1—t2)</t>
  </si>
  <si>
    <t xml:space="preserve">That means: The pH is temperature dependend. A calibration is needed.</t>
  </si>
  <si>
    <t xml:space="preserve">where</t>
  </si>
  <si>
    <t xml:space="preserve">t1 = measuring temperature</t>
  </si>
  <si>
    <t xml:space="preserve">Potentials measured against the Standard  Hydrogen Elektrode at 25°C, were reactands are in the concentration of 1 mol/L</t>
  </si>
  <si>
    <t xml:space="preserve">t2 = in situ temperature</t>
  </si>
  <si>
    <t xml:space="preserve">are Normal Voltages or Standard potentials. Redox pairs,</t>
  </si>
  <si>
    <t xml:space="preserve">In view of the uncertainty of the temperature coettilcient of ±0.0010, the accuracy of the</t>
  </si>
  <si>
    <t xml:space="preserve">which deliver electrons to the NHE, have a negative sign, Redox pairs, which</t>
  </si>
  <si>
    <t xml:space="preserve">correction will be ± 0.02 pH units if t1 and t2 differ by 20 °C.</t>
  </si>
  <si>
    <t xml:space="preserve">are taking electrons getting a positive sign.</t>
  </si>
  <si>
    <t xml:space="preserve">When you sort the redox pairs in order to there negative voltage against NHE</t>
  </si>
  <si>
    <t xml:space="preserve">we get the voltage series oder redox series. At the beginning of the voltage series, </t>
  </si>
  <si>
    <t xml:space="preserve">Standard potentials for Reference elektrodes in dependence of temperature against the Normal hydrogen elektrode NHE [mV] acc. to Dr. W. Ingold KG - Frankfurt</t>
  </si>
  <si>
    <t xml:space="preserve">are Redox pairs with the highest tendency to spend elektrones ; </t>
  </si>
  <si>
    <t xml:space="preserve">Calomel</t>
  </si>
  <si>
    <t xml:space="preserve">Ag/AgCl</t>
  </si>
  <si>
    <t xml:space="preserve">Regression coeffizients for Reference elektrode types:</t>
  </si>
  <si>
    <t xml:space="preserve">At the end of the voltage series, are redox pairs, which are taking electrons.</t>
  </si>
  <si>
    <t xml:space="preserve">Elektrolyte: sat KCl-sol.</t>
  </si>
  <si>
    <t xml:space="preserve">Elektrolyte: sat. KCl-sol.</t>
  </si>
  <si>
    <t xml:space="preserve">Elektrolyte: 3M KCl-sol.</t>
  </si>
  <si>
    <t xml:space="preserve">pH- Meter (a Voltmeter): the pH- Meter is using the phenomenon of potential differences dE at membranes with different pHs</t>
  </si>
  <si>
    <t xml:space="preserve">Elektrode</t>
  </si>
  <si>
    <t xml:space="preserve">a</t>
  </si>
  <si>
    <t xml:space="preserve">b</t>
  </si>
  <si>
    <t xml:space="preserve">[H+] concentrations (pH1, pH2) in contact :</t>
  </si>
  <si>
    <t xml:space="preserve">delta E [V] = - 2,303 RT / F (pH2 - pH1)</t>
  </si>
  <si>
    <t xml:space="preserve">calculation of dE pro pH-Eiheit zu berechnen ergibt sich:</t>
  </si>
  <si>
    <t xml:space="preserve">delta E [V] = - 2,303 RT / F (pH2 - pH1) / (pH2-pH1)</t>
  </si>
  <si>
    <t xml:space="preserve">Basic equation is the  NERNST equation: </t>
  </si>
  <si>
    <r>
      <rPr>
        <sz val="10"/>
        <rFont val="Arial"/>
        <family val="2"/>
        <charset val="1"/>
      </rPr>
      <t xml:space="preserve">E = E</t>
    </r>
    <r>
      <rPr>
        <vertAlign val="subscript"/>
        <sz val="10"/>
        <rFont val="Arial"/>
        <family val="2"/>
        <charset val="1"/>
      </rPr>
      <t xml:space="preserve">0</t>
    </r>
    <r>
      <rPr>
        <sz val="10"/>
        <rFont val="Arial"/>
        <family val="0"/>
        <charset val="1"/>
      </rPr>
      <t xml:space="preserve"> - (RT / nF) ln [red] / [ox] </t>
    </r>
  </si>
  <si>
    <t xml:space="preserve">mV for T [°C]:</t>
  </si>
  <si>
    <t xml:space="preserve">If pH1 is known, pH2 can be calculated from delta E. Each pH- Meter have to be calibrated before use. (&gt; Festlegung von</t>
  </si>
  <si>
    <t xml:space="preserve">pH1. The pH meter is an precise instrument, which needs maintenance.</t>
  </si>
  <si>
    <t xml:space="preserve">The "Elektrode"  hold wet every time. 3m KCl storing solution.</t>
  </si>
  <si>
    <t xml:space="preserve">The inner Buffer is also 3M KCl. Die Glas membrane is</t>
  </si>
  <si>
    <t xml:space="preserve">The electrode is very sensitive against against mechanical and chemical influences. pH- Meter are inprecise over pH 12  (&gt; Alkali error) </t>
  </si>
  <si>
    <t xml:space="preserve">Küster Thiel, Rechentafeln für die chemische Analytik 102. Auflage, Walter de Gruyter, Berlin-New York, 1982</t>
  </si>
  <si>
    <t xml:space="preserve">pH 7 is according to a signal of 0 mV.</t>
  </si>
  <si>
    <t xml:space="preserve">The difference to 0 mV and the pH7-Signal is called Asymetry.</t>
  </si>
  <si>
    <t xml:space="preserve">Standard potentials for Reference elektrodes in dependence of temperature against the Normal hydrogen elektrode NHE [mV]</t>
  </si>
  <si>
    <t xml:space="preserve">Mettler-Toledo 7,00</t>
  </si>
  <si>
    <t xml:space="preserve">Mettler-Toledo 4,01</t>
  </si>
  <si>
    <t xml:space="preserve">Calomel        (Eo =0,2690V)</t>
  </si>
  <si>
    <t xml:space="preserve">Ag/AgCl                (Eo= 0,2222V)</t>
  </si>
  <si>
    <t xml:space="preserve">Regressions coeffizients for Reference elektrode types:</t>
  </si>
  <si>
    <t xml:space="preserve">U [mV] for T [°C]:</t>
  </si>
  <si>
    <t xml:space="preserve">Theoretischer Wert (mV) pro pH-Einheit</t>
  </si>
  <si>
    <t xml:space="preserve">Pro 3 pH-Einheiten</t>
  </si>
  <si>
    <t xml:space="preserve">Sonde</t>
  </si>
  <si>
    <t xml:space="preserve">Puffer (pH)</t>
  </si>
  <si>
    <t xml:space="preserve">Bezugsspannung [V]</t>
  </si>
  <si>
    <t xml:space="preserve">Messwert [Volt]</t>
  </si>
  <si>
    <t xml:space="preserve">calc. Ratio</t>
  </si>
  <si>
    <t xml:space="preserve">mV/dpH</t>
  </si>
  <si>
    <t xml:space="preserve">pH 7</t>
  </si>
  <si>
    <t xml:space="preserve">pH 4</t>
  </si>
  <si>
    <t xml:space="preserve">Messwert(Probe) mV</t>
  </si>
  <si>
    <t xml:space="preserve">Leonie</t>
  </si>
  <si>
    <t xml:space="preserve">Slope</t>
  </si>
  <si>
    <t xml:space="preserve">Intercept pH</t>
  </si>
  <si>
    <t xml:space="preserve">pH(Probe)</t>
  </si>
  <si>
    <t xml:space="preserve">Matthias</t>
  </si>
  <si>
    <t xml:space="preserve">Quelle:</t>
  </si>
  <si>
    <t xml:space="preserve">https://github.com/DFRobot/DFRobot_PH/blob/master/python/raspberrypi/DFRobot_PH.py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</si>
</sst>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_(\$* #,##0_);_(\$* \(#,##0\);_(\$* \-_);_(@_)"/>
    <numFmt numFmtId="166" formatCode="_(\$* #,##0.00_);_(\$* \(#,##0.00\);_(\$* \-??_);_(@_)"/>
    <numFmt numFmtId="167" formatCode="dd/mm/yyyy"/>
    <numFmt numFmtId="168" formatCode="0.000"/>
    <numFmt numFmtId="169" formatCode="0.000000"/>
    <numFmt numFmtId="170" formatCode="0.00"/>
    <numFmt numFmtId="171" formatCode="0.0000"/>
    <numFmt numFmtId="172" formatCode="0.0000000"/>
    <numFmt numFmtId="173" formatCode="0.0"/>
  </numFmts>
  <fonts count="2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0C0C0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b val="true"/>
      <u val="single"/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vertAlign val="subscript"/>
      <sz val="12"/>
      <name val="Arial"/>
      <family val="2"/>
      <charset val="1"/>
    </font>
    <font>
      <sz val="10"/>
      <name val="Symbol"/>
      <family val="1"/>
      <charset val="2"/>
    </font>
    <font>
      <sz val="8"/>
      <name val="Arial"/>
      <family val="2"/>
      <charset val="1"/>
    </font>
    <font>
      <sz val="15.75"/>
      <color rgb="FF000000"/>
      <name val="Arial"/>
      <family val="2"/>
    </font>
    <font>
      <sz val="10"/>
      <color rgb="FF000000"/>
      <name val="Calibri"/>
      <family val="2"/>
    </font>
    <font>
      <b val="true"/>
      <sz val="15.75"/>
      <color rgb="FF000000"/>
      <name val="Arial"/>
      <family val="2"/>
    </font>
    <font>
      <sz val="11"/>
      <color rgb="FF000000"/>
      <name val="Arial"/>
      <family val="2"/>
    </font>
    <font>
      <sz val="10.25"/>
      <color rgb="FF000000"/>
      <name val="Arial"/>
      <family val="2"/>
    </font>
    <font>
      <sz val="9.4"/>
      <color rgb="FF000000"/>
      <name val="Arial"/>
      <family val="2"/>
    </font>
    <font>
      <sz val="9.75"/>
      <color rgb="FF000000"/>
      <name val="Arial"/>
      <family val="2"/>
    </font>
    <font>
      <sz val="8.95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3" borderId="13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9" fontId="0" fillId="3" borderId="14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4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4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0" fillId="3" borderId="2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3" borderId="2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2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4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4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5" fillId="4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5" fillId="4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5" borderId="23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9" fontId="0" fillId="5" borderId="24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3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3" borderId="3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6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3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6" borderId="4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0" fillId="3" borderId="4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71" fontId="0" fillId="3" borderId="2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3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4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4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42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1" fontId="0" fillId="3" borderId="1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9" fillId="2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4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8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3" borderId="18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2" borderId="27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3" borderId="41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71" fontId="0" fillId="3" borderId="20" xfId="0" applyFont="fals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8" fillId="4" borderId="4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3" fontId="0" fillId="4" borderId="4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4" borderId="4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4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0" fontId="0" fillId="3" borderId="2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1" fontId="0" fillId="3" borderId="2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20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0" fillId="3" borderId="28" xfId="0" applyFont="false" applyBorder="true" applyAlignment="true" applyProtection="true">
      <alignment horizontal="general" vertical="center" textRotation="0" wrapText="false" indent="0" shrinkToFit="false"/>
      <protection locked="true" hidden="tru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4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39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40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0" borderId="17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18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26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20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20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27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23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44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73" fontId="0" fillId="0" borderId="44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0" fillId="0" borderId="24" xfId="0" applyFont="false" applyBorder="true" applyAlignment="true" applyProtection="true">
      <alignment horizontal="left" vertical="bottom" textRotation="0" wrapText="false" indent="0" shrinkToFit="false"/>
      <protection locked="true" hidden="tru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73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64" fontId="0" fillId="0" borderId="4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48" xfId="0" applyFont="false" applyBorder="true" applyAlignment="true" applyProtection="true">
      <alignment horizontal="center" vertical="bottom" textRotation="0" wrapText="false" indent="0" shrinkToFit="false"/>
      <protection locked="true" hidden="true"/>
    </xf>
    <xf numFmtId="173" fontId="0" fillId="0" borderId="48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0" borderId="29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tru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true"/>
    </xf>
    <xf numFmtId="173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true"/>
    </xf>
    <xf numFmtId="173" fontId="0" fillId="8" borderId="1" xfId="0" applyFont="false" applyBorder="true" applyAlignment="true" applyProtection="true">
      <alignment horizontal="general" vertical="bottom" textRotation="0" wrapText="false" indent="0" shrinkToFit="false"/>
      <protection locked="false" hidden="tru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5" fillId="0" borderId="1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0" borderId="37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0" borderId="3" xfId="0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0" borderId="48" xfId="0" applyFont="true" applyBorder="true" applyAlignment="true" applyProtection="true">
      <alignment horizontal="general" vertical="bottom" textRotation="0" wrapText="false" indent="0" shrinkToFit="false"/>
      <protection locked="true" hidden="true"/>
    </xf>
    <xf numFmtId="164" fontId="15" fillId="2" borderId="1" xfId="0" applyFont="true" applyBorder="true" applyAlignment="true" applyProtection="true">
      <alignment horizontal="left" vertical="bottom" textRotation="0" wrapText="true" indent="0" shrinkToFit="false"/>
      <protection locked="true" hidden="true"/>
    </xf>
    <xf numFmtId="173" fontId="0" fillId="7" borderId="1" xfId="0" applyFont="false" applyBorder="true" applyAlignment="true" applyProtection="true">
      <alignment horizontal="general" vertical="center" textRotation="0" wrapText="false" indent="0" shrinkToFit="false"/>
      <protection locked="true" hidden="tru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_DIRKNUT.XLS" xfId="20"/>
    <cellStyle name="Währung [0]_Mappe1 Diagramm 1" xfId="21"/>
    <cellStyle name="Währung_Mappe1 Diagramm 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575" strike="noStrike" u="none">
                <a:solidFill>
                  <a:srgbClr val="000000"/>
                </a:solidFill>
                <a:uFillTx/>
                <a:latin typeface="Arial"/>
                <a:ea typeface="Arial"/>
              </a:rPr>
              <a:t>pH vs T [°C] of Mettler-Toledo commercial available technical Buffers</a:t>
            </a:r>
          </a:p>
        </c:rich>
      </c:tx>
      <c:layout>
        <c:manualLayout>
          <c:xMode val="edge"/>
          <c:yMode val="edge"/>
          <c:x val="0.0238233344381836"/>
          <c:y val="0.716831206356851"/>
        </c:manualLayout>
      </c:layout>
      <c:overlay val="0"/>
      <c:spPr>
        <a:noFill/>
        <a:ln w="2556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115346370567"/>
          <c:y val="0.0280921422265029"/>
          <c:w val="0.487611866092145"/>
          <c:h val="0.550766514166466"/>
        </c:manualLayout>
      </c:layout>
      <c:scatterChart>
        <c:scatterStyle val="lineMarker"/>
        <c:varyColors val="0"/>
        <c:ser>
          <c:idx val="0"/>
          <c:order val="0"/>
          <c:tx>
            <c:strRef>
              <c:f>"pH=9.21 (25°C)"</c:f>
              <c:strCache>
                <c:ptCount val="1"/>
                <c:pt idx="0">
                  <c:v>pH=9.21 (25°C)</c:v>
                </c:pt>
              </c:strCache>
            </c:strRef>
          </c:tx>
          <c:spPr>
            <a:solidFill>
              <a:srgbClr val="000080"/>
            </a:solidFill>
            <a:ln w="19080">
              <a:noFill/>
            </a:ln>
          </c:spPr>
          <c:marker>
            <c:symbol val="diamond"/>
            <c:size val="3"/>
            <c:spPr>
              <a:solidFill>
                <a:srgbClr val="000080"/>
              </a:solidFill>
            </c:spPr>
          </c:marker>
          <c:dLbls>
            <c:txPr>
              <a:bodyPr wrap="square"/>
              <a:lstStyle/>
              <a:p>
                <a:pPr>
                  <a:defRPr b="0" sz="15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2600">
                <a:solidFill>
                  <a:srgbClr val="00008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'Calibratin_raw_data pH'!$O$4:$O$14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'Calibratin_raw_data pH'!$P$4:$P$14</c:f>
              <c:numCache>
                <c:formatCode>General</c:formatCode>
                <c:ptCount val="11"/>
                <c:pt idx="0">
                  <c:v>9.52</c:v>
                </c:pt>
                <c:pt idx="1">
                  <c:v>9.45</c:v>
                </c:pt>
                <c:pt idx="2">
                  <c:v>9.38</c:v>
                </c:pt>
                <c:pt idx="3">
                  <c:v>9.32</c:v>
                </c:pt>
                <c:pt idx="4">
                  <c:v>9.26</c:v>
                </c:pt>
                <c:pt idx="5">
                  <c:v>9.21</c:v>
                </c:pt>
                <c:pt idx="6">
                  <c:v>9.16</c:v>
                </c:pt>
                <c:pt idx="7">
                  <c:v>9.11</c:v>
                </c:pt>
                <c:pt idx="8">
                  <c:v>9.06</c:v>
                </c:pt>
                <c:pt idx="9">
                  <c:v>9.03</c:v>
                </c:pt>
                <c:pt idx="10">
                  <c:v>8.99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"pH=7.00 (20°C)"</c:f>
              <c:strCache>
                <c:ptCount val="1"/>
                <c:pt idx="0">
                  <c:v>pH=7.00 (20°C)</c:v>
                </c:pt>
              </c:strCache>
            </c:strRef>
          </c:tx>
          <c:spPr>
            <a:solidFill>
              <a:srgbClr val="ff00ff"/>
            </a:solidFill>
            <a:ln w="19080">
              <a:noFill/>
            </a:ln>
          </c:spPr>
          <c:marker>
            <c:symbol val="diamond"/>
            <c:size val="3"/>
            <c:spPr>
              <a:solidFill>
                <a:srgbClr val="ff00ff"/>
              </a:solidFill>
            </c:spPr>
          </c:marker>
          <c:dLbls>
            <c:txPr>
              <a:bodyPr wrap="square"/>
              <a:lstStyle/>
              <a:p>
                <a:pPr>
                  <a:defRPr b="0" sz="15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2600">
                <a:solidFill>
                  <a:srgbClr val="ff00ff"/>
                </a:solidFill>
                <a:round/>
              </a:ln>
            </c:spPr>
            <c:trendlineType val="poly"/>
            <c:order val="3"/>
            <c:forward val="0"/>
            <c:backward val="0"/>
            <c:dispRSqr val="1"/>
            <c:dispEq val="1"/>
          </c:trendline>
          <c:xVal>
            <c:numRef>
              <c:f>'Calibratin_raw_data pH'!$M$4:$M$14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'Calibratin_raw_data pH'!$N$4:$N$14</c:f>
              <c:numCache>
                <c:formatCode>General</c:formatCode>
                <c:ptCount val="11"/>
                <c:pt idx="0">
                  <c:v>7.13</c:v>
                </c:pt>
                <c:pt idx="1">
                  <c:v>7.07</c:v>
                </c:pt>
                <c:pt idx="2">
                  <c:v>7.05</c:v>
                </c:pt>
                <c:pt idx="3">
                  <c:v>7.02</c:v>
                </c:pt>
                <c:pt idx="4">
                  <c:v>7</c:v>
                </c:pt>
                <c:pt idx="5">
                  <c:v>6.99</c:v>
                </c:pt>
                <c:pt idx="6">
                  <c:v>6.98</c:v>
                </c:pt>
                <c:pt idx="7">
                  <c:v>6.97</c:v>
                </c:pt>
                <c:pt idx="8">
                  <c:v>6.96</c:v>
                </c:pt>
                <c:pt idx="9">
                  <c:v>6.95</c:v>
                </c:pt>
                <c:pt idx="10">
                  <c:v>6.94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"pH=4.00 (20°C)"</c:f>
              <c:strCache>
                <c:ptCount val="1"/>
                <c:pt idx="0">
                  <c:v>pH=4.00 (20°C)</c:v>
                </c:pt>
              </c:strCache>
            </c:strRef>
          </c:tx>
          <c:spPr>
            <a:solidFill>
              <a:srgbClr val="ffff00"/>
            </a:solidFill>
            <a:ln w="19080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</c:spPr>
          </c:marker>
          <c:dLbls>
            <c:txPr>
              <a:bodyPr wrap="square"/>
              <a:lstStyle/>
              <a:p>
                <a:pPr>
                  <a:defRPr b="0" sz="15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2600">
                <a:solidFill>
                  <a:srgbClr val="ffff00"/>
                </a:solidFill>
                <a:round/>
              </a:ln>
            </c:spPr>
            <c:trendlineType val="poly"/>
            <c:order val="5"/>
            <c:forward val="0"/>
            <c:backward val="0"/>
            <c:dispRSqr val="1"/>
            <c:dispEq val="1"/>
          </c:trendline>
          <c:xVal>
            <c:numRef>
              <c:f>'Calibratin_raw_data pH'!$K$4:$K$14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'Calibratin_raw_data pH'!$L$4:$L$14</c:f>
              <c:numCache>
                <c:formatCode>General</c:formatCode>
                <c:ptCount val="11"/>
                <c:pt idx="0">
                  <c:v>4.05</c:v>
                </c:pt>
                <c:pt idx="1">
                  <c:v>4.04</c:v>
                </c:pt>
                <c:pt idx="2">
                  <c:v>4.02</c:v>
                </c:pt>
                <c:pt idx="3">
                  <c:v>4.01</c:v>
                </c:pt>
                <c:pt idx="4">
                  <c:v>4</c:v>
                </c:pt>
                <c:pt idx="5">
                  <c:v>3.99</c:v>
                </c:pt>
                <c:pt idx="6">
                  <c:v>3.99</c:v>
                </c:pt>
                <c:pt idx="7">
                  <c:v>3.99</c:v>
                </c:pt>
                <c:pt idx="8">
                  <c:v>3.99</c:v>
                </c:pt>
                <c:pt idx="9">
                  <c:v>3.99</c:v>
                </c:pt>
                <c:pt idx="10">
                  <c:v>4</c:v>
                </c:pt>
              </c:numCache>
            </c:numRef>
          </c:yVal>
          <c:smooth val="0"/>
        </c:ser>
        <c:axId val="46386241"/>
        <c:axId val="66972983"/>
      </c:scatterChart>
      <c:valAx>
        <c:axId val="46386241"/>
        <c:scaling>
          <c:orientation val="minMax"/>
          <c:max val="50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575" strike="noStrike" u="none">
                    <a:solidFill>
                      <a:srgbClr val="000000"/>
                    </a:solidFill>
                    <a:uFillTx/>
                    <a:latin typeface="Arial"/>
                    <a:ea typeface="Calibri"/>
                  </a:rPr>
                  <a:t>T [°C]</a:t>
                </a:r>
              </a:p>
            </c:rich>
          </c:tx>
          <c:layout>
            <c:manualLayout>
              <c:xMode val="edge"/>
              <c:yMode val="edge"/>
              <c:x val="0.347199204507789"/>
              <c:y val="0.886668271931937"/>
            </c:manualLayout>
          </c:layout>
          <c:overlay val="0"/>
          <c:spPr>
            <a:noFill/>
            <a:ln w="2556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7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66972983"/>
        <c:crosses val="autoZero"/>
        <c:crossBetween val="midCat"/>
        <c:majorUnit val="10"/>
        <c:minorUnit val="1"/>
      </c:valAx>
      <c:valAx>
        <c:axId val="66972983"/>
        <c:scaling>
          <c:orientation val="minMax"/>
          <c:min val="3.8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5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rPr>
                  <a:t>pH</a:t>
                </a:r>
              </a:p>
            </c:rich>
          </c:tx>
          <c:layout>
            <c:manualLayout>
              <c:xMode val="edge"/>
              <c:yMode val="edge"/>
              <c:x val="0.0229946967185946"/>
              <c:y val="0.467212456858496"/>
            </c:manualLayout>
          </c:layout>
          <c:overlay val="0"/>
          <c:spPr>
            <a:noFill/>
            <a:ln w="2556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57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46386241"/>
        <c:crosses val="autoZero"/>
        <c:crossBetween val="midCat"/>
      </c:valAx>
      <c:spPr>
        <a:solidFill>
          <a:srgbClr val="ffffff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722245096740137"/>
          <c:y val="0.392794245141325"/>
          <c:w val="0.259267470624664"/>
          <c:h val="0.307865759705363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1100" strike="noStrike" u="none">
              <a:solidFill>
                <a:srgbClr val="000000"/>
              </a:solidFill>
              <a:uFillTx/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860983606557377"/>
          <c:y val="0.0695827048768225"/>
          <c:w val="0.625311475409836"/>
          <c:h val="0.80351935646053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 wrap="square"/>
              <a:lstStyle/>
              <a:p>
                <a:pPr>
                  <a:defRPr b="0" sz="102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55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'Calibratin_raw_data pH'!$S$2:$S$13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'Calibratin_raw_data pH'!$T$2:$T$13</c:f>
              <c:numCache>
                <c:formatCode>General</c:formatCode>
                <c:ptCount val="12"/>
                <c:pt idx="0">
                  <c:v>6.984</c:v>
                </c:pt>
                <c:pt idx="1">
                  <c:v>6.951</c:v>
                </c:pt>
                <c:pt idx="2">
                  <c:v>6.923</c:v>
                </c:pt>
                <c:pt idx="3">
                  <c:v>6.9</c:v>
                </c:pt>
                <c:pt idx="4">
                  <c:v>6.881</c:v>
                </c:pt>
                <c:pt idx="5">
                  <c:v>6.865</c:v>
                </c:pt>
                <c:pt idx="6">
                  <c:v>6.853</c:v>
                </c:pt>
                <c:pt idx="7">
                  <c:v>6.844</c:v>
                </c:pt>
                <c:pt idx="8">
                  <c:v>6.84</c:v>
                </c:pt>
                <c:pt idx="9">
                  <c:v>6.838</c:v>
                </c:pt>
                <c:pt idx="10">
                  <c:v>6.834</c:v>
                </c:pt>
                <c:pt idx="11">
                  <c:v>6.833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00ff"/>
            </a:solidFill>
            <a:ln w="19080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</c:spPr>
          </c:marker>
          <c:dLbls>
            <c:txPr>
              <a:bodyPr wrap="square"/>
              <a:lstStyle/>
              <a:p>
                <a:pPr>
                  <a:defRPr b="0" sz="102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55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'Calibratin_raw_data pH'!$S$2:$S$13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'Calibratin_raw_data pH'!$U$2:$U$13</c:f>
              <c:numCache>
                <c:formatCode>0.000</c:formatCode>
                <c:ptCount val="12"/>
                <c:pt idx="0">
                  <c:v>7.534</c:v>
                </c:pt>
                <c:pt idx="1">
                  <c:v>7.5</c:v>
                </c:pt>
                <c:pt idx="2">
                  <c:v>7.472</c:v>
                </c:pt>
                <c:pt idx="3">
                  <c:v>7.448</c:v>
                </c:pt>
                <c:pt idx="4">
                  <c:v>7.429</c:v>
                </c:pt>
                <c:pt idx="5">
                  <c:v>7.413</c:v>
                </c:pt>
                <c:pt idx="6">
                  <c:v>7.4</c:v>
                </c:pt>
                <c:pt idx="7">
                  <c:v>7.389</c:v>
                </c:pt>
                <c:pt idx="8">
                  <c:v>7.384</c:v>
                </c:pt>
                <c:pt idx="9">
                  <c:v>7.38</c:v>
                </c:pt>
                <c:pt idx="10">
                  <c:v>7.373</c:v>
                </c:pt>
                <c:pt idx="11">
                  <c:v>7.367</c:v>
                </c:pt>
              </c:numCache>
            </c:numRef>
          </c:yVal>
          <c:smooth val="0"/>
        </c:ser>
        <c:axId val="61746204"/>
        <c:axId val="38111229"/>
      </c:scatterChart>
      <c:valAx>
        <c:axId val="617462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2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38111229"/>
        <c:crosses val="autoZero"/>
        <c:crossBetween val="midCat"/>
      </c:valAx>
      <c:valAx>
        <c:axId val="38111229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02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61746204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744628130685865"/>
          <c:y val="0.361713773021019"/>
          <c:w val="0.24461213954898"/>
          <c:h val="0.223411448042394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939" strike="noStrike" u="none">
              <a:solidFill>
                <a:srgbClr val="000000"/>
              </a:solidFill>
              <a:uFillTx/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915723981900452"/>
          <c:y val="0.0836968815640653"/>
          <c:w val="0.640723981900453"/>
          <c:h val="0.76846017127161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000080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txPr>
              <a:bodyPr wrap="square"/>
              <a:lstStyle/>
              <a:p>
                <a:pPr>
                  <a:defRPr b="0" sz="975" strike="noStrike" u="none">
                    <a:solidFill>
                      <a:srgbClr val="000000"/>
                    </a:solidFill>
                    <a:uFillTx/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1908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255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'Calibratin_raw_data pH'!$A$37:$A$48</c:f>
              <c:numCache>
                <c:formatCode>General</c:formatCode>
                <c:ptCount val="1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38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'Calibratin_raw_data pH'!$B$37:$B$48</c:f>
              <c:numCache>
                <c:formatCode>General</c:formatCode>
                <c:ptCount val="12"/>
                <c:pt idx="0">
                  <c:v>6.984</c:v>
                </c:pt>
                <c:pt idx="1">
                  <c:v>6.951</c:v>
                </c:pt>
                <c:pt idx="2">
                  <c:v>6.923</c:v>
                </c:pt>
                <c:pt idx="3">
                  <c:v>6.9</c:v>
                </c:pt>
                <c:pt idx="4">
                  <c:v>6.881</c:v>
                </c:pt>
                <c:pt idx="5">
                  <c:v>6.865</c:v>
                </c:pt>
                <c:pt idx="6">
                  <c:v>6.853</c:v>
                </c:pt>
                <c:pt idx="7">
                  <c:v>6.844</c:v>
                </c:pt>
                <c:pt idx="8">
                  <c:v>6.84</c:v>
                </c:pt>
                <c:pt idx="9">
                  <c:v>6.838</c:v>
                </c:pt>
                <c:pt idx="10">
                  <c:v>6.834</c:v>
                </c:pt>
                <c:pt idx="11">
                  <c:v>6.833</c:v>
                </c:pt>
              </c:numCache>
            </c:numRef>
          </c:yVal>
          <c:smooth val="0"/>
        </c:ser>
        <c:axId val="38954274"/>
        <c:axId val="32256730"/>
      </c:scatterChart>
      <c:valAx>
        <c:axId val="3895427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7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32256730"/>
        <c:crosses val="autoZero"/>
        <c:crossBetween val="midCat"/>
      </c:valAx>
      <c:valAx>
        <c:axId val="32256730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975" strike="noStrike" u="none">
                <a:solidFill>
                  <a:srgbClr val="000000"/>
                </a:solidFill>
                <a:uFillTx/>
                <a:latin typeface="Arial"/>
                <a:ea typeface="Arial"/>
              </a:defRPr>
            </a:pPr>
          </a:p>
        </c:txPr>
        <c:crossAx val="38954274"/>
        <c:crosses val="autoZero"/>
        <c:crossBetween val="midCat"/>
      </c:valAx>
      <c:spPr>
        <a:solidFill>
          <a:srgbClr val="c0c0c0"/>
        </a:solidFill>
        <a:ln w="12600">
          <a:solidFill>
            <a:srgbClr val="808080"/>
          </a:solidFill>
          <a:round/>
        </a:ln>
      </c:spPr>
    </c:plotArea>
    <c:legend>
      <c:legendPos val="r"/>
      <c:layout>
        <c:manualLayout>
          <c:xMode val="edge"/>
          <c:yMode val="edge"/>
          <c:x val="0.762306719791216"/>
          <c:y val="0.401722289997765"/>
          <c:w val="0.229801402016063"/>
          <c:h val="0.128209241488648"/>
        </c:manualLayout>
      </c:layout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  <c:txPr>
        <a:bodyPr/>
        <a:lstStyle/>
        <a:p>
          <a:pPr>
            <a:defRPr b="0" sz="895" strike="noStrike" u="none">
              <a:solidFill>
                <a:srgbClr val="000000"/>
              </a:solidFill>
              <a:uFillTx/>
              <a:latin typeface="Arial"/>
              <a:ea typeface="Arial"/>
            </a:defRPr>
          </a:pPr>
        </a:p>
      </c:txPr>
    </c:legend>
    <c:plotVisOnly val="1"/>
    <c:dispBlanksAs val="gap"/>
  </c:chart>
  <c:spPr>
    <a:solidFill>
      <a:srgbClr val="ffffff"/>
    </a:solidFill>
    <a:ln w="324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wmf"/><Relationship Id="rId3" Type="http://schemas.openxmlformats.org/officeDocument/2006/relationships/image" Target="../media/image2.wmf"/><Relationship Id="rId4" Type="http://schemas.openxmlformats.org/officeDocument/2006/relationships/image" Target="../media/image3.wmf"/><Relationship Id="rId5" Type="http://schemas.openxmlformats.org/officeDocument/2006/relationships/chart" Target="../charts/chart2.xml"/><Relationship Id="rId6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104760</xdr:colOff>
      <xdr:row>19</xdr:row>
      <xdr:rowOff>600120</xdr:rowOff>
    </xdr:from>
    <xdr:to>
      <xdr:col>9</xdr:col>
      <xdr:colOff>265320</xdr:colOff>
      <xdr:row>32</xdr:row>
      <xdr:rowOff>110160</xdr:rowOff>
    </xdr:to>
    <xdr:graphicFrame>
      <xdr:nvGraphicFramePr>
        <xdr:cNvPr id="0" name="Chart 1"/>
        <xdr:cNvGraphicFramePr/>
      </xdr:nvGraphicFramePr>
      <xdr:xfrm>
        <a:off x="104760" y="6010200"/>
        <a:ext cx="8688600" cy="4484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276120</xdr:colOff>
      <xdr:row>19</xdr:row>
      <xdr:rowOff>1743120</xdr:rowOff>
    </xdr:from>
    <xdr:to>
      <xdr:col>30</xdr:col>
      <xdr:colOff>236520</xdr:colOff>
      <xdr:row>20</xdr:row>
      <xdr:rowOff>970200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8804160" y="7153200"/>
          <a:ext cx="15620040" cy="10274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237960</xdr:colOff>
      <xdr:row>19</xdr:row>
      <xdr:rowOff>352440</xdr:rowOff>
    </xdr:from>
    <xdr:to>
      <xdr:col>23</xdr:col>
      <xdr:colOff>274680</xdr:colOff>
      <xdr:row>19</xdr:row>
      <xdr:rowOff>1751040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8766000" y="5762520"/>
          <a:ext cx="11172240" cy="1398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9</xdr:col>
      <xdr:colOff>237960</xdr:colOff>
      <xdr:row>14</xdr:row>
      <xdr:rowOff>76320</xdr:rowOff>
    </xdr:from>
    <xdr:to>
      <xdr:col>27</xdr:col>
      <xdr:colOff>379440</xdr:colOff>
      <xdr:row>19</xdr:row>
      <xdr:rowOff>341640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8766000" y="3971880"/>
          <a:ext cx="13995360" cy="17798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21</xdr:col>
      <xdr:colOff>380880</xdr:colOff>
      <xdr:row>0</xdr:row>
      <xdr:rowOff>333360</xdr:rowOff>
    </xdr:from>
    <xdr:to>
      <xdr:col>30</xdr:col>
      <xdr:colOff>36720</xdr:colOff>
      <xdr:row>14</xdr:row>
      <xdr:rowOff>17640</xdr:rowOff>
    </xdr:to>
    <xdr:graphicFrame>
      <xdr:nvGraphicFramePr>
        <xdr:cNvPr id="4" name="Chart 5"/>
        <xdr:cNvGraphicFramePr/>
      </xdr:nvGraphicFramePr>
      <xdr:xfrm>
        <a:off x="18734760" y="333360"/>
        <a:ext cx="5489640" cy="3579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266760</xdr:colOff>
      <xdr:row>49</xdr:row>
      <xdr:rowOff>146520</xdr:rowOff>
    </xdr:from>
    <xdr:to>
      <xdr:col>7</xdr:col>
      <xdr:colOff>46080</xdr:colOff>
      <xdr:row>62</xdr:row>
      <xdr:rowOff>12240</xdr:rowOff>
    </xdr:to>
    <xdr:graphicFrame>
      <xdr:nvGraphicFramePr>
        <xdr:cNvPr id="5" name="Chart 6"/>
        <xdr:cNvGraphicFramePr/>
      </xdr:nvGraphicFramePr>
      <xdr:xfrm>
        <a:off x="266760" y="13573080"/>
        <a:ext cx="6364440" cy="222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73"/>
  <sheetViews>
    <sheetView showFormulas="false" showGridLines="true" showRowColHeaders="true" showZeros="true" rightToLeft="false" tabSelected="false" showOutlineSymbols="true" defaultGridColor="true" view="normal" topLeftCell="A4" colorId="64" zoomScale="93" zoomScaleNormal="93" zoomScalePageLayoutView="100" workbookViewId="0">
      <selection pane="topLeft" activeCell="C20" activeCellId="0" sqref="C2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7.57"/>
    <col collapsed="false" customWidth="true" hidden="false" outlineLevel="0" max="3" min="3" style="1" width="15.14"/>
    <col collapsed="false" customWidth="true" hidden="false" outlineLevel="0" max="4" min="4" style="1" width="11.29"/>
    <col collapsed="false" customWidth="true" hidden="false" outlineLevel="0" max="5" min="5" style="1" width="11"/>
    <col collapsed="false" customWidth="true" hidden="false" outlineLevel="0" max="6" min="6" style="1" width="10.29"/>
    <col collapsed="false" customWidth="true" hidden="false" outlineLevel="0" max="7" min="7" style="1" width="15.42"/>
    <col collapsed="false" customWidth="true" hidden="false" outlineLevel="0" max="8" min="8" style="1" width="11.57"/>
    <col collapsed="false" customWidth="true" hidden="false" outlineLevel="0" max="9" min="9" style="1" width="16"/>
    <col collapsed="false" customWidth="true" hidden="false" outlineLevel="0" max="10" min="10" style="1" width="15.71"/>
    <col collapsed="false" customWidth="true" hidden="false" outlineLevel="0" max="11" min="11" style="1" width="6.85"/>
    <col collapsed="false" customWidth="true" hidden="false" outlineLevel="0" max="12" min="12" style="1" width="11"/>
    <col collapsed="false" customWidth="true" hidden="false" outlineLevel="0" max="13" min="13" style="1" width="7.57"/>
    <col collapsed="false" customWidth="true" hidden="false" outlineLevel="0" max="14" min="14" style="1" width="7.42"/>
    <col collapsed="false" customWidth="true" hidden="false" outlineLevel="0" max="15" min="15" style="1" width="5.71"/>
    <col collapsed="false" customWidth="true" hidden="false" outlineLevel="0" max="16" min="16" style="1" width="7.57"/>
    <col collapsed="false" customWidth="true" hidden="false" outlineLevel="0" max="17" min="17" style="1" width="9.29"/>
    <col collapsed="false" customWidth="true" hidden="false" outlineLevel="0" max="18" min="18" style="1" width="13.71"/>
    <col collapsed="false" customWidth="true" hidden="false" outlineLevel="0" max="19" min="19" style="1" width="13.15"/>
    <col collapsed="false" customWidth="true" hidden="false" outlineLevel="0" max="20" min="20" style="1" width="25.71"/>
    <col collapsed="false" customWidth="true" hidden="false" outlineLevel="0" max="21" min="21" style="1" width="15.71"/>
    <col collapsed="false" customWidth="true" hidden="false" outlineLevel="0" max="24" min="22" style="1" width="9.29"/>
    <col collapsed="false" customWidth="true" hidden="false" outlineLevel="0" max="26" min="25" style="1" width="9.71"/>
    <col collapsed="false" customWidth="true" hidden="false" outlineLevel="0" max="27" min="27" style="1" width="9.86"/>
    <col collapsed="false" customWidth="true" hidden="false" outlineLevel="0" max="31" min="31" style="1" width="13"/>
  </cols>
  <sheetData>
    <row r="1" customFormat="false" ht="4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1" t="s">
        <v>1</v>
      </c>
      <c r="T1" s="3" t="s">
        <v>2</v>
      </c>
      <c r="U1" s="3" t="s">
        <v>3</v>
      </c>
    </row>
    <row r="2" customFormat="false" ht="15.75" hidden="false" customHeight="true" outlineLevel="0" collapsed="false">
      <c r="A2" s="4"/>
      <c r="B2" s="5" t="s">
        <v>4</v>
      </c>
      <c r="C2" s="5"/>
      <c r="D2" s="5"/>
      <c r="E2" s="5"/>
      <c r="F2" s="5"/>
      <c r="G2" s="5"/>
      <c r="H2" s="6"/>
      <c r="I2" s="7" t="s">
        <v>5</v>
      </c>
      <c r="J2" s="8" t="n">
        <v>38070</v>
      </c>
      <c r="K2" s="9" t="s">
        <v>6</v>
      </c>
      <c r="L2" s="9"/>
      <c r="M2" s="9"/>
      <c r="N2" s="9"/>
      <c r="O2" s="9"/>
      <c r="P2" s="9"/>
      <c r="Q2" s="9"/>
      <c r="R2" s="9"/>
      <c r="S2" s="1" t="n">
        <v>0</v>
      </c>
      <c r="T2" s="1" t="n">
        <v>6.984</v>
      </c>
      <c r="U2" s="10" t="n">
        <v>7.534</v>
      </c>
    </row>
    <row r="3" customFormat="false" ht="24.75" hidden="false" customHeight="true" outlineLevel="0" collapsed="false">
      <c r="A3" s="11" t="n">
        <v>38173</v>
      </c>
      <c r="B3" s="12" t="s">
        <v>7</v>
      </c>
      <c r="C3" s="12"/>
      <c r="D3" s="12"/>
      <c r="E3" s="13" t="s">
        <v>8</v>
      </c>
      <c r="F3" s="13" t="s">
        <v>9</v>
      </c>
      <c r="G3" s="14"/>
      <c r="H3" s="14"/>
      <c r="I3" s="15" t="s">
        <v>10</v>
      </c>
      <c r="J3" s="16" t="s">
        <v>11</v>
      </c>
      <c r="K3" s="17" t="s">
        <v>12</v>
      </c>
      <c r="L3" s="17"/>
      <c r="M3" s="17" t="s">
        <v>13</v>
      </c>
      <c r="N3" s="17"/>
      <c r="O3" s="17" t="s">
        <v>14</v>
      </c>
      <c r="P3" s="17"/>
      <c r="Q3" s="18" t="s">
        <v>15</v>
      </c>
      <c r="R3" s="18"/>
      <c r="S3" s="1" t="n">
        <v>5</v>
      </c>
      <c r="T3" s="1" t="n">
        <v>6.951</v>
      </c>
      <c r="U3" s="10" t="n">
        <v>7.5</v>
      </c>
    </row>
    <row r="4" customFormat="false" ht="39.75" hidden="false" customHeight="true" outlineLevel="0" collapsed="false">
      <c r="A4" s="19" t="s">
        <v>16</v>
      </c>
      <c r="B4" s="20" t="s">
        <v>17</v>
      </c>
      <c r="C4" s="21" t="s">
        <v>18</v>
      </c>
      <c r="D4" s="22" t="s">
        <v>19</v>
      </c>
      <c r="E4" s="22" t="s">
        <v>20</v>
      </c>
      <c r="F4" s="22" t="s">
        <v>20</v>
      </c>
      <c r="G4" s="23" t="s">
        <v>21</v>
      </c>
      <c r="H4" s="24"/>
      <c r="I4" s="25" t="n">
        <f aca="false">LINEST(E5:E7,D5:D7,1,1)*1000</f>
        <v>-56.6615766367627</v>
      </c>
      <c r="J4" s="26" t="n">
        <f aca="false" t="array" ref="J4:J4">LINEST(F5:F7,D5:D7,1,1)*1000</f>
        <v>-56.6615766367627</v>
      </c>
      <c r="K4" s="27" t="n">
        <v>0</v>
      </c>
      <c r="L4" s="28" t="n">
        <v>4.05</v>
      </c>
      <c r="M4" s="29" t="n">
        <v>0</v>
      </c>
      <c r="N4" s="30" t="n">
        <v>7.13</v>
      </c>
      <c r="O4" s="29" t="n">
        <v>0</v>
      </c>
      <c r="P4" s="31" t="n">
        <v>9.52</v>
      </c>
      <c r="Q4" s="32" t="s">
        <v>22</v>
      </c>
      <c r="R4" s="33" t="n">
        <v>22.6</v>
      </c>
      <c r="S4" s="1" t="n">
        <v>10</v>
      </c>
      <c r="T4" s="1" t="n">
        <v>6.923</v>
      </c>
      <c r="U4" s="10" t="n">
        <v>7.472</v>
      </c>
    </row>
    <row r="5" customFormat="false" ht="15.75" hidden="false" customHeight="true" outlineLevel="0" collapsed="false">
      <c r="A5" s="34" t="s">
        <v>23</v>
      </c>
      <c r="B5" s="34" t="n">
        <v>24</v>
      </c>
      <c r="C5" s="34" t="n">
        <v>24</v>
      </c>
      <c r="D5" s="35" t="n">
        <v>4.01</v>
      </c>
      <c r="E5" s="36" t="n">
        <v>0.166</v>
      </c>
      <c r="F5" s="36" t="n">
        <v>0.166</v>
      </c>
      <c r="G5" s="37" t="s">
        <v>24</v>
      </c>
      <c r="H5" s="38"/>
      <c r="I5" s="39" t="n">
        <f aca="false">INTERCEPT(E5:E7,D5:D7)*1000</f>
        <v>394.232359865114</v>
      </c>
      <c r="J5" s="40" t="n">
        <f aca="false">INTERCEPT(F5:F7,D5:D7)*1000</f>
        <v>394.232359865114</v>
      </c>
      <c r="K5" s="41" t="n">
        <v>5</v>
      </c>
      <c r="L5" s="41" t="n">
        <v>4.04</v>
      </c>
      <c r="M5" s="42" t="n">
        <v>5</v>
      </c>
      <c r="N5" s="43" t="n">
        <v>7.07</v>
      </c>
      <c r="O5" s="42" t="n">
        <v>5</v>
      </c>
      <c r="P5" s="44" t="n">
        <v>9.45</v>
      </c>
      <c r="Q5" s="45" t="s">
        <v>25</v>
      </c>
      <c r="R5" s="46" t="n">
        <f aca="false">0.0000759906759906278*R4^2+-0.0143631701631675*R4+9.51895104895102</f>
        <v>9.23315640093241</v>
      </c>
      <c r="S5" s="1" t="n">
        <v>15</v>
      </c>
      <c r="T5" s="1" t="n">
        <v>6.9</v>
      </c>
      <c r="U5" s="10" t="n">
        <v>7.448</v>
      </c>
    </row>
    <row r="6" customFormat="false" ht="15.75" hidden="false" customHeight="true" outlineLevel="0" collapsed="false">
      <c r="A6" s="34" t="s">
        <v>26</v>
      </c>
      <c r="B6" s="34" t="n">
        <v>24</v>
      </c>
      <c r="C6" s="34" t="n">
        <v>24</v>
      </c>
      <c r="D6" s="47" t="n">
        <v>7</v>
      </c>
      <c r="E6" s="48" t="n">
        <v>0</v>
      </c>
      <c r="F6" s="48" t="n">
        <v>0</v>
      </c>
      <c r="G6" s="37" t="s">
        <v>24</v>
      </c>
      <c r="H6" s="49"/>
      <c r="I6" s="50" t="s">
        <v>27</v>
      </c>
      <c r="J6" s="50"/>
      <c r="K6" s="51" t="n">
        <v>10</v>
      </c>
      <c r="L6" s="41" t="n">
        <v>4.02</v>
      </c>
      <c r="M6" s="42" t="n">
        <v>10</v>
      </c>
      <c r="N6" s="43" t="n">
        <v>7.05</v>
      </c>
      <c r="O6" s="42" t="n">
        <v>10</v>
      </c>
      <c r="P6" s="44" t="n">
        <v>9.38</v>
      </c>
      <c r="Q6" s="32" t="s">
        <v>22</v>
      </c>
      <c r="R6" s="33" t="n">
        <v>50</v>
      </c>
      <c r="S6" s="1" t="n">
        <v>20</v>
      </c>
      <c r="T6" s="1" t="n">
        <v>6.881</v>
      </c>
      <c r="U6" s="10" t="n">
        <v>7.429</v>
      </c>
    </row>
    <row r="7" customFormat="false" ht="15.75" hidden="false" customHeight="true" outlineLevel="0" collapsed="false">
      <c r="A7" s="52" t="s">
        <v>28</v>
      </c>
      <c r="B7" s="53" t="n">
        <v>24</v>
      </c>
      <c r="C7" s="53" t="n">
        <v>24</v>
      </c>
      <c r="D7" s="54" t="n">
        <v>9.21</v>
      </c>
      <c r="E7" s="55" t="n">
        <v>-0.129</v>
      </c>
      <c r="F7" s="55" t="n">
        <v>-0.129</v>
      </c>
      <c r="G7" s="37" t="s">
        <v>24</v>
      </c>
      <c r="H7" s="56"/>
      <c r="I7" s="57" t="n">
        <f aca="false">-LN(10)*8.3145*(273.15+B8)/96.485</f>
        <v>-58.9613963000047</v>
      </c>
      <c r="J7" s="58" t="n">
        <f aca="false">I7*0.85</f>
        <v>-50.117186855004</v>
      </c>
      <c r="K7" s="59" t="n">
        <v>15</v>
      </c>
      <c r="L7" s="60" t="n">
        <v>4.01</v>
      </c>
      <c r="M7" s="61" t="n">
        <v>15</v>
      </c>
      <c r="N7" s="62" t="n">
        <v>7.02</v>
      </c>
      <c r="O7" s="42" t="n">
        <v>15</v>
      </c>
      <c r="P7" s="44" t="n">
        <v>9.32</v>
      </c>
      <c r="Q7" s="45" t="s">
        <v>29</v>
      </c>
      <c r="R7" s="46" t="n">
        <f aca="false">-0.00000243978243978301*R6^3+0.000252913752913788*R6^2+-0.0102944832944836*R6+7.12538461538461</f>
        <v>6.93797202797202</v>
      </c>
      <c r="S7" s="1" t="n">
        <v>25</v>
      </c>
      <c r="T7" s="1" t="n">
        <v>6.865</v>
      </c>
      <c r="U7" s="10" t="n">
        <v>7.413</v>
      </c>
    </row>
    <row r="8" customFormat="false" ht="15.75" hidden="false" customHeight="true" outlineLevel="0" collapsed="false">
      <c r="A8" s="63" t="s">
        <v>30</v>
      </c>
      <c r="B8" s="64" t="n">
        <f aca="false">AVERAGE(B5:B7)</f>
        <v>24</v>
      </c>
      <c r="C8" s="65"/>
      <c r="D8" s="66" t="s">
        <v>31</v>
      </c>
      <c r="E8" s="66"/>
      <c r="F8" s="66"/>
      <c r="G8" s="66"/>
      <c r="H8" s="67" t="s">
        <v>32</v>
      </c>
      <c r="I8" s="68" t="s">
        <v>33</v>
      </c>
      <c r="J8" s="69" t="s">
        <v>34</v>
      </c>
      <c r="K8" s="70" t="n">
        <v>20</v>
      </c>
      <c r="L8" s="71" t="n">
        <v>4</v>
      </c>
      <c r="M8" s="72" t="n">
        <v>20</v>
      </c>
      <c r="N8" s="73" t="n">
        <v>7</v>
      </c>
      <c r="O8" s="61" t="n">
        <v>20</v>
      </c>
      <c r="P8" s="74" t="n">
        <v>9.26</v>
      </c>
      <c r="Q8" s="32" t="s">
        <v>22</v>
      </c>
      <c r="R8" s="33" t="n">
        <v>22.6</v>
      </c>
      <c r="S8" s="1" t="n">
        <v>30</v>
      </c>
      <c r="T8" s="1" t="n">
        <v>6.853</v>
      </c>
      <c r="U8" s="10" t="n">
        <v>7.4</v>
      </c>
    </row>
    <row r="9" customFormat="false" ht="39.75" hidden="false" customHeight="true" outlineLevel="0" collapsed="false">
      <c r="A9" s="75" t="s">
        <v>35</v>
      </c>
      <c r="B9" s="21" t="s">
        <v>17</v>
      </c>
      <c r="C9" s="21" t="s">
        <v>18</v>
      </c>
      <c r="D9" s="21" t="s">
        <v>36</v>
      </c>
      <c r="E9" s="76" t="s">
        <v>37</v>
      </c>
      <c r="F9" s="22" t="s">
        <v>38</v>
      </c>
      <c r="G9" s="77" t="s">
        <v>39</v>
      </c>
      <c r="H9" s="77" t="s">
        <v>40</v>
      </c>
      <c r="I9" s="78" t="n">
        <f aca="false">E6</f>
        <v>0</v>
      </c>
      <c r="J9" s="79" t="n">
        <f aca="false">F6</f>
        <v>0</v>
      </c>
      <c r="K9" s="80" t="n">
        <v>25</v>
      </c>
      <c r="L9" s="28" t="n">
        <v>3.99</v>
      </c>
      <c r="M9" s="29" t="n">
        <v>25</v>
      </c>
      <c r="N9" s="30" t="n">
        <v>6.99</v>
      </c>
      <c r="O9" s="72" t="n">
        <v>25</v>
      </c>
      <c r="P9" s="81" t="n">
        <v>9.21</v>
      </c>
      <c r="Q9" s="45" t="s">
        <v>41</v>
      </c>
      <c r="R9" s="46" t="n">
        <f aca="false">0.00000000307692307703081*R8^5+-0.00000040326340327679*R8^4+0.0000187529137534926*R8^3+-0.000311596736606824*R8^2+-0.00113508158502293*R8+4.0501748251748</f>
        <v>3.9947782624535</v>
      </c>
      <c r="S9" s="1" t="n">
        <v>35</v>
      </c>
      <c r="T9" s="1" t="n">
        <v>6.844</v>
      </c>
      <c r="U9" s="10" t="n">
        <v>7.389</v>
      </c>
    </row>
    <row r="10" customFormat="false" ht="15.75" hidden="false" customHeight="true" outlineLevel="0" collapsed="false">
      <c r="A10" s="82" t="s">
        <v>42</v>
      </c>
      <c r="B10" s="83" t="n">
        <v>25</v>
      </c>
      <c r="C10" s="83"/>
      <c r="D10" s="84" t="n">
        <v>0.166</v>
      </c>
      <c r="E10" s="84" t="n">
        <v>0</v>
      </c>
      <c r="F10" s="85" t="n">
        <f aca="false">((LN(10)*8.3145*(273.15+B10))/(96485*$I$11))*(((D10-I5)/I4)-7)+((0-I5)/I4)</f>
        <v>6.95509330301369</v>
      </c>
      <c r="G10" s="86" t="n">
        <f aca="false">$D$5-((96485*((E10-$H$12)-($F$5-$J$9))/(LN(10)*8.3145*(273.15+B10)))*$J$11)</f>
        <v>6.92984874216333</v>
      </c>
      <c r="H10" s="87" t="n">
        <f aca="false">E6</f>
        <v>0</v>
      </c>
      <c r="I10" s="88" t="s">
        <v>43</v>
      </c>
      <c r="J10" s="89" t="s">
        <v>44</v>
      </c>
      <c r="K10" s="51" t="n">
        <v>30</v>
      </c>
      <c r="L10" s="41" t="n">
        <v>3.99</v>
      </c>
      <c r="M10" s="42" t="n">
        <v>30</v>
      </c>
      <c r="N10" s="43" t="n">
        <v>6.98</v>
      </c>
      <c r="O10" s="29" t="n">
        <v>30</v>
      </c>
      <c r="P10" s="30" t="n">
        <v>9.16</v>
      </c>
      <c r="Q10" s="90" t="s">
        <v>45</v>
      </c>
      <c r="R10" s="90"/>
      <c r="S10" s="1" t="n">
        <v>38</v>
      </c>
      <c r="T10" s="1" t="n">
        <v>6.84</v>
      </c>
      <c r="U10" s="10" t="n">
        <v>7.384</v>
      </c>
    </row>
    <row r="11" customFormat="false" ht="15.75" hidden="false" customHeight="true" outlineLevel="0" collapsed="false">
      <c r="A11" s="91" t="s">
        <v>46</v>
      </c>
      <c r="B11" s="92" t="n">
        <v>22.6</v>
      </c>
      <c r="C11" s="92"/>
      <c r="D11" s="93" t="n">
        <f aca="false">0.1535</f>
        <v>0.1535</v>
      </c>
      <c r="E11" s="93" t="n">
        <f aca="false">0.1453</f>
        <v>0.1453</v>
      </c>
      <c r="F11" s="94" t="n">
        <f aca="false">$D$5-((96485*((D11-$H$10)-($E$5-$I$9))/(LN(10)*8.3145*(273.15+B11)))*$I$11)</f>
        <v>4.23165234967155</v>
      </c>
      <c r="G11" s="95" t="n">
        <f aca="false">$D$5-((96485*((E11-$H$12)-($F$5-$J$9))/(LN(10)*8.3145*(273.15+B11)))*$J$11)</f>
        <v>4.37705629105609</v>
      </c>
      <c r="H11" s="96" t="s">
        <v>47</v>
      </c>
      <c r="I11" s="97" t="n">
        <f aca="false">I7/I4</f>
        <v>1.04058869872233</v>
      </c>
      <c r="J11" s="98" t="n">
        <f aca="false">I7/J4</f>
        <v>1.04058869872233</v>
      </c>
      <c r="K11" s="41" t="n">
        <v>35</v>
      </c>
      <c r="L11" s="41" t="n">
        <v>3.99</v>
      </c>
      <c r="M11" s="42" t="n">
        <v>35</v>
      </c>
      <c r="N11" s="43" t="n">
        <v>6.97</v>
      </c>
      <c r="O11" s="42" t="n">
        <v>35</v>
      </c>
      <c r="P11" s="43" t="n">
        <v>9.11</v>
      </c>
      <c r="Q11" s="99" t="s">
        <v>48</v>
      </c>
      <c r="S11" s="1" t="n">
        <v>40</v>
      </c>
      <c r="T11" s="1" t="n">
        <v>6.838</v>
      </c>
      <c r="U11" s="10" t="n">
        <v>7.38</v>
      </c>
    </row>
    <row r="12" customFormat="false" ht="15.75" hidden="false" customHeight="true" outlineLevel="0" collapsed="false">
      <c r="A12" s="100" t="s">
        <v>49</v>
      </c>
      <c r="B12" s="101" t="n">
        <v>22.6</v>
      </c>
      <c r="C12" s="101"/>
      <c r="D12" s="102" t="n">
        <f aca="false">-0.139--0.014</f>
        <v>-0.125</v>
      </c>
      <c r="E12" s="102" t="n">
        <v>0.1</v>
      </c>
      <c r="F12" s="103" t="n">
        <f aca="false">$D$5-((96485*((D12-$H$10)-($E$5-$I$9))/(LN(10)*8.3145*(273.15+B12)))*$I$11)</f>
        <v>9.17006670035372</v>
      </c>
      <c r="G12" s="104" t="n">
        <f aca="false">$D$5-((96485*((E12-$H$12)-($F$5-$J$9))/(LN(10)*8.3145*(273.15+B12)))*$J$11)</f>
        <v>5.18032440626579</v>
      </c>
      <c r="H12" s="105" t="n">
        <f aca="false">F6</f>
        <v>0</v>
      </c>
      <c r="I12" s="106"/>
      <c r="J12" s="106"/>
      <c r="K12" s="51" t="n">
        <v>40</v>
      </c>
      <c r="L12" s="41" t="n">
        <v>3.99</v>
      </c>
      <c r="M12" s="42" t="n">
        <v>40</v>
      </c>
      <c r="N12" s="43" t="n">
        <v>6.96</v>
      </c>
      <c r="O12" s="42" t="n">
        <v>40</v>
      </c>
      <c r="P12" s="43" t="n">
        <v>9.06</v>
      </c>
      <c r="S12" s="1" t="n">
        <v>45</v>
      </c>
      <c r="T12" s="1" t="n">
        <v>6.834</v>
      </c>
      <c r="U12" s="10" t="n">
        <v>7.373</v>
      </c>
    </row>
    <row r="13" customFormat="false" ht="15.75" hidden="false" customHeight="true" outlineLevel="0" collapsed="false">
      <c r="A13" s="107"/>
      <c r="B13" s="107"/>
      <c r="C13" s="107"/>
      <c r="D13" s="107"/>
      <c r="E13" s="108" t="s">
        <v>50</v>
      </c>
      <c r="F13" s="108"/>
      <c r="G13" s="108"/>
      <c r="H13" s="108"/>
      <c r="I13" s="109" t="str">
        <f aca="false">IF(I4&lt;(J7),FIXED((I4*100/I7),1)&amp;"%  OK",FIXED((I4*100/I7),1)&amp;"% FAILED")</f>
        <v>96,1%  OK</v>
      </c>
      <c r="J13" s="110" t="str">
        <f aca="false">IF(J4&lt;(J7),FIXED((J4*100/I7),1)&amp;"%  OK",FIXED((J4*100/I7),1)&amp;"% FAILED")</f>
        <v>96,1%  OK</v>
      </c>
      <c r="K13" s="51" t="n">
        <v>45</v>
      </c>
      <c r="L13" s="41" t="n">
        <v>3.99</v>
      </c>
      <c r="M13" s="42" t="n">
        <v>45</v>
      </c>
      <c r="N13" s="43" t="n">
        <v>6.95</v>
      </c>
      <c r="O13" s="42" t="n">
        <v>45</v>
      </c>
      <c r="P13" s="43" t="n">
        <v>9.03</v>
      </c>
      <c r="S13" s="1" t="n">
        <v>50</v>
      </c>
      <c r="T13" s="1" t="n">
        <v>6.833</v>
      </c>
      <c r="U13" s="10" t="n">
        <v>7.367</v>
      </c>
    </row>
    <row r="14" customFormat="false" ht="15.75" hidden="false" customHeight="true" outlineLevel="0" collapsed="false">
      <c r="A14" s="107"/>
      <c r="B14" s="107"/>
      <c r="C14" s="107"/>
      <c r="D14" s="107"/>
      <c r="E14" s="111" t="s">
        <v>51</v>
      </c>
      <c r="F14" s="111"/>
      <c r="G14" s="111"/>
      <c r="H14" s="111"/>
      <c r="I14" s="109" t="str">
        <f aca="false">IF(ABS(I9)&gt;0.03,FIXED(I9,3)&amp;"  FAILED",FIXED(I9,3)&amp;"  OK")</f>
        <v>0,000  OK</v>
      </c>
      <c r="J14" s="110" t="str">
        <f aca="false">IF(ABS(J9)&gt;0.03,FIXED(J9,3)&amp;"  FAILED",FIXED(J9,3)&amp;"  OK")</f>
        <v>0,000  OK</v>
      </c>
      <c r="K14" s="112" t="n">
        <v>50</v>
      </c>
      <c r="L14" s="113" t="n">
        <v>4</v>
      </c>
      <c r="M14" s="114" t="n">
        <v>50</v>
      </c>
      <c r="N14" s="115" t="n">
        <v>6.94</v>
      </c>
      <c r="O14" s="114" t="n">
        <v>50</v>
      </c>
      <c r="P14" s="115" t="n">
        <v>8.99</v>
      </c>
    </row>
    <row r="15" customFormat="false" ht="37.5" hidden="false" customHeight="true" outlineLevel="0" collapsed="false">
      <c r="E15" s="116"/>
      <c r="F15" s="117"/>
      <c r="G15" s="118"/>
      <c r="H15" s="118"/>
    </row>
    <row r="16" customFormat="false" ht="12.75" hidden="false" customHeight="false" outlineLevel="0" collapsed="false">
      <c r="C16" s="1" t="n">
        <f aca="false">((LN(10)*8.3145*(273.15+B10))/96.485)</f>
        <v>59.1598193062306</v>
      </c>
      <c r="E16" s="116"/>
      <c r="G16" s="119" t="n">
        <v>7.01</v>
      </c>
      <c r="H16" s="116" t="n">
        <f aca="false">STDEV(G16:G18)</f>
        <v>0.00999999999999979</v>
      </c>
      <c r="I16" s="117"/>
    </row>
    <row r="17" customFormat="false" ht="20.25" hidden="false" customHeight="true" outlineLevel="0" collapsed="false">
      <c r="C17" s="120" t="n">
        <f aca="false">((LN(10)*8.3145*(273.15+B10))/(96.485)*I11)</f>
        <v>61.5610393885189</v>
      </c>
      <c r="D17" s="121"/>
      <c r="G17" s="119" t="n">
        <v>7</v>
      </c>
    </row>
    <row r="18" customFormat="false" ht="12.75" hidden="false" customHeight="false" outlineLevel="0" collapsed="false">
      <c r="A18" s="1" t="s">
        <v>52</v>
      </c>
      <c r="C18" s="121" t="n">
        <f aca="false">(0-I5)/I4</f>
        <v>6.95766661052159</v>
      </c>
      <c r="D18" s="121"/>
      <c r="G18" s="122" t="n">
        <v>6.99</v>
      </c>
      <c r="H18" s="122"/>
      <c r="I18" s="122"/>
      <c r="W18" s="1" t="n">
        <f aca="false">96485.31/(LN(10)*8.31451)</f>
        <v>5039.7483096087</v>
      </c>
    </row>
    <row r="19" customFormat="false" ht="36" hidden="false" customHeight="true" outlineLevel="0" collapsed="false">
      <c r="A19" s="122" t="n">
        <v>20241122</v>
      </c>
      <c r="B19" s="1" t="s">
        <v>53</v>
      </c>
      <c r="C19" s="123" t="n">
        <v>2.5102</v>
      </c>
      <c r="D19" s="124"/>
      <c r="E19" s="1" t="s">
        <v>54</v>
      </c>
      <c r="F19" s="1" t="n">
        <v>3.0085</v>
      </c>
      <c r="G19" s="122" t="n">
        <f aca="false">F19-C19</f>
        <v>0.4983</v>
      </c>
      <c r="H19" s="122" t="n">
        <f aca="false">G19*1000/59.6</f>
        <v>8.36073825503356</v>
      </c>
      <c r="I19" s="122"/>
    </row>
    <row r="20" customFormat="false" ht="141.75" hidden="false" customHeight="true" outlineLevel="0" collapsed="false"/>
    <row r="21" customFormat="false" ht="107.25" hidden="false" customHeight="true" outlineLevel="0" collapsed="false">
      <c r="A21" s="1" t="s">
        <v>55</v>
      </c>
      <c r="K21" s="125" t="s">
        <v>56</v>
      </c>
      <c r="L21" s="99"/>
      <c r="R21" s="126" t="s">
        <v>57</v>
      </c>
    </row>
    <row r="22" customFormat="false" ht="14.45" hidden="false" customHeight="false" outlineLevel="0" collapsed="false">
      <c r="K22" s="99" t="s">
        <v>58</v>
      </c>
      <c r="L22" s="99"/>
      <c r="R22" s="127" t="s">
        <v>59</v>
      </c>
    </row>
    <row r="23" customFormat="false" ht="12.75" hidden="false" customHeight="false" outlineLevel="0" collapsed="false">
      <c r="K23" s="99" t="s">
        <v>60</v>
      </c>
      <c r="L23" s="99"/>
      <c r="W23" s="1" t="s">
        <v>61</v>
      </c>
    </row>
    <row r="24" customFormat="false" ht="13.5" hidden="false" customHeight="false" outlineLevel="0" collapsed="false">
      <c r="E24" s="1" t="s">
        <v>62</v>
      </c>
      <c r="K24" s="128" t="s">
        <v>63</v>
      </c>
      <c r="L24" s="129" t="s">
        <v>64</v>
      </c>
      <c r="M24" s="130" t="s">
        <v>63</v>
      </c>
      <c r="N24" s="129" t="s">
        <v>64</v>
      </c>
      <c r="O24" s="130" t="s">
        <v>63</v>
      </c>
      <c r="P24" s="131" t="s">
        <v>65</v>
      </c>
      <c r="W24" s="1" t="s">
        <v>66</v>
      </c>
    </row>
    <row r="25" customFormat="false" ht="12.75" hidden="false" customHeight="false" outlineLevel="0" collapsed="false">
      <c r="K25" s="132" t="n">
        <v>0</v>
      </c>
      <c r="L25" s="133" t="n">
        <v>54.2</v>
      </c>
      <c r="M25" s="134" t="n">
        <v>35</v>
      </c>
      <c r="N25" s="133" t="n">
        <v>61.14</v>
      </c>
      <c r="O25" s="134" t="n">
        <v>70</v>
      </c>
      <c r="P25" s="135" t="n">
        <v>68.08</v>
      </c>
      <c r="W25" s="1" t="s">
        <v>67</v>
      </c>
    </row>
    <row r="26" customFormat="false" ht="12.75" hidden="false" customHeight="false" outlineLevel="0" collapsed="false">
      <c r="K26" s="136" t="n">
        <v>5</v>
      </c>
      <c r="L26" s="137" t="n">
        <v>55.19</v>
      </c>
      <c r="M26" s="138" t="n">
        <v>40</v>
      </c>
      <c r="N26" s="137" t="n">
        <v>62.13</v>
      </c>
      <c r="O26" s="138" t="n">
        <v>75</v>
      </c>
      <c r="P26" s="139" t="n">
        <v>69.08</v>
      </c>
      <c r="W26" s="1" t="s">
        <v>68</v>
      </c>
    </row>
    <row r="27" customFormat="false" ht="12.75" hidden="false" customHeight="false" outlineLevel="0" collapsed="false">
      <c r="K27" s="136" t="n">
        <v>10</v>
      </c>
      <c r="L27" s="137" t="n">
        <v>56.18</v>
      </c>
      <c r="M27" s="138" t="n">
        <v>45</v>
      </c>
      <c r="N27" s="137" t="n">
        <v>63.12</v>
      </c>
      <c r="O27" s="138" t="n">
        <v>80</v>
      </c>
      <c r="P27" s="139" t="n">
        <v>70.07</v>
      </c>
      <c r="W27" s="1" t="s">
        <v>69</v>
      </c>
    </row>
    <row r="28" customFormat="false" ht="12.75" hidden="false" customHeight="false" outlineLevel="0" collapsed="false">
      <c r="K28" s="136" t="n">
        <v>15</v>
      </c>
      <c r="L28" s="137" t="n">
        <v>57.17</v>
      </c>
      <c r="M28" s="138" t="n">
        <v>50</v>
      </c>
      <c r="N28" s="137" t="n">
        <v>64.12</v>
      </c>
      <c r="O28" s="138" t="n">
        <v>85</v>
      </c>
      <c r="P28" s="139" t="n">
        <v>71.06</v>
      </c>
      <c r="W28" s="1" t="s">
        <v>70</v>
      </c>
    </row>
    <row r="29" customFormat="false" ht="12.75" hidden="false" customHeight="false" outlineLevel="0" collapsed="false">
      <c r="K29" s="136" t="n">
        <v>20</v>
      </c>
      <c r="L29" s="137" t="n">
        <v>58.16</v>
      </c>
      <c r="M29" s="138" t="n">
        <v>55</v>
      </c>
      <c r="N29" s="137" t="n">
        <v>65.11</v>
      </c>
      <c r="O29" s="138" t="n">
        <v>90</v>
      </c>
      <c r="P29" s="139" t="n">
        <v>72.05</v>
      </c>
      <c r="W29" s="1" t="s">
        <v>71</v>
      </c>
    </row>
    <row r="30" customFormat="false" ht="12.75" hidden="false" customHeight="false" outlineLevel="0" collapsed="false">
      <c r="K30" s="136" t="n">
        <v>25</v>
      </c>
      <c r="L30" s="137" t="n">
        <v>59.16</v>
      </c>
      <c r="M30" s="138" t="n">
        <v>60</v>
      </c>
      <c r="N30" s="137" t="n">
        <v>66.1</v>
      </c>
      <c r="O30" s="138" t="n">
        <v>95</v>
      </c>
      <c r="P30" s="139" t="n">
        <v>73.04</v>
      </c>
      <c r="W30" s="1" t="s">
        <v>72</v>
      </c>
    </row>
    <row r="31" customFormat="false" ht="12.75" hidden="false" customHeight="false" outlineLevel="0" collapsed="false">
      <c r="K31" s="140" t="n">
        <v>30</v>
      </c>
      <c r="L31" s="141" t="n">
        <v>60.15</v>
      </c>
      <c r="M31" s="142" t="n">
        <v>65</v>
      </c>
      <c r="N31" s="141" t="n">
        <v>67.09</v>
      </c>
      <c r="O31" s="142" t="n">
        <v>100</v>
      </c>
      <c r="P31" s="143" t="n">
        <v>74.04</v>
      </c>
      <c r="W31" s="1" t="s">
        <v>73</v>
      </c>
    </row>
    <row r="32" customFormat="false" ht="12.75" hidden="false" customHeight="false" outlineLevel="0" collapsed="false">
      <c r="K32" s="144" t="s">
        <v>74</v>
      </c>
      <c r="L32" s="99"/>
      <c r="W32" s="1" t="s">
        <v>75</v>
      </c>
    </row>
    <row r="33" customFormat="false" ht="12.75" hidden="false" customHeight="false" outlineLevel="0" collapsed="false">
      <c r="K33" s="144" t="s">
        <v>76</v>
      </c>
      <c r="L33" s="145"/>
      <c r="W33" s="1" t="s">
        <v>77</v>
      </c>
    </row>
    <row r="34" customFormat="false" ht="12.75" hidden="false" customHeight="false" outlineLevel="0" collapsed="false">
      <c r="K34" s="144" t="s">
        <v>78</v>
      </c>
      <c r="L34" s="145"/>
      <c r="W34" s="1" t="s">
        <v>79</v>
      </c>
    </row>
    <row r="35" customFormat="false" ht="12.75" hidden="false" customHeight="false" outlineLevel="0" collapsed="false">
      <c r="K35" s="144" t="s">
        <v>80</v>
      </c>
      <c r="L35" s="145"/>
      <c r="W35" s="1" t="s">
        <v>81</v>
      </c>
    </row>
    <row r="36" customFormat="false" ht="35.5" hidden="false" customHeight="false" outlineLevel="0" collapsed="false">
      <c r="A36" s="1" t="s">
        <v>1</v>
      </c>
      <c r="B36" s="3" t="s">
        <v>2</v>
      </c>
      <c r="C36" s="3" t="s">
        <v>3</v>
      </c>
      <c r="K36" s="99"/>
      <c r="L36" s="145"/>
      <c r="W36" s="1" t="s">
        <v>82</v>
      </c>
    </row>
    <row r="37" customFormat="false" ht="12.75" hidden="false" customHeight="false" outlineLevel="0" collapsed="false">
      <c r="A37" s="1" t="n">
        <v>0</v>
      </c>
      <c r="B37" s="1" t="n">
        <v>6.984</v>
      </c>
      <c r="C37" s="10" t="n">
        <v>7.534</v>
      </c>
      <c r="E37" s="1" t="n">
        <f aca="false" t="array" ref="E37:I47">LINEST(B37:B48,A37:A48^{1,2},,TRUE())</f>
        <v>6.89916846151111E-005</v>
      </c>
      <c r="F37" s="1" t="n">
        <v>-0.00638537898439459</v>
      </c>
      <c r="G37" s="1" t="n">
        <v>6.98174622209257</v>
      </c>
      <c r="H37" s="1" t="e">
        <v>#N/A</v>
      </c>
      <c r="I37" s="1" t="e">
        <v>#N/A</v>
      </c>
      <c r="K37" s="144" t="s">
        <v>83</v>
      </c>
      <c r="L37" s="145"/>
      <c r="W37" s="1" t="s">
        <v>84</v>
      </c>
    </row>
    <row r="38" customFormat="false" ht="12.75" hidden="false" customHeight="false" outlineLevel="0" collapsed="false">
      <c r="A38" s="1" t="n">
        <v>5</v>
      </c>
      <c r="B38" s="1" t="n">
        <v>6.951</v>
      </c>
      <c r="C38" s="10" t="n">
        <v>7.5</v>
      </c>
      <c r="E38" s="1" t="n">
        <v>2.04487082219307E-006</v>
      </c>
      <c r="F38" s="1" t="n">
        <v>0.00010533453027911</v>
      </c>
      <c r="G38" s="1" t="n">
        <v>0.00114087976037728</v>
      </c>
      <c r="H38" s="1" t="e">
        <v>#N/A</v>
      </c>
      <c r="I38" s="1" t="e">
        <v>#N/A</v>
      </c>
      <c r="K38" s="144" t="s">
        <v>85</v>
      </c>
      <c r="L38" s="145"/>
      <c r="W38" s="1" t="s">
        <v>86</v>
      </c>
    </row>
    <row r="39" customFormat="false" ht="12.75" hidden="false" customHeight="false" outlineLevel="0" collapsed="false">
      <c r="A39" s="1" t="n">
        <v>10</v>
      </c>
      <c r="B39" s="1" t="n">
        <v>6.923</v>
      </c>
      <c r="C39" s="10" t="n">
        <v>7.472</v>
      </c>
      <c r="E39" s="1" t="n">
        <v>0.999272370402052</v>
      </c>
      <c r="F39" s="1" t="n">
        <v>0.00150536872881657</v>
      </c>
      <c r="G39" s="1" t="e">
        <v>#N/A</v>
      </c>
      <c r="H39" s="1" t="e">
        <v>#N/A</v>
      </c>
      <c r="I39" s="1" t="e">
        <v>#N/A</v>
      </c>
      <c r="K39" s="144" t="s">
        <v>87</v>
      </c>
      <c r="L39" s="99"/>
      <c r="W39" s="1" t="s">
        <v>88</v>
      </c>
    </row>
    <row r="40" customFormat="false" ht="12.75" hidden="false" customHeight="false" outlineLevel="0" collapsed="false">
      <c r="A40" s="1" t="n">
        <v>15</v>
      </c>
      <c r="B40" s="1" t="n">
        <v>6.9</v>
      </c>
      <c r="C40" s="10" t="n">
        <v>7.448</v>
      </c>
      <c r="E40" s="1" t="n">
        <v>6179.96530032468</v>
      </c>
      <c r="F40" s="1" t="n">
        <v>9</v>
      </c>
      <c r="G40" s="1" t="e">
        <v>#N/A</v>
      </c>
      <c r="H40" s="1" t="e">
        <v>#N/A</v>
      </c>
      <c r="I40" s="1" t="e">
        <v>#N/A</v>
      </c>
      <c r="K40" s="144" t="s">
        <v>89</v>
      </c>
      <c r="L40" s="99"/>
    </row>
    <row r="41" customFormat="false" ht="12.75" hidden="false" customHeight="false" outlineLevel="0" collapsed="false">
      <c r="A41" s="1" t="n">
        <v>20</v>
      </c>
      <c r="B41" s="1" t="n">
        <v>6.881</v>
      </c>
      <c r="C41" s="10" t="n">
        <v>7.429</v>
      </c>
      <c r="E41" s="1" t="n">
        <v>0.0280092714515794</v>
      </c>
      <c r="F41" s="1" t="n">
        <v>2.03952150872894E-005</v>
      </c>
      <c r="G41" s="1" t="e">
        <v>#N/A</v>
      </c>
      <c r="H41" s="1" t="e">
        <v>#N/A</v>
      </c>
      <c r="I41" s="1" t="e">
        <v>#N/A</v>
      </c>
      <c r="K41" s="144" t="s">
        <v>90</v>
      </c>
      <c r="L41" s="99"/>
    </row>
    <row r="42" customFormat="false" ht="12" hidden="false" customHeight="true" outlineLevel="0" collapsed="false">
      <c r="A42" s="1" t="n">
        <v>25</v>
      </c>
      <c r="B42" s="1" t="n">
        <v>6.865</v>
      </c>
      <c r="C42" s="10" t="n">
        <v>7.413</v>
      </c>
      <c r="E42" s="1" t="e">
        <v>#N/A</v>
      </c>
      <c r="F42" s="1" t="e">
        <v>#N/A</v>
      </c>
      <c r="G42" s="1" t="e">
        <v>#N/A</v>
      </c>
      <c r="H42" s="1" t="e">
        <v>#N/A</v>
      </c>
      <c r="I42" s="1" t="e">
        <v>#N/A</v>
      </c>
      <c r="K42" s="144" t="s">
        <v>91</v>
      </c>
      <c r="L42" s="99"/>
      <c r="X42" s="146" t="s">
        <v>92</v>
      </c>
      <c r="Y42" s="146"/>
      <c r="Z42" s="146"/>
      <c r="AA42" s="146"/>
      <c r="AB42" s="146"/>
      <c r="AC42" s="146"/>
      <c r="AD42" s="146"/>
      <c r="AE42" s="146"/>
      <c r="AF42" s="146"/>
      <c r="AG42" s="146"/>
    </row>
    <row r="43" customFormat="false" ht="12.75" hidden="false" customHeight="true" outlineLevel="0" collapsed="false">
      <c r="A43" s="1" t="n">
        <v>30</v>
      </c>
      <c r="B43" s="1" t="n">
        <v>6.853</v>
      </c>
      <c r="C43" s="10" t="n">
        <v>7.4</v>
      </c>
      <c r="E43" s="1" t="e">
        <v>#N/A</v>
      </c>
      <c r="F43" s="1" t="e">
        <v>#N/A</v>
      </c>
      <c r="G43" s="1" t="e">
        <v>#N/A</v>
      </c>
      <c r="H43" s="1" t="e">
        <v>#N/A</v>
      </c>
      <c r="I43" s="1" t="e">
        <v>#N/A</v>
      </c>
      <c r="K43" s="144" t="s">
        <v>93</v>
      </c>
      <c r="L43" s="99"/>
      <c r="X43" s="147"/>
      <c r="Y43" s="148" t="s">
        <v>94</v>
      </c>
      <c r="Z43" s="149" t="s">
        <v>95</v>
      </c>
      <c r="AA43" s="149"/>
      <c r="AB43" s="146" t="s">
        <v>96</v>
      </c>
      <c r="AC43" s="146"/>
      <c r="AD43" s="146"/>
      <c r="AE43" s="146"/>
      <c r="AF43" s="146"/>
      <c r="AG43" s="146"/>
    </row>
    <row r="44" customFormat="false" ht="13.5" hidden="false" customHeight="true" outlineLevel="0" collapsed="false">
      <c r="A44" s="1" t="n">
        <v>35</v>
      </c>
      <c r="B44" s="1" t="n">
        <v>6.844</v>
      </c>
      <c r="C44" s="10" t="n">
        <v>7.389</v>
      </c>
      <c r="E44" s="1" t="e">
        <v>#N/A</v>
      </c>
      <c r="F44" s="1" t="e">
        <v>#N/A</v>
      </c>
      <c r="G44" s="1" t="e">
        <v>#N/A</v>
      </c>
      <c r="H44" s="1" t="e">
        <v>#N/A</v>
      </c>
      <c r="I44" s="1" t="e">
        <v>#N/A</v>
      </c>
      <c r="K44" s="144" t="s">
        <v>97</v>
      </c>
      <c r="L44" s="99"/>
      <c r="X44" s="150" t="s">
        <v>22</v>
      </c>
      <c r="Y44" s="151" t="s">
        <v>98</v>
      </c>
      <c r="Z44" s="151" t="s">
        <v>99</v>
      </c>
      <c r="AA44" s="151" t="s">
        <v>100</v>
      </c>
      <c r="AB44" s="152" t="n">
        <v>1</v>
      </c>
      <c r="AC44" s="152"/>
      <c r="AD44" s="152" t="n">
        <v>2</v>
      </c>
      <c r="AE44" s="152"/>
      <c r="AF44" s="152" t="n">
        <v>3</v>
      </c>
      <c r="AG44" s="152"/>
    </row>
    <row r="45" customFormat="false" ht="12.75" hidden="false" customHeight="false" outlineLevel="0" collapsed="false">
      <c r="A45" s="1" t="n">
        <v>38</v>
      </c>
      <c r="B45" s="1" t="n">
        <v>6.84</v>
      </c>
      <c r="C45" s="10" t="n">
        <v>7.384</v>
      </c>
      <c r="E45" s="1" t="e">
        <v>#N/A</v>
      </c>
      <c r="F45" s="1" t="e">
        <v>#N/A</v>
      </c>
      <c r="G45" s="1" t="e">
        <v>#N/A</v>
      </c>
      <c r="H45" s="1" t="e">
        <v>#N/A</v>
      </c>
      <c r="I45" s="1" t="e">
        <v>#N/A</v>
      </c>
      <c r="K45" s="144" t="s">
        <v>101</v>
      </c>
      <c r="L45" s="99"/>
      <c r="X45" s="153" t="s">
        <v>102</v>
      </c>
      <c r="Y45" s="154" t="n">
        <v>1</v>
      </c>
      <c r="Z45" s="154" t="n">
        <v>2</v>
      </c>
      <c r="AA45" s="154" t="n">
        <v>3</v>
      </c>
      <c r="AB45" s="148" t="s">
        <v>103</v>
      </c>
      <c r="AC45" s="148" t="s">
        <v>104</v>
      </c>
      <c r="AD45" s="148" t="s">
        <v>103</v>
      </c>
      <c r="AE45" s="148" t="s">
        <v>104</v>
      </c>
      <c r="AF45" s="148" t="s">
        <v>103</v>
      </c>
      <c r="AG45" s="148" t="s">
        <v>104</v>
      </c>
    </row>
    <row r="46" customFormat="false" ht="12.75" hidden="false" customHeight="false" outlineLevel="0" collapsed="false">
      <c r="A46" s="1" t="n">
        <v>40</v>
      </c>
      <c r="B46" s="1" t="n">
        <v>6.838</v>
      </c>
      <c r="C46" s="10" t="n">
        <v>7.38</v>
      </c>
      <c r="E46" s="1" t="e">
        <v>#N/A</v>
      </c>
      <c r="F46" s="1" t="e">
        <v>#N/A</v>
      </c>
      <c r="G46" s="1" t="e">
        <v>#N/A</v>
      </c>
      <c r="H46" s="1" t="e">
        <v>#N/A</v>
      </c>
      <c r="I46" s="1" t="e">
        <v>#N/A</v>
      </c>
      <c r="K46" s="144" t="s">
        <v>105</v>
      </c>
      <c r="L46" s="99"/>
      <c r="X46" s="153" t="n">
        <v>0</v>
      </c>
      <c r="Y46" s="153" t="n">
        <v>260.2</v>
      </c>
      <c r="Z46" s="153" t="n">
        <v>227.6</v>
      </c>
      <c r="AA46" s="155" t="n">
        <v>223.6</v>
      </c>
      <c r="AB46" s="150" t="n">
        <v>-0.638571428571433</v>
      </c>
      <c r="AC46" s="150" t="n">
        <v>260.392857142857</v>
      </c>
      <c r="AD46" s="150" t="n">
        <v>-0.786285714285714</v>
      </c>
      <c r="AE46" s="150" t="n">
        <v>228.021428571429</v>
      </c>
      <c r="AF46" s="150" t="n">
        <v>-0.660571428571432</v>
      </c>
      <c r="AG46" s="150" t="n">
        <v>224.242857142857</v>
      </c>
    </row>
    <row r="47" customFormat="false" ht="12.75" hidden="false" customHeight="false" outlineLevel="0" collapsed="false">
      <c r="A47" s="1" t="n">
        <v>45</v>
      </c>
      <c r="B47" s="1" t="n">
        <v>6.834</v>
      </c>
      <c r="C47" s="10" t="n">
        <v>7.373</v>
      </c>
      <c r="E47" s="1" t="e">
        <v>#N/A</v>
      </c>
      <c r="F47" s="1" t="e">
        <v>#N/A</v>
      </c>
      <c r="G47" s="1" t="e">
        <v>#N/A</v>
      </c>
      <c r="H47" s="1" t="e">
        <v>#N/A</v>
      </c>
      <c r="I47" s="1" t="e">
        <v>#N/A</v>
      </c>
      <c r="K47" s="99" t="s">
        <v>106</v>
      </c>
      <c r="L47" s="99"/>
      <c r="X47" s="156" t="n">
        <v>10</v>
      </c>
      <c r="Y47" s="156" t="n">
        <v>254.2</v>
      </c>
      <c r="Z47" s="156" t="n">
        <v>220.4</v>
      </c>
      <c r="AA47" s="157" t="n">
        <v>218.1</v>
      </c>
      <c r="AB47" s="158" t="n">
        <v>0.00677630927178959</v>
      </c>
      <c r="AC47" s="158" t="n">
        <v>0.13122266479196</v>
      </c>
      <c r="AD47" s="158" t="n">
        <v>0.0161061529629303</v>
      </c>
      <c r="AE47" s="158" t="n">
        <v>0.311894310984492</v>
      </c>
      <c r="AF47" s="158" t="n">
        <v>0.0417807689381282</v>
      </c>
      <c r="AG47" s="158" t="n">
        <v>0.809081111445553</v>
      </c>
    </row>
    <row r="48" customFormat="false" ht="12.75" hidden="false" customHeight="false" outlineLevel="0" collapsed="false">
      <c r="A48" s="1" t="n">
        <v>50</v>
      </c>
      <c r="B48" s="1" t="n">
        <v>6.833</v>
      </c>
      <c r="C48" s="10" t="n">
        <v>7.367</v>
      </c>
      <c r="K48" s="144" t="s">
        <v>107</v>
      </c>
      <c r="L48" s="99"/>
      <c r="X48" s="156" t="n">
        <v>15</v>
      </c>
      <c r="Y48" s="156" t="n">
        <v>250.9</v>
      </c>
      <c r="Z48" s="156" t="n">
        <v>216.6</v>
      </c>
      <c r="AA48" s="157" t="n">
        <v>215</v>
      </c>
      <c r="AB48" s="158" t="n">
        <v>0.999549772635181</v>
      </c>
      <c r="AC48" s="158" t="n">
        <v>0.163663417676999</v>
      </c>
      <c r="AD48" s="158" t="n">
        <v>0.99832446088069</v>
      </c>
      <c r="AE48" s="158" t="n">
        <v>0.389000550862631</v>
      </c>
      <c r="AF48" s="158" t="n">
        <v>0.9842500662876</v>
      </c>
      <c r="AG48" s="158" t="n">
        <v>1.00910143904651</v>
      </c>
    </row>
    <row r="49" customFormat="false" ht="12.75" hidden="false" customHeight="false" outlineLevel="0" collapsed="false">
      <c r="K49" s="99" t="s">
        <v>108</v>
      </c>
      <c r="L49" s="99"/>
      <c r="X49" s="156" t="n">
        <v>20</v>
      </c>
      <c r="Y49" s="156" t="n">
        <v>247.7</v>
      </c>
      <c r="Z49" s="156" t="n">
        <v>212.6</v>
      </c>
      <c r="AA49" s="157" t="n">
        <v>211.8</v>
      </c>
      <c r="AB49" s="158" t="n">
        <v>8880.39999999945</v>
      </c>
      <c r="AC49" s="158" t="n">
        <v>4</v>
      </c>
      <c r="AD49" s="158" t="n">
        <v>2383.29132247657</v>
      </c>
      <c r="AE49" s="158" t="n">
        <v>4</v>
      </c>
      <c r="AF49" s="158" t="n">
        <v>249.969322858207</v>
      </c>
      <c r="AG49" s="158" t="n">
        <v>4</v>
      </c>
    </row>
    <row r="50" customFormat="false" ht="12.75" hidden="false" customHeight="false" outlineLevel="0" collapsed="false">
      <c r="K50" s="159" t="s">
        <v>109</v>
      </c>
      <c r="L50" s="99"/>
      <c r="X50" s="156" t="n">
        <v>25</v>
      </c>
      <c r="Y50" s="156" t="n">
        <v>244.4</v>
      </c>
      <c r="Z50" s="156" t="n">
        <v>208.2</v>
      </c>
      <c r="AA50" s="157" t="n">
        <v>206.2</v>
      </c>
      <c r="AB50" s="158" t="n">
        <v>237.867857142857</v>
      </c>
      <c r="AC50" s="158" t="n">
        <v>0.107142857142864</v>
      </c>
      <c r="AD50" s="158" t="n">
        <v>360.643047619048</v>
      </c>
      <c r="AE50" s="158" t="n">
        <v>0.605285714285722</v>
      </c>
      <c r="AF50" s="158" t="n">
        <v>254.540190476191</v>
      </c>
      <c r="AG50" s="158" t="n">
        <v>4.07314285714293</v>
      </c>
    </row>
    <row r="51" customFormat="false" ht="12.75" hidden="false" customHeight="false" outlineLevel="0" collapsed="false">
      <c r="K51" s="144" t="s">
        <v>110</v>
      </c>
      <c r="L51" s="99"/>
      <c r="X51" s="160" t="n">
        <v>30</v>
      </c>
      <c r="Y51" s="160" t="n">
        <v>241.1</v>
      </c>
      <c r="Z51" s="160" t="n">
        <v>204.1</v>
      </c>
      <c r="AA51" s="161" t="n">
        <v>204.7</v>
      </c>
      <c r="AB51" s="99"/>
      <c r="AC51" s="99"/>
      <c r="AD51" s="99"/>
      <c r="AE51" s="99"/>
      <c r="AF51" s="99"/>
      <c r="AG51" s="99"/>
    </row>
    <row r="52" customFormat="false" ht="12.75" hidden="false" customHeight="false" outlineLevel="0" collapsed="false">
      <c r="X52" s="162" t="s">
        <v>111</v>
      </c>
      <c r="Y52" s="163" t="n">
        <v>247.621428571429</v>
      </c>
      <c r="Z52" s="163" t="n">
        <v>212.295714285714</v>
      </c>
      <c r="AA52" s="163" t="n">
        <f aca="false">AF46*X53+AG46</f>
        <v>205.746857142857</v>
      </c>
      <c r="AB52" s="99"/>
      <c r="AC52" s="99"/>
      <c r="AD52" s="99"/>
      <c r="AE52" s="99"/>
      <c r="AF52" s="99"/>
      <c r="AG52" s="99"/>
    </row>
    <row r="53" customFormat="false" ht="12.75" hidden="false" customHeight="false" outlineLevel="0" collapsed="false">
      <c r="I53" s="1" t="n">
        <v>45</v>
      </c>
      <c r="K53" s="144" t="s">
        <v>112</v>
      </c>
      <c r="L53" s="99"/>
      <c r="X53" s="164" t="n">
        <v>28</v>
      </c>
      <c r="Y53" s="99"/>
      <c r="Z53" s="99"/>
      <c r="AA53" s="99"/>
      <c r="AB53" s="99"/>
      <c r="AC53" s="99"/>
      <c r="AD53" s="99"/>
      <c r="AE53" s="99"/>
      <c r="AF53" s="99"/>
      <c r="AG53" s="99"/>
    </row>
    <row r="54" customFormat="false" ht="12.75" hidden="false" customHeight="false" outlineLevel="0" collapsed="false">
      <c r="I54" s="165" t="n">
        <f aca="false">0.00006899*I53^2-0.006385*I53+6.9817462</f>
        <v>6.83412595</v>
      </c>
      <c r="K54" s="144" t="s">
        <v>113</v>
      </c>
      <c r="L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</row>
    <row r="55" customFormat="false" ht="12.75" hidden="false" customHeight="false" outlineLevel="0" collapsed="false">
      <c r="K55" s="144" t="s">
        <v>114</v>
      </c>
      <c r="L55" s="99"/>
      <c r="X55" s="99"/>
      <c r="Y55" s="99"/>
      <c r="Z55" s="99"/>
      <c r="AA55" s="99"/>
      <c r="AB55" s="99"/>
      <c r="AC55" s="99"/>
      <c r="AD55" s="99"/>
      <c r="AE55" s="99" t="s">
        <v>48</v>
      </c>
      <c r="AF55" s="99"/>
      <c r="AG55" s="99"/>
    </row>
    <row r="56" customFormat="false" ht="12.75" hidden="false" customHeight="false" outlineLevel="0" collapsed="false">
      <c r="K56" s="144" t="s">
        <v>115</v>
      </c>
      <c r="L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</row>
    <row r="57" customFormat="false" ht="13.5" hidden="false" customHeight="true" outlineLevel="0" collapsed="false">
      <c r="L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</row>
    <row r="58" customFormat="false" ht="12.75" hidden="false" customHeight="false" outlineLevel="0" collapsed="false">
      <c r="K58" s="144" t="s">
        <v>116</v>
      </c>
      <c r="L58" s="99"/>
      <c r="X58" s="144" t="s">
        <v>117</v>
      </c>
      <c r="Y58" s="99"/>
      <c r="Z58" s="99"/>
      <c r="AA58" s="99"/>
      <c r="AB58" s="99"/>
      <c r="AC58" s="99"/>
      <c r="AD58" s="99"/>
      <c r="AE58" s="99"/>
      <c r="AF58" s="99"/>
      <c r="AG58" s="99"/>
    </row>
    <row r="59" customFormat="false" ht="12.75" hidden="false" customHeight="false" outlineLevel="0" collapsed="false">
      <c r="K59" s="144" t="s">
        <v>118</v>
      </c>
      <c r="L59" s="99"/>
    </row>
    <row r="60" customFormat="false" ht="12.75" hidden="false" customHeight="false" outlineLevel="0" collapsed="false">
      <c r="K60" s="144" t="s">
        <v>119</v>
      </c>
      <c r="L60" s="99"/>
    </row>
    <row r="62" customFormat="false" ht="32.25" hidden="false" customHeight="true" outlineLevel="0" collapsed="false">
      <c r="K62" s="146" t="s">
        <v>120</v>
      </c>
      <c r="L62" s="146"/>
      <c r="M62" s="146"/>
      <c r="N62" s="146"/>
      <c r="O62" s="146"/>
      <c r="P62" s="146"/>
      <c r="Q62" s="146"/>
      <c r="R62" s="146"/>
      <c r="S62" s="146"/>
      <c r="T62" s="146"/>
    </row>
    <row r="63" customFormat="false" ht="28.3" hidden="false" customHeight="true" outlineLevel="0" collapsed="false">
      <c r="B63" s="1" t="s">
        <v>121</v>
      </c>
      <c r="E63" s="1" t="s">
        <v>122</v>
      </c>
      <c r="K63" s="166"/>
      <c r="L63" s="167" t="s">
        <v>123</v>
      </c>
      <c r="M63" s="168" t="s">
        <v>124</v>
      </c>
      <c r="N63" s="169"/>
      <c r="O63" s="146" t="s">
        <v>125</v>
      </c>
      <c r="P63" s="146"/>
      <c r="Q63" s="146"/>
      <c r="R63" s="146"/>
      <c r="S63" s="146"/>
      <c r="T63" s="146"/>
    </row>
    <row r="64" customFormat="false" ht="28.3" hidden="false" customHeight="false" outlineLevel="0" collapsed="false">
      <c r="B64" s="1" t="n">
        <v>5</v>
      </c>
      <c r="E64" s="1" t="n">
        <v>5</v>
      </c>
      <c r="K64" s="167" t="s">
        <v>22</v>
      </c>
      <c r="L64" s="170" t="s">
        <v>99</v>
      </c>
      <c r="M64" s="170" t="s">
        <v>99</v>
      </c>
      <c r="N64" s="170" t="s">
        <v>100</v>
      </c>
      <c r="O64" s="149" t="n">
        <v>1</v>
      </c>
      <c r="P64" s="149"/>
      <c r="Q64" s="149" t="n">
        <v>2</v>
      </c>
      <c r="R64" s="149"/>
      <c r="S64" s="149" t="n">
        <v>3</v>
      </c>
      <c r="T64" s="149"/>
    </row>
    <row r="65" customFormat="false" ht="12.75" hidden="false" customHeight="false" outlineLevel="0" collapsed="false">
      <c r="B65" s="1" t="n">
        <v>10</v>
      </c>
      <c r="E65" s="1" t="n">
        <v>10</v>
      </c>
      <c r="K65" s="171" t="s">
        <v>102</v>
      </c>
      <c r="L65" s="154" t="n">
        <v>1</v>
      </c>
      <c r="M65" s="154" t="n">
        <v>2</v>
      </c>
      <c r="N65" s="154" t="n">
        <v>3</v>
      </c>
      <c r="O65" s="148" t="s">
        <v>103</v>
      </c>
      <c r="P65" s="148" t="s">
        <v>104</v>
      </c>
      <c r="Q65" s="148" t="s">
        <v>103</v>
      </c>
      <c r="R65" s="148" t="s">
        <v>104</v>
      </c>
      <c r="S65" s="148" t="s">
        <v>103</v>
      </c>
      <c r="T65" s="148" t="s">
        <v>104</v>
      </c>
    </row>
    <row r="66" customFormat="false" ht="12.75" hidden="false" customHeight="false" outlineLevel="0" collapsed="false">
      <c r="B66" s="1" t="n">
        <v>15</v>
      </c>
      <c r="E66" s="1" t="n">
        <v>15</v>
      </c>
      <c r="K66" s="153" t="n">
        <v>0</v>
      </c>
      <c r="L66" s="153" t="n">
        <v>260.2</v>
      </c>
      <c r="M66" s="153" t="n">
        <v>227.6</v>
      </c>
      <c r="N66" s="155" t="n">
        <v>223.6</v>
      </c>
      <c r="O66" s="150" t="n">
        <f aca="false" t="array" ref="O66:P70">LINEST(L66:L71,K66:K71,1,1)</f>
        <v>-0.638571428571428</v>
      </c>
      <c r="P66" s="150" t="n">
        <v>260.392857142857</v>
      </c>
      <c r="Q66" s="150" t="n">
        <f aca="false" t="array" ref="Q66:R70">LINEST(M66:M71,K66:K71,1,1)</f>
        <v>-0.786285714285715</v>
      </c>
      <c r="R66" s="150" t="n">
        <v>228.021428571429</v>
      </c>
      <c r="S66" s="150" t="n">
        <f aca="false" t="array" ref="S66:T70">LINEST(N66:N71,K66:K71,1,1)</f>
        <v>-0.660571428571429</v>
      </c>
      <c r="T66" s="150" t="n">
        <v>224.242857142857</v>
      </c>
    </row>
    <row r="67" customFormat="false" ht="23.25" hidden="false" customHeight="true" outlineLevel="0" collapsed="false">
      <c r="B67" s="1" t="n">
        <v>20</v>
      </c>
      <c r="E67" s="1" t="n">
        <v>20</v>
      </c>
      <c r="K67" s="156" t="n">
        <v>10</v>
      </c>
      <c r="L67" s="156" t="n">
        <v>254.2</v>
      </c>
      <c r="M67" s="156" t="n">
        <v>220.4</v>
      </c>
      <c r="N67" s="157" t="n">
        <v>218.1</v>
      </c>
      <c r="O67" s="150" t="n">
        <v>0.00677630927178941</v>
      </c>
      <c r="P67" s="150" t="n">
        <v>0.131222664791957</v>
      </c>
      <c r="Q67" s="150" t="n">
        <v>0.0161061529629303</v>
      </c>
      <c r="R67" s="150" t="n">
        <v>0.311894310984492</v>
      </c>
      <c r="S67" s="150" t="n">
        <v>0.0417807689381281</v>
      </c>
      <c r="T67" s="150" t="n">
        <v>0.809081111445551</v>
      </c>
    </row>
    <row r="68" customFormat="false" ht="12.75" hidden="false" customHeight="false" outlineLevel="0" collapsed="false">
      <c r="B68" s="1" t="n">
        <v>25</v>
      </c>
      <c r="C68" s="116" t="n">
        <v>7</v>
      </c>
      <c r="E68" s="1" t="n">
        <v>25</v>
      </c>
      <c r="F68" s="1" t="n">
        <v>4.01</v>
      </c>
      <c r="K68" s="156" t="n">
        <v>15</v>
      </c>
      <c r="L68" s="156" t="n">
        <v>250.9</v>
      </c>
      <c r="M68" s="156" t="n">
        <v>216.6</v>
      </c>
      <c r="N68" s="157" t="n">
        <v>215</v>
      </c>
      <c r="O68" s="150" t="n">
        <v>0.999549772635181</v>
      </c>
      <c r="P68" s="150" t="n">
        <v>0.163663417676995</v>
      </c>
      <c r="Q68" s="150" t="n">
        <v>0.99832446088069</v>
      </c>
      <c r="R68" s="150" t="n">
        <v>0.389000550862631</v>
      </c>
      <c r="S68" s="150" t="n">
        <v>0.9842500662876</v>
      </c>
      <c r="T68" s="150" t="n">
        <v>1.0091014390465</v>
      </c>
    </row>
    <row r="69" customFormat="false" ht="12.75" hidden="false" customHeight="false" outlineLevel="0" collapsed="false">
      <c r="B69" s="1" t="n">
        <v>30</v>
      </c>
      <c r="E69" s="1" t="n">
        <v>30</v>
      </c>
      <c r="K69" s="156" t="n">
        <v>20</v>
      </c>
      <c r="L69" s="156" t="n">
        <v>247.7</v>
      </c>
      <c r="M69" s="156" t="n">
        <v>212.6</v>
      </c>
      <c r="N69" s="157" t="n">
        <v>211.8</v>
      </c>
      <c r="O69" s="150" t="n">
        <v>8880.39999999992</v>
      </c>
      <c r="P69" s="150" t="n">
        <v>4</v>
      </c>
      <c r="Q69" s="150" t="n">
        <v>2383.29132247656</v>
      </c>
      <c r="R69" s="150" t="n">
        <v>4</v>
      </c>
      <c r="S69" s="150" t="n">
        <v>249.969322858209</v>
      </c>
      <c r="T69" s="150" t="n">
        <v>4</v>
      </c>
    </row>
    <row r="70" customFormat="false" ht="12.75" hidden="false" customHeight="false" outlineLevel="0" collapsed="false">
      <c r="B70" s="1" t="n">
        <v>35</v>
      </c>
      <c r="E70" s="1" t="n">
        <v>35</v>
      </c>
      <c r="K70" s="156" t="n">
        <v>25</v>
      </c>
      <c r="L70" s="156" t="n">
        <v>244.4</v>
      </c>
      <c r="M70" s="156" t="n">
        <v>208.2</v>
      </c>
      <c r="N70" s="157" t="n">
        <v>206.2</v>
      </c>
      <c r="O70" s="150" t="n">
        <v>237.867857142857</v>
      </c>
      <c r="P70" s="150" t="n">
        <v>0.107142857142858</v>
      </c>
      <c r="Q70" s="150" t="n">
        <v>360.643047619048</v>
      </c>
      <c r="R70" s="150" t="n">
        <v>0.605285714285723</v>
      </c>
      <c r="S70" s="150" t="n">
        <v>254.540190476191</v>
      </c>
      <c r="T70" s="150" t="n">
        <v>4.07314285714291</v>
      </c>
    </row>
    <row r="71" customFormat="false" ht="12.75" hidden="false" customHeight="false" outlineLevel="0" collapsed="false">
      <c r="B71" s="1" t="n">
        <v>40</v>
      </c>
      <c r="E71" s="1" t="n">
        <v>40</v>
      </c>
      <c r="K71" s="160" t="n">
        <v>30</v>
      </c>
      <c r="L71" s="160" t="n">
        <v>241.1</v>
      </c>
      <c r="M71" s="160" t="n">
        <v>204.1</v>
      </c>
      <c r="N71" s="161" t="n">
        <v>204.7</v>
      </c>
    </row>
    <row r="72" customFormat="false" ht="19.25" hidden="false" customHeight="false" outlineLevel="0" collapsed="false">
      <c r="B72" s="1" t="n">
        <v>45</v>
      </c>
      <c r="E72" s="1" t="n">
        <v>45</v>
      </c>
      <c r="K72" s="172" t="s">
        <v>126</v>
      </c>
      <c r="L72" s="173" t="n">
        <f aca="false">O66*K73+P66</f>
        <v>244.428571428571</v>
      </c>
      <c r="M72" s="173" t="n">
        <f aca="false">Q66*K73+R66</f>
        <v>208.364285714286</v>
      </c>
      <c r="N72" s="173" t="n">
        <f aca="false">S66*K73+T66</f>
        <v>207.728571428571</v>
      </c>
    </row>
    <row r="73" customFormat="false" ht="12.75" hidden="false" customHeight="false" outlineLevel="0" collapsed="false">
      <c r="K73" s="164" t="n">
        <v>25</v>
      </c>
      <c r="L73" s="99"/>
      <c r="M73" s="99"/>
      <c r="N73" s="99"/>
    </row>
  </sheetData>
  <mergeCells count="25">
    <mergeCell ref="A1:R1"/>
    <mergeCell ref="B2:G2"/>
    <mergeCell ref="K2:R2"/>
    <mergeCell ref="B3:D3"/>
    <mergeCell ref="K3:L3"/>
    <mergeCell ref="M3:N3"/>
    <mergeCell ref="O3:P3"/>
    <mergeCell ref="Q3:R3"/>
    <mergeCell ref="I6:J6"/>
    <mergeCell ref="D8:G8"/>
    <mergeCell ref="Q10:R10"/>
    <mergeCell ref="A13:D14"/>
    <mergeCell ref="E13:H13"/>
    <mergeCell ref="E14:H14"/>
    <mergeCell ref="X42:AG42"/>
    <mergeCell ref="Z43:AA43"/>
    <mergeCell ref="AB43:AG43"/>
    <mergeCell ref="AB44:AC44"/>
    <mergeCell ref="AD44:AE44"/>
    <mergeCell ref="AF44:AG44"/>
    <mergeCell ref="K62:T62"/>
    <mergeCell ref="O63:T63"/>
    <mergeCell ref="O64:P64"/>
    <mergeCell ref="Q64:R64"/>
    <mergeCell ref="S64:T6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22" width="17.88"/>
    <col collapsed="false" customWidth="true" hidden="false" outlineLevel="0" max="4" min="4" style="122" width="17.7"/>
    <col collapsed="false" customWidth="false" hidden="false" outlineLevel="0" max="5" min="5" style="122" width="11.53"/>
    <col collapsed="false" customWidth="true" hidden="false" outlineLevel="0" max="6" min="6" style="1" width="11.08"/>
    <col collapsed="false" customWidth="true" hidden="false" outlineLevel="0" max="9" min="9" style="1" width="32.58"/>
    <col collapsed="false" customWidth="true" hidden="false" outlineLevel="0" max="10" min="10" style="1" width="16.43"/>
    <col collapsed="false" customWidth="true" hidden="false" outlineLevel="0" max="12" min="12" style="1" width="18.24"/>
  </cols>
  <sheetData>
    <row r="1" customFormat="false" ht="12.8" hidden="false" customHeight="false" outlineLevel="0" collapsed="false">
      <c r="I1" s="1" t="s">
        <v>127</v>
      </c>
      <c r="J1" s="1" t="s">
        <v>128</v>
      </c>
    </row>
    <row r="2" customFormat="false" ht="12.8" hidden="false" customHeight="false" outlineLevel="0" collapsed="false">
      <c r="I2" s="116" t="n">
        <f aca="false">((LN(10)*8.3145*(273.15+E4))/96.485)</f>
        <v>58.1677042751014</v>
      </c>
      <c r="J2" s="116" t="n">
        <f aca="false">I2*3</f>
        <v>174.503112825304</v>
      </c>
    </row>
    <row r="3" customFormat="false" ht="12.8" hidden="false" customHeight="false" outlineLevel="0" collapsed="false">
      <c r="A3" s="1" t="s">
        <v>129</v>
      </c>
      <c r="B3" s="122" t="s">
        <v>130</v>
      </c>
      <c r="C3" s="122" t="s">
        <v>131</v>
      </c>
      <c r="D3" s="122" t="s">
        <v>132</v>
      </c>
      <c r="E3" s="122" t="s">
        <v>22</v>
      </c>
      <c r="F3" s="122" t="s">
        <v>133</v>
      </c>
      <c r="G3" s="1" t="s">
        <v>134</v>
      </c>
      <c r="J3" s="1" t="s">
        <v>135</v>
      </c>
      <c r="K3" s="1" t="s">
        <v>136</v>
      </c>
      <c r="L3" s="1" t="s">
        <v>137</v>
      </c>
    </row>
    <row r="4" customFormat="false" ht="12.8" hidden="false" customHeight="false" outlineLevel="0" collapsed="false">
      <c r="A4" s="1" t="s">
        <v>138</v>
      </c>
      <c r="B4" s="119" t="n">
        <v>4</v>
      </c>
      <c r="C4" s="122" t="n">
        <v>3</v>
      </c>
      <c r="D4" s="122" t="n">
        <v>2.049125</v>
      </c>
      <c r="E4" s="122" t="n">
        <v>20</v>
      </c>
      <c r="F4" s="122" t="n">
        <f aca="false">D4*1000</f>
        <v>2049.125</v>
      </c>
      <c r="G4" s="165" t="n">
        <f aca="false">(F4-1500)/(B5-B4)</f>
        <v>181.829470198676</v>
      </c>
      <c r="H4" s="1" t="s">
        <v>139</v>
      </c>
      <c r="I4" s="1" t="n">
        <f aca="false">(7.02-4)/((J4-1500)/3-(K4-1500)/3)</f>
        <v>-0.0175581395348837</v>
      </c>
      <c r="J4" s="1" t="n">
        <f aca="false">F5</f>
        <v>1533.125</v>
      </c>
      <c r="K4" s="1" t="n">
        <f aca="false">F4</f>
        <v>2049.125</v>
      </c>
      <c r="L4" s="1" t="n">
        <v>2049</v>
      </c>
    </row>
    <row r="5" customFormat="false" ht="12.8" hidden="false" customHeight="false" outlineLevel="0" collapsed="false">
      <c r="A5" s="1" t="s">
        <v>138</v>
      </c>
      <c r="B5" s="122" t="n">
        <v>7.02</v>
      </c>
      <c r="C5" s="122" t="n">
        <v>3</v>
      </c>
      <c r="D5" s="122" t="n">
        <v>1.533125</v>
      </c>
      <c r="E5" s="122" t="n">
        <v>20</v>
      </c>
      <c r="F5" s="122" t="n">
        <f aca="false">D5*1000</f>
        <v>1533.125</v>
      </c>
      <c r="H5" s="1" t="s">
        <v>140</v>
      </c>
      <c r="I5" s="116" t="n">
        <f aca="false">7.02 - I4*(J4-1500)/3</f>
        <v>7.21387112403101</v>
      </c>
    </row>
    <row r="6" customFormat="false" ht="12.8" hidden="false" customHeight="false" outlineLevel="0" collapsed="false">
      <c r="D6" s="122" t="n">
        <v>1.774</v>
      </c>
      <c r="E6" s="122" t="n">
        <v>20</v>
      </c>
      <c r="H6" s="1" t="s">
        <v>141</v>
      </c>
      <c r="I6" s="1" t="n">
        <f aca="false">I4*(L4-1500)/3+I5</f>
        <v>4.00073158914729</v>
      </c>
    </row>
    <row r="9" customFormat="false" ht="12.8" hidden="false" customHeight="false" outlineLevel="0" collapsed="false">
      <c r="B9" s="122" t="s">
        <v>130</v>
      </c>
      <c r="C9" s="122" t="s">
        <v>131</v>
      </c>
      <c r="D9" s="122" t="s">
        <v>132</v>
      </c>
      <c r="E9" s="122" t="s">
        <v>22</v>
      </c>
      <c r="F9" s="122" t="s">
        <v>133</v>
      </c>
      <c r="J9" s="1" t="s">
        <v>135</v>
      </c>
      <c r="K9" s="1" t="s">
        <v>136</v>
      </c>
      <c r="L9" s="1" t="s">
        <v>137</v>
      </c>
    </row>
    <row r="10" customFormat="false" ht="12.8" hidden="false" customHeight="false" outlineLevel="0" collapsed="false">
      <c r="A10" s="1" t="s">
        <v>142</v>
      </c>
      <c r="B10" s="119" t="n">
        <v>4</v>
      </c>
      <c r="C10" s="122" t="n">
        <v>3</v>
      </c>
      <c r="D10" s="122" t="n">
        <v>3.0556</v>
      </c>
      <c r="E10" s="122" t="n">
        <v>20</v>
      </c>
      <c r="F10" s="122" t="n">
        <f aca="false">D10*1000</f>
        <v>3055.6</v>
      </c>
      <c r="H10" s="1" t="s">
        <v>139</v>
      </c>
      <c r="I10" s="1" t="n">
        <f aca="false">(7-4)/((J10-1500)/3-(K10-1500)/3)</f>
        <v>-0.017428350116189</v>
      </c>
      <c r="J10" s="1" t="n">
        <f aca="false">F11</f>
        <v>2539.2</v>
      </c>
      <c r="K10" s="1" t="n">
        <f aca="false">F10</f>
        <v>3055.6</v>
      </c>
      <c r="L10" s="1" t="n">
        <v>2539</v>
      </c>
    </row>
    <row r="11" customFormat="false" ht="12.8" hidden="false" customHeight="false" outlineLevel="0" collapsed="false">
      <c r="A11" s="1" t="s">
        <v>142</v>
      </c>
      <c r="B11" s="122" t="n">
        <v>7.02</v>
      </c>
      <c r="C11" s="122" t="n">
        <v>3</v>
      </c>
      <c r="D11" s="122" t="n">
        <v>2.5392</v>
      </c>
      <c r="E11" s="122" t="n">
        <v>20</v>
      </c>
      <c r="F11" s="122" t="n">
        <f aca="false">D11*1000</f>
        <v>2539.2</v>
      </c>
      <c r="H11" s="1" t="s">
        <v>140</v>
      </c>
      <c r="I11" s="116" t="n">
        <f aca="false">7 - I10*(J10-1500)/3</f>
        <v>13.0371804802479</v>
      </c>
    </row>
    <row r="12" customFormat="false" ht="12.8" hidden="false" customHeight="false" outlineLevel="0" collapsed="false">
      <c r="D12" s="122" t="n">
        <v>1.774</v>
      </c>
      <c r="E12" s="122" t="n">
        <v>20</v>
      </c>
      <c r="H12" s="1" t="s">
        <v>141</v>
      </c>
      <c r="I12" s="1" t="n">
        <f aca="false">I10*(L10-1500)/3+I11</f>
        <v>7.00116189000775</v>
      </c>
    </row>
    <row r="16" customFormat="false" ht="12.8" hidden="false" customHeight="false" outlineLevel="0" collapsed="false">
      <c r="H16" s="1" t="s">
        <v>143</v>
      </c>
      <c r="I16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LibreOffice/24.8.4.2$Windows_X86_64 LibreOffice_project/bb3cfa12c7b1bf994ecc5649a80400d06cd71002</Application>
  <AppVersion>15.0000</AppVersion>
  <Company>-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2004-07-05T15:21:10Z</dcterms:created>
  <dc:creator>Matthias Birkicht</dc:creator>
  <dc:description/>
  <dc:language>de-DE</dc:language>
  <cp:lastModifiedBy/>
  <dcterms:modified xsi:type="dcterms:W3CDTF">2025-01-25T12:07:52Z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