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f24c0f25001712a2/Dokumente/Virginia/Studium/Master/Semester2/IntelligenteRobotik/"/>
    </mc:Choice>
  </mc:AlternateContent>
  <xr:revisionPtr revIDLastSave="177" documentId="11_21BD0A0794540E6F3C884F0C7348F27A60DB3B9F" xr6:coauthVersionLast="47" xr6:coauthVersionMax="47" xr10:uidLastSave="{84D13D51-B3F9-47E2-A433-348F8E099828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78EfuRrM3fW6ITa0V3zA3DaQNo+xT8IWWET+o4jVCX0="/>
    </ext>
  </extLst>
</workbook>
</file>

<file path=xl/calcChain.xml><?xml version="1.0" encoding="utf-8"?>
<calcChain xmlns="http://schemas.openxmlformats.org/spreadsheetml/2006/main">
  <c r="F62" i="1" l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</calcChain>
</file>

<file path=xl/sharedStrings.xml><?xml version="1.0" encoding="utf-8"?>
<sst xmlns="http://schemas.openxmlformats.org/spreadsheetml/2006/main" count="108" uniqueCount="20">
  <si>
    <t>Map 1 (6*6):</t>
  </si>
  <si>
    <t>Algorithmus</t>
  </si>
  <si>
    <t>Durchschnittliche Python-Laufzeit
in Millisekunden</t>
  </si>
  <si>
    <t>Durchschnittliche Python-Speichernutzung
in MB</t>
  </si>
  <si>
    <t>Durchschnittliche Java-Laufzeit
in Millisekunden</t>
  </si>
  <si>
    <t>Durchschnittliche Java-Speichernutzung
in MB</t>
  </si>
  <si>
    <t>Durchschnittliche C++-Laufzeit
in Millisekunden</t>
  </si>
  <si>
    <t>Durchschnittliche C++-Speichernutzung
in MB</t>
  </si>
  <si>
    <t>Brushfire</t>
  </si>
  <si>
    <t>Wavefront</t>
  </si>
  <si>
    <t>A* mit Manhattan-Distanz</t>
  </si>
  <si>
    <t>A* mit Airplane-Distanz</t>
  </si>
  <si>
    <t>Map 2 (6*6):</t>
  </si>
  <si>
    <t>Map 3 (12*12):</t>
  </si>
  <si>
    <t>Map 4 (12*12):</t>
  </si>
  <si>
    <t>Map 5 (24*24):</t>
  </si>
  <si>
    <t>Map 6 (24*24):</t>
  </si>
  <si>
    <t>Map 7 (48*48):</t>
  </si>
  <si>
    <t>Map 8 (48*48):</t>
  </si>
  <si>
    <t>Map 9 (96*96):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</si>
</sst>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164" fontId="1" fillId="0" borderId="0" xfId="0" applyNumberFormat="1" applyFont="1"/>
  </cellXfs>
  <cellStyles count="1">
    <cellStyle name="Standard" xfId="0" builtinId="0"/>
  </cellStyles>
  <dxfs count="27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</dxfs>
  <tableStyles count="9">
    <tableStyle name="Tabelle1-style" pivot="0" count="3" xr9:uid="{00000000-0011-0000-FFFF-FFFF00000000}">
      <tableStyleElement type="headerRow" dxfId="26"/>
      <tableStyleElement type="firstRowStripe" dxfId="25"/>
      <tableStyleElement type="secondRowStripe" dxfId="24"/>
    </tableStyle>
    <tableStyle name="Tabelle1-style 2" pivot="0" count="3" xr9:uid="{00000000-0011-0000-FFFF-FFFF01000000}">
      <tableStyleElement type="headerRow" dxfId="23"/>
      <tableStyleElement type="firstRowStripe" dxfId="22"/>
      <tableStyleElement type="secondRowStripe" dxfId="21"/>
    </tableStyle>
    <tableStyle name="Tabelle1-style 3" pivot="0" count="3" xr9:uid="{00000000-0011-0000-FFFF-FFFF02000000}">
      <tableStyleElement type="headerRow" dxfId="20"/>
      <tableStyleElement type="firstRowStripe" dxfId="19"/>
      <tableStyleElement type="secondRowStripe" dxfId="18"/>
    </tableStyle>
    <tableStyle name="Tabelle1-style 4" pivot="0" count="3" xr9:uid="{00000000-0011-0000-FFFF-FFFF03000000}">
      <tableStyleElement type="headerRow" dxfId="17"/>
      <tableStyleElement type="firstRowStripe" dxfId="16"/>
      <tableStyleElement type="secondRowStripe" dxfId="15"/>
    </tableStyle>
    <tableStyle name="Tabelle1-style 5" pivot="0" count="3" xr9:uid="{00000000-0011-0000-FFFF-FFFF04000000}">
      <tableStyleElement type="headerRow" dxfId="14"/>
      <tableStyleElement type="firstRowStripe" dxfId="13"/>
      <tableStyleElement type="secondRowStripe" dxfId="12"/>
    </tableStyle>
    <tableStyle name="Tabelle1-style 6" pivot="0" count="3" xr9:uid="{00000000-0011-0000-FFFF-FFFF05000000}">
      <tableStyleElement type="headerRow" dxfId="11"/>
      <tableStyleElement type="firstRowStripe" dxfId="10"/>
      <tableStyleElement type="secondRowStripe" dxfId="9"/>
    </tableStyle>
    <tableStyle name="Tabelle1-style 7" pivot="0" count="3" xr9:uid="{00000000-0011-0000-FFFF-FFFF06000000}">
      <tableStyleElement type="headerRow" dxfId="8"/>
      <tableStyleElement type="firstRowStripe" dxfId="7"/>
      <tableStyleElement type="secondRowStripe" dxfId="6"/>
    </tableStyle>
    <tableStyle name="Tabelle1-style 8" pivot="0" count="3" xr9:uid="{00000000-0011-0000-FFFF-FFFF07000000}">
      <tableStyleElement type="headerRow" dxfId="5"/>
      <tableStyleElement type="firstRowStripe" dxfId="4"/>
      <tableStyleElement type="secondRowStripe" dxfId="3"/>
    </tableStyle>
    <tableStyle name="Tabelle1-style 9" pivot="0" count="3" xr9:uid="{00000000-0011-0000-FFFF-FFFF08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Brushfire-Laufzeit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(Tabelle1!$C$3,Tabelle1!$C$10,Tabelle1!$C$17,Tabelle1!$C$24,Tabelle1!$C$31,Tabelle1!$C$38,Tabelle1!$C$45,Tabelle1!$C$52,Tabelle1!$C$59)</c:f>
              <c:numCache>
                <c:formatCode>0.00000</c:formatCode>
                <c:ptCount val="9"/>
                <c:pt idx="0">
                  <c:v>0.11081999999999999</c:v>
                </c:pt>
                <c:pt idx="1">
                  <c:v>0.11091999999999999</c:v>
                </c:pt>
                <c:pt idx="2">
                  <c:v>0.39581</c:v>
                </c:pt>
                <c:pt idx="3">
                  <c:v>0.41586999999999996</c:v>
                </c:pt>
                <c:pt idx="4">
                  <c:v>1.34175</c:v>
                </c:pt>
                <c:pt idx="5">
                  <c:v>1.32335</c:v>
                </c:pt>
                <c:pt idx="6">
                  <c:v>5.1890300000000007</c:v>
                </c:pt>
                <c:pt idx="7">
                  <c:v>5.3470700000000004</c:v>
                </c:pt>
                <c:pt idx="8">
                  <c:v>20.719339999999999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9-4AE9-81A3-2600B77D3308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(Tabelle1!$E$3,Tabelle1!$E$10,Tabelle1!$E$17,Tabelle1!$E$24,Tabelle1!$E$31,Tabelle1!$E$38,Tabelle1!$E$45,Tabelle1!$E$52,Tabelle1!$E$59)</c:f>
              <c:numCache>
                <c:formatCode>0.00000</c:formatCode>
                <c:ptCount val="9"/>
                <c:pt idx="0">
                  <c:v>4.3679999999999948E-2</c:v>
                </c:pt>
                <c:pt idx="1">
                  <c:v>5.2659999999999943E-2</c:v>
                </c:pt>
                <c:pt idx="2">
                  <c:v>0.14954999999999957</c:v>
                </c:pt>
                <c:pt idx="3">
                  <c:v>0.13591999999999949</c:v>
                </c:pt>
                <c:pt idx="4">
                  <c:v>0.46569999999999923</c:v>
                </c:pt>
                <c:pt idx="5">
                  <c:v>0.43774999999999953</c:v>
                </c:pt>
                <c:pt idx="6">
                  <c:v>1.3054199999999969</c:v>
                </c:pt>
                <c:pt idx="7">
                  <c:v>1.2510699999999939</c:v>
                </c:pt>
                <c:pt idx="8">
                  <c:v>3.971639999999995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9-4AE9-81A3-2600B77D3308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(Tabelle1!$G$3,Tabelle1!$G$10,Tabelle1!$G$17,Tabelle1!$G$24,Tabelle1!$G$31,Tabelle1!$G$38,Tabelle1!$G$45,Tabelle1!$G$52,Tabelle1!$G$59)</c:f>
              <c:numCache>
                <c:formatCode>0.00000</c:formatCode>
                <c:ptCount val="9"/>
                <c:pt idx="0">
                  <c:v>9.5999999999999992E-3</c:v>
                </c:pt>
                <c:pt idx="1">
                  <c:v>1.01E-2</c:v>
                </c:pt>
                <c:pt idx="2">
                  <c:v>2.0299999999999999E-2</c:v>
                </c:pt>
                <c:pt idx="3">
                  <c:v>1.8499999999999999E-2</c:v>
                </c:pt>
                <c:pt idx="4">
                  <c:v>5.8799999999999998E-2</c:v>
                </c:pt>
                <c:pt idx="5">
                  <c:v>4.2200000000000001E-2</c:v>
                </c:pt>
                <c:pt idx="6">
                  <c:v>0.2248</c:v>
                </c:pt>
                <c:pt idx="7">
                  <c:v>0.22650000000000001</c:v>
                </c:pt>
                <c:pt idx="8">
                  <c:v>0.91979999999999995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9-4AE9-81A3-2600B77D3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21983"/>
        <c:axId val="1278930367"/>
      </c:lineChart>
      <c:catAx>
        <c:axId val="12858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8930367"/>
        <c:crosses val="autoZero"/>
        <c:auto val="1"/>
        <c:lblAlgn val="ctr"/>
        <c:lblOffset val="100"/>
        <c:noMultiLvlLbl val="0"/>
      </c:catAx>
      <c:valAx>
        <c:axId val="1278930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58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Python-Speichernutzung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Brushfire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(Tabelle1!$D$3,Tabelle1!$D$10,Tabelle1!$D$17,Tabelle1!$D$24,Tabelle1!$D$31,Tabelle1!$D$38,Tabelle1!$D$45,Tabelle1!$D$52,Tabelle1!$D$59)</c:f>
              <c:numCache>
                <c:formatCode>0.00000</c:formatCode>
                <c:ptCount val="9"/>
                <c:pt idx="0">
                  <c:v>2.3919999999999996E-3</c:v>
                </c:pt>
                <c:pt idx="1">
                  <c:v>2.3919999999999996E-3</c:v>
                </c:pt>
                <c:pt idx="2">
                  <c:v>4.3839999999999999E-3</c:v>
                </c:pt>
                <c:pt idx="3">
                  <c:v>5.5839999999999996E-3</c:v>
                </c:pt>
                <c:pt idx="4">
                  <c:v>1.2080000000000002E-2</c:v>
                </c:pt>
                <c:pt idx="5">
                  <c:v>2.1663999999999996E-2</c:v>
                </c:pt>
                <c:pt idx="6">
                  <c:v>2.6783999999999995E-2</c:v>
                </c:pt>
                <c:pt idx="7">
                  <c:v>5.131200000000001E-2</c:v>
                </c:pt>
                <c:pt idx="8">
                  <c:v>9.5568E-2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9-42D5-BAB2-D3C83375112E}"/>
            </c:ext>
          </c:extLst>
        </c:ser>
        <c:ser>
          <c:idx val="1"/>
          <c:order val="1"/>
          <c:tx>
            <c:v>Wavefront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(Tabelle1!$D$4,Tabelle1!$D$11,Tabelle1!$D$18,Tabelle1!$D$25,Tabelle1!$D$32,Tabelle1!$D$39,Tabelle1!$D$46,Tabelle1!$D$53,Tabelle1!$D$60)</c:f>
              <c:numCache>
                <c:formatCode>0.00000</c:formatCode>
                <c:ptCount val="9"/>
                <c:pt idx="0">
                  <c:v>1.952E-3</c:v>
                </c:pt>
                <c:pt idx="1">
                  <c:v>1.952E-3</c:v>
                </c:pt>
                <c:pt idx="2">
                  <c:v>8.6959999999999989E-3</c:v>
                </c:pt>
                <c:pt idx="3">
                  <c:v>1.1623999999999999E-2</c:v>
                </c:pt>
                <c:pt idx="4">
                  <c:v>6.7528000000000019E-2</c:v>
                </c:pt>
                <c:pt idx="5">
                  <c:v>3.4408000000000001E-2</c:v>
                </c:pt>
                <c:pt idx="6">
                  <c:v>0.23257599999999995</c:v>
                </c:pt>
                <c:pt idx="7">
                  <c:v>0.27771200000000007</c:v>
                </c:pt>
                <c:pt idx="8">
                  <c:v>1.15564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9-42D5-BAB2-D3C83375112E}"/>
            </c:ext>
          </c:extLst>
        </c:ser>
        <c:ser>
          <c:idx val="2"/>
          <c:order val="2"/>
          <c:tx>
            <c:v>A* (Manhattan)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(Tabelle1!$D$5,Tabelle1!$D$12,Tabelle1!$D$19,Tabelle1!$D$26,Tabelle1!$D$33,Tabelle1!$D$40,Tabelle1!$D$47,Tabelle1!$D$54,Tabelle1!$D$61)</c:f>
              <c:numCache>
                <c:formatCode>0.00000</c:formatCode>
                <c:ptCount val="9"/>
                <c:pt idx="0">
                  <c:v>1.3120000000000002E-3</c:v>
                </c:pt>
                <c:pt idx="1">
                  <c:v>1.8880000000000004E-3</c:v>
                </c:pt>
                <c:pt idx="2">
                  <c:v>6.6719999999999991E-3</c:v>
                </c:pt>
                <c:pt idx="3">
                  <c:v>1.6639999999999995E-2</c:v>
                </c:pt>
                <c:pt idx="4">
                  <c:v>6.0024000000000001E-2</c:v>
                </c:pt>
                <c:pt idx="5">
                  <c:v>5.2239999999999995E-2</c:v>
                </c:pt>
                <c:pt idx="6">
                  <c:v>0.21818399999999999</c:v>
                </c:pt>
                <c:pt idx="7">
                  <c:v>0.41659199999999996</c:v>
                </c:pt>
                <c:pt idx="8">
                  <c:v>1.1118079999999999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9-42D5-BAB2-D3C83375112E}"/>
            </c:ext>
          </c:extLst>
        </c:ser>
        <c:ser>
          <c:idx val="3"/>
          <c:order val="3"/>
          <c:tx>
            <c:v>A* (Airplane)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(Tabelle1!$D$6,Tabelle1!$D$13,Tabelle1!$D$20,Tabelle1!$D$27,Tabelle1!$D$34,Tabelle1!$D$41,Tabelle1!$D$48,Tabelle1!$D$55,Tabelle1!$D$62)</c:f>
              <c:numCache>
                <c:formatCode>0.00000</c:formatCode>
                <c:ptCount val="9"/>
                <c:pt idx="0">
                  <c:v>1.3360000000000002E-3</c:v>
                </c:pt>
                <c:pt idx="1">
                  <c:v>1.9120000000000001E-3</c:v>
                </c:pt>
                <c:pt idx="2">
                  <c:v>7.4799999999999988E-3</c:v>
                </c:pt>
                <c:pt idx="3">
                  <c:v>1.704E-2</c:v>
                </c:pt>
                <c:pt idx="4">
                  <c:v>6.2311999999999999E-2</c:v>
                </c:pt>
                <c:pt idx="5">
                  <c:v>5.2959999999999993E-2</c:v>
                </c:pt>
                <c:pt idx="6">
                  <c:v>0.25542400000000004</c:v>
                </c:pt>
                <c:pt idx="7">
                  <c:v>0.41688000000000003</c:v>
                </c:pt>
                <c:pt idx="8">
                  <c:v>1.6700960000000005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9-42D5-BAB2-D3C833751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053423"/>
        <c:axId val="662053903"/>
      </c:lineChart>
      <c:catAx>
        <c:axId val="66205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2053903"/>
        <c:crosses val="autoZero"/>
        <c:auto val="1"/>
        <c:lblAlgn val="ctr"/>
        <c:lblOffset val="100"/>
        <c:noMultiLvlLbl val="0"/>
      </c:catAx>
      <c:valAx>
        <c:axId val="662053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 in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205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Java-Laufzeit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Brushfire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(Tabelle1!$E$3,Tabelle1!$E$10,Tabelle1!$E$17,Tabelle1!$E$24,Tabelle1!$E$31,Tabelle1!$E$38,Tabelle1!$E$45,Tabelle1!$E$52,Tabelle1!$E$59)</c:f>
              <c:numCache>
                <c:formatCode>0.00000</c:formatCode>
                <c:ptCount val="9"/>
                <c:pt idx="0">
                  <c:v>4.3679999999999948E-2</c:v>
                </c:pt>
                <c:pt idx="1">
                  <c:v>5.2659999999999943E-2</c:v>
                </c:pt>
                <c:pt idx="2">
                  <c:v>0.14954999999999957</c:v>
                </c:pt>
                <c:pt idx="3">
                  <c:v>0.13591999999999949</c:v>
                </c:pt>
                <c:pt idx="4">
                  <c:v>0.46569999999999923</c:v>
                </c:pt>
                <c:pt idx="5">
                  <c:v>0.43774999999999953</c:v>
                </c:pt>
                <c:pt idx="6">
                  <c:v>1.3054199999999969</c:v>
                </c:pt>
                <c:pt idx="7">
                  <c:v>1.2510699999999939</c:v>
                </c:pt>
                <c:pt idx="8">
                  <c:v>3.971639999999995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1-4C4C-A8E4-36E98A5358B1}"/>
            </c:ext>
          </c:extLst>
        </c:ser>
        <c:ser>
          <c:idx val="1"/>
          <c:order val="1"/>
          <c:tx>
            <c:v>Wavefront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(Tabelle1!$E$4,Tabelle1!$E$11,Tabelle1!$E$18,Tabelle1!$E$25,Tabelle1!$E$32,Tabelle1!$E$39,Tabelle1!$E$46,Tabelle1!$E$53,Tabelle1!$E$60)</c:f>
              <c:numCache>
                <c:formatCode>0.00000</c:formatCode>
                <c:ptCount val="9"/>
                <c:pt idx="0">
                  <c:v>4.8839499999999969</c:v>
                </c:pt>
                <c:pt idx="1">
                  <c:v>5.445170000000001</c:v>
                </c:pt>
                <c:pt idx="2">
                  <c:v>5.6571800000000003</c:v>
                </c:pt>
                <c:pt idx="3">
                  <c:v>5.7007399000000003</c:v>
                </c:pt>
                <c:pt idx="4">
                  <c:v>6.3959800000000007</c:v>
                </c:pt>
                <c:pt idx="5">
                  <c:v>6.4280901000000004</c:v>
                </c:pt>
                <c:pt idx="6">
                  <c:v>9.4912599999999987</c:v>
                </c:pt>
                <c:pt idx="7">
                  <c:v>8.8514699999999991</c:v>
                </c:pt>
                <c:pt idx="8">
                  <c:v>17.43844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1-4C4C-A8E4-36E98A5358B1}"/>
            </c:ext>
          </c:extLst>
        </c:ser>
        <c:ser>
          <c:idx val="2"/>
          <c:order val="2"/>
          <c:tx>
            <c:v>A* (Manhattan)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(Tabelle1!$E$5,Tabelle1!$E$12,Tabelle1!$E$19,Tabelle1!$E$26,Tabelle1!$E$33,Tabelle1!$E$40,Tabelle1!$E$47,Tabelle1!$E$54,Tabelle1!$E$61)</c:f>
              <c:numCache>
                <c:formatCode>0.00000</c:formatCode>
                <c:ptCount val="9"/>
                <c:pt idx="0">
                  <c:v>10.372449799999995</c:v>
                </c:pt>
                <c:pt idx="1">
                  <c:v>10.801360000000001</c:v>
                </c:pt>
                <c:pt idx="2">
                  <c:v>10.211770000000001</c:v>
                </c:pt>
                <c:pt idx="3">
                  <c:v>11.652460000000001</c:v>
                </c:pt>
                <c:pt idx="4">
                  <c:v>12.943640000000002</c:v>
                </c:pt>
                <c:pt idx="5">
                  <c:v>12.3793398</c:v>
                </c:pt>
                <c:pt idx="6">
                  <c:v>16.870560000000001</c:v>
                </c:pt>
                <c:pt idx="7">
                  <c:v>20.032409999999999</c:v>
                </c:pt>
                <c:pt idx="8">
                  <c:v>30.922239999999999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1-4C4C-A8E4-36E98A5358B1}"/>
            </c:ext>
          </c:extLst>
        </c:ser>
        <c:ser>
          <c:idx val="3"/>
          <c:order val="3"/>
          <c:tx>
            <c:v>A* (Airplane)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(Tabelle1!$E$6,Tabelle1!$E$13,Tabelle1!$E$20,Tabelle1!$E$27,Tabelle1!$E$34,Tabelle1!$E$41,Tabelle1!$E$48,Tabelle1!$E$55,Tabelle1!$E$62)</c:f>
              <c:numCache>
                <c:formatCode>0.00000</c:formatCode>
                <c:ptCount val="9"/>
                <c:pt idx="0">
                  <c:v>9.7464099999999654</c:v>
                </c:pt>
                <c:pt idx="1">
                  <c:v>10.79749</c:v>
                </c:pt>
                <c:pt idx="2">
                  <c:v>10.67407</c:v>
                </c:pt>
                <c:pt idx="3">
                  <c:v>10.932910000000001</c:v>
                </c:pt>
                <c:pt idx="4">
                  <c:v>12.35525</c:v>
                </c:pt>
                <c:pt idx="5">
                  <c:v>12.470700000000003</c:v>
                </c:pt>
                <c:pt idx="6">
                  <c:v>17.132219999999997</c:v>
                </c:pt>
                <c:pt idx="7">
                  <c:v>20.524809999999999</c:v>
                </c:pt>
                <c:pt idx="8">
                  <c:v>33.608510000000003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1-4C4C-A8E4-36E98A535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485647"/>
        <c:axId val="624483727"/>
      </c:lineChart>
      <c:catAx>
        <c:axId val="62448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483727"/>
        <c:crosses val="autoZero"/>
        <c:auto val="1"/>
        <c:lblAlgn val="ctr"/>
        <c:lblOffset val="100"/>
        <c:noMultiLvlLbl val="0"/>
      </c:catAx>
      <c:valAx>
        <c:axId val="624483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48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Java-Speichernutzung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Brushfire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(Tabelle1!$F$3,Tabelle1!$F$10,Tabelle1!$F$17,Tabelle1!$F$24,Tabelle1!$F$31,Tabelle1!$F$38,Tabelle1!$F$45,Tabelle1!$F$52,Tabelle1!$F$59)</c:f>
              <c:numCache>
                <c:formatCode>0.00000</c:formatCode>
                <c:ptCount val="9"/>
                <c:pt idx="0">
                  <c:v>4.0786743164062502E-3</c:v>
                </c:pt>
                <c:pt idx="1">
                  <c:v>4.3487548828125E-3</c:v>
                </c:pt>
                <c:pt idx="2">
                  <c:v>6.4712524414062503E-3</c:v>
                </c:pt>
                <c:pt idx="3">
                  <c:v>6.7306518554687503E-3</c:v>
                </c:pt>
                <c:pt idx="4">
                  <c:v>1.2193298339843714E-2</c:v>
                </c:pt>
                <c:pt idx="5">
                  <c:v>1.249389648437497E-2</c:v>
                </c:pt>
                <c:pt idx="6">
                  <c:v>1.6688537597656199E-2</c:v>
                </c:pt>
                <c:pt idx="7">
                  <c:v>1.8003845214843696E-2</c:v>
                </c:pt>
                <c:pt idx="8">
                  <c:v>2.1299743652343696E-2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7-45BB-B7BA-C498A042FA1D}"/>
            </c:ext>
          </c:extLst>
        </c:ser>
        <c:ser>
          <c:idx val="1"/>
          <c:order val="1"/>
          <c:tx>
            <c:v>Wavefront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(Tabelle1!$F$4,Tabelle1!$F$11,Tabelle1!$F$18,Tabelle1!$F$25,Tabelle1!$F$32,Tabelle1!$F$39,Tabelle1!$F$46,Tabelle1!$F$53,Tabelle1!$F$60)</c:f>
              <c:numCache>
                <c:formatCode>0.00000</c:formatCode>
                <c:ptCount val="9"/>
                <c:pt idx="0">
                  <c:v>0.15413360595703091</c:v>
                </c:pt>
                <c:pt idx="1">
                  <c:v>0.1516471862792966</c:v>
                </c:pt>
                <c:pt idx="2">
                  <c:v>0.15049285888671851</c:v>
                </c:pt>
                <c:pt idx="3">
                  <c:v>0.16116561889648412</c:v>
                </c:pt>
                <c:pt idx="4">
                  <c:v>0.19065246582031203</c:v>
                </c:pt>
                <c:pt idx="5">
                  <c:v>0.18953552246093713</c:v>
                </c:pt>
                <c:pt idx="6">
                  <c:v>0.20726699829101553</c:v>
                </c:pt>
                <c:pt idx="7">
                  <c:v>0.21011352539062469</c:v>
                </c:pt>
                <c:pt idx="8">
                  <c:v>0.22365036010742151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7-45BB-B7BA-C498A042FA1D}"/>
            </c:ext>
          </c:extLst>
        </c:ser>
        <c:ser>
          <c:idx val="2"/>
          <c:order val="2"/>
          <c:tx>
            <c:v>A* (Manhattan)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(Tabelle1!$F$5,Tabelle1!$F$12,Tabelle1!$F$19,Tabelle1!$F$26,Tabelle1!$F$33,Tabelle1!$F$40,Tabelle1!$F$47,Tabelle1!$F$54,Tabelle1!$F$61)</c:f>
              <c:numCache>
                <c:formatCode>0.00000</c:formatCode>
                <c:ptCount val="9"/>
                <c:pt idx="0">
                  <c:v>0.25162506103515592</c:v>
                </c:pt>
                <c:pt idx="1">
                  <c:v>0.25201263427734322</c:v>
                </c:pt>
                <c:pt idx="2">
                  <c:v>0.25595626831054658</c:v>
                </c:pt>
                <c:pt idx="3">
                  <c:v>0.30153427124023374</c:v>
                </c:pt>
                <c:pt idx="4">
                  <c:v>0.30902938842773364</c:v>
                </c:pt>
                <c:pt idx="5">
                  <c:v>0.30802307128906203</c:v>
                </c:pt>
                <c:pt idx="6">
                  <c:v>0.34588470458984288</c:v>
                </c:pt>
                <c:pt idx="7">
                  <c:v>0.35881500244140574</c:v>
                </c:pt>
                <c:pt idx="8">
                  <c:v>4.3841308593749986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7-45BB-B7BA-C498A042FA1D}"/>
            </c:ext>
          </c:extLst>
        </c:ser>
        <c:ser>
          <c:idx val="3"/>
          <c:order val="3"/>
          <c:tx>
            <c:v>A* (Airplane)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(Tabelle1!$F$6,Tabelle1!$F$13,Tabelle1!$F$20,Tabelle1!$F$27,Tabelle1!$F$34,Tabelle1!$F$41,Tabelle1!$F$48,Tabelle1!$F$55,Tabelle1!$F$62)</c:f>
              <c:numCache>
                <c:formatCode>0.00000</c:formatCode>
                <c:ptCount val="9"/>
                <c:pt idx="0">
                  <c:v>0.25247497558593701</c:v>
                </c:pt>
                <c:pt idx="1">
                  <c:v>0.2529823303222648</c:v>
                </c:pt>
                <c:pt idx="2">
                  <c:v>0.2636238098144531</c:v>
                </c:pt>
                <c:pt idx="3">
                  <c:v>0.29808502197265607</c:v>
                </c:pt>
                <c:pt idx="4">
                  <c:v>0.30368957519531203</c:v>
                </c:pt>
                <c:pt idx="5">
                  <c:v>0.30268020629882786</c:v>
                </c:pt>
                <c:pt idx="6">
                  <c:v>0.34609680175781199</c:v>
                </c:pt>
                <c:pt idx="7">
                  <c:v>0.34831619262695268</c:v>
                </c:pt>
                <c:pt idx="8">
                  <c:v>4.382180786132805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17-45BB-B7BA-C498A042F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988575"/>
        <c:axId val="619119519"/>
      </c:lineChart>
      <c:catAx>
        <c:axId val="50198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119519"/>
        <c:crosses val="autoZero"/>
        <c:auto val="1"/>
        <c:lblAlgn val="ctr"/>
        <c:lblOffset val="100"/>
        <c:noMultiLvlLbl val="0"/>
      </c:catAx>
      <c:valAx>
        <c:axId val="619119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 in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98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C++-Laufzeit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Brushfire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(Tabelle1!$G$3,Tabelle1!$G$10,Tabelle1!$G$17,Tabelle1!$G$24,Tabelle1!$G$31,Tabelle1!$G$38,Tabelle1!$G$45,Tabelle1!$G$52,Tabelle1!$G$59)</c:f>
              <c:numCache>
                <c:formatCode>0.00000</c:formatCode>
                <c:ptCount val="9"/>
                <c:pt idx="0">
                  <c:v>9.5999999999999992E-3</c:v>
                </c:pt>
                <c:pt idx="1">
                  <c:v>1.01E-2</c:v>
                </c:pt>
                <c:pt idx="2">
                  <c:v>2.0299999999999999E-2</c:v>
                </c:pt>
                <c:pt idx="3">
                  <c:v>1.8499999999999999E-2</c:v>
                </c:pt>
                <c:pt idx="4">
                  <c:v>5.8799999999999998E-2</c:v>
                </c:pt>
                <c:pt idx="5">
                  <c:v>4.2200000000000001E-2</c:v>
                </c:pt>
                <c:pt idx="6">
                  <c:v>0.2248</c:v>
                </c:pt>
                <c:pt idx="7">
                  <c:v>0.22650000000000001</c:v>
                </c:pt>
                <c:pt idx="8">
                  <c:v>0.91979999999999995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5-4360-B3AD-B3BE73837A51}"/>
            </c:ext>
          </c:extLst>
        </c:ser>
        <c:ser>
          <c:idx val="1"/>
          <c:order val="1"/>
          <c:tx>
            <c:v>Wavefront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(Tabelle1!$G$4,Tabelle1!$G$11,Tabelle1!$G$18,Tabelle1!$G$25,Tabelle1!$G$32,Tabelle1!$G$39,Tabelle1!$G$46,Tabelle1!$G$53,Tabelle1!$G$60)</c:f>
              <c:numCache>
                <c:formatCode>0.00000</c:formatCode>
                <c:ptCount val="9"/>
                <c:pt idx="0">
                  <c:v>1.5699999999999999E-2</c:v>
                </c:pt>
                <c:pt idx="1">
                  <c:v>1.7600000000000001E-2</c:v>
                </c:pt>
                <c:pt idx="2">
                  <c:v>2.29E-2</c:v>
                </c:pt>
                <c:pt idx="3">
                  <c:v>3.09E-2</c:v>
                </c:pt>
                <c:pt idx="4">
                  <c:v>7.2599999999999998E-2</c:v>
                </c:pt>
                <c:pt idx="5">
                  <c:v>5.5800000000000002E-2</c:v>
                </c:pt>
                <c:pt idx="6">
                  <c:v>0.26019999999999999</c:v>
                </c:pt>
                <c:pt idx="7">
                  <c:v>0.25740000000000002</c:v>
                </c:pt>
                <c:pt idx="8">
                  <c:v>1.1039000000000001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5-4360-B3AD-B3BE73837A51}"/>
            </c:ext>
          </c:extLst>
        </c:ser>
        <c:ser>
          <c:idx val="2"/>
          <c:order val="2"/>
          <c:tx>
            <c:v>A* (Manhattan)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(Tabelle1!$G$5,Tabelle1!$G$12,Tabelle1!$G$19,Tabelle1!$G$26,Tabelle1!$G$33,Tabelle1!$G$40,Tabelle1!$G$47,Tabelle1!$G$54,Tabelle1!$G$61)</c:f>
              <c:numCache>
                <c:formatCode>0.00000</c:formatCode>
                <c:ptCount val="9"/>
                <c:pt idx="0">
                  <c:v>3.3599999999999998E-2</c:v>
                </c:pt>
                <c:pt idx="1">
                  <c:v>2.6800000000000001E-2</c:v>
                </c:pt>
                <c:pt idx="2">
                  <c:v>3.9800000000000002E-2</c:v>
                </c:pt>
                <c:pt idx="3">
                  <c:v>7.1199999999999999E-2</c:v>
                </c:pt>
                <c:pt idx="4">
                  <c:v>0.18279999999999999</c:v>
                </c:pt>
                <c:pt idx="5">
                  <c:v>0.17100000000000001</c:v>
                </c:pt>
                <c:pt idx="6">
                  <c:v>0.71809999999999996</c:v>
                </c:pt>
                <c:pt idx="7">
                  <c:v>1.0254000000000001</c:v>
                </c:pt>
                <c:pt idx="8">
                  <c:v>3.7593999999999999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5-4360-B3AD-B3BE73837A51}"/>
            </c:ext>
          </c:extLst>
        </c:ser>
        <c:ser>
          <c:idx val="3"/>
          <c:order val="3"/>
          <c:tx>
            <c:v>A* (Airplane)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(Tabelle1!$G$6,Tabelle1!$G$13,Tabelle1!$G$20,Tabelle1!$G$27,Tabelle1!$G$34,Tabelle1!$G$41,Tabelle1!$G$48,Tabelle1!$G$55,Tabelle1!$G$62)</c:f>
              <c:numCache>
                <c:formatCode>0.00000</c:formatCode>
                <c:ptCount val="9"/>
                <c:pt idx="0">
                  <c:v>1.55E-2</c:v>
                </c:pt>
                <c:pt idx="1">
                  <c:v>2.07E-2</c:v>
                </c:pt>
                <c:pt idx="2">
                  <c:v>2.6499999999999999E-2</c:v>
                </c:pt>
                <c:pt idx="3">
                  <c:v>5.0700000000000002E-2</c:v>
                </c:pt>
                <c:pt idx="4">
                  <c:v>0.14460000000000001</c:v>
                </c:pt>
                <c:pt idx="5">
                  <c:v>0.1143</c:v>
                </c:pt>
                <c:pt idx="6">
                  <c:v>0.41410000000000002</c:v>
                </c:pt>
                <c:pt idx="7">
                  <c:v>0.8266</c:v>
                </c:pt>
                <c:pt idx="8">
                  <c:v>3.2334999999999998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5-4360-B3AD-B3BE7383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489023"/>
        <c:axId val="355494303"/>
      </c:lineChart>
      <c:catAx>
        <c:axId val="35548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494303"/>
        <c:crosses val="autoZero"/>
        <c:auto val="1"/>
        <c:lblAlgn val="ctr"/>
        <c:lblOffset val="100"/>
        <c:noMultiLvlLbl val="0"/>
      </c:catAx>
      <c:valAx>
        <c:axId val="355494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48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C++-Speichernutzung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Brushfire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(Tabelle1!$H$3,Tabelle1!$H$10,Tabelle1!$H$17,Tabelle1!$H$24,Tabelle1!$H$31,Tabelle1!$H$38,Tabelle1!$H$45,Tabelle1!$H$52,Tabelle1!$H$59)</c:f>
              <c:numCache>
                <c:formatCode>0.00000</c:formatCode>
                <c:ptCount val="9"/>
                <c:pt idx="0">
                  <c:v>7.4200000000000002E-2</c:v>
                </c:pt>
                <c:pt idx="1">
                  <c:v>7.4200000000000002E-2</c:v>
                </c:pt>
                <c:pt idx="2">
                  <c:v>7.4200000000000002E-2</c:v>
                </c:pt>
                <c:pt idx="3">
                  <c:v>7.4200000000000002E-2</c:v>
                </c:pt>
                <c:pt idx="4">
                  <c:v>7.8700000000000006E-2</c:v>
                </c:pt>
                <c:pt idx="5">
                  <c:v>8.1199999999999994E-2</c:v>
                </c:pt>
                <c:pt idx="6">
                  <c:v>8.5099999999999995E-2</c:v>
                </c:pt>
                <c:pt idx="7">
                  <c:v>8.5099999999999995E-2</c:v>
                </c:pt>
                <c:pt idx="8">
                  <c:v>0.124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D-4F5D-95D6-853709D684C4}"/>
            </c:ext>
          </c:extLst>
        </c:ser>
        <c:ser>
          <c:idx val="1"/>
          <c:order val="1"/>
          <c:tx>
            <c:v>Wavefront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(Tabelle1!$H$4,Tabelle1!$H$11,Tabelle1!$H$18,Tabelle1!$H$25,Tabelle1!$H$32,Tabelle1!$H$39,Tabelle1!$H$46,Tabelle1!$H$53,Tabelle1!$H$60)</c:f>
              <c:numCache>
                <c:formatCode>0.00000</c:formatCode>
                <c:ptCount val="9"/>
                <c:pt idx="0">
                  <c:v>2.7300000000000001E-2</c:v>
                </c:pt>
                <c:pt idx="1">
                  <c:v>2.7300000000000001E-2</c:v>
                </c:pt>
                <c:pt idx="2">
                  <c:v>2.7300000000000001E-2</c:v>
                </c:pt>
                <c:pt idx="3">
                  <c:v>2.7300000000000001E-2</c:v>
                </c:pt>
                <c:pt idx="4">
                  <c:v>3.5200000000000002E-2</c:v>
                </c:pt>
                <c:pt idx="5">
                  <c:v>3.44E-2</c:v>
                </c:pt>
                <c:pt idx="6">
                  <c:v>4.8399999999999999E-2</c:v>
                </c:pt>
                <c:pt idx="7">
                  <c:v>4.53E-2</c:v>
                </c:pt>
                <c:pt idx="8">
                  <c:v>0.1118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D-4F5D-95D6-853709D684C4}"/>
            </c:ext>
          </c:extLst>
        </c:ser>
        <c:ser>
          <c:idx val="2"/>
          <c:order val="2"/>
          <c:tx>
            <c:v>A* (Manhattan)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(Tabelle1!$H$5,Tabelle1!$H$12,Tabelle1!$H$19,Tabelle1!$H$26,Tabelle1!$H$33,Tabelle1!$H$40,Tabelle1!$H$47,Tabelle1!$H$54,Tabelle1!$H$61)</c:f>
              <c:numCache>
                <c:formatCode>0.00000</c:formatCode>
                <c:ptCount val="9"/>
                <c:pt idx="0">
                  <c:v>5.8599999999999999E-2</c:v>
                </c:pt>
                <c:pt idx="1">
                  <c:v>5.8599999999999999E-2</c:v>
                </c:pt>
                <c:pt idx="2">
                  <c:v>5.8599999999999999E-2</c:v>
                </c:pt>
                <c:pt idx="3">
                  <c:v>5.8599999999999999E-2</c:v>
                </c:pt>
                <c:pt idx="4">
                  <c:v>6.7400000000000002E-2</c:v>
                </c:pt>
                <c:pt idx="5">
                  <c:v>6.6400000000000001E-2</c:v>
                </c:pt>
                <c:pt idx="6">
                  <c:v>8.8300000000000003E-2</c:v>
                </c:pt>
                <c:pt idx="7">
                  <c:v>9.1399999999999995E-2</c:v>
                </c:pt>
                <c:pt idx="8">
                  <c:v>0.17580000000000001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D-4F5D-95D6-853709D684C4}"/>
            </c:ext>
          </c:extLst>
        </c:ser>
        <c:ser>
          <c:idx val="3"/>
          <c:order val="3"/>
          <c:tx>
            <c:v>A* (Airplane)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(Tabelle1!$H$6,Tabelle1!$H$13,Tabelle1!$H$20,Tabelle1!$H$27,Tabelle1!$H$34,Tabelle1!$H$41,Tabelle1!$H$48,Tabelle1!$H$55,Tabelle1!$H$62)</c:f>
              <c:numCache>
                <c:formatCode>General</c:formatCode>
                <c:ptCount val="9"/>
                <c:pt idx="0" formatCode="0.00000">
                  <c:v>2.3439999999999999E-2</c:v>
                </c:pt>
                <c:pt idx="1">
                  <c:v>2.3439999999999999E-2</c:v>
                </c:pt>
                <c:pt idx="2">
                  <c:v>2.3439999999999999E-2</c:v>
                </c:pt>
                <c:pt idx="3">
                  <c:v>2.3439999999999999E-2</c:v>
                </c:pt>
                <c:pt idx="4" formatCode="0.00000">
                  <c:v>3.3300000000000003E-2</c:v>
                </c:pt>
                <c:pt idx="5" formatCode="0.00000">
                  <c:v>3.1300000000000001E-2</c:v>
                </c:pt>
                <c:pt idx="6" formatCode="0.00000">
                  <c:v>5.5500000000000001E-2</c:v>
                </c:pt>
                <c:pt idx="7" formatCode="0.00000">
                  <c:v>5.7799999999999997E-2</c:v>
                </c:pt>
                <c:pt idx="8" formatCode="0.00000">
                  <c:v>0.16009999999999999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D-4F5D-95D6-853709D6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301647"/>
        <c:axId val="1632303087"/>
      </c:lineChart>
      <c:catAx>
        <c:axId val="163230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2303087"/>
        <c:crosses val="autoZero"/>
        <c:auto val="1"/>
        <c:lblAlgn val="ctr"/>
        <c:lblOffset val="100"/>
        <c:noMultiLvlLbl val="0"/>
      </c:catAx>
      <c:valAx>
        <c:axId val="1632303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 in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230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Brushfire-Speichernutzung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(Tabelle1!$D$3,Tabelle1!$D$10,Tabelle1!$D$17,Tabelle1!$D$24,Tabelle1!$D$31,Tabelle1!$D$38,Tabelle1!$D$45,Tabelle1!$D$52,Tabelle1!$D$59)</c:f>
              <c:numCache>
                <c:formatCode>0.00000</c:formatCode>
                <c:ptCount val="9"/>
                <c:pt idx="0">
                  <c:v>2.3919999999999996E-3</c:v>
                </c:pt>
                <c:pt idx="1">
                  <c:v>2.3919999999999996E-3</c:v>
                </c:pt>
                <c:pt idx="2">
                  <c:v>4.3839999999999999E-3</c:v>
                </c:pt>
                <c:pt idx="3">
                  <c:v>5.5839999999999996E-3</c:v>
                </c:pt>
                <c:pt idx="4">
                  <c:v>1.2080000000000002E-2</c:v>
                </c:pt>
                <c:pt idx="5">
                  <c:v>2.1663999999999996E-2</c:v>
                </c:pt>
                <c:pt idx="6">
                  <c:v>2.6783999999999995E-2</c:v>
                </c:pt>
                <c:pt idx="7">
                  <c:v>5.131200000000001E-2</c:v>
                </c:pt>
                <c:pt idx="8">
                  <c:v>9.5568E-2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C-445F-A4FD-92B1D7DB6CBF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(Tabelle1!$F$3,Tabelle1!$F$10,Tabelle1!$F$17,Tabelle1!$F$24,Tabelle1!$F$31,Tabelle1!$F$38,Tabelle1!$F$45,Tabelle1!$F$52,Tabelle1!$F$59)</c:f>
              <c:numCache>
                <c:formatCode>0.00000</c:formatCode>
                <c:ptCount val="9"/>
                <c:pt idx="0">
                  <c:v>4.0786743164062502E-3</c:v>
                </c:pt>
                <c:pt idx="1">
                  <c:v>4.3487548828125E-3</c:v>
                </c:pt>
                <c:pt idx="2">
                  <c:v>6.4712524414062503E-3</c:v>
                </c:pt>
                <c:pt idx="3">
                  <c:v>6.7306518554687503E-3</c:v>
                </c:pt>
                <c:pt idx="4">
                  <c:v>1.2193298339843714E-2</c:v>
                </c:pt>
                <c:pt idx="5">
                  <c:v>1.249389648437497E-2</c:v>
                </c:pt>
                <c:pt idx="6">
                  <c:v>1.6688537597656199E-2</c:v>
                </c:pt>
                <c:pt idx="7">
                  <c:v>1.8003845214843696E-2</c:v>
                </c:pt>
                <c:pt idx="8">
                  <c:v>2.1299743652343696E-2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C-445F-A4FD-92B1D7DB6CBF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(Tabelle1!$H$3,Tabelle1!$H$10,Tabelle1!$H$17,Tabelle1!$H$24,Tabelle1!$H$31,Tabelle1!$H$38,Tabelle1!$H$45,Tabelle1!$H$52,Tabelle1!$H$59)</c:f>
              <c:numCache>
                <c:formatCode>0.00000</c:formatCode>
                <c:ptCount val="9"/>
                <c:pt idx="0">
                  <c:v>7.4200000000000002E-2</c:v>
                </c:pt>
                <c:pt idx="1">
                  <c:v>7.4200000000000002E-2</c:v>
                </c:pt>
                <c:pt idx="2">
                  <c:v>7.4200000000000002E-2</c:v>
                </c:pt>
                <c:pt idx="3">
                  <c:v>7.4200000000000002E-2</c:v>
                </c:pt>
                <c:pt idx="4">
                  <c:v>7.8700000000000006E-2</c:v>
                </c:pt>
                <c:pt idx="5">
                  <c:v>8.1199999999999994E-2</c:v>
                </c:pt>
                <c:pt idx="6">
                  <c:v>8.5099999999999995E-2</c:v>
                </c:pt>
                <c:pt idx="7">
                  <c:v>8.5099999999999995E-2</c:v>
                </c:pt>
                <c:pt idx="8">
                  <c:v>0.124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C-445F-A4FD-92B1D7DB6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234511"/>
        <c:axId val="727235471"/>
      </c:lineChart>
      <c:catAx>
        <c:axId val="72723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235471"/>
        <c:crosses val="autoZero"/>
        <c:auto val="1"/>
        <c:lblAlgn val="ctr"/>
        <c:lblOffset val="100"/>
        <c:noMultiLvlLbl val="0"/>
      </c:catAx>
      <c:valAx>
        <c:axId val="727235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 in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23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Wavefront-Laufzeit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(Tabelle1!$C$4,Tabelle1!$C$11,Tabelle1!$C$18,Tabelle1!$C$25,Tabelle1!$C$32,Tabelle1!$C$39,Tabelle1!$C$46,Tabelle1!$C$53,Tabelle1!$C$60)</c:f>
              <c:numCache>
                <c:formatCode>0.00000</c:formatCode>
                <c:ptCount val="9"/>
                <c:pt idx="0">
                  <c:v>6.2710000000000016E-2</c:v>
                </c:pt>
                <c:pt idx="1">
                  <c:v>6.9580000000000003E-2</c:v>
                </c:pt>
                <c:pt idx="2">
                  <c:v>0.21764</c:v>
                </c:pt>
                <c:pt idx="3">
                  <c:v>0.35178000000000004</c:v>
                </c:pt>
                <c:pt idx="4">
                  <c:v>1.7230400000000003</c:v>
                </c:pt>
                <c:pt idx="5">
                  <c:v>0.92942000000000002</c:v>
                </c:pt>
                <c:pt idx="6">
                  <c:v>8.6078799999999998</c:v>
                </c:pt>
                <c:pt idx="7">
                  <c:v>8.1781400000000009</c:v>
                </c:pt>
                <c:pt idx="8">
                  <c:v>35.11589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9-4CBF-BA56-090B6F3AEC3F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(Tabelle1!$E$4,Tabelle1!$E$11,Tabelle1!$E$18,Tabelle1!$E$25,Tabelle1!$E$32,Tabelle1!$E$39,Tabelle1!$E$46,Tabelle1!$E$53,Tabelle1!$E$60)</c:f>
              <c:numCache>
                <c:formatCode>0.00000</c:formatCode>
                <c:ptCount val="9"/>
                <c:pt idx="0">
                  <c:v>4.8839499999999969</c:v>
                </c:pt>
                <c:pt idx="1">
                  <c:v>5.445170000000001</c:v>
                </c:pt>
                <c:pt idx="2">
                  <c:v>5.6571800000000003</c:v>
                </c:pt>
                <c:pt idx="3">
                  <c:v>5.7007399000000003</c:v>
                </c:pt>
                <c:pt idx="4">
                  <c:v>6.3959800000000007</c:v>
                </c:pt>
                <c:pt idx="5">
                  <c:v>6.4280901000000004</c:v>
                </c:pt>
                <c:pt idx="6">
                  <c:v>9.4912599999999987</c:v>
                </c:pt>
                <c:pt idx="7">
                  <c:v>8.8514699999999991</c:v>
                </c:pt>
                <c:pt idx="8">
                  <c:v>17.43844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9-4CBF-BA56-090B6F3AEC3F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(Tabelle1!$G$4,Tabelle1!$G$11,Tabelle1!$G$18,Tabelle1!$G$25,Tabelle1!$G$32,Tabelle1!$G$39,Tabelle1!$G$46,Tabelle1!$G$53,Tabelle1!$G$60)</c:f>
              <c:numCache>
                <c:formatCode>0.00000</c:formatCode>
                <c:ptCount val="9"/>
                <c:pt idx="0">
                  <c:v>1.5699999999999999E-2</c:v>
                </c:pt>
                <c:pt idx="1">
                  <c:v>1.7600000000000001E-2</c:v>
                </c:pt>
                <c:pt idx="2">
                  <c:v>2.29E-2</c:v>
                </c:pt>
                <c:pt idx="3">
                  <c:v>3.09E-2</c:v>
                </c:pt>
                <c:pt idx="4">
                  <c:v>7.2599999999999998E-2</c:v>
                </c:pt>
                <c:pt idx="5">
                  <c:v>5.5800000000000002E-2</c:v>
                </c:pt>
                <c:pt idx="6">
                  <c:v>0.26019999999999999</c:v>
                </c:pt>
                <c:pt idx="7">
                  <c:v>0.25740000000000002</c:v>
                </c:pt>
                <c:pt idx="8">
                  <c:v>1.1039000000000001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9-4CBF-BA56-090B6F3A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035775"/>
        <c:axId val="1420036735"/>
      </c:lineChart>
      <c:catAx>
        <c:axId val="142003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0036735"/>
        <c:crosses val="autoZero"/>
        <c:auto val="1"/>
        <c:lblAlgn val="ctr"/>
        <c:lblOffset val="100"/>
        <c:noMultiLvlLbl val="0"/>
      </c:catAx>
      <c:valAx>
        <c:axId val="1420036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00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Wavefront-Speichernutzung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(Tabelle1!$D$4,Tabelle1!$D$11,Tabelle1!$D$18,Tabelle1!$D$25,Tabelle1!$D$32,Tabelle1!$D$39,Tabelle1!$D$46,Tabelle1!$D$53,Tabelle1!$D$60)</c:f>
              <c:numCache>
                <c:formatCode>0.00000</c:formatCode>
                <c:ptCount val="9"/>
                <c:pt idx="0">
                  <c:v>1.952E-3</c:v>
                </c:pt>
                <c:pt idx="1">
                  <c:v>1.952E-3</c:v>
                </c:pt>
                <c:pt idx="2">
                  <c:v>8.6959999999999989E-3</c:v>
                </c:pt>
                <c:pt idx="3">
                  <c:v>1.1623999999999999E-2</c:v>
                </c:pt>
                <c:pt idx="4">
                  <c:v>6.7528000000000019E-2</c:v>
                </c:pt>
                <c:pt idx="5">
                  <c:v>3.4408000000000001E-2</c:v>
                </c:pt>
                <c:pt idx="6">
                  <c:v>0.23257599999999995</c:v>
                </c:pt>
                <c:pt idx="7">
                  <c:v>0.27771200000000007</c:v>
                </c:pt>
                <c:pt idx="8">
                  <c:v>1.15564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9-4FCD-AE74-52ED346C1823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(Tabelle1!$F$4,Tabelle1!$F$11,Tabelle1!$F$18,Tabelle1!$F$25,Tabelle1!$F$32,Tabelle1!$F$39,Tabelle1!$F$46,Tabelle1!$F$53,Tabelle1!$F$60)</c:f>
              <c:numCache>
                <c:formatCode>0.00000</c:formatCode>
                <c:ptCount val="9"/>
                <c:pt idx="0">
                  <c:v>0.15413360595703091</c:v>
                </c:pt>
                <c:pt idx="1">
                  <c:v>0.1516471862792966</c:v>
                </c:pt>
                <c:pt idx="2">
                  <c:v>0.15049285888671851</c:v>
                </c:pt>
                <c:pt idx="3">
                  <c:v>0.16116561889648412</c:v>
                </c:pt>
                <c:pt idx="4">
                  <c:v>0.19065246582031203</c:v>
                </c:pt>
                <c:pt idx="5">
                  <c:v>0.18953552246093713</c:v>
                </c:pt>
                <c:pt idx="6">
                  <c:v>0.20726699829101553</c:v>
                </c:pt>
                <c:pt idx="7">
                  <c:v>0.21011352539062469</c:v>
                </c:pt>
                <c:pt idx="8">
                  <c:v>0.22365036010742151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9-4FCD-AE74-52ED346C1823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(Tabelle1!$H$4,Tabelle1!$H$11,Tabelle1!$H$18,Tabelle1!$H$25,Tabelle1!$H$32,Tabelle1!$H$39,Tabelle1!$H$46,Tabelle1!$H$53,Tabelle1!$H$60)</c:f>
              <c:numCache>
                <c:formatCode>0.00000</c:formatCode>
                <c:ptCount val="9"/>
                <c:pt idx="0">
                  <c:v>2.7300000000000001E-2</c:v>
                </c:pt>
                <c:pt idx="1">
                  <c:v>2.7300000000000001E-2</c:v>
                </c:pt>
                <c:pt idx="2">
                  <c:v>2.7300000000000001E-2</c:v>
                </c:pt>
                <c:pt idx="3">
                  <c:v>2.7300000000000001E-2</c:v>
                </c:pt>
                <c:pt idx="4">
                  <c:v>3.5200000000000002E-2</c:v>
                </c:pt>
                <c:pt idx="5">
                  <c:v>3.44E-2</c:v>
                </c:pt>
                <c:pt idx="6">
                  <c:v>4.8399999999999999E-2</c:v>
                </c:pt>
                <c:pt idx="7">
                  <c:v>4.53E-2</c:v>
                </c:pt>
                <c:pt idx="8">
                  <c:v>0.1118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9-4FCD-AE74-52ED346C1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005279"/>
        <c:axId val="1247006239"/>
      </c:lineChart>
      <c:catAx>
        <c:axId val="124700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7006239"/>
        <c:crosses val="autoZero"/>
        <c:auto val="1"/>
        <c:lblAlgn val="ctr"/>
        <c:lblOffset val="100"/>
        <c:noMultiLvlLbl val="0"/>
      </c:catAx>
      <c:valAx>
        <c:axId val="1247006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</a:t>
                </a:r>
                <a:r>
                  <a:rPr lang="de-DE" baseline="0"/>
                  <a:t> in MB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700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A*-Laufzeit (MANHATTAN)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(Tabelle1!$C$5,Tabelle1!$C$12,Tabelle1!$C$19,Tabelle1!$C$26,Tabelle1!$C$33,Tabelle1!$C$40,Tabelle1!$C$47,Tabelle1!$C$54,Tabelle1!$C$61)</c:f>
              <c:numCache>
                <c:formatCode>0.00000</c:formatCode>
                <c:ptCount val="9"/>
                <c:pt idx="0">
                  <c:v>8.5390000000000008E-2</c:v>
                </c:pt>
                <c:pt idx="1">
                  <c:v>0.11439999999999999</c:v>
                </c:pt>
                <c:pt idx="2">
                  <c:v>0.23263000000000003</c:v>
                </c:pt>
                <c:pt idx="3">
                  <c:v>0.71632999999999991</c:v>
                </c:pt>
                <c:pt idx="4">
                  <c:v>2.2110400000000001</c:v>
                </c:pt>
                <c:pt idx="5">
                  <c:v>1.8834499999999998</c:v>
                </c:pt>
                <c:pt idx="6">
                  <c:v>8.2918099999999999</c:v>
                </c:pt>
                <c:pt idx="7">
                  <c:v>15.569659999999999</c:v>
                </c:pt>
                <c:pt idx="8">
                  <c:v>51.323549999999997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C-4780-B803-F558E413E3B2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(Tabelle1!$E$5,Tabelle1!$E$12,Tabelle1!$E$19,Tabelle1!$E$26,Tabelle1!$E$33,Tabelle1!$E$40,Tabelle1!$E$47,Tabelle1!$E$54,Tabelle1!$E$61)</c:f>
              <c:numCache>
                <c:formatCode>0.00000</c:formatCode>
                <c:ptCount val="9"/>
                <c:pt idx="0">
                  <c:v>10.372449799999995</c:v>
                </c:pt>
                <c:pt idx="1">
                  <c:v>10.801360000000001</c:v>
                </c:pt>
                <c:pt idx="2">
                  <c:v>10.211770000000001</c:v>
                </c:pt>
                <c:pt idx="3">
                  <c:v>11.652460000000001</c:v>
                </c:pt>
                <c:pt idx="4">
                  <c:v>12.943640000000002</c:v>
                </c:pt>
                <c:pt idx="5">
                  <c:v>12.3793398</c:v>
                </c:pt>
                <c:pt idx="6">
                  <c:v>16.870560000000001</c:v>
                </c:pt>
                <c:pt idx="7">
                  <c:v>20.032409999999999</c:v>
                </c:pt>
                <c:pt idx="8">
                  <c:v>30.922239999999999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C-4780-B803-F558E413E3B2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(Tabelle1!$G$5,Tabelle1!$G$12,Tabelle1!$G$19,Tabelle1!$G$26,Tabelle1!$G$33,Tabelle1!$G$40,Tabelle1!$G$47,Tabelle1!$G$54,Tabelle1!$G$61)</c:f>
              <c:numCache>
                <c:formatCode>0.00000</c:formatCode>
                <c:ptCount val="9"/>
                <c:pt idx="0">
                  <c:v>3.3599999999999998E-2</c:v>
                </c:pt>
                <c:pt idx="1">
                  <c:v>2.6800000000000001E-2</c:v>
                </c:pt>
                <c:pt idx="2">
                  <c:v>3.9800000000000002E-2</c:v>
                </c:pt>
                <c:pt idx="3">
                  <c:v>7.1199999999999999E-2</c:v>
                </c:pt>
                <c:pt idx="4">
                  <c:v>0.18279999999999999</c:v>
                </c:pt>
                <c:pt idx="5">
                  <c:v>0.17100000000000001</c:v>
                </c:pt>
                <c:pt idx="6">
                  <c:v>0.71809999999999996</c:v>
                </c:pt>
                <c:pt idx="7">
                  <c:v>1.0254000000000001</c:v>
                </c:pt>
                <c:pt idx="8">
                  <c:v>3.7593999999999999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C-4780-B803-F558E413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887663"/>
        <c:axId val="1279888623"/>
      </c:lineChart>
      <c:catAx>
        <c:axId val="127988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9888623"/>
        <c:crosses val="autoZero"/>
        <c:auto val="1"/>
        <c:lblAlgn val="ctr"/>
        <c:lblOffset val="100"/>
        <c:noMultiLvlLbl val="0"/>
      </c:catAx>
      <c:valAx>
        <c:axId val="1279888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988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A*-Speichernutzung (Manhattan)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(Tabelle1!$D$5,Tabelle1!$D$12,Tabelle1!$D$19,Tabelle1!$D$26,Tabelle1!$D$33,Tabelle1!$D$40,Tabelle1!$D$47,Tabelle1!$D$54,Tabelle1!$D$61)</c:f>
              <c:numCache>
                <c:formatCode>0.00000</c:formatCode>
                <c:ptCount val="9"/>
                <c:pt idx="0">
                  <c:v>1.3120000000000002E-3</c:v>
                </c:pt>
                <c:pt idx="1">
                  <c:v>1.8880000000000004E-3</c:v>
                </c:pt>
                <c:pt idx="2">
                  <c:v>6.6719999999999991E-3</c:v>
                </c:pt>
                <c:pt idx="3">
                  <c:v>1.6639999999999995E-2</c:v>
                </c:pt>
                <c:pt idx="4">
                  <c:v>6.0024000000000001E-2</c:v>
                </c:pt>
                <c:pt idx="5">
                  <c:v>5.2239999999999995E-2</c:v>
                </c:pt>
                <c:pt idx="6">
                  <c:v>0.21818399999999999</c:v>
                </c:pt>
                <c:pt idx="7">
                  <c:v>0.41659199999999996</c:v>
                </c:pt>
                <c:pt idx="8">
                  <c:v>1.1118079999999999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2-4D7A-B5C0-AB4941746E06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(Tabelle1!$F$5,Tabelle1!$F$12,Tabelle1!$F$19,Tabelle1!$F$26,Tabelle1!$F$33,Tabelle1!$F$40,Tabelle1!$F$47,Tabelle1!$F$54,Tabelle1!$F$61)</c:f>
              <c:numCache>
                <c:formatCode>0.00000</c:formatCode>
                <c:ptCount val="9"/>
                <c:pt idx="0">
                  <c:v>0.25162506103515592</c:v>
                </c:pt>
                <c:pt idx="1">
                  <c:v>0.25201263427734322</c:v>
                </c:pt>
                <c:pt idx="2">
                  <c:v>0.25595626831054658</c:v>
                </c:pt>
                <c:pt idx="3">
                  <c:v>0.30153427124023374</c:v>
                </c:pt>
                <c:pt idx="4">
                  <c:v>0.30902938842773364</c:v>
                </c:pt>
                <c:pt idx="5">
                  <c:v>0.30802307128906203</c:v>
                </c:pt>
                <c:pt idx="6">
                  <c:v>0.34588470458984288</c:v>
                </c:pt>
                <c:pt idx="7">
                  <c:v>0.35881500244140574</c:v>
                </c:pt>
                <c:pt idx="8">
                  <c:v>4.3841308593749986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2-4D7A-B5C0-AB4941746E06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(Tabelle1!$H$5,Tabelle1!$H$12,Tabelle1!$H$19,Tabelle1!$H$26,Tabelle1!$H$33,Tabelle1!$H$40,Tabelle1!$H$47,Tabelle1!$H$54,Tabelle1!$H$61)</c:f>
              <c:numCache>
                <c:formatCode>0.00000</c:formatCode>
                <c:ptCount val="9"/>
                <c:pt idx="0">
                  <c:v>5.8599999999999999E-2</c:v>
                </c:pt>
                <c:pt idx="1">
                  <c:v>5.8599999999999999E-2</c:v>
                </c:pt>
                <c:pt idx="2">
                  <c:v>5.8599999999999999E-2</c:v>
                </c:pt>
                <c:pt idx="3">
                  <c:v>5.8599999999999999E-2</c:v>
                </c:pt>
                <c:pt idx="4">
                  <c:v>6.7400000000000002E-2</c:v>
                </c:pt>
                <c:pt idx="5">
                  <c:v>6.6400000000000001E-2</c:v>
                </c:pt>
                <c:pt idx="6">
                  <c:v>8.8300000000000003E-2</c:v>
                </c:pt>
                <c:pt idx="7">
                  <c:v>9.1399999999999995E-2</c:v>
                </c:pt>
                <c:pt idx="8">
                  <c:v>0.17580000000000001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2-4D7A-B5C0-AB494174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130511"/>
        <c:axId val="1332132431"/>
      </c:lineChart>
      <c:catAx>
        <c:axId val="133213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132431"/>
        <c:crosses val="autoZero"/>
        <c:auto val="1"/>
        <c:lblAlgn val="ctr"/>
        <c:lblOffset val="100"/>
        <c:noMultiLvlLbl val="0"/>
      </c:catAx>
      <c:valAx>
        <c:axId val="1332132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</a:t>
                </a:r>
                <a:r>
                  <a:rPr lang="de-DE" baseline="0"/>
                  <a:t> in MB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1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A*-Laufzeit (Airplane)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(Tabelle1!$C$6,Tabelle1!$C$13,Tabelle1!$C$20,Tabelle1!$C$27,Tabelle1!$C$34,Tabelle1!$C$41,Tabelle1!$C$48,Tabelle1!$C$55,Tabelle1!$C$62)</c:f>
              <c:numCache>
                <c:formatCode>0.00000</c:formatCode>
                <c:ptCount val="9"/>
                <c:pt idx="0">
                  <c:v>0.10921</c:v>
                </c:pt>
                <c:pt idx="1">
                  <c:v>0.12889</c:v>
                </c:pt>
                <c:pt idx="2">
                  <c:v>0.29270000000000002</c:v>
                </c:pt>
                <c:pt idx="3">
                  <c:v>0.87037999999999993</c:v>
                </c:pt>
                <c:pt idx="4">
                  <c:v>2.9519100000000007</c:v>
                </c:pt>
                <c:pt idx="5">
                  <c:v>2.2439300000000002</c:v>
                </c:pt>
                <c:pt idx="6">
                  <c:v>13.47645</c:v>
                </c:pt>
                <c:pt idx="7">
                  <c:v>20.954830000000001</c:v>
                </c:pt>
                <c:pt idx="8">
                  <c:v>80.890299999999996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1-48CE-8C81-ABD1CB531627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(Tabelle1!$E$6,Tabelle1!$E$13,Tabelle1!$E$20,Tabelle1!$E$27,Tabelle1!$E$34,Tabelle1!$E$41,Tabelle1!$E$48,Tabelle1!$E$55,Tabelle1!$E$62)</c:f>
              <c:numCache>
                <c:formatCode>0.00000</c:formatCode>
                <c:ptCount val="9"/>
                <c:pt idx="0">
                  <c:v>9.7464099999999654</c:v>
                </c:pt>
                <c:pt idx="1">
                  <c:v>10.79749</c:v>
                </c:pt>
                <c:pt idx="2">
                  <c:v>10.67407</c:v>
                </c:pt>
                <c:pt idx="3">
                  <c:v>10.932910000000001</c:v>
                </c:pt>
                <c:pt idx="4">
                  <c:v>12.35525</c:v>
                </c:pt>
                <c:pt idx="5">
                  <c:v>12.470700000000003</c:v>
                </c:pt>
                <c:pt idx="6">
                  <c:v>17.132219999999997</c:v>
                </c:pt>
                <c:pt idx="7">
                  <c:v>20.524809999999999</c:v>
                </c:pt>
                <c:pt idx="8">
                  <c:v>33.608510000000003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1-48CE-8C81-ABD1CB531627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(Tabelle1!$G$6,Tabelle1!$G$13,Tabelle1!$G$20,Tabelle1!$G$27,Tabelle1!$G$34,Tabelle1!$G$41,Tabelle1!$G$48,Tabelle1!$G$55,Tabelle1!$G$62)</c:f>
              <c:numCache>
                <c:formatCode>0.00000</c:formatCode>
                <c:ptCount val="9"/>
                <c:pt idx="0">
                  <c:v>1.55E-2</c:v>
                </c:pt>
                <c:pt idx="1">
                  <c:v>2.07E-2</c:v>
                </c:pt>
                <c:pt idx="2">
                  <c:v>2.6499999999999999E-2</c:v>
                </c:pt>
                <c:pt idx="3">
                  <c:v>5.0700000000000002E-2</c:v>
                </c:pt>
                <c:pt idx="4">
                  <c:v>0.14460000000000001</c:v>
                </c:pt>
                <c:pt idx="5">
                  <c:v>0.1143</c:v>
                </c:pt>
                <c:pt idx="6">
                  <c:v>0.41410000000000002</c:v>
                </c:pt>
                <c:pt idx="7">
                  <c:v>0.8266</c:v>
                </c:pt>
                <c:pt idx="8">
                  <c:v>3.2334999999999998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1-48CE-8C81-ABD1CB53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914031"/>
        <c:axId val="1451925071"/>
      </c:lineChart>
      <c:catAx>
        <c:axId val="14519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1925071"/>
        <c:crosses val="autoZero"/>
        <c:auto val="1"/>
        <c:lblAlgn val="ctr"/>
        <c:lblOffset val="100"/>
        <c:noMultiLvlLbl val="0"/>
      </c:catAx>
      <c:valAx>
        <c:axId val="1451925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19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A*-Speichernutzung (Airplane)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(Tabelle1!$D$6,Tabelle1!$D$13,Tabelle1!$D$20,Tabelle1!$D$27,Tabelle1!$D$34,Tabelle1!$D$41,Tabelle1!$D$48,Tabelle1!$D$55,Tabelle1!$D$62)</c:f>
              <c:numCache>
                <c:formatCode>0.00000</c:formatCode>
                <c:ptCount val="9"/>
                <c:pt idx="0">
                  <c:v>1.3360000000000002E-3</c:v>
                </c:pt>
                <c:pt idx="1">
                  <c:v>1.9120000000000001E-3</c:v>
                </c:pt>
                <c:pt idx="2">
                  <c:v>7.4799999999999988E-3</c:v>
                </c:pt>
                <c:pt idx="3">
                  <c:v>1.704E-2</c:v>
                </c:pt>
                <c:pt idx="4">
                  <c:v>6.2311999999999999E-2</c:v>
                </c:pt>
                <c:pt idx="5">
                  <c:v>5.2959999999999993E-2</c:v>
                </c:pt>
                <c:pt idx="6">
                  <c:v>0.25542400000000004</c:v>
                </c:pt>
                <c:pt idx="7">
                  <c:v>0.41688000000000003</c:v>
                </c:pt>
                <c:pt idx="8">
                  <c:v>1.6700960000000005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3-45C6-AE35-B1617B08DDBA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(Tabelle1!$F$6,Tabelle1!$F$13,Tabelle1!$F$20,Tabelle1!$F$27,Tabelle1!$F$34,Tabelle1!$F$41,Tabelle1!$F$48,Tabelle1!$F$55,Tabelle1!$F$62)</c:f>
              <c:numCache>
                <c:formatCode>0.00000</c:formatCode>
                <c:ptCount val="9"/>
                <c:pt idx="0">
                  <c:v>0.25247497558593701</c:v>
                </c:pt>
                <c:pt idx="1">
                  <c:v>0.2529823303222648</c:v>
                </c:pt>
                <c:pt idx="2">
                  <c:v>0.2636238098144531</c:v>
                </c:pt>
                <c:pt idx="3">
                  <c:v>0.29808502197265607</c:v>
                </c:pt>
                <c:pt idx="4">
                  <c:v>0.30368957519531203</c:v>
                </c:pt>
                <c:pt idx="5">
                  <c:v>0.30268020629882786</c:v>
                </c:pt>
                <c:pt idx="6">
                  <c:v>0.34609680175781199</c:v>
                </c:pt>
                <c:pt idx="7">
                  <c:v>0.34831619262695268</c:v>
                </c:pt>
                <c:pt idx="8">
                  <c:v>4.382180786132805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3-45C6-AE35-B1617B08DDBA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(Tabelle1!$H$6,Tabelle1!$H$13,Tabelle1!$H$20,Tabelle1!$H$27,Tabelle1!$H$34,Tabelle1!$H$41,Tabelle1!$H$48,Tabelle1!$H$55,Tabelle1!$H$62)</c:f>
              <c:numCache>
                <c:formatCode>General</c:formatCode>
                <c:ptCount val="9"/>
                <c:pt idx="0" formatCode="0.00000">
                  <c:v>2.3439999999999999E-2</c:v>
                </c:pt>
                <c:pt idx="1">
                  <c:v>2.3439999999999999E-2</c:v>
                </c:pt>
                <c:pt idx="2">
                  <c:v>2.3439999999999999E-2</c:v>
                </c:pt>
                <c:pt idx="3">
                  <c:v>2.3439999999999999E-2</c:v>
                </c:pt>
                <c:pt idx="4" formatCode="0.00000">
                  <c:v>3.3300000000000003E-2</c:v>
                </c:pt>
                <c:pt idx="5" formatCode="0.00000">
                  <c:v>3.1300000000000001E-2</c:v>
                </c:pt>
                <c:pt idx="6" formatCode="0.00000">
                  <c:v>5.5500000000000001E-2</c:v>
                </c:pt>
                <c:pt idx="7" formatCode="0.00000">
                  <c:v>5.7799999999999997E-2</c:v>
                </c:pt>
                <c:pt idx="8" formatCode="0.00000">
                  <c:v>0.16009999999999999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3-45C6-AE35-B1617B08D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390735"/>
        <c:axId val="1453389295"/>
      </c:lineChart>
      <c:catAx>
        <c:axId val="145339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3389295"/>
        <c:crosses val="autoZero"/>
        <c:auto val="1"/>
        <c:lblAlgn val="ctr"/>
        <c:lblOffset val="100"/>
        <c:noMultiLvlLbl val="0"/>
      </c:catAx>
      <c:valAx>
        <c:axId val="1453389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 in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339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Python-Laufzeit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Brushfire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(Tabelle1!$C$3,Tabelle1!$C$10,Tabelle1!$C$17,Tabelle1!$C$24,Tabelle1!$C$31,Tabelle1!$C$38,Tabelle1!$C$45,Tabelle1!$C$52,Tabelle1!$C$59)</c:f>
              <c:numCache>
                <c:formatCode>0.00000</c:formatCode>
                <c:ptCount val="9"/>
                <c:pt idx="0">
                  <c:v>0.11081999999999999</c:v>
                </c:pt>
                <c:pt idx="1">
                  <c:v>0.11091999999999999</c:v>
                </c:pt>
                <c:pt idx="2">
                  <c:v>0.39581</c:v>
                </c:pt>
                <c:pt idx="3">
                  <c:v>0.41586999999999996</c:v>
                </c:pt>
                <c:pt idx="4">
                  <c:v>1.34175</c:v>
                </c:pt>
                <c:pt idx="5">
                  <c:v>1.32335</c:v>
                </c:pt>
                <c:pt idx="6">
                  <c:v>5.1890300000000007</c:v>
                </c:pt>
                <c:pt idx="7">
                  <c:v>5.3470700000000004</c:v>
                </c:pt>
                <c:pt idx="8">
                  <c:v>20.719339999999999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A-4066-922F-0D856B2CFE99}"/>
            </c:ext>
          </c:extLst>
        </c:ser>
        <c:ser>
          <c:idx val="1"/>
          <c:order val="1"/>
          <c:tx>
            <c:v>Wavefront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(Tabelle1!$C$4,Tabelle1!$C$11,Tabelle1!$C$18,Tabelle1!$C$25,Tabelle1!$C$32,Tabelle1!$C$39,Tabelle1!$C$46,Tabelle1!$C$53,Tabelle1!$C$60)</c:f>
              <c:numCache>
                <c:formatCode>0.00000</c:formatCode>
                <c:ptCount val="9"/>
                <c:pt idx="0">
                  <c:v>6.2710000000000016E-2</c:v>
                </c:pt>
                <c:pt idx="1">
                  <c:v>6.9580000000000003E-2</c:v>
                </c:pt>
                <c:pt idx="2">
                  <c:v>0.21764</c:v>
                </c:pt>
                <c:pt idx="3">
                  <c:v>0.35178000000000004</c:v>
                </c:pt>
                <c:pt idx="4">
                  <c:v>1.7230400000000003</c:v>
                </c:pt>
                <c:pt idx="5">
                  <c:v>0.92942000000000002</c:v>
                </c:pt>
                <c:pt idx="6">
                  <c:v>8.6078799999999998</c:v>
                </c:pt>
                <c:pt idx="7">
                  <c:v>8.1781400000000009</c:v>
                </c:pt>
                <c:pt idx="8">
                  <c:v>35.11589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A-4066-922F-0D856B2CFE99}"/>
            </c:ext>
          </c:extLst>
        </c:ser>
        <c:ser>
          <c:idx val="2"/>
          <c:order val="2"/>
          <c:tx>
            <c:v>A* (Manhattan)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(Tabelle1!$C$5,Tabelle1!$C$12,Tabelle1!$C$19,Tabelle1!$C$26,Tabelle1!$C$33,Tabelle1!$C$40,Tabelle1!$C$47,Tabelle1!$C$54,Tabelle1!$C$61)</c:f>
              <c:numCache>
                <c:formatCode>0.00000</c:formatCode>
                <c:ptCount val="9"/>
                <c:pt idx="0">
                  <c:v>8.5390000000000008E-2</c:v>
                </c:pt>
                <c:pt idx="1">
                  <c:v>0.11439999999999999</c:v>
                </c:pt>
                <c:pt idx="2">
                  <c:v>0.23263000000000003</c:v>
                </c:pt>
                <c:pt idx="3">
                  <c:v>0.71632999999999991</c:v>
                </c:pt>
                <c:pt idx="4">
                  <c:v>2.2110400000000001</c:v>
                </c:pt>
                <c:pt idx="5">
                  <c:v>1.8834499999999998</c:v>
                </c:pt>
                <c:pt idx="6">
                  <c:v>8.2918099999999999</c:v>
                </c:pt>
                <c:pt idx="7">
                  <c:v>15.569659999999999</c:v>
                </c:pt>
                <c:pt idx="8">
                  <c:v>51.323549999999997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AA-4066-922F-0D856B2CFE99}"/>
            </c:ext>
          </c:extLst>
        </c:ser>
        <c:ser>
          <c:idx val="3"/>
          <c:order val="3"/>
          <c:tx>
            <c:v>A* (Airplane)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(Tabelle1!$C$6,Tabelle1!$C$13,Tabelle1!$C$20,Tabelle1!$C$27,Tabelle1!$C$34,Tabelle1!$C$41,Tabelle1!$C$48,Tabelle1!$C$55,Tabelle1!$C$62)</c:f>
              <c:numCache>
                <c:formatCode>0.00000</c:formatCode>
                <c:ptCount val="9"/>
                <c:pt idx="0">
                  <c:v>0.10921</c:v>
                </c:pt>
                <c:pt idx="1">
                  <c:v>0.12889</c:v>
                </c:pt>
                <c:pt idx="2">
                  <c:v>0.29270000000000002</c:v>
                </c:pt>
                <c:pt idx="3">
                  <c:v>0.87037999999999993</c:v>
                </c:pt>
                <c:pt idx="4">
                  <c:v>2.9519100000000007</c:v>
                </c:pt>
                <c:pt idx="5">
                  <c:v>2.2439300000000002</c:v>
                </c:pt>
                <c:pt idx="6">
                  <c:v>13.47645</c:v>
                </c:pt>
                <c:pt idx="7">
                  <c:v>20.954830000000001</c:v>
                </c:pt>
                <c:pt idx="8">
                  <c:v>80.890299999999996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AA-4066-922F-0D856B2CF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0511"/>
        <c:axId val="19428671"/>
      </c:lineChart>
      <c:catAx>
        <c:axId val="1942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28671"/>
        <c:crosses val="autoZero"/>
        <c:auto val="1"/>
        <c:lblAlgn val="ctr"/>
        <c:lblOffset val="100"/>
        <c:noMultiLvlLbl val="0"/>
      </c:catAx>
      <c:valAx>
        <c:axId val="19428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</a:t>
                </a:r>
                <a:r>
                  <a:rPr lang="de-DE" baseline="0"/>
                  <a:t> </a:t>
                </a:r>
                <a:r>
                  <a:rPr lang="de-D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2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4762</xdr:rowOff>
    </xdr:from>
    <xdr:to>
      <xdr:col>2</xdr:col>
      <xdr:colOff>2048609</xdr:colOff>
      <xdr:row>76</xdr:row>
      <xdr:rowOff>151516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6F7584C-648D-D5CD-4498-4E2C5F90C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77</xdr:row>
      <xdr:rowOff>4762</xdr:rowOff>
    </xdr:from>
    <xdr:to>
      <xdr:col>2</xdr:col>
      <xdr:colOff>2041713</xdr:colOff>
      <xdr:row>90</xdr:row>
      <xdr:rowOff>147637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5F67A4F-F551-6D78-7FF6-FCE9867FE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44110</xdr:colOff>
      <xdr:row>63</xdr:row>
      <xdr:rowOff>4762</xdr:rowOff>
    </xdr:from>
    <xdr:to>
      <xdr:col>5</xdr:col>
      <xdr:colOff>72685</xdr:colOff>
      <xdr:row>76</xdr:row>
      <xdr:rowOff>147637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79B4CDD-62E2-BC96-FFF0-62036C6A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39513</xdr:colOff>
      <xdr:row>77</xdr:row>
      <xdr:rowOff>4762</xdr:rowOff>
    </xdr:from>
    <xdr:to>
      <xdr:col>5</xdr:col>
      <xdr:colOff>68088</xdr:colOff>
      <xdr:row>90</xdr:row>
      <xdr:rowOff>147637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CFA8FCC-6335-97A0-0BD3-05959CCD2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152481</xdr:colOff>
      <xdr:row>63</xdr:row>
      <xdr:rowOff>4762</xdr:rowOff>
    </xdr:from>
    <xdr:to>
      <xdr:col>7</xdr:col>
      <xdr:colOff>390606</xdr:colOff>
      <xdr:row>76</xdr:row>
      <xdr:rowOff>147637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CC32F4A2-DFDF-46DE-FA9D-5EA2A11B5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150183</xdr:colOff>
      <xdr:row>77</xdr:row>
      <xdr:rowOff>4762</xdr:rowOff>
    </xdr:from>
    <xdr:to>
      <xdr:col>7</xdr:col>
      <xdr:colOff>388308</xdr:colOff>
      <xdr:row>90</xdr:row>
      <xdr:rowOff>147637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51B563D-4701-1C0E-586C-DAAA5146D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470402</xdr:colOff>
      <xdr:row>63</xdr:row>
      <xdr:rowOff>4762</xdr:rowOff>
    </xdr:from>
    <xdr:to>
      <xdr:col>12</xdr:col>
      <xdr:colOff>215947</xdr:colOff>
      <xdr:row>76</xdr:row>
      <xdr:rowOff>151516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D6196190-E8DB-5A93-BDEF-337D2C519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470402</xdr:colOff>
      <xdr:row>77</xdr:row>
      <xdr:rowOff>4762</xdr:rowOff>
    </xdr:from>
    <xdr:to>
      <xdr:col>12</xdr:col>
      <xdr:colOff>180730</xdr:colOff>
      <xdr:row>90</xdr:row>
      <xdr:rowOff>149317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9D12CF40-58F0-8460-0C54-7E57928EA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92</xdr:row>
      <xdr:rowOff>4762</xdr:rowOff>
    </xdr:from>
    <xdr:to>
      <xdr:col>2</xdr:col>
      <xdr:colOff>2047875</xdr:colOff>
      <xdr:row>105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2755B62-0257-E735-4538-1733EC28A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106</xdr:row>
      <xdr:rowOff>4762</xdr:rowOff>
    </xdr:from>
    <xdr:to>
      <xdr:col>2</xdr:col>
      <xdr:colOff>2047875</xdr:colOff>
      <xdr:row>119</xdr:row>
      <xdr:rowOff>147637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C375EFB-B7CE-FA54-95D8-98A2A65FD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39513</xdr:colOff>
      <xdr:row>92</xdr:row>
      <xdr:rowOff>4762</xdr:rowOff>
    </xdr:from>
    <xdr:to>
      <xdr:col>5</xdr:col>
      <xdr:colOff>68088</xdr:colOff>
      <xdr:row>105</xdr:row>
      <xdr:rowOff>144680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84B7767-5A64-78F8-81C1-41F3D1D7D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39513</xdr:colOff>
      <xdr:row>106</xdr:row>
      <xdr:rowOff>4762</xdr:rowOff>
    </xdr:from>
    <xdr:to>
      <xdr:col>5</xdr:col>
      <xdr:colOff>68088</xdr:colOff>
      <xdr:row>119</xdr:row>
      <xdr:rowOff>147637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9105200A-D031-B4EC-1E74-0E6989C5E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150183</xdr:colOff>
      <xdr:row>92</xdr:row>
      <xdr:rowOff>4762</xdr:rowOff>
    </xdr:from>
    <xdr:to>
      <xdr:col>7</xdr:col>
      <xdr:colOff>388308</xdr:colOff>
      <xdr:row>105</xdr:row>
      <xdr:rowOff>147637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56BF45CF-E43E-D033-39E0-65F7880D6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150183</xdr:colOff>
      <xdr:row>106</xdr:row>
      <xdr:rowOff>4762</xdr:rowOff>
    </xdr:from>
    <xdr:to>
      <xdr:col>7</xdr:col>
      <xdr:colOff>388308</xdr:colOff>
      <xdr:row>119</xdr:row>
      <xdr:rowOff>147637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3B948A84-E638-A86D-A33B-B9E7C0966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H6">
  <tableColumns count="7">
    <tableColumn id="1" xr3:uid="{00000000-0010-0000-0000-000001000000}" name="Algorithmus"/>
    <tableColumn id="2" xr3:uid="{00000000-0010-0000-0000-000002000000}" name="Durchschnittliche Python-Laufzeit_x000a_in Millisekunden"/>
    <tableColumn id="3" xr3:uid="{00000000-0010-0000-0000-000003000000}" name="Durchschnittliche Python-Speichernutzung_x000a_in MB"/>
    <tableColumn id="4" xr3:uid="{00000000-0010-0000-0000-000004000000}" name="Durchschnittliche Java-Laufzeit_x000a_in Millisekunden"/>
    <tableColumn id="5" xr3:uid="{00000000-0010-0000-0000-000005000000}" name="Durchschnittliche Java-Speichernutzung_x000a_in MB"/>
    <tableColumn id="6" xr3:uid="{00000000-0010-0000-0000-000006000000}" name="Durchschnittliche C++-Laufzeit_x000a_in Millisekunden"/>
    <tableColumn id="7" xr3:uid="{00000000-0010-0000-0000-000007000000}" name="Durchschnittliche C++-Speichernutzung_x000a_in MB"/>
  </tableColumns>
  <tableStyleInfo name="Tabelle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9:H13">
  <tableColumns count="7">
    <tableColumn id="1" xr3:uid="{00000000-0010-0000-0100-000001000000}" name="Algorithmus"/>
    <tableColumn id="2" xr3:uid="{00000000-0010-0000-0100-000002000000}" name="Durchschnittliche Python-Laufzeit_x000a_in Millisekunden"/>
    <tableColumn id="3" xr3:uid="{00000000-0010-0000-0100-000003000000}" name="Durchschnittliche Python-Speichernutzung_x000a_in MB"/>
    <tableColumn id="4" xr3:uid="{00000000-0010-0000-0100-000004000000}" name="Durchschnittliche Java-Laufzeit_x000a_in Millisekunden"/>
    <tableColumn id="5" xr3:uid="{00000000-0010-0000-0100-000005000000}" name="Durchschnittliche Java-Speichernutzung_x000a_in MB"/>
    <tableColumn id="6" xr3:uid="{00000000-0010-0000-0100-000006000000}" name="Durchschnittliche C++-Laufzeit_x000a_in Millisekunden"/>
    <tableColumn id="7" xr3:uid="{00000000-0010-0000-0100-000007000000}" name="Durchschnittliche C++-Speichernutzung_x000a_in MB"/>
  </tableColumns>
  <tableStyleInfo name="Tabelle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16:H20">
  <tableColumns count="7">
    <tableColumn id="1" xr3:uid="{00000000-0010-0000-0200-000001000000}" name="Algorithmus"/>
    <tableColumn id="2" xr3:uid="{00000000-0010-0000-0200-000002000000}" name="Durchschnittliche Python-Laufzeit_x000a_in Millisekunden"/>
    <tableColumn id="3" xr3:uid="{00000000-0010-0000-0200-000003000000}" name="Durchschnittliche Python-Speichernutzung_x000a_in MB"/>
    <tableColumn id="4" xr3:uid="{00000000-0010-0000-0200-000004000000}" name="Durchschnittliche Java-Laufzeit_x000a_in Millisekunden"/>
    <tableColumn id="5" xr3:uid="{00000000-0010-0000-0200-000005000000}" name="Durchschnittliche Java-Speichernutzung_x000a_in MB"/>
    <tableColumn id="6" xr3:uid="{00000000-0010-0000-0200-000006000000}" name="Durchschnittliche C++-Laufzeit_x000a_in Millisekunden"/>
    <tableColumn id="7" xr3:uid="{00000000-0010-0000-0200-000007000000}" name="Durchschnittliche C++-Speichernutzung_x000a_in MB"/>
  </tableColumns>
  <tableStyleInfo name="Tabelle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23:H27">
  <tableColumns count="7">
    <tableColumn id="1" xr3:uid="{00000000-0010-0000-0300-000001000000}" name="Algorithmus"/>
    <tableColumn id="2" xr3:uid="{00000000-0010-0000-0300-000002000000}" name="Durchschnittliche Python-Laufzeit_x000a_in Millisekunden"/>
    <tableColumn id="3" xr3:uid="{00000000-0010-0000-0300-000003000000}" name="Durchschnittliche Python-Speichernutzung_x000a_in MB"/>
    <tableColumn id="4" xr3:uid="{00000000-0010-0000-0300-000004000000}" name="Durchschnittliche Java-Laufzeit_x000a_in Millisekunden"/>
    <tableColumn id="5" xr3:uid="{00000000-0010-0000-0300-000005000000}" name="Durchschnittliche Java-Speichernutzung_x000a_in MB"/>
    <tableColumn id="6" xr3:uid="{00000000-0010-0000-0300-000006000000}" name="Durchschnittliche C++-Laufzeit_x000a_in Millisekunden"/>
    <tableColumn id="7" xr3:uid="{00000000-0010-0000-0300-000007000000}" name="Durchschnittliche C++-Speichernutzung_x000a_in MB"/>
  </tableColumns>
  <tableStyleInfo name="Tabelle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30:H34">
  <tableColumns count="7">
    <tableColumn id="1" xr3:uid="{00000000-0010-0000-0400-000001000000}" name="Algorithmus"/>
    <tableColumn id="2" xr3:uid="{00000000-0010-0000-0400-000002000000}" name="Durchschnittliche Python-Laufzeit_x000a_in Millisekunden"/>
    <tableColumn id="3" xr3:uid="{00000000-0010-0000-0400-000003000000}" name="Durchschnittliche Python-Speichernutzung_x000a_in MB"/>
    <tableColumn id="4" xr3:uid="{00000000-0010-0000-0400-000004000000}" name="Durchschnittliche Java-Laufzeit_x000a_in Millisekunden"/>
    <tableColumn id="5" xr3:uid="{00000000-0010-0000-0400-000005000000}" name="Durchschnittliche Java-Speichernutzung_x000a_in MB"/>
    <tableColumn id="6" xr3:uid="{00000000-0010-0000-0400-000006000000}" name="Durchschnittliche C++-Laufzeit_x000a_in Millisekunden"/>
    <tableColumn id="7" xr3:uid="{00000000-0010-0000-0400-000007000000}" name="Durchschnittliche C++-Speichernutzung_x000a_in MB"/>
  </tableColumns>
  <tableStyleInfo name="Tabelle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37:H41">
  <tableColumns count="7">
    <tableColumn id="1" xr3:uid="{00000000-0010-0000-0500-000001000000}" name="Algorithmus"/>
    <tableColumn id="2" xr3:uid="{00000000-0010-0000-0500-000002000000}" name="Durchschnittliche Python-Laufzeit_x000a_in Millisekunden"/>
    <tableColumn id="3" xr3:uid="{00000000-0010-0000-0500-000003000000}" name="Durchschnittliche Python-Speichernutzung_x000a_in MB"/>
    <tableColumn id="4" xr3:uid="{00000000-0010-0000-0500-000004000000}" name="Durchschnittliche Java-Laufzeit_x000a_in Millisekunden"/>
    <tableColumn id="5" xr3:uid="{00000000-0010-0000-0500-000005000000}" name="Durchschnittliche Java-Speichernutzung_x000a_in MB"/>
    <tableColumn id="6" xr3:uid="{00000000-0010-0000-0500-000006000000}" name="Durchschnittliche C++-Laufzeit_x000a_in Millisekunden"/>
    <tableColumn id="7" xr3:uid="{00000000-0010-0000-0500-000007000000}" name="Durchschnittliche C++-Speichernutzung_x000a_in MB"/>
  </tableColumns>
  <tableStyleInfo name="Tabelle1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44:H48">
  <tableColumns count="7">
    <tableColumn id="1" xr3:uid="{00000000-0010-0000-0600-000001000000}" name="Algorithmus"/>
    <tableColumn id="2" xr3:uid="{00000000-0010-0000-0600-000002000000}" name="Durchschnittliche Python-Laufzeit_x000a_in Millisekunden"/>
    <tableColumn id="3" xr3:uid="{00000000-0010-0000-0600-000003000000}" name="Durchschnittliche Python-Speichernutzung_x000a_in MB"/>
    <tableColumn id="4" xr3:uid="{00000000-0010-0000-0600-000004000000}" name="Durchschnittliche Java-Laufzeit_x000a_in Millisekunden"/>
    <tableColumn id="5" xr3:uid="{00000000-0010-0000-0600-000005000000}" name="Durchschnittliche Java-Speichernutzung_x000a_in MB"/>
    <tableColumn id="6" xr3:uid="{00000000-0010-0000-0600-000006000000}" name="Durchschnittliche C++-Laufzeit_x000a_in Millisekunden"/>
    <tableColumn id="7" xr3:uid="{00000000-0010-0000-0600-000007000000}" name="Durchschnittliche C++-Speichernutzung_x000a_in MB"/>
  </tableColumns>
  <tableStyleInfo name="Tabelle1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51:H55">
  <tableColumns count="7">
    <tableColumn id="1" xr3:uid="{00000000-0010-0000-0700-000001000000}" name="Algorithmus"/>
    <tableColumn id="2" xr3:uid="{00000000-0010-0000-0700-000002000000}" name="Durchschnittliche Python-Laufzeit_x000a_in Millisekunden"/>
    <tableColumn id="3" xr3:uid="{00000000-0010-0000-0700-000003000000}" name="Durchschnittliche Python-Speichernutzung_x000a_in MB"/>
    <tableColumn id="4" xr3:uid="{00000000-0010-0000-0700-000004000000}" name="Durchschnittliche Java-Laufzeit_x000a_in Millisekunden"/>
    <tableColumn id="5" xr3:uid="{00000000-0010-0000-0700-000005000000}" name="Durchschnittliche Java-Speichernutzung_x000a_in MB"/>
    <tableColumn id="6" xr3:uid="{00000000-0010-0000-0700-000006000000}" name="Durchschnittliche C++-Laufzeit_x000a_in Millisekunden"/>
    <tableColumn id="7" xr3:uid="{00000000-0010-0000-0700-000007000000}" name="Durchschnittliche C++-Speichernutzung_x000a_in MB"/>
  </tableColumns>
  <tableStyleInfo name="Tabelle1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B58:H62">
  <tableColumns count="7">
    <tableColumn id="1" xr3:uid="{00000000-0010-0000-0800-000001000000}" name="Algorithmus"/>
    <tableColumn id="2" xr3:uid="{00000000-0010-0000-0800-000002000000}" name="Durchschnittliche Python-Laufzeit_x000a_in Millisekunden"/>
    <tableColumn id="3" xr3:uid="{00000000-0010-0000-0800-000003000000}" name="Durchschnittliche Python-Speichernutzung_x000a_in MB"/>
    <tableColumn id="4" xr3:uid="{00000000-0010-0000-0800-000004000000}" name="Durchschnittliche Java-Laufzeit_x000a_in Millisekunden"/>
    <tableColumn id="5" xr3:uid="{00000000-0010-0000-0800-000005000000}" name="Durchschnittliche Java-Speichernutzung_x000a_in MB"/>
    <tableColumn id="6" xr3:uid="{00000000-0010-0000-0800-000006000000}" name="Durchschnittliche C++-Laufzeit_x000a_in Millisekunden"/>
    <tableColumn id="7" xr3:uid="{00000000-0010-0000-0800-000007000000}" name="Durchschnittliche C++-Speichernutzung_x000a_in MB"/>
  </tableColumns>
  <tableStyleInfo name="Tabelle1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86" zoomScaleNormal="100" workbookViewId="0">
      <selection activeCell="H116" sqref="H116"/>
    </sheetView>
  </sheetViews>
  <sheetFormatPr baseColWidth="10" defaultColWidth="14.42578125" defaultRowHeight="15" customHeight="1" x14ac:dyDescent="0.25"/>
  <cols>
    <col min="1" max="1" width="13.7109375" customWidth="1"/>
    <col min="2" max="2" width="24.140625" bestFit="1" customWidth="1"/>
    <col min="3" max="3" width="31.28515625" bestFit="1" customWidth="1"/>
    <col min="4" max="4" width="39.42578125" bestFit="1" customWidth="1"/>
    <col min="5" max="5" width="28.7109375" bestFit="1" customWidth="1"/>
    <col min="6" max="6" width="36.85546875" bestFit="1" customWidth="1"/>
    <col min="7" max="7" width="28.140625" bestFit="1" customWidth="1"/>
    <col min="8" max="8" width="36.140625" bestFit="1" customWidth="1"/>
    <col min="9" max="26" width="9.140625" customWidth="1"/>
  </cols>
  <sheetData>
    <row r="1" spans="1:8" x14ac:dyDescent="0.25">
      <c r="A1" s="1" t="s">
        <v>0</v>
      </c>
    </row>
    <row r="2" spans="1:8" ht="30" x14ac:dyDescent="0.25"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25">
      <c r="B3" s="1" t="s">
        <v>8</v>
      </c>
      <c r="C3" s="3">
        <f>(0.107 + 0.1091 + 0.1026 + 0.1085 + 0.1128 + 0.1093 + 0.1041 + 0.1096 + 0.1377 + 0.1075)/10</f>
        <v>0.11081999999999999</v>
      </c>
      <c r="D3" s="3">
        <f>(0.002392 + 0.002392 + 0.002392 + 0.002392 + 0.002392 + 0.002392 + 0.002392 + 0.002392 + 0.002392 + 0.002392)/10</f>
        <v>2.3919999999999996E-3</v>
      </c>
      <c r="E3" s="3">
        <f>(0.0434 + 0.0418999999999999 + 0.047 + 0.0449 + 0.0425999999999999 + 0.0434999999999999 + 0.0400999999999999 + 0.0403999999999999 + 0.0420999999999999 + 0.0509)/10</f>
        <v>4.3679999999999948E-2</v>
      </c>
      <c r="F3" s="3">
        <f>(0.0025787353515625 + 0.0040283203125 + 0.0040283203125 + 0.0040283203125 + 0.0040283203125 + 0.0059814453125 + 0.0040283203125 + 0.0040283203125 + 0.0040283203125 + 0.0040283203125)/10</f>
        <v>4.0786743164062502E-3</v>
      </c>
      <c r="G3" s="4">
        <v>9.5999999999999992E-3</v>
      </c>
      <c r="H3" s="3">
        <v>7.4200000000000002E-2</v>
      </c>
    </row>
    <row r="4" spans="1:8" x14ac:dyDescent="0.25">
      <c r="B4" s="1" t="s">
        <v>9</v>
      </c>
      <c r="C4" s="3">
        <f>(0.0596 + 0.0582 + 0.0608 + 0.059 + 0.0598 + 0.0572 + 0.0619 + 0.0583 + 0.0943 + 0.058)/10</f>
        <v>6.2710000000000016E-2</v>
      </c>
      <c r="D4" s="3">
        <f>(0.001952 + 0.001952 + 0.001952 + 0.001952 + 0.001952 + 0.001952 + 0.001952 + 0.001952 + 0.001952 + 0.001952)/10</f>
        <v>1.952E-3</v>
      </c>
      <c r="E4" s="3">
        <f>(4.70139999999999 + 4.5503 + 5.2491 + 4.6802 + 4.8497 + 4.45519999999999 + 4.9617 + 6.0018 + 4.3779 + 5.01219999999999)/10</f>
        <v>4.8839499999999969</v>
      </c>
      <c r="F4" s="3">
        <f>(0.154884338378906 + 0.151657104492187 + 0.154884338378906 + 0.162025451660156 + 0.157264709472656 + 0.151535034179687 + 0.148414611816406 + 0.154762268066406 + 0.152267456054687 + 0.153640747070312)/10</f>
        <v>0.15413360595703091</v>
      </c>
      <c r="G4" s="3">
        <v>1.5699999999999999E-2</v>
      </c>
      <c r="H4" s="3">
        <v>2.7300000000000001E-2</v>
      </c>
    </row>
    <row r="5" spans="1:8" x14ac:dyDescent="0.25">
      <c r="B5" s="1" t="s">
        <v>10</v>
      </c>
      <c r="C5" s="3">
        <f>(0.0845 + 0.0858 + 0.0836 + 0.0878 + 0.0841 + 0.0878 + 0.0831 + 0.0882 + 0.0825 + 0.0865)/10</f>
        <v>8.5390000000000008E-2</v>
      </c>
      <c r="D5" s="3">
        <f>(0.001312 + 0.001312 + 0.001312 + 0.001312 + 0.001312 + 0.001312 + 0.001312 + 0.001312 + 0.001312 + 0.001312)/10</f>
        <v>1.3120000000000002E-3</v>
      </c>
      <c r="E5" s="3">
        <f>(9.82809999999999 + 8.83569899999999 + 12.0433 + 8.29539899999999 + 8.92719999999999 + 12.363701 + 13.8877 + 11.0281 + 8.999999 + 9.51529999999999)/10</f>
        <v>10.372449799999995</v>
      </c>
      <c r="F5" s="3">
        <f>(0.252540588378906 + 0.252418518066406 + 0.253883361816406 + 0.244972229003906 + 0.252540588378906 + 0.252418518066406 + 0.251197814941406 + 0.252418518066406 + 0.252540588378906 + 0.251319885253906)/10</f>
        <v>0.25162506103515592</v>
      </c>
      <c r="G5" s="3">
        <v>3.3599999999999998E-2</v>
      </c>
      <c r="H5" s="3">
        <v>5.8599999999999999E-2</v>
      </c>
    </row>
    <row r="6" spans="1:8" x14ac:dyDescent="0.25">
      <c r="B6" s="1" t="s">
        <v>11</v>
      </c>
      <c r="C6" s="3">
        <f>(0.0907 + 0.2356 + 0.087 + 0.1239 + 0.0903 + 0.0929 + 0.0901 + 0.0914 + 0.0929 + 0.0973)/10</f>
        <v>0.10921</v>
      </c>
      <c r="D6" s="3">
        <f>(0.001336 + 0.001336 + 0.001336 + 0.001336 + 0.001336 + 0.001336 + 0.001336 + 0.001336 + 0.001336 + 0.001336)/10</f>
        <v>1.3360000000000002E-3</v>
      </c>
      <c r="E6" s="3">
        <f>(11.0043009999999 + 9.7864 + 10.0018989999999 + 9.36439999999999 + 10.4234 + 9.35779999999999 + 8.3549 + 9.45129999999999 + 9.43689999999999 + 10.2827999999999)/10</f>
        <v>9.7464099999999654</v>
      </c>
      <c r="F6" s="3">
        <f>(0.252487182617187 + 0.252487182617187 + 0.252487182617187 + 0.251266479492187 + 0.252487182617187 + 0.252365112304687 + 0.253219604492187 + 0.252487182617187 + 0.251266479492187 + 0.254196166992187)/10</f>
        <v>0.25247497558593701</v>
      </c>
      <c r="G6" s="3">
        <v>1.55E-2</v>
      </c>
      <c r="H6" s="3">
        <v>2.3439999999999999E-2</v>
      </c>
    </row>
    <row r="7" spans="1:8" x14ac:dyDescent="0.25"/>
    <row r="8" spans="1:8" x14ac:dyDescent="0.25">
      <c r="A8" s="1" t="s">
        <v>12</v>
      </c>
    </row>
    <row r="9" spans="1:8" ht="30" x14ac:dyDescent="0.25">
      <c r="B9" s="1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</row>
    <row r="10" spans="1:8" x14ac:dyDescent="0.25">
      <c r="B10" s="1" t="s">
        <v>8</v>
      </c>
      <c r="C10" s="3">
        <f>(0.1068 + 0.1091 + 0.112 + 0.1091 + 0.1204 + 0.1072 + 0.1129 + 0.108 + 0.1109 + 0.1128)/10</f>
        <v>0.11091999999999999</v>
      </c>
      <c r="D10" s="3">
        <f>(0.002392 + 0.002392 + 0.002392 + 0.002392 + 0.002392 + 0.002392 + 0.002392 + 0.002392 + 0.002392 + 0.002392)/10</f>
        <v>2.3919999999999996E-3</v>
      </c>
      <c r="E10" s="3">
        <f>(0.0715999999999999 + 0.0648999999999999 + 0.0439 + 0.0563999999999999 + 0.0475 + 0.0425999999999999 + 0.0619999999999999 + 0.0405 + 0.0449999999999999 + 0.0522)/10</f>
        <v>5.2659999999999943E-2</v>
      </c>
      <c r="F10" s="3">
        <f>(0.0040283203125 + 0.0036773681640625 + 0.0040283203125 + 0.0040283203125 + 0.0040283203125 + 0.0040283203125 + 0.0075836181640625 + 0.0040283203125 + 0.0040283203125 + 0.0040283203125)/10</f>
        <v>4.3487548828125E-3</v>
      </c>
      <c r="G10" s="3">
        <v>1.01E-2</v>
      </c>
      <c r="H10" s="3">
        <v>7.4200000000000002E-2</v>
      </c>
    </row>
    <row r="11" spans="1:8" x14ac:dyDescent="0.25">
      <c r="B11" s="1" t="s">
        <v>9</v>
      </c>
      <c r="C11" s="3">
        <f>(0.0659 + 0.0696 + 0.0649 + 0.073 + 0.0675 + 0.0907 + 0.0648 + 0.0675 + 0.0643 + 0.0676)/10</f>
        <v>6.9580000000000003E-2</v>
      </c>
      <c r="D11" s="3">
        <f>(0.001952 + 0.001952 + 0.001952 + 0.001952 + 0.001952 + 0.001952 + 0.001952 + 0.001952 + 0.001952 + 0.001952)/10</f>
        <v>1.952E-3</v>
      </c>
      <c r="E11" s="3">
        <f>(4.1938 + 5.2262 + 5.044 + 5.3932 + 6.2662 + 5.5712 + 5.3041 + 5.9268 + 5.5653 + 5.9609)/10</f>
        <v>5.445170000000001</v>
      </c>
      <c r="F11" s="3">
        <f>(0.154884338378906 + 0.150794982910156 + 0.144760131835937 + 0.151168823242187 + 0.153541564941406 + 0.153663635253906 + 0.160499572753906 + 0.148414611816406 + 0.154762268066406 + 0.14398193359375)/10</f>
        <v>0.1516471862792966</v>
      </c>
      <c r="G11" s="3">
        <v>1.7600000000000001E-2</v>
      </c>
      <c r="H11" s="3">
        <v>2.7300000000000001E-2</v>
      </c>
    </row>
    <row r="12" spans="1:8" x14ac:dyDescent="0.25">
      <c r="B12" s="1" t="s">
        <v>10</v>
      </c>
      <c r="C12" s="3">
        <f>(0.1122 + 0.1163 + 0.1129 + 0.116 + 0.1098 + 0.1115 + 0.1317 + 0.1142 + 0.1099 + 0.1095)/10</f>
        <v>0.11439999999999999</v>
      </c>
      <c r="D12" s="3">
        <f>(0.001888 + 0.001888 + 0.001888 + 0.001888 + 0.001888 + 0.001888 + 0.001888 + 0.001888 + 0.001888 + 0.001888)/10</f>
        <v>1.8880000000000004E-3</v>
      </c>
      <c r="E12" s="3">
        <f>(12.4962 + 9.0223 + 9.3313 + 11.1589 + 10.7877 + 9.7722 + 14.2522 + 9.8334 + 11.4556 + 9.9038)/10</f>
        <v>10.801360000000001</v>
      </c>
      <c r="F12" s="3">
        <f>(0.253005981445312 + 0.253005981445312 + 0.253471374511718 + 0.251785278320312 + 0.253005981445312 + 0.245559692382812 + 0.252250671386718 + 0.253128051757812 + 0.251785278320312 + 0.253128051757812)/10</f>
        <v>0.25201263427734322</v>
      </c>
      <c r="G12" s="3">
        <v>2.6800000000000001E-2</v>
      </c>
      <c r="H12" s="3">
        <v>5.8599999999999999E-2</v>
      </c>
    </row>
    <row r="13" spans="1:8" x14ac:dyDescent="0.25">
      <c r="B13" s="1" t="s">
        <v>11</v>
      </c>
      <c r="C13" s="3">
        <f>(0.1443 + 0.1266 + 0.1263 + 0.1415 + 0.1216 + 0.124 + 0.1238 + 0.134 + 0.1244 + 0.1224)/10</f>
        <v>0.12889</v>
      </c>
      <c r="D13" s="3">
        <f>(0.001912 + 0.001912 + 0.001912 + 0.001912 + 0.001912 + 0.001912 + 0.001912 + 0.001912 + 0.001912 + 0.001912)/10</f>
        <v>1.9120000000000001E-3</v>
      </c>
      <c r="E13" s="3">
        <f>(11.7655 + 9.316 + 12.0361 + 11.8711 + 9.4326 + 9.2671 + 10.1552 + 9.1895 + 9.1843 + 15.7575)/10</f>
        <v>10.79749</v>
      </c>
      <c r="F13" s="3">
        <f>(0.252952575683593 + 0.252952575683593 + 0.253128051757812 + 0.252952575683593 + 0.252952575683593 + 0.252952575683593 + 0.253074645996093 + 0.251731872558593 + 0.253074645996093 + 0.254051208496093)/10</f>
        <v>0.2529823303222648</v>
      </c>
      <c r="G13" s="3">
        <v>2.07E-2</v>
      </c>
      <c r="H13" s="1">
        <v>2.3439999999999999E-2</v>
      </c>
    </row>
    <row r="14" spans="1:8" x14ac:dyDescent="0.25"/>
    <row r="15" spans="1:8" x14ac:dyDescent="0.25">
      <c r="A15" s="1" t="s">
        <v>13</v>
      </c>
    </row>
    <row r="16" spans="1:8" ht="30" x14ac:dyDescent="0.25">
      <c r="B16" s="1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</row>
    <row r="17" spans="1:8" x14ac:dyDescent="0.25">
      <c r="B17" s="1" t="s">
        <v>8</v>
      </c>
      <c r="C17" s="3">
        <f>(0.3832 + 0.4139 + 0.4034 + 0.382 + 0.4081 + 0.3871 + 0.4049 + 0.3888 + 0.3999 + 0.3868)/10</f>
        <v>0.39581</v>
      </c>
      <c r="D17" s="3">
        <f>(0.004384 + 0.004384 + 0.004384 + 0.004384 + 0.004384 + 0.004384 + 0.004384 + 0.004384 + 0.004384 + 0.004384)/10</f>
        <v>4.3839999999999999E-3</v>
      </c>
      <c r="E17" s="3">
        <f>(0.1463 + 0.1203 + 0.116599999999999 + 0.169199999999999 + 0.2064 + 0.133899999999999 + 0.1388 + 0.1381 + 0.1348 + 0.191099999999999)/10</f>
        <v>0.14954999999999957</v>
      </c>
      <c r="F17" s="3">
        <f>(0.00681304931640625 + 0.00681304931640625 + 0.00681304931640625 + 0.00449371337890625 + 0.00681304931640625 + 0.00681304931640625 + 0.00571441650390625 + 0.00681304931640625 + 0.00681304931640625 + 0.00681304931640625)/10</f>
        <v>6.4712524414062503E-3</v>
      </c>
      <c r="G17" s="3">
        <v>2.0299999999999999E-2</v>
      </c>
      <c r="H17" s="3">
        <v>7.4200000000000002E-2</v>
      </c>
    </row>
    <row r="18" spans="1:8" x14ac:dyDescent="0.25">
      <c r="B18" s="1" t="s">
        <v>9</v>
      </c>
      <c r="C18" s="3">
        <f>(0.2004 + 0.2538 + 0.2072 + 0.2044 + 0.2879 + 0.2109 + 0.2009 + 0.2081 + 0.1975 + 0.2053)/10</f>
        <v>0.21764</v>
      </c>
      <c r="D18" s="3">
        <f>(0.008696 + 0.008696 + 0.008696 + 0.008696 + 0.008696 + 0.008696 + 0.008696 + 0.008696 + 0.008696 + 0.008696)/10</f>
        <v>8.6959999999999989E-3</v>
      </c>
      <c r="E18" s="3">
        <f>(4.5423 + 5.7875 + 5.9433 + 4.4356 + 5.3047 + 6.6839 + 6.0232 + 5.673 + 6.2269 + 5.9514)/10</f>
        <v>5.6571800000000003</v>
      </c>
      <c r="F18" s="3">
        <f>(0.150047302246093 + 0.152076721191406 + 0.148231506347656 + 0.153419494628906 + 0.148231506347656 + 0.150856018066406 + 0.149879455566406 + 0.149505615234375 + 0.152076721191406 + 0.150604248046875)/10</f>
        <v>0.15049285888671851</v>
      </c>
      <c r="G18" s="3">
        <v>2.29E-2</v>
      </c>
      <c r="H18" s="3">
        <v>2.7300000000000001E-2</v>
      </c>
    </row>
    <row r="19" spans="1:8" x14ac:dyDescent="0.25">
      <c r="B19" s="1" t="s">
        <v>10</v>
      </c>
      <c r="C19" s="3">
        <f>(0.2192 + 0.2248 + 0.2236 + 0.336 + 0.2185 + 0.2247 + 0.2121 + 0.2239 + 0.2132 + 0.2303)/10</f>
        <v>0.23263000000000003</v>
      </c>
      <c r="D19" s="3">
        <f>(0.006672 + 0.006672 + 0.006672 + 0.006672 + 0.006672 + 0.006672 + 0.006672 + 0.006672 + 0.006672 + 0.006672)/10</f>
        <v>6.6719999999999991E-3</v>
      </c>
      <c r="E19" s="3">
        <f>(10.7972 + 11.7697 + 9.2394 + 10.338 + 9.4815 + 10.6979 + 8.4153 + 10.811 + 8.7843 + 11.7834)/10</f>
        <v>10.211770000000001</v>
      </c>
      <c r="F19" s="3">
        <f>(0.256996154785156 + 0.255897521972656 + 0.254676818847656 + 0.256019592285156 + 0.254920959472656 + 0.255897521972656 + 0.254798889160156 + 0.256362915039062 + 0.256019592285156 + 0.257972717285156)/10</f>
        <v>0.25595626831054658</v>
      </c>
      <c r="G19" s="3">
        <v>3.9800000000000002E-2</v>
      </c>
      <c r="H19" s="3">
        <v>5.8599999999999999E-2</v>
      </c>
    </row>
    <row r="20" spans="1:8" x14ac:dyDescent="0.25">
      <c r="B20" s="1" t="s">
        <v>11</v>
      </c>
      <c r="C20" s="3">
        <f>(0.2875 + 0.3018 + 0.2885 + 0.302 + 0.2836 + 0.2931 + 0.2894 + 0.2959 + 0.2852 + 0.3)/10</f>
        <v>0.29270000000000002</v>
      </c>
      <c r="D20" s="3">
        <f>(0.00748 + 0.00748 + 0.00748 + 0.00748 + 0.00748 + 0.00748 + 0.00748 + 0.00748 + 0.00748 + 0.00748)/10</f>
        <v>7.4799999999999988E-3</v>
      </c>
      <c r="E20" s="3">
        <f>(11.2705 + 10.8284 + 12.1671 + 9.7387 + 10.8738 + 9.8745 + 9.6574 + 10.7566 + 11.4154 + 10.1583)/10</f>
        <v>10.67407</v>
      </c>
      <c r="F20" s="3">
        <f>(0.26373291015625 + 0.264068603515625 + 0.262847900390625 + 0.26373291015625 + 0.26116943359375 + 0.263702392578125 + 0.267890930175781 + 0.263092041015625 + 0.26226806640625 + 0.26373291015625)/10</f>
        <v>0.2636238098144531</v>
      </c>
      <c r="G20" s="3">
        <v>2.6499999999999999E-2</v>
      </c>
      <c r="H20" s="1">
        <v>2.3439999999999999E-2</v>
      </c>
    </row>
    <row r="21" spans="1:8" x14ac:dyDescent="0.25"/>
    <row r="22" spans="1:8" x14ac:dyDescent="0.25">
      <c r="A22" s="1" t="s">
        <v>14</v>
      </c>
    </row>
    <row r="23" spans="1:8" ht="30" x14ac:dyDescent="0.25">
      <c r="B23" s="1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</row>
    <row r="24" spans="1:8" x14ac:dyDescent="0.25">
      <c r="B24" s="1" t="s">
        <v>8</v>
      </c>
      <c r="C24" s="3">
        <f>(0.3933 + 0.4659 + 0.3918 + 0.4637 + 0.4314 + 0.413 + 0.3891 + 0.402 + 0.3968 + 0.4117)/10</f>
        <v>0.41586999999999996</v>
      </c>
      <c r="D24" s="3">
        <f>(0.005584 + 0.005584 + 0.005584 + 0.005584 + 0.005584 + 0.005584 + 0.005584 + 0.005584 + 0.005584 + 0.005584)/10</f>
        <v>5.5839999999999996E-3</v>
      </c>
      <c r="E24" s="3">
        <f>(0.1149 + 0.2068 + 0.1228 + 0.124499999999999 + 0.124299999999999 + 0.116099999999999 + 0.125599999999999 + 0.1542 + 0.148199999999999 + 0.1218)/10</f>
        <v>0.13591999999999949</v>
      </c>
      <c r="F24" s="3">
        <f>(0.00681304931640625 + 0.00681304931640625 + 0.00681304931640625 + 0.00681304931640625 + 0.00513458251953125 + 0.00681304931640625 + 0.00571441650390625 + 0.00681304931640625 + 0.00876617431640625 + 0.00681304931640625)/10</f>
        <v>6.7306518554687503E-3</v>
      </c>
      <c r="G24" s="3">
        <v>1.8499999999999999E-2</v>
      </c>
      <c r="H24" s="3">
        <v>7.4200000000000002E-2</v>
      </c>
    </row>
    <row r="25" spans="1:8" x14ac:dyDescent="0.25">
      <c r="B25" s="1" t="s">
        <v>9</v>
      </c>
      <c r="C25" s="3">
        <f>(0.3255 + 0.3524 + 0.335 + 0.3353 + 0.3409 + 0.4115 + 0.4085 + 0.3361 + 0.3196 + 0.353)/10</f>
        <v>0.35178000000000004</v>
      </c>
      <c r="D25" s="3">
        <f>(0.011624 + 0.011624 + 0.011624 + 0.011624 + 0.011624 + 0.011624 + 0.011624 + 0.011624 + 0.011624 + 0.011624)/10</f>
        <v>1.1623999999999999E-2</v>
      </c>
      <c r="E25" s="3">
        <f>(5.684599 + 4.8815 + 5.1483 + 6.0384 + 5.6198 + 6.713699 + 6.3941 + 5.0938 + 5.9814 + 5.451801)/10</f>
        <v>5.7007399000000003</v>
      </c>
      <c r="F25" s="3">
        <f>(0.168548583984375 + 0.158645629882812 + 0.1533203125 + 0.16046142578125 + 0.165847778320312 + 0.16925048828125 + 0.167953491210937 + 0.14715576171875 + 0.169181823730468 + 0.151290893554687)/10</f>
        <v>0.16116561889648412</v>
      </c>
      <c r="G25" s="3">
        <v>3.09E-2</v>
      </c>
      <c r="H25" s="3">
        <v>2.7300000000000001E-2</v>
      </c>
    </row>
    <row r="26" spans="1:8" x14ac:dyDescent="0.25">
      <c r="B26" s="1" t="s">
        <v>10</v>
      </c>
      <c r="C26" s="3">
        <f>(0.6823 + 0.8375 + 0.6666 + 0.7213 + 0.6819 + 0.6927 + 0.6625 + 0.8459 + 0.6747 + 0.6979)/10</f>
        <v>0.71632999999999991</v>
      </c>
      <c r="D26" s="3">
        <f>(0.01664 + 0.01664 + 0.01664 + 0.01664 + 0.01664 + 0.01664 + 0.01664 + 0.01664 + 0.01664 + 0.01664)/10</f>
        <v>1.6639999999999995E-2</v>
      </c>
      <c r="E26" s="3">
        <f>(10.5287 + 10.1983 + 10.4228 + 13.3564 + 12.6606 + 14.2547 + 10.5533 + 10.8083 + 10.0052 + 13.7363)/10</f>
        <v>11.652460000000001</v>
      </c>
      <c r="F26" s="3">
        <f>(0.300193786621093 + 0.301872253417968 + 0.301750183105468 + 0.3013916015625 + 0.301712036132812 + 0.3021240234375 + 0.302085876464843 + 0.300559997558593 + 0.301658630371093 + 0.301994323730468)/10</f>
        <v>0.30153427124023374</v>
      </c>
      <c r="G26" s="3">
        <v>7.1199999999999999E-2</v>
      </c>
      <c r="H26" s="3">
        <v>5.8599999999999999E-2</v>
      </c>
    </row>
    <row r="27" spans="1:8" x14ac:dyDescent="0.25">
      <c r="B27" s="1" t="s">
        <v>11</v>
      </c>
      <c r="C27" s="3">
        <f>(0.8669 + 0.9825 + 0.8347 + 0.9328 + 0.828 + 0.8597 + 0.8098 + 0.8602 + 0.8247 + 0.9045)/10</f>
        <v>0.87037999999999993</v>
      </c>
      <c r="D27" s="3">
        <f>(0.01704 + 0.01704 + 0.01704 + 0.01704 + 0.01704 + 0.01704 + 0.01704 + 0.01704 + 0.01704 + 0.01704)/10</f>
        <v>1.704E-2</v>
      </c>
      <c r="E27" s="3">
        <f>(10.3739 + 13.3601 + 11.5564 + 10.2048 + 9.8758 + 11.464 + 10.6126 + 10.7314 + 11.4085 + 9.7416)/10</f>
        <v>10.932910000000001</v>
      </c>
      <c r="F27" s="3">
        <f>(0.296966552734375 + 0.29901123046875 + 0.296844482421875 + 0.29937744140625 + 0.298187255859375 + 0.30010986328125 + 0.30010986328125 + 0.294883728027343 + 0.297782897949218 + 0.297576904296875)/10</f>
        <v>0.29808502197265607</v>
      </c>
      <c r="G27" s="3">
        <v>5.0700000000000002E-2</v>
      </c>
      <c r="H27" s="1">
        <v>2.3439999999999999E-2</v>
      </c>
    </row>
    <row r="28" spans="1:8" x14ac:dyDescent="0.25"/>
    <row r="29" spans="1:8" x14ac:dyDescent="0.25">
      <c r="A29" s="1" t="s">
        <v>15</v>
      </c>
    </row>
    <row r="30" spans="1:8" ht="30" x14ac:dyDescent="0.25">
      <c r="B30" s="1" t="s">
        <v>1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</row>
    <row r="31" spans="1:8" x14ac:dyDescent="0.25">
      <c r="B31" s="1" t="s">
        <v>8</v>
      </c>
      <c r="C31" s="3">
        <f>(1.4085 + 1.4879 + 1.3366 + 1.3388 + 1.3769 + 1.3039 + 1.239 + 1.2806 + 1.3041 + 1.3412)/10</f>
        <v>1.34175</v>
      </c>
      <c r="D31" s="3">
        <f>(0.01208 + 0.01208 + 0.01208 + 0.01208 + 0.01208 + 0.01208 + 0.01208 + 0.01208 + 0.01208 + 0.01208)/10</f>
        <v>1.2080000000000002E-2</v>
      </c>
      <c r="E31" s="3">
        <f>(0.3531 + 0.455799999999999 + 0.392799999999999 + 0.5996 + 0.445 + 0.577899999999999 + 0.381799999999999 + 0.361599999999999 + 0.510399999999999 + 0.578999999999999)/10</f>
        <v>0.46569999999999923</v>
      </c>
      <c r="F31" s="3">
        <f>(0.0163192749023437 + 0.0163192749023437 + 0.00130462646484375 + 0.0164413452148437 + 0.00252532958984375 + 0.0163192749023437 + 0.0163192749023437 + 0.00106048583984375 + 0.0170516967773437 + 0.0182723999023437)/10</f>
        <v>1.2193298339843714E-2</v>
      </c>
      <c r="G31" s="3">
        <v>5.8799999999999998E-2</v>
      </c>
      <c r="H31" s="3">
        <v>7.8700000000000006E-2</v>
      </c>
    </row>
    <row r="32" spans="1:8" x14ac:dyDescent="0.25">
      <c r="B32" s="1" t="s">
        <v>9</v>
      </c>
      <c r="C32" s="3">
        <f>(1.5644 + 1.6738 + 1.5856 + 2.4712 + 1.5979 + 1.6183 + 1.6713 + 1.7009 + 1.6179 + 1.7291)/10</f>
        <v>1.7230400000000003</v>
      </c>
      <c r="D32" s="3">
        <f>(0.067528 + 0.067528 + 0.067528 + 0.067528 + 0.067528 + 0.067528 + 0.067528 + 0.067528 + 0.067528 + 0.067528)/10</f>
        <v>6.7528000000000019E-2</v>
      </c>
      <c r="E32" s="3">
        <f>(5.6143 + 6.8029 + 6.5232 + 8.4428 + 5.5121 + 5.7939 + 6.0672 + 6.1728 + 6.8107 + 6.2199)/10</f>
        <v>6.3959800000000007</v>
      </c>
      <c r="F32" s="3">
        <f>(0.185813903808593 + 0.194534301757812 + 0.190177917480468 + 0.199012756347656 + 0.195419311523437 + 0.173873901367187 + 0.186180114746093 + 0.195297241210937 + 0.194442749023437 + 0.1917724609375)/10</f>
        <v>0.19065246582031203</v>
      </c>
      <c r="G32" s="3">
        <v>7.2599999999999998E-2</v>
      </c>
      <c r="H32" s="3">
        <v>3.5200000000000002E-2</v>
      </c>
    </row>
    <row r="33" spans="1:8" x14ac:dyDescent="0.25">
      <c r="B33" s="1" t="s">
        <v>10</v>
      </c>
      <c r="C33" s="3">
        <f>(2.1586 + 2.1731 + 2.2299 + 2.2642 + 2.2775 + 2.2375 + 2.1676 + 2.1182 + 2.3524 + 2.1314)/10</f>
        <v>2.2110400000000001</v>
      </c>
      <c r="D33" s="3">
        <f>(0.060024 + 0.060024 + 0.060024 + 0.060024 + 0.060024 + 0.060024 + 0.060024 + 0.060024 + 0.060024 + 0.060024)/10</f>
        <v>6.0024000000000001E-2</v>
      </c>
      <c r="E33" s="3">
        <f>(12.1575 + 13.5515 + 14.0794 + 14.2073 + 12.8588 + 12.33 + 13.0263 + 11.4246 + 12.6513 + 13.1497)/10</f>
        <v>12.943640000000002</v>
      </c>
      <c r="F33" s="3">
        <f>(0.310630798339843 + 0.312217712402343 + 0.310752868652343 + 0.306724548339843 + 0.310142517089843 + 0.310508728027343 + 0.312217712402343 + 0.31072998046875 + 0.309898376464843 + 0.296470642089843)/10</f>
        <v>0.30902938842773364</v>
      </c>
      <c r="G33" s="3">
        <v>0.18279999999999999</v>
      </c>
      <c r="H33" s="3">
        <v>6.7400000000000002E-2</v>
      </c>
    </row>
    <row r="34" spans="1:8" x14ac:dyDescent="0.25">
      <c r="B34" s="1" t="s">
        <v>11</v>
      </c>
      <c r="C34" s="3">
        <f>(2.849 + 3.1136 + 2.8392 + 2.9404 + 2.8627 + 3.0817 + 2.7977 + 2.8606 + 3.3393 + 2.8349)/10</f>
        <v>2.9519100000000007</v>
      </c>
      <c r="D34" s="3">
        <f>(0.062312 + 0.062312 + 0.062312 + 0.062312 + 0.062312 + 0.062312 + 0.062312 + 0.062312 + 0.062312 + 0.062312)/10</f>
        <v>6.2311999999999999E-2</v>
      </c>
      <c r="E34" s="3">
        <f>(11.0541 + 11.0745 + 12.8827 + 12.4812 + 12.856 + 12.9429 + 11.9015 + 13.0818 + 13.2362 + 12.0416)/10</f>
        <v>12.35525</v>
      </c>
      <c r="F34" s="3">
        <f>(0.304824829101562 + 0.303237915039062 + 0.303848266601562 + 0.300674438476562 + 0.303604125976562 + 0.303726196289062 + 0.305068969726562 + 0.303237915039062 + 0.307266235351562 + 0.301406860351562)/10</f>
        <v>0.30368957519531203</v>
      </c>
      <c r="G34" s="3">
        <v>0.14460000000000001</v>
      </c>
      <c r="H34" s="3">
        <v>3.3300000000000003E-2</v>
      </c>
    </row>
    <row r="35" spans="1:8" x14ac:dyDescent="0.25"/>
    <row r="36" spans="1:8" x14ac:dyDescent="0.25">
      <c r="A36" s="1" t="s">
        <v>16</v>
      </c>
    </row>
    <row r="37" spans="1:8" ht="30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</row>
    <row r="38" spans="1:8" x14ac:dyDescent="0.25">
      <c r="B38" s="1" t="s">
        <v>8</v>
      </c>
      <c r="C38" s="3">
        <f>(1.2852 + 1.3195 + 1.3271 + 1.3562 + 1.3597 + 1.2711 + 1.3233 + 1.3889 + 1.3086 + 1.2939)/10</f>
        <v>1.32335</v>
      </c>
      <c r="D38" s="3">
        <f>(0.021664 + 0.021664 + 0.021664 + 0.021664 + 0.021664 + 0.021664 + 0.021664 + 0.021664 + 0.021664 + 0.021664)/10</f>
        <v>2.1663999999999996E-2</v>
      </c>
      <c r="E38" s="3">
        <f>(0.400301 + 0.4072 + 0.359999999999999 + 0.358899999999999 + 0.414399999999999 + 0.505199999999999 + 0.4883 + 0.439 + 0.655 + 0.349198999999999)/10</f>
        <v>0.43774999999999953</v>
      </c>
      <c r="F38" s="3">
        <f>(0.0170516967773437 + 0.0163192749023437 + 0.00106048583984375 + 0.0163192749023437 + 0.0163192749023437 + 0.00203704833984375 + 0.00445556640625 + 0.0163192749023437 + 0.01873779296875 + 0.0163192749023437)/10</f>
        <v>1.249389648437497E-2</v>
      </c>
      <c r="G38" s="3">
        <v>4.2200000000000001E-2</v>
      </c>
      <c r="H38" s="3">
        <v>8.1199999999999994E-2</v>
      </c>
    </row>
    <row r="39" spans="1:8" x14ac:dyDescent="0.25">
      <c r="B39" s="1" t="s">
        <v>9</v>
      </c>
      <c r="C39" s="3">
        <f>(0.9385 + 0.9334 + 0.9494 + 0.9206 + 0.8992 + 0.9709 + 0.9101 + 0.9429 + 0.8923 + 0.9369)/10</f>
        <v>0.92942000000000002</v>
      </c>
      <c r="D39" s="3">
        <f>(0.034408 + 0.034408 + 0.034408 + 0.034408 + 0.034408 + 0.034408 + 0.034408 + 0.034408 + 0.034408 + 0.034408)/10</f>
        <v>3.4408000000000001E-2</v>
      </c>
      <c r="E39" s="3">
        <f>(7.522399 + 6.4591 + 5.6458 + 5.2955 + 6.2947 + 6.359 + 7.0759 + 7.5402 + 5.908001 + 6.180301)/10</f>
        <v>6.4280901000000004</v>
      </c>
      <c r="F39" s="3">
        <f>(0.192115783691406 + 0.196121215820312 + 0.19287109375 + 0.178421020507812 + 0.176254272460937 + 0.189582824707031 + 0.197288513183593 + 0.195755004882812 + 0.1929931640625 + 0.183952331542968)/10</f>
        <v>0.18953552246093713</v>
      </c>
      <c r="G39" s="4">
        <v>5.5800000000000002E-2</v>
      </c>
      <c r="H39" s="3">
        <v>3.44E-2</v>
      </c>
    </row>
    <row r="40" spans="1:8" x14ac:dyDescent="0.25">
      <c r="B40" s="1" t="s">
        <v>10</v>
      </c>
      <c r="C40" s="3">
        <f>(1.846 + 1.9587 + 1.9705 + 1.9638 + 1.8014 + 1.962 + 1.7833 + 1.8827 + 1.7892 + 1.8769)/10</f>
        <v>1.8834499999999998</v>
      </c>
      <c r="D40" s="3">
        <f>(0.05224 + 0.05224 + 0.05224 + 0.05224 + 0.05224 + 0.05224 + 0.05224 + 0.05224 + 0.05224 + 0.05224)/10</f>
        <v>5.2239999999999995E-2</v>
      </c>
      <c r="E40" s="3">
        <f>(14.5722 + 11.450399 + 13.8419 + 10.876799 + 12.1636 + 11.4281 + 11.785 + 11.0242 + 13.3234 + 13.3278)/10</f>
        <v>12.3793398</v>
      </c>
      <c r="F40" s="3">
        <f>(0.310073852539062 + 0.308731079101562 + 0.307876586914062 + 0.309341430664062 + 0.308120727539062 + 0.297012329101562 + 0.310928344726562 + 0.309463500976562 + 0.308731079101562 + 0.309951782226562)/10</f>
        <v>0.30802307128906203</v>
      </c>
      <c r="G40" s="3">
        <v>0.17100000000000001</v>
      </c>
      <c r="H40" s="3">
        <v>6.6400000000000001E-2</v>
      </c>
    </row>
    <row r="41" spans="1:8" x14ac:dyDescent="0.25">
      <c r="B41" s="1" t="s">
        <v>11</v>
      </c>
      <c r="C41" s="3">
        <f>(2.102 + 2.3036 + 2.0392 + 2.3012 + 2.0945 + 2.2026 + 2.1131 + 2.9689 + 2.1657 + 2.1485)/10</f>
        <v>2.2439300000000002</v>
      </c>
      <c r="D41" s="3">
        <f>(0.05296 + 0.05296 + 0.05296 + 0.05296 + 0.05296 + 0.05296 + 0.05296 + 0.05296 + 0.05296 + 0.05296)/10</f>
        <v>5.2959999999999993E-2</v>
      </c>
      <c r="E41" s="3">
        <f>(12.3171 + 11.4057 + 11.9106 + 12.8 + 11.9041 + 12.1523 + 11.5028 + 13.034 + 14.5725 + 13.1079)/10</f>
        <v>12.470700000000003</v>
      </c>
      <c r="F41" s="3">
        <f>(0.308387756347656 + 0.307655334472656 + 0.304969787597656 + 0.305335998535156 + 0.304847717285156 + 0.307411193847656 + 0.303382873535156 + 0.289276123046875 + 0.304115295410156 + 0.291419982910156)/10</f>
        <v>0.30268020629882786</v>
      </c>
      <c r="G41" s="3">
        <v>0.1143</v>
      </c>
      <c r="H41" s="3">
        <v>3.1300000000000001E-2</v>
      </c>
    </row>
    <row r="42" spans="1:8" x14ac:dyDescent="0.25"/>
    <row r="43" spans="1:8" x14ac:dyDescent="0.25">
      <c r="A43" s="1" t="s">
        <v>17</v>
      </c>
    </row>
    <row r="44" spans="1:8" ht="30" x14ac:dyDescent="0.25">
      <c r="B44" s="1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</row>
    <row r="45" spans="1:8" x14ac:dyDescent="0.25">
      <c r="B45" s="1" t="s">
        <v>8</v>
      </c>
      <c r="C45" s="3">
        <f>(5.1184 + 5.3344 + 4.9245 + 5.3391 + 5.0425 + 5.1517 + 5.3234 + 5.185 + 5.2337 + 5.2376)/10</f>
        <v>5.1890300000000007</v>
      </c>
      <c r="D45" s="3">
        <f>(0.026784 + 0.026784 + 0.026784 + 0.026784 + 0.026784 + 0.026784 + 0.026784 + 0.026784 + 0.026784 + 0.026784)/10</f>
        <v>2.6783999999999995E-2</v>
      </c>
      <c r="E45" s="3">
        <f>(1.27089999999999 + 1.36969999999999 + 1.4749 + 1.5235 + 1.1854 + 1.49059999999999 + 1.0557 + 1.2208 + 1.3505 + 1.1122)/10</f>
        <v>1.3054199999999969</v>
      </c>
      <c r="F45" s="3">
        <f>(0.0163192749023437 + 0.0163192749023437 + 0.0135421752929687 + 0.0163192749023437 + 0.0163192749023437 + 0.0227890014648437 + 0.0163192749023437 + 0.0163192749023437 + 0.0163192749023437 + 0.0163192749023437)/10</f>
        <v>1.6688537597656199E-2</v>
      </c>
      <c r="G45" s="3">
        <v>0.2248</v>
      </c>
      <c r="H45" s="3">
        <v>8.5099999999999995E-2</v>
      </c>
    </row>
    <row r="46" spans="1:8" x14ac:dyDescent="0.25">
      <c r="B46" s="1" t="s">
        <v>9</v>
      </c>
      <c r="C46" s="3">
        <f>(9.1613 + 8.5668 + 8.1426 + 8.6972 + 8.1521 + 9.2403 + 8.2932 + 8.8844 + 8.2426 + 8.6983)/10</f>
        <v>8.6078799999999998</v>
      </c>
      <c r="D46" s="3">
        <f>(0.29072 + 0.29072 + 0.29072 + 0.29072 + 0.29072 + 0.29072 + 0.29072 + 0.29072)/10</f>
        <v>0.23257599999999995</v>
      </c>
      <c r="E46" s="3">
        <f>(8.599 + 9.9592 + 11.3713 + 7.98 + 8.4763 + 9.2555 + 8.639 + 10.1428 + 11.9759 + 8.5136)/10</f>
        <v>9.4912599999999987</v>
      </c>
      <c r="F46" s="3">
        <f>(0.202056884765625 + 0.201812744140625 + 0.202728271484375 + 0.197540283203125 + 0.220062255859375 + 0.198570251464843 + 0.218154907226562 + 0.205780029296875 + 0.219085693359375 + 0.206878662109375)/10</f>
        <v>0.20726699829101553</v>
      </c>
      <c r="G46" s="3">
        <v>0.26019999999999999</v>
      </c>
      <c r="H46" s="3">
        <v>4.8399999999999999E-2</v>
      </c>
    </row>
    <row r="47" spans="1:8" x14ac:dyDescent="0.25">
      <c r="B47" s="1" t="s">
        <v>10</v>
      </c>
      <c r="C47" s="3">
        <f>(7.9624 + 8.4282 + 8.2604 + 8.4994 + 7.9415 + 8.7883 + 8.2631 + 8.7371 + 7.9417 + 8.096)/10</f>
        <v>8.2918099999999999</v>
      </c>
      <c r="D47" s="3">
        <f>(0.218184 + 0.218184 + 0.218184 + 0.218184 + 0.218184 + 0.218184 + 0.218184 + 0.218184 + 0.218184 + 0.218184)/10</f>
        <v>0.21818399999999999</v>
      </c>
      <c r="E47" s="3">
        <f>(15.5682 + 19.14 + 17.6784 + 19.2826 + 14.4845 + 15.8686 + 17.0816 + 16.8468 + 17.2831 + 15.4718)/10</f>
        <v>16.870560000000001</v>
      </c>
      <c r="F47" s="3">
        <f>(0.347618103027343 + 0.342735290527343 + 0.351768493652343 + 0.347862243652343 + 0.344200134277343 + 0.343345642089843 + 0.345420837402343 + 0.345176696777343 + 0.346031188964843 + 0.344688415527343)/10</f>
        <v>0.34588470458984288</v>
      </c>
      <c r="G47" s="3">
        <v>0.71809999999999996</v>
      </c>
      <c r="H47" s="3">
        <v>8.8300000000000003E-2</v>
      </c>
    </row>
    <row r="48" spans="1:8" x14ac:dyDescent="0.25">
      <c r="B48" s="1" t="s">
        <v>11</v>
      </c>
      <c r="C48" s="3">
        <f>(12.9711 + 14.1757 + 13.1622 + 14.0351 + 13.1122 + 13.3986 + 13.1451 + 13.863 + 13.0212 + 13.8803)/10</f>
        <v>13.47645</v>
      </c>
      <c r="D48" s="3">
        <f>(0.255424 + 0.255424 + 0.255424 + 0.255424 + 0.255424 + 0.255424 + 0.255424 + 0.255424 + 0.255424 + 0.255424)/10</f>
        <v>0.25542400000000004</v>
      </c>
      <c r="E48" s="3">
        <f>(19.7327 + 17.6577 + 16.5026 + 17.0739 + 14.7204 + 17.8167 + 18.3374 + 16.1255 + 16.6221 + 16.7332)/10</f>
        <v>17.132219999999997</v>
      </c>
      <c r="F48" s="3">
        <f>(0.347488403320312 + 0.344558715820312 + 0.345535278320312 + 0.345291137695312 + 0.345291137695312 + 0.345413208007812 + 0.356765747070312 + 0.342605590820312 + 0.341629028320312 + 0.346389770507812)/10</f>
        <v>0.34609680175781199</v>
      </c>
      <c r="G48" s="3">
        <v>0.41410000000000002</v>
      </c>
      <c r="H48" s="3">
        <v>5.5500000000000001E-2</v>
      </c>
    </row>
    <row r="49" spans="1:8" x14ac:dyDescent="0.25"/>
    <row r="50" spans="1:8" x14ac:dyDescent="0.25">
      <c r="A50" s="1" t="s">
        <v>18</v>
      </c>
    </row>
    <row r="51" spans="1:8" ht="30" x14ac:dyDescent="0.25">
      <c r="B51" s="1" t="s">
        <v>1</v>
      </c>
      <c r="C51" s="2" t="s">
        <v>2</v>
      </c>
      <c r="D51" s="2" t="s">
        <v>3</v>
      </c>
      <c r="E51" s="2" t="s">
        <v>4</v>
      </c>
      <c r="F51" s="2" t="s">
        <v>5</v>
      </c>
      <c r="G51" s="2" t="s">
        <v>6</v>
      </c>
      <c r="H51" s="2" t="s">
        <v>7</v>
      </c>
    </row>
    <row r="52" spans="1:8" x14ac:dyDescent="0.25">
      <c r="B52" s="1" t="s">
        <v>8</v>
      </c>
      <c r="C52" s="3">
        <f>(5.206 + 5.53 + 5.3236 + 5.5334 + 5.3559 + 5.1729 + 5.666 + 4.9619 + 5.4388 + 5.2822)/10</f>
        <v>5.3470700000000004</v>
      </c>
      <c r="D52" s="3">
        <f>(0.051312 + 0.051312 + 0.051312 + 0.051312 + 0.051312 + 0.051312 + 0.051312 + 0.051312 + 0.051312 + 0.051312)/10</f>
        <v>5.131200000000001E-2</v>
      </c>
      <c r="E52" s="3">
        <f>(1.00699999999999 + 1.31299999999999 + 1.14389999999999 + 1.33299999999999 + 1.3265 + 1.4809 + 1.072 + 1.12189999999999 + 1.0322 + 1.68029999999999)/10</f>
        <v>1.2510699999999939</v>
      </c>
      <c r="F52" s="3">
        <f>(0.0163192749023437 + 0.0152206420898437 + 0.0163192749023437 + 0.0163192749023437 + 0.0193710327148437 + 0.0163192749023437 + 0.0182723999023437 + 0.0304794311523437 + 0.0163192749023437 + 0.0150985717773437)/10</f>
        <v>1.8003845214843696E-2</v>
      </c>
      <c r="G52" s="3">
        <v>0.22650000000000001</v>
      </c>
      <c r="H52" s="3">
        <v>8.5099999999999995E-2</v>
      </c>
    </row>
    <row r="53" spans="1:8" x14ac:dyDescent="0.25">
      <c r="B53" s="1" t="s">
        <v>9</v>
      </c>
      <c r="C53" s="3">
        <f>(7.8782 + 8.2462 + 7.978 + 8.8302 + 8.4622 + 8.3692 + 7.7336 + 8.3694 + 7.8573 + 8.0571)/10</f>
        <v>8.1781400000000009</v>
      </c>
      <c r="D53" s="3">
        <f>(0.277712 + 0.277712 + 0.277712 + 0.277712 + 0.277712 + 0.277712 + 0.277712 + 0.277712 + 0.277712 + 0.277712)/10</f>
        <v>0.27771200000000007</v>
      </c>
      <c r="E53" s="3">
        <f>(10.0895 + 8.0472 + 9.5365 + 9.2211 + 8.6646 + 7.3319 + 10.3363 + 7.879 + 8.7551 + 8.6535)/10</f>
        <v>8.8514699999999991</v>
      </c>
      <c r="F53" s="3">
        <f>(0.209991455078125 + 0.207908630371093 + 0.221099853515625 + 0.204734802246093 + 0.208839416503906 + 0.205780029296875 + 0.208175659179687 + 0.220680236816406 + 0.206153869628906 + 0.207771301269531)/10</f>
        <v>0.21011352539062469</v>
      </c>
      <c r="G53" s="3">
        <v>0.25740000000000002</v>
      </c>
      <c r="H53" s="3">
        <v>4.53E-2</v>
      </c>
    </row>
    <row r="54" spans="1:8" x14ac:dyDescent="0.25">
      <c r="B54" s="1" t="s">
        <v>10</v>
      </c>
      <c r="C54" s="3">
        <f>(15.067 + 15.8706 + 14.7661 + 17.0353 + 14.7869 + 15.9377 + 14.743 + 17.1954 + 14.9488 + 15.3458)/10</f>
        <v>15.569659999999999</v>
      </c>
      <c r="D54" s="3">
        <f>(0.416592 + 0.416592 + 0.416592 + 0.416592 + 0.416592 + 0.416592 + 0.416592 + 0.416592 + 0.416592 + 0.416592)/10</f>
        <v>0.41659199999999996</v>
      </c>
      <c r="E54" s="3">
        <f>(21.3259 + 20.4671 + 19.646 + 17.5306 + 19.4556 + 21.3343 + 22.5194 + 18.2882 + 20.5554 + 19.2016)/10</f>
        <v>20.032409999999999</v>
      </c>
      <c r="F54" s="3">
        <f>(0.355903625488281 + 0.357734680175781 + 0.360252380371093 + 0.361473083496093 + 0.354682922363281 + 0.356025695800781 + 0.354881286621093 + 0.358222961425781 + 0.353706359863281 + 0.375267028808593)/10</f>
        <v>0.35881500244140574</v>
      </c>
      <c r="G54" s="3">
        <v>1.0254000000000001</v>
      </c>
      <c r="H54" s="3">
        <v>9.1399999999999995E-2</v>
      </c>
    </row>
    <row r="55" spans="1:8" x14ac:dyDescent="0.25">
      <c r="B55" s="1" t="s">
        <v>11</v>
      </c>
      <c r="C55" s="3">
        <f>(20.4615 + 21.9334 + 20.571 + 21.1107 + 20.0247 + 21.4575 + 20.1626 + 21.3989 + 20.1777 + 22.2503)/10</f>
        <v>20.954830000000001</v>
      </c>
      <c r="D55" s="3">
        <f>(0.41688 + 0.41688 + 0.41688 + 0.41688 + 0.41688 + 0.41688 + 0.41688 + 0.41688 + 0.41688 + 0.41688)/10</f>
        <v>0.41688000000000003</v>
      </c>
      <c r="E55" s="3">
        <f>(21.1925 + 20.3871 + 21.1917 + 22.3086 + 19.4907 + 19.8716 + 20.5488 + 22.4049 + 19.1389 + 18.7133)/10</f>
        <v>20.524809999999999</v>
      </c>
      <c r="F55" s="3">
        <f>(0.344810485839843 + 0.342018127441406 + 0.351539611816406 + 0.344444274902343 + 0.3348388671875 + 0.344581604003906 + 0.370704650878906 + 0.362525939941406 + 0.344825744628906 + 0.342872619628906)/10</f>
        <v>0.34831619262695268</v>
      </c>
      <c r="G55" s="3">
        <v>0.8266</v>
      </c>
      <c r="H55" s="3">
        <v>5.7799999999999997E-2</v>
      </c>
    </row>
    <row r="56" spans="1:8" x14ac:dyDescent="0.25"/>
    <row r="57" spans="1:8" x14ac:dyDescent="0.25">
      <c r="A57" s="1" t="s">
        <v>19</v>
      </c>
    </row>
    <row r="58" spans="1:8" ht="30" x14ac:dyDescent="0.25">
      <c r="B58" s="1" t="s">
        <v>1</v>
      </c>
      <c r="C58" s="2" t="s">
        <v>2</v>
      </c>
      <c r="D58" s="2" t="s">
        <v>3</v>
      </c>
      <c r="E58" s="2" t="s">
        <v>4</v>
      </c>
      <c r="F58" s="2" t="s">
        <v>5</v>
      </c>
      <c r="G58" s="2" t="s">
        <v>6</v>
      </c>
      <c r="H58" s="2" t="s">
        <v>7</v>
      </c>
    </row>
    <row r="59" spans="1:8" x14ac:dyDescent="0.25">
      <c r="B59" s="1" t="s">
        <v>8</v>
      </c>
      <c r="C59" s="3">
        <f>(20.0963 + 20.6909 + 21.444 + 20.4265 + 21.5067 + 19.7933 + 22.0101 + 20.1362 + 20.9278 + 20.1616)/10</f>
        <v>20.719339999999999</v>
      </c>
      <c r="D59" s="3">
        <f>(0.095568 + 0.095568 + 0.095568 + 0.095568 + 0.095568 + 0.095568 + 0.095568 + 0.095568 + 0.095568 + 0.095568)/10</f>
        <v>9.5568E-2</v>
      </c>
      <c r="E59" s="3">
        <f>(3.9468 + 3.63189999999999 + 4.39189999999999 + 3.4051 + 3.8919 + 3.87259999999999 + 4.5265 + 3.85369999999999 + 4.1924 + 4.00359999999999)/10</f>
        <v>3.971639999999995</v>
      </c>
      <c r="F59" s="3">
        <f>(0.0214462280273437 + 0.0214462280273437 + 0.0214462280273437 + 0.0213241577148437 + 0.0213241577148437 + 0.0214462280273437 + 0.0202255249023437 + 0.0214462280273437 + 0.0214462280273437 + 0.0214462280273437)/10</f>
        <v>2.1299743652343696E-2</v>
      </c>
      <c r="G59" s="3">
        <v>0.91979999999999995</v>
      </c>
      <c r="H59" s="3">
        <v>0.124</v>
      </c>
    </row>
    <row r="60" spans="1:8" x14ac:dyDescent="0.25">
      <c r="B60" s="1" t="s">
        <v>9</v>
      </c>
      <c r="C60" s="3">
        <f>(33.8941 + 36.2944 + 34.7314 + 36.3369 + 33.1303 + 36.4222 + 35.6301 + 36.2564 + 32.8736 + 35.5895)/10</f>
        <v>35.11589</v>
      </c>
      <c r="D60" s="3">
        <f>(1.15564 + 1.15564 + 1.15564 + 1.15564 + 1.15564 + 1.15564 + 1.15564 + 1.15564 + 1.15564 + 1.15564)/10</f>
        <v>1.15564</v>
      </c>
      <c r="E60" s="3">
        <f>(15.8921 + 19.5558 + 19.4767 + 19.7261 + 16.9701 + 16.6334 + 15.4976 + 17.4744 + 16.391 + 16.7672)/10</f>
        <v>17.43844</v>
      </c>
      <c r="F60" s="3">
        <f>(0.229034423828125 + 0.215805053710937 + 0.222213745117187 + 0.218826293945312 + 0.215278625488281 + 0.218269348144531 + 0.229721069335937 + 0.217903137207031 + 0.241989135742187 + 0.227462768554687)/10</f>
        <v>0.22365036010742151</v>
      </c>
      <c r="G60" s="3">
        <v>1.1039000000000001</v>
      </c>
      <c r="H60" s="3">
        <v>0.1118</v>
      </c>
    </row>
    <row r="61" spans="1:8" x14ac:dyDescent="0.25">
      <c r="B61" s="1" t="s">
        <v>10</v>
      </c>
      <c r="C61" s="3">
        <f>(50.977 + 53.2499 + 50.4143 + 52.0959 + 49.3386 + 52.1766 + 49.6616 + 52.3799 + 49.1279 + 53.8138)/10</f>
        <v>51.323549999999997</v>
      </c>
      <c r="D61" s="3">
        <f>(1.111808 + 1.111808 + 1.111808 + 1.111808 + 1.111808 + 1.111808 + 1.111808 + 1.111808 + 1.111808 + 1.111808)/10</f>
        <v>1.1118079999999999</v>
      </c>
      <c r="E61" s="3">
        <f>(29.5191 + 30.8446 + 29.6313 + 30.6964 + 37.0214 + 32.3784 + 31.9124 + 28.3759 + 28.8225 + 30.0204)/10</f>
        <v>30.922239999999999</v>
      </c>
      <c r="F61" s="3">
        <f>(4.38533020019531 + 4.37764739990234 + 4.37972259521484 + 4.3853759765625 + 4.39154052734375 + 4.3822021484375 + 4.3851318359375 + 4.38714599609375 + 4.3836669921875 + 4.383544921875)/10</f>
        <v>4.3841308593749986</v>
      </c>
      <c r="G61" s="3">
        <v>3.7593999999999999</v>
      </c>
      <c r="H61" s="3">
        <v>0.17580000000000001</v>
      </c>
    </row>
    <row r="62" spans="1:8" x14ac:dyDescent="0.25">
      <c r="B62" s="1" t="s">
        <v>11</v>
      </c>
      <c r="C62" s="3">
        <f>(78.5198 + 82.7381 + 80.7936 + 83.31 + 79.4648 + 81.7851 + 80.3375 + 82.19 + 77.2832 + 82.4809)/10</f>
        <v>80.890299999999996</v>
      </c>
      <c r="D62" s="3">
        <f>(1.670096 + 1.670096 + 1.670096 + 1.670096 + 1.670096 + 1.670096 + 1.670096 + 1.670096 + 1.670096 + 1.670096)/10</f>
        <v>1.6700960000000005</v>
      </c>
      <c r="E62" s="3">
        <f>(35.2814 + 35.6092 + 35.9972 + 33.3905 + 29.1694 + 32.5566 + 36.3421 + 32.4135 + 32.9768 + 32.3484)/10</f>
        <v>33.608510000000003</v>
      </c>
      <c r="F62" s="3">
        <f>(4.38048553466796 + 4.38488006591796 + 4.38109588623046 + 4.3804702758789 + 4.38463592529296 + 4.37718963623046 + 4.39366912841796 + 4.37975311279296 + 4.37950897216796 + 4.38011932373046)/10</f>
        <v>4.382180786132805</v>
      </c>
      <c r="G62" s="3">
        <v>3.2334999999999998</v>
      </c>
      <c r="H62" s="3">
        <v>0.16009999999999999</v>
      </c>
    </row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Schellenberg</dc:creator>
  <cp:lastModifiedBy>Virginia Schellenberg</cp:lastModifiedBy>
  <dcterms:created xsi:type="dcterms:W3CDTF">2015-06-05T18:19:34Z</dcterms:created>
  <dcterms:modified xsi:type="dcterms:W3CDTF">2024-12-19T10:16:55Z</dcterms:modified>
</cp:coreProperties>
</file>