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13_ncr:1_{F854D9B3-9673-4605-8573-72672ED59A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4" i="1" l="1"/>
  <c r="I245" i="1"/>
  <c r="I225" i="1" l="1"/>
  <c r="I226" i="1" s="1"/>
  <c r="I222" i="1"/>
  <c r="I223" i="1" s="1"/>
  <c r="I215" i="1"/>
  <c r="I216" i="1" s="1"/>
  <c r="I210" i="1"/>
  <c r="I213" i="1" s="1"/>
  <c r="I191" i="1" l="1"/>
  <c r="I192" i="1" s="1"/>
  <c r="E165" i="1"/>
  <c r="I49" i="1"/>
  <c r="I43" i="1"/>
  <c r="I42" i="1"/>
  <c r="I22" i="1"/>
  <c r="I174" i="1" l="1"/>
  <c r="I168" i="1"/>
  <c r="I156" i="1"/>
  <c r="I158" i="1" s="1"/>
  <c r="I139" i="1"/>
  <c r="I109" i="1"/>
  <c r="I101" i="1"/>
  <c r="I102" i="1" s="1"/>
  <c r="I81" i="1"/>
  <c r="I83" i="1" s="1"/>
  <c r="I93" i="1" s="1"/>
  <c r="I50" i="1"/>
  <c r="I51" i="1" s="1"/>
  <c r="I23" i="1"/>
  <c r="I10" i="1"/>
  <c r="I14" i="1" s="1"/>
  <c r="I58" i="1" l="1"/>
  <c r="I68" i="1" s="1"/>
  <c r="I24" i="1"/>
  <c r="I145" i="1"/>
  <c r="I19" i="1"/>
  <c r="I15" i="1"/>
  <c r="I17" i="1"/>
  <c r="I11" i="1"/>
  <c r="I18" i="1" l="1"/>
  <c r="I60" i="1"/>
  <c r="I98" i="1" s="1"/>
  <c r="I104" i="1" s="1"/>
  <c r="I52" i="1"/>
  <c r="I65" i="1" s="1"/>
  <c r="I64" i="1" s="1"/>
  <c r="I63" i="1" s="1"/>
  <c r="I59" i="1"/>
  <c r="I61" i="1" s="1"/>
  <c r="I67" i="1" l="1"/>
  <c r="I69" i="1" s="1"/>
  <c r="I87" i="1"/>
  <c r="I89" i="1" s="1"/>
  <c r="I111" i="1" l="1"/>
  <c r="I114" i="1" s="1"/>
  <c r="I94" i="1"/>
  <c r="I134" i="1"/>
  <c r="I160" i="1" s="1"/>
  <c r="I163" i="1" s="1"/>
  <c r="I110" i="1" l="1"/>
  <c r="I140" i="1"/>
  <c r="I146" i="1"/>
  <c r="I193" i="1"/>
  <c r="I195" i="1" s="1"/>
  <c r="I196" i="1" s="1"/>
  <c r="I165" i="1"/>
  <c r="I170" i="1"/>
  <c r="I169" i="1"/>
  <c r="I136" i="1"/>
  <c r="I179" i="1"/>
  <c r="I172" i="1"/>
  <c r="I115" i="1"/>
  <c r="I117" i="1" s="1"/>
  <c r="I166" i="1"/>
  <c r="I200" i="1" l="1"/>
  <c r="I201" i="1" s="1"/>
  <c r="I202" i="1" s="1"/>
  <c r="I203" i="1"/>
  <c r="I171" i="1"/>
  <c r="I173" i="1" s="1"/>
  <c r="I167" i="1"/>
  <c r="I204" i="1" l="1"/>
</calcChain>
</file>

<file path=xl/sharedStrings.xml><?xml version="1.0" encoding="utf-8"?>
<sst xmlns="http://schemas.openxmlformats.org/spreadsheetml/2006/main" count="542" uniqueCount="349">
  <si>
    <r>
      <rPr>
        <sz val="11"/>
        <color theme="1"/>
        <rFont val="Calibri"/>
      </rPr>
      <t>P</t>
    </r>
    <r>
      <rPr>
        <sz val="11"/>
        <color theme="1"/>
        <rFont val="Calibri"/>
      </rPr>
      <t>L</t>
    </r>
  </si>
  <si>
    <t>W</t>
  </si>
  <si>
    <r>
      <rPr>
        <sz val="11"/>
        <color theme="1"/>
        <rFont val="Calibri"/>
      </rPr>
      <t>V</t>
    </r>
    <r>
      <rPr>
        <sz val="11"/>
        <color theme="1"/>
        <rFont val="Calibri"/>
      </rPr>
      <t>in</t>
    </r>
  </si>
  <si>
    <t>V</t>
  </si>
  <si>
    <r>
      <rPr>
        <sz val="11"/>
        <color theme="1"/>
        <rFont val="Calibri"/>
      </rPr>
      <t>Z</t>
    </r>
    <r>
      <rPr>
        <sz val="11"/>
        <color theme="1"/>
        <rFont val="Calibri"/>
      </rPr>
      <t>in</t>
    </r>
  </si>
  <si>
    <t>Ω</t>
  </si>
  <si>
    <r>
      <rPr>
        <sz val="11"/>
        <color theme="1"/>
        <rFont val="Calibri"/>
      </rPr>
      <t>R</t>
    </r>
    <r>
      <rPr>
        <sz val="11"/>
        <color theme="1"/>
        <rFont val="Calibri"/>
      </rPr>
      <t>L</t>
    </r>
  </si>
  <si>
    <t>BW</t>
  </si>
  <si>
    <t>Hz</t>
  </si>
  <si>
    <t>Méo phi tuyến</t>
  </si>
  <si>
    <t>%</t>
  </si>
  <si>
    <t>Hệ số sử dụng nguồn ɛ</t>
  </si>
  <si>
    <t>1. Tầng công suất</t>
  </si>
  <si>
    <t>GT tính toán</t>
  </si>
  <si>
    <t>GT chọn</t>
  </si>
  <si>
    <t>Đơn vị</t>
  </si>
  <si>
    <t>Công thức</t>
  </si>
  <si>
    <r>
      <rPr>
        <sz val="11"/>
        <color theme="1"/>
        <rFont val="Calibri"/>
      </rPr>
      <t>V</t>
    </r>
    <r>
      <rPr>
        <sz val="11"/>
        <color theme="1"/>
        <rFont val="Calibri"/>
      </rPr>
      <t>CC</t>
    </r>
  </si>
  <si>
    <t>60 V</t>
  </si>
  <si>
    <t>2VLP/ɛ</t>
  </si>
  <si>
    <r>
      <rPr>
        <sz val="11"/>
        <color theme="1"/>
        <rFont val="Calibri"/>
      </rPr>
      <t>I</t>
    </r>
    <r>
      <rPr>
        <sz val="11"/>
        <color theme="1"/>
        <rFont val="Calibri"/>
      </rPr>
      <t>C</t>
    </r>
  </si>
  <si>
    <r>
      <rPr>
        <sz val="11"/>
        <color theme="1"/>
        <rFont val="Calibri"/>
      </rPr>
      <t>20</t>
    </r>
    <r>
      <rPr>
        <sz val="11"/>
        <color theme="1"/>
        <rFont val="Calibri"/>
      </rPr>
      <t>÷50mA</t>
    </r>
  </si>
  <si>
    <t>A</t>
  </si>
  <si>
    <t>Do Q1, Q2 làm việc ở chế độ AB</t>
  </si>
  <si>
    <t>Chọn IC = 50mA</t>
  </si>
  <si>
    <r>
      <rPr>
        <sz val="11"/>
        <color theme="1"/>
        <rFont val="Calibri"/>
      </rPr>
      <t>I</t>
    </r>
    <r>
      <rPr>
        <sz val="11"/>
        <color theme="1"/>
        <rFont val="Calibri"/>
      </rPr>
      <t>LP</t>
    </r>
  </si>
  <si>
    <t>VLP/RL</t>
  </si>
  <si>
    <t>Tính chọn R1,R2</t>
  </si>
  <si>
    <r>
      <rPr>
        <sz val="11"/>
        <color theme="1"/>
        <rFont val="Calibri"/>
      </rPr>
      <t>V</t>
    </r>
    <r>
      <rPr>
        <sz val="11"/>
        <color theme="1"/>
        <rFont val="Calibri"/>
      </rPr>
      <t>R1P</t>
    </r>
  </si>
  <si>
    <t>VLP/20</t>
  </si>
  <si>
    <t>VRP1/IEP1</t>
  </si>
  <si>
    <t>Tính chọn Q1,Q2</t>
  </si>
  <si>
    <t>PTTAC max</t>
  </si>
  <si>
    <t>PTTDC</t>
  </si>
  <si>
    <t xml:space="preserve">PTT∑ </t>
  </si>
  <si>
    <t>Chọn Q1, Q2 TMĐK:</t>
  </si>
  <si>
    <t>Sau khi tra cứu ta tìm được là:</t>
  </si>
  <si>
    <t xml:space="preserve">BJT </t>
  </si>
  <si>
    <t xml:space="preserve">Pcmax (W) </t>
  </si>
  <si>
    <t>Ic (A)</t>
  </si>
  <si>
    <t xml:space="preserve">β (hfe) </t>
  </si>
  <si>
    <t>VCEo (V)</t>
  </si>
  <si>
    <t>fgh (MHz)</t>
  </si>
  <si>
    <t>loại</t>
  </si>
  <si>
    <t>SN</t>
  </si>
  <si>
    <t>SP</t>
  </si>
  <si>
    <t>Tính chọn R3, R4</t>
  </si>
  <si>
    <t>Để chống méo xuyên tâm, phải phân cực cho Q1 &amp; Q2 (Q3 &amp; Q4)</t>
  </si>
  <si>
    <t>IB1Q</t>
  </si>
  <si>
    <t>IB1P</t>
  </si>
  <si>
    <t>Chọn R3, R4 sao cho:</t>
  </si>
  <si>
    <t>ZinACQ1 &lt;&lt; R3 = R4 &lt;&lt; ZinDCQ1</t>
  </si>
  <si>
    <t>VR1P</t>
  </si>
  <si>
    <t>VR1Q</t>
  </si>
  <si>
    <t>ZIN DCQ1</t>
  </si>
  <si>
    <t xml:space="preserve">Zin ACQ1 </t>
  </si>
  <si>
    <t>Điều kiện chọn R3, R4 là:</t>
  </si>
  <si>
    <t>→ 41Ω &lt;&lt; R3 = R4 &lt;&lt; 1127.5Ω</t>
  </si>
  <si>
    <t>Chọn R3=R4=220Ω/2W</t>
  </si>
  <si>
    <t>Tính chọn Q3, Q4</t>
  </si>
  <si>
    <t>Dòng tĩnh qua R3: IR3Q</t>
  </si>
  <si>
    <t>Dòng cực đại qua R3: IR3P</t>
  </si>
  <si>
    <t>Dòng tĩnh qua Q3: IE3Q</t>
  </si>
  <si>
    <t>Dòng cực đại qua Q3: IE3P</t>
  </si>
  <si>
    <t>Công suất tiêu tán của Q3 do tín hiệu xoay chiều tạo ra:</t>
  </si>
  <si>
    <t>PttAC/Q3</t>
  </si>
  <si>
    <t>Công suất tiêu tán DC của Q3 :</t>
  </si>
  <si>
    <t>VCE3</t>
  </si>
  <si>
    <t>PTTDC+PTTACmax</t>
  </si>
  <si>
    <t>Chọn Q3, Q4 thoả điều kiện:</t>
  </si>
  <si>
    <t>IC &gt; IE3P = 0.042A</t>
  </si>
  <si>
    <t>VCEo &gt; Vcc = 60V</t>
  </si>
  <si>
    <t>Sau khi tra cứu ta tìm được</t>
  </si>
  <si>
    <r>
      <rPr>
        <sz val="11"/>
        <color rgb="FF000000"/>
        <rFont val="Calibri"/>
      </rPr>
      <t>T(</t>
    </r>
    <r>
      <rPr>
        <sz val="11"/>
        <color rgb="FF000000"/>
        <rFont val="Calibri"/>
      </rPr>
      <t>˚</t>
    </r>
    <r>
      <rPr>
        <sz val="11"/>
        <color rgb="FF000000"/>
        <rFont val="Calibri"/>
      </rPr>
      <t xml:space="preserve">C) </t>
    </r>
  </si>
  <si>
    <t>2. Tầng lái và mạch phân cực nguồn dòng</t>
  </si>
  <si>
    <t>Vì các BJT Q1, Q2, Q3, Q4 làm việc ở chế độ AB nên phải dùng các diode để phân cực cho các BJT</t>
  </si>
  <si>
    <t>VB3B4</t>
  </si>
  <si>
    <t>VB3E3Q+VB1E1Q+VR1Q+VR2Q+VE2B2Q+VE4B4Q</t>
  </si>
  <si>
    <t xml:space="preserve">Để đạt điện áp phân cực này, người ta có thể dùng 4 diode D1, D2, D3, D4.  </t>
  </si>
  <si>
    <t>Mặt khác, để dòng qua nguồn dòng Q6 và các diode ít bị ảnh hưởng bởi dòng base của Q3, Q4 lúc tín hiệu lớn</t>
  </si>
  <si>
    <t>IB3P</t>
  </si>
  <si>
    <t>Chọn các diode loại 1N4007</t>
  </si>
  <si>
    <t>Từ đặc tuyến của diode với ID=0.007A→VD=0.7V</t>
  </si>
  <si>
    <t>Để thay đổi áp phân cực cho các BJT công suất, người ta dùng VR1 thay cho D4</t>
  </si>
  <si>
    <t>VR1</t>
  </si>
  <si>
    <t>Tính chọn Q6</t>
  </si>
  <si>
    <t>VT</t>
  </si>
  <si>
    <t>Trở kháng tải của Q6:</t>
  </si>
  <si>
    <t>ZL/Q6</t>
  </si>
  <si>
    <t>Do Q6 có tải lớn nên dễ rơi vào vùng bão hoà gây méo tín hiệu nên phải có R8 l6</t>
  </si>
  <si>
    <t>điện trở hồi tiếp để ổn định điểm làm việc. R8 là điện trở ổn định nhiệt cho Q6, R8 càng</t>
  </si>
  <si>
    <t>lớn thì ổn định nhiệt càng tốt nhưng tổn hao công suất DC của nó lớn nên ảnh hưởng</t>
  </si>
  <si>
    <t>đến nguồn cung cấp</t>
  </si>
  <si>
    <t>VR8 + VR9</t>
  </si>
  <si>
    <t>IR8=IC</t>
  </si>
  <si>
    <t>R8</t>
  </si>
  <si>
    <t>VR8/IR8</t>
  </si>
  <si>
    <t>VCEQ6</t>
  </si>
  <si>
    <t>Công suất tiêu tán DC trên Q6:</t>
  </si>
  <si>
    <t>Chọn Q6 thoả điều kiện:</t>
  </si>
  <si>
    <t>IC &gt; ICQ6 = 0.0068A</t>
  </si>
  <si>
    <t>Sau khi tra cứu ta chọn được đó là</t>
  </si>
  <si>
    <r>
      <rPr>
        <b/>
        <i/>
        <sz val="13"/>
        <color rgb="FF000000"/>
        <rFont val="Noto Sans Symbols"/>
      </rPr>
      <t xml:space="preserve">→ </t>
    </r>
    <r>
      <rPr>
        <b/>
        <i/>
        <sz val="13"/>
        <color rgb="FF000000"/>
        <rFont val="Arial"/>
      </rPr>
      <t>Chọn Q6</t>
    </r>
    <r>
      <rPr>
        <b/>
        <i/>
        <sz val="9"/>
        <color rgb="FF000000"/>
        <rFont val="Arial"/>
      </rPr>
      <t xml:space="preserve"> </t>
    </r>
    <r>
      <rPr>
        <b/>
        <i/>
        <sz val="13"/>
        <color rgb="FF000000"/>
        <rFont val="Arial"/>
      </rPr>
      <t>là 2SC2383</t>
    </r>
  </si>
  <si>
    <r>
      <rPr>
        <sz val="11"/>
        <color rgb="FF000000"/>
        <rFont val="Calibri"/>
      </rPr>
      <t>T(</t>
    </r>
    <r>
      <rPr>
        <sz val="11"/>
        <color rgb="FF000000"/>
        <rFont val="Calibri"/>
      </rPr>
      <t>˚</t>
    </r>
    <r>
      <rPr>
        <sz val="11"/>
        <color rgb="FF000000"/>
        <rFont val="Calibri"/>
      </rPr>
      <t xml:space="preserve">C) </t>
    </r>
  </si>
  <si>
    <t>2SC2383</t>
  </si>
  <si>
    <t xml:space="preserve">60÷320 </t>
  </si>
  <si>
    <r>
      <rPr>
        <b/>
        <i/>
        <sz val="13"/>
        <color rgb="FF000000"/>
        <rFont val="Times New Roman"/>
      </rPr>
      <t xml:space="preserve">→ Chọn </t>
    </r>
    <r>
      <rPr>
        <b/>
        <i/>
        <sz val="13"/>
        <color rgb="FF000000"/>
        <rFont val="Arial"/>
      </rPr>
      <t>β=hfe6= 100</t>
    </r>
  </si>
  <si>
    <t>Tính chọn VR2, D4, D5</t>
  </si>
  <si>
    <r>
      <rPr>
        <sz val="11"/>
        <color rgb="FF000000"/>
        <rFont val="Times New Roman"/>
      </rPr>
      <t xml:space="preserve">Muốn nội trở nguồn dòng lớn thì chọn Q5 là BJT có </t>
    </r>
    <r>
      <rPr>
        <sz val="11"/>
        <color rgb="FF000000"/>
        <rFont val="Arial"/>
      </rPr>
      <t>β lớn và dòng tĩnh</t>
    </r>
  </si>
  <si>
    <t>Dòng qua hai diode là dòng phân áp cho Q5. Chọn dòng phân cực 𝐼𝐵𝑄5 ≪ 𝐼𝐷 ,mà</t>
  </si>
  <si>
    <t>để diode ghim áp ổn định thì dòng 𝐼𝐷 = 8 mA</t>
  </si>
  <si>
    <t>Chọn ID = 8mA</t>
  </si>
  <si>
    <t>Chọn 2 diode là loại 1N4007</t>
  </si>
  <si>
    <t>VD4=VD5</t>
  </si>
  <si>
    <t>Tính chọn Q5</t>
  </si>
  <si>
    <t>Do Q5 làm việc ở chế độ A nên công suất tiêu tán chủ yếu là công suất 1 chiều</t>
  </si>
  <si>
    <t>PttDC</t>
  </si>
  <si>
    <t>Chọn Q5 thoả điều kiện:</t>
  </si>
  <si>
    <r>
      <rPr>
        <b/>
        <i/>
        <sz val="13"/>
        <color rgb="FF000000"/>
        <rFont val="Noto Sans Symbols"/>
      </rPr>
      <t xml:space="preserve">→ </t>
    </r>
    <r>
      <rPr>
        <b/>
        <i/>
        <sz val="13"/>
        <color rgb="FF000000"/>
        <rFont val="Arial"/>
      </rPr>
      <t>Chọn Q5</t>
    </r>
    <r>
      <rPr>
        <b/>
        <i/>
        <sz val="9"/>
        <color rgb="FF000000"/>
        <rFont val="Arial"/>
      </rPr>
      <t xml:space="preserve"> </t>
    </r>
    <r>
      <rPr>
        <b/>
        <i/>
        <sz val="13"/>
        <color rgb="FF000000"/>
        <rFont val="Arial"/>
      </rPr>
      <t>là 2SA1013</t>
    </r>
  </si>
  <si>
    <r>
      <rPr>
        <sz val="11"/>
        <color rgb="FF000000"/>
        <rFont val="Calibri"/>
      </rPr>
      <t>T(</t>
    </r>
    <r>
      <rPr>
        <sz val="11"/>
        <color rgb="FF000000"/>
        <rFont val="Calibri"/>
      </rPr>
      <t>˚</t>
    </r>
    <r>
      <rPr>
        <sz val="11"/>
        <color rgb="FF000000"/>
        <rFont val="Calibri"/>
      </rPr>
      <t xml:space="preserve">C) </t>
    </r>
  </si>
  <si>
    <t>2SA1013</t>
  </si>
  <si>
    <t xml:space="preserve">60÷200 </t>
  </si>
  <si>
    <t>Tính chọn R25</t>
  </si>
  <si>
    <t>VR25</t>
  </si>
  <si>
    <t>để diode ghim áp ổn định thì dòng 𝐼𝐷 &gt; 6.8 mA</t>
  </si>
  <si>
    <t>CHỌN IR6 = 7mA</t>
  </si>
  <si>
    <t>R25</t>
  </si>
  <si>
    <t>3. Tầng vào</t>
  </si>
  <si>
    <t>IBQ6</t>
  </si>
  <si>
    <t>Chọn ICQ7 &gt;&gt; IBQ6 để không ảnh hưởng đến VA và ổn định điểm làm việc cho Q5</t>
  </si>
  <si>
    <t>Để không ảnh hưởng đến điểm làm việc Q7, ta chọn 𝐼𝐶𝑄7 ≫ 𝐼𝐵𝑄6</t>
  </si>
  <si>
    <t>ICQ7</t>
  </si>
  <si>
    <t>10*IBQ5</t>
  </si>
  <si>
    <t>Tính R9, R10, R11</t>
  </si>
  <si>
    <t>IR11</t>
  </si>
  <si>
    <t>VR11</t>
  </si>
  <si>
    <t>VR11 = VBE/Q6 + VR8R9</t>
  </si>
  <si>
    <t>R11</t>
  </si>
  <si>
    <t xml:space="preserve"> R11 = VR11/IR11</t>
  </si>
  <si>
    <t xml:space="preserve">VR9 </t>
  </si>
  <si>
    <t>VR9 = 1/10*(Vcc/2)</t>
  </si>
  <si>
    <t xml:space="preserve"> IR9 = ICQ7</t>
  </si>
  <si>
    <t xml:space="preserve">R9 </t>
  </si>
  <si>
    <t>VR10</t>
  </si>
  <si>
    <t>IR10</t>
  </si>
  <si>
    <t>IR10 = ICQ7</t>
  </si>
  <si>
    <t>R10</t>
  </si>
  <si>
    <t>VCE/Q7</t>
  </si>
  <si>
    <t>VCE/Q7 = VCC/4</t>
  </si>
  <si>
    <r>
      <rPr>
        <sz val="11"/>
        <color rgb="FF000000"/>
        <rFont val="Times New Roman"/>
      </rPr>
      <t xml:space="preserve">Để Q7 khuếch đại không bị méo và biên độ điện áp ra đủ lớn </t>
    </r>
    <r>
      <rPr>
        <sz val="11"/>
        <color rgb="FF000000"/>
        <rFont val="SymbolMT"/>
      </rPr>
      <t xml:space="preserve">→ </t>
    </r>
    <r>
      <rPr>
        <sz val="11"/>
        <color rgb="FF000000"/>
        <rFont val="TimesNewRomanPSMT"/>
      </rPr>
      <t>chọn Q7 hoạt động ở</t>
    </r>
  </si>
  <si>
    <t>chế độ A, điểm tĩnh nằm giữa đường tải động:</t>
  </si>
  <si>
    <t>Tính chọn Q7</t>
  </si>
  <si>
    <t>Q7 làm việc ở chế độ A nên công suất tiêu tán là công suất tiêu tán một chiều. Nên ta có:</t>
  </si>
  <si>
    <t>Chọn Q7 thoả điều kiện:</t>
  </si>
  <si>
    <t>IC &gt; ICQ7 = 0.0068A</t>
  </si>
  <si>
    <t>VCEo &gt; Vcc/2 = 30V</t>
  </si>
  <si>
    <r>
      <rPr>
        <i/>
        <sz val="13"/>
        <color rgb="FF000000"/>
        <rFont val="Noto Sans Symbols"/>
      </rPr>
      <t xml:space="preserve">⇒ </t>
    </r>
    <r>
      <rPr>
        <b/>
        <i/>
        <sz val="13"/>
        <color rgb="FF000000"/>
        <rFont val="TimesNewRomanPS-BoldMT"/>
      </rPr>
      <t>Chọn Q</t>
    </r>
    <r>
      <rPr>
        <b/>
        <i/>
        <sz val="9"/>
        <color rgb="FF000000"/>
        <rFont val="TimesNewRomanPS-BoldMT"/>
      </rPr>
      <t xml:space="preserve">7 </t>
    </r>
    <r>
      <rPr>
        <b/>
        <i/>
        <sz val="13"/>
        <color rgb="FF000000"/>
        <rFont val="TimesNewRomanPS-BoldMT"/>
      </rPr>
      <t>là 2SA1015</t>
    </r>
  </si>
  <si>
    <r>
      <rPr>
        <sz val="11"/>
        <color rgb="FF000000"/>
        <rFont val="Calibri"/>
      </rPr>
      <t>T(</t>
    </r>
    <r>
      <rPr>
        <sz val="11"/>
        <color rgb="FF000000"/>
        <rFont val="Calibri"/>
      </rPr>
      <t>˚</t>
    </r>
    <r>
      <rPr>
        <sz val="11"/>
        <color rgb="FF000000"/>
        <rFont val="Calibri"/>
      </rPr>
      <t xml:space="preserve">C) </t>
    </r>
  </si>
  <si>
    <t>2SA1015</t>
  </si>
  <si>
    <t>70÷400</t>
  </si>
  <si>
    <t>hfe7</t>
  </si>
  <si>
    <t>Tính R12, R13, R14</t>
  </si>
  <si>
    <t>VE/Q7</t>
  </si>
  <si>
    <t>VR14=VB/Q7</t>
  </si>
  <si>
    <t>IBQ7</t>
  </si>
  <si>
    <t>Chọn IR14=10*IBQ7</t>
  </si>
  <si>
    <t>IR14</t>
  </si>
  <si>
    <t>R14</t>
  </si>
  <si>
    <r>
      <rPr>
        <sz val="11"/>
        <color theme="1"/>
        <rFont val="Calibri"/>
      </rPr>
      <t>Zin=R13//R14=200K</t>
    </r>
    <r>
      <rPr>
        <sz val="11"/>
        <color theme="1"/>
        <rFont val="Calibri"/>
      </rPr>
      <t>Ω</t>
    </r>
  </si>
  <si>
    <t>VR13</t>
  </si>
  <si>
    <t>R12</t>
  </si>
  <si>
    <r>
      <t xml:space="preserve">→ Chọn </t>
    </r>
    <r>
      <rPr>
        <b/>
        <i/>
        <sz val="13"/>
        <color rgb="FF000000"/>
        <rFont val="SymbolMT"/>
      </rPr>
      <t>β=hfe7=</t>
    </r>
    <r>
      <rPr>
        <b/>
        <i/>
        <sz val="13"/>
        <color rgb="FF000000"/>
        <rFont val="TimesNewRomanPSMT"/>
      </rPr>
      <t xml:space="preserve"> 240</t>
    </r>
  </si>
  <si>
    <t>→(R13*R14)/(R13+R14)=200000</t>
  </si>
  <si>
    <t>PTTDC + PTTAC(max)</t>
  </si>
  <si>
    <t>Icmax &gt; IEP1 = 3A</t>
  </si>
  <si>
    <t>VCE0 &gt; VCC = 60 V</t>
  </si>
  <si>
    <t xml:space="preserve">PC &gt; 2*PTT tổng = 24,712 W </t>
  </si>
  <si>
    <t>IE1P/(1 + hfe1)</t>
  </si>
  <si>
    <t>IE1Q/(1 + hfe1)</t>
  </si>
  <si>
    <t>(VB1E1P + VR1P) - (VB1E1Q + VR1Q) / (IB1P - IP1Q)</t>
  </si>
  <si>
    <t>(VB1E1Q + VR1Q) / R3</t>
  </si>
  <si>
    <t>(VB1E1P + VR1P) / R3</t>
  </si>
  <si>
    <t>IR3Q + IB1Q</t>
  </si>
  <si>
    <t>IR3P + IB1P</t>
  </si>
  <si>
    <t>VCC^2 / (4 * PI^2 * RTQ3)</t>
  </si>
  <si>
    <t>(R3 * ZINACQ1) / (R3 + ZINACQ1)</t>
  </si>
  <si>
    <t>RTQ3</t>
  </si>
  <si>
    <t>(R3 // ZINACQ1) + (1 + hfe1) * RL</t>
  </si>
  <si>
    <t>VCC/2 - VR3Q = VCC/2 - IR3Q*R3</t>
  </si>
  <si>
    <t>VCE3 * IE3Q</t>
  </si>
  <si>
    <t>PTTACmax</t>
  </si>
  <si>
    <t>PC &gt; Ptt∑ , thường chọn PC &gt; 2*Ptt∑ = 0.44W</t>
  </si>
  <si>
    <t>IE1Q = IE2Q = IC</t>
  </si>
  <si>
    <t>sqrt(2 * RL * PL)</t>
  </si>
  <si>
    <t>ILP + IEQ1</t>
  </si>
  <si>
    <t>(R1 * ILP^2) / 4</t>
  </si>
  <si>
    <t>VCC^2 / [4 * PI^2 * (RL + R1)]</t>
  </si>
  <si>
    <t>(VCC * IEQ1) / 2</t>
  </si>
  <si>
    <t>IE1P = IE2P</t>
  </si>
  <si>
    <t>R1 = R2</t>
  </si>
  <si>
    <t>PR1 = PR2</t>
  </si>
  <si>
    <t xml:space="preserve">Chọn R1 = R2 là loại 0.4Ω/1W </t>
  </si>
  <si>
    <t>R1 * IR1P = R1 * IE1P</t>
  </si>
  <si>
    <t>R1 * IR1Q = R1 * IE1Q</t>
  </si>
  <si>
    <t>(VB1E1Q + VR1Q) / IB1Q</t>
  </si>
  <si>
    <t>R3 // ZINACQ1</t>
  </si>
  <si>
    <t>VR1/Q  = VR2/Q</t>
  </si>
  <si>
    <t>IE3P / (1 + hf3)</t>
  </si>
  <si>
    <t>10 * I3P</t>
  </si>
  <si>
    <t>VB3B4 - 3*VD</t>
  </si>
  <si>
    <t>Để Q1, Q2 làm việc ở chế độ dòng tĩnh IE1Q = 50mA thì điện áp VBE của các BJT tổ hợp ở chế độ tĩnh là: 0.6 (V)</t>
  </si>
  <si>
    <t>Chọn ICQ6 &gt;&gt; IB3P</t>
  </si>
  <si>
    <t>ICQ6 = (3÷10)*IB3P</t>
  </si>
  <si>
    <t>Để Q6 làm việc ổn định và ít gây méo ta chọn</t>
  </si>
  <si>
    <t>hie3 = rbe3</t>
  </si>
  <si>
    <t>hie1 = rbe1</t>
  </si>
  <si>
    <t>R3 // (rbe1 + R1)</t>
  </si>
  <si>
    <t>hfe3 * VT/IE3Q</t>
  </si>
  <si>
    <t>VVR1 / ICQ6</t>
  </si>
  <si>
    <t>Để Q6 làm nhiệm vụ khuếch đại điện áp tín hiệu cho tầng công suất thì ZL/Q6 phải lớn</t>
  </si>
  <si>
    <t>hfe1 * VT/IE1Q</t>
  </si>
  <si>
    <t>R(VR1)</t>
  </si>
  <si>
    <t>Chọn R(VR1) là biến trở 100 Ω sau đó hiệu chỉnh lại cho thích hợp</t>
  </si>
  <si>
    <t>R3 * (rbe1 + R1) / (R3 + rbe1 + R1)</t>
  </si>
  <si>
    <t>hie3 + (1 + hfe3) * [R3 // (rbe1 + R1)] + (1 + hfe3) * (1 + hfe1) * RL</t>
  </si>
  <si>
    <t>IC1Q = 50÷100 mA</t>
  </si>
  <si>
    <t>IC3Q = 3÷10 mA</t>
  </si>
  <si>
    <t>β 1(hfe1) = 55÷160</t>
  </si>
  <si>
    <t>hfe3 = β3</t>
  </si>
  <si>
    <t>Chọn VR8 = (1/10 ÷ 1/40)VCC</t>
  </si>
  <si>
    <t>Chọn R9 = (1/10 ÷ 1/20)R8</t>
  </si>
  <si>
    <t>1/40 * VCC</t>
  </si>
  <si>
    <t>VCC/2 - VR2Q - VEB/Q2 - VEB/Q4 - VR8  - VR9</t>
  </si>
  <si>
    <t>VCEQ6 * ICQ6</t>
  </si>
  <si>
    <t>P&gt; PttDC , thường chọn P &gt; 2*PttDC = 0, 37W</t>
  </si>
  <si>
    <t>hfe6</t>
  </si>
  <si>
    <t>Nguồn dòng có nội trở lớn có tác dụng ổn định dòng điện cho Q5 và tăng tải cho Q5.</t>
  </si>
  <si>
    <t>ICQ5 = ICQ6</t>
  </si>
  <si>
    <t>Chọn ID4 = ID5 = ICQ5  -&gt; VD=0.7V</t>
  </si>
  <si>
    <t>VR2 + VEB/Q6 = 2VD</t>
  </si>
  <si>
    <t>→ VR2 = 2VD - VEB/Q5</t>
  </si>
  <si>
    <t>R(VR2)</t>
  </si>
  <si>
    <t>2VD - VEB/Q5</t>
  </si>
  <si>
    <t>VR2 / ICQ5</t>
  </si>
  <si>
    <t>Chọn RV2 là biến trở 220 Ω sau đó hiệu chỉnh lại cho thích hợp</t>
  </si>
  <si>
    <t>VCE5 = VCC - VR2 - VBE/Q3 - VBE/Q1 - VR1-VCC/2</t>
  </si>
  <si>
    <t xml:space="preserve">           = VCC/2 - VBE/Q3 - VBE/Q1 - VVR2 -VR1Q</t>
  </si>
  <si>
    <t>ICQ5 * VCE5</t>
  </si>
  <si>
    <t>IC &gt; ICQ5 = 0.0068A</t>
  </si>
  <si>
    <t>P &gt; PttDC , thường chọn P &gt; 2*PttDC = 0.38W</t>
  </si>
  <si>
    <t>chọn IR25 = 7mA</t>
  </si>
  <si>
    <t>VCC - (VD4 + VD5)</t>
  </si>
  <si>
    <t>VR25 / IR25</t>
  </si>
  <si>
    <t>ICQ6 / hfe6</t>
  </si>
  <si>
    <t>IR11 = ICQ7 - IBQ6</t>
  </si>
  <si>
    <t>IR9</t>
  </si>
  <si>
    <t>R9 = VR9 / IR9</t>
  </si>
  <si>
    <t>VCC/2 - VR9 - VCE/Q7 - VR11</t>
  </si>
  <si>
    <t>VCEQ7 * ICQ7</t>
  </si>
  <si>
    <t>P&gt; PttDC , thường chọn P &gt; 2*PttDC = 0.02064W</t>
  </si>
  <si>
    <t>VA - VR9 = VCC/2 - VR9</t>
  </si>
  <si>
    <t>VE/Q7 - VEB</t>
  </si>
  <si>
    <t>ICQ7 / hfe7</t>
  </si>
  <si>
    <t>VR14 / IR14</t>
  </si>
  <si>
    <t>R13 * IR13</t>
  </si>
  <si>
    <t>VR12 / IR12</t>
  </si>
  <si>
    <t>→ R13</t>
  </si>
  <si>
    <t>VR12 = VCC-VR13-VR14</t>
  </si>
  <si>
    <t>VCC - VR13 - VR14</t>
  </si>
  <si>
    <t>10 * IBQ7</t>
  </si>
  <si>
    <t>IR13 = IR14</t>
  </si>
  <si>
    <t>IR12 = IR13</t>
  </si>
  <si>
    <t>VLP</t>
  </si>
  <si>
    <r>
      <t xml:space="preserve">IC1Q = 0.05A </t>
    </r>
    <r>
      <rPr>
        <sz val="11"/>
        <color rgb="FF000000"/>
        <rFont val="Calibri"/>
      </rPr>
      <t xml:space="preserve">→ </t>
    </r>
    <r>
      <rPr>
        <i/>
        <sz val="11"/>
        <color rgb="FF000000"/>
        <rFont val="Calibri"/>
      </rPr>
      <t xml:space="preserve">VB1E1Q </t>
    </r>
    <r>
      <rPr>
        <sz val="11"/>
        <color rgb="FF000000"/>
        <rFont val="Calibri"/>
      </rPr>
      <t>= 0.6V</t>
    </r>
  </si>
  <si>
    <t>Theo đặc tuyến vào của BJT D718</t>
  </si>
  <si>
    <t xml:space="preserve">TIP41C </t>
  </si>
  <si>
    <t>TIP42C</t>
  </si>
  <si>
    <t xml:space="preserve">15÷75 </t>
  </si>
  <si>
    <t xml:space="preserve">55÷160 </t>
  </si>
  <si>
    <t>Chọn Q1, Q2 là loại BJT 2SD718 , 2SB688</t>
  </si>
  <si>
    <r>
      <t xml:space="preserve">IC1P </t>
    </r>
    <r>
      <rPr>
        <sz val="11"/>
        <color rgb="FF000000"/>
        <rFont val="Calibri"/>
      </rPr>
      <t xml:space="preserve">= 3A → </t>
    </r>
    <r>
      <rPr>
        <i/>
        <sz val="11"/>
        <color rgb="FF000000"/>
        <rFont val="Calibri"/>
      </rPr>
      <t>VB1E1P</t>
    </r>
    <r>
      <rPr>
        <sz val="11"/>
        <color rgb="FF000000"/>
        <rFont val="Calibri"/>
      </rPr>
      <t>= 0.89</t>
    </r>
    <r>
      <rPr>
        <i/>
        <sz val="11"/>
        <color rgb="FF000000"/>
        <rFont val="Calibri"/>
      </rPr>
      <t xml:space="preserve">V </t>
    </r>
  </si>
  <si>
    <t>R10 = VR10/IR10</t>
  </si>
  <si>
    <t>2SD718</t>
  </si>
  <si>
    <t>2SB688</t>
  </si>
  <si>
    <t>50÷14000</t>
  </si>
  <si>
    <t>4. Tính các tụ</t>
  </si>
  <si>
    <t>Cho băng thông từ 50Hz - 14000 Hz</t>
  </si>
  <si>
    <t>4.1 Tính tụ C1</t>
  </si>
  <si>
    <t>Tụ C1 là tụ liên lạc tín hiệu vào, vì tín hiệu vào khá nhỏ nên để tín hiệu không bị giữ trên tụ :</t>
  </si>
  <si>
    <t xml:space="preserve">Chọn XC1 = 1/20*Zin </t>
  </si>
  <si>
    <t>GT tính toán</t>
  </si>
  <si>
    <t>GT chọn</t>
  </si>
  <si>
    <t>Đơn vị</t>
  </si>
  <si>
    <t>Công thức</t>
  </si>
  <si>
    <t xml:space="preserve">Chọn tần số cắt (fc) nhỏ nhỏ hơn 50Hz </t>
  </si>
  <si>
    <t>Chọn fc &lt; 50Hz</t>
  </si>
  <si>
    <t>C1</t>
  </si>
  <si>
    <t>F</t>
  </si>
  <si>
    <t>Tụ C2 là tụ lọc nguồn tầng nhận tín hiệu vào và chống dao động tự kích :</t>
  </si>
  <si>
    <t>Chọn XC2 = 1/10*R12</t>
  </si>
  <si>
    <t>C2</t>
  </si>
  <si>
    <t>1uF/50V</t>
  </si>
  <si>
    <t>0.22uF/50V</t>
  </si>
  <si>
    <t xml:space="preserve">Tụ C3 thoát xoay chiều cho cần hồi tiếp VR3, R9 :   </t>
  </si>
  <si>
    <t xml:space="preserve">Chọn XC3 = 1/10*VR3 </t>
  </si>
  <si>
    <t>Chọn C3 sao cho tỉ số hồi tiếp phụ thuộc vào VR3, R9 và sụt áp xoay chiều trên C3 nhỏ hơn nhiều so với VR3. ( t chưa tính VR3 được )</t>
  </si>
  <si>
    <t>C3</t>
  </si>
  <si>
    <t xml:space="preserve">Tụ C4 là tụ thoát xoay chiều Q6 :                                </t>
  </si>
  <si>
    <t>Chọn XC4 = 1/10*R8</t>
  </si>
  <si>
    <t>XC1 = (1/20) * Zin</t>
  </si>
  <si>
    <t>XC2 = (1/10) * R12</t>
  </si>
  <si>
    <t>XC4 = (1/10) * R8</t>
  </si>
  <si>
    <t>C4</t>
  </si>
  <si>
    <t>C1 = 1 / (2 * Pi * fc * XC1)</t>
  </si>
  <si>
    <t>C2 = 1 / (2 * Pi * fc * XC2)</t>
  </si>
  <si>
    <t>C4 = 1 / (2 * Pi * fc * XC4)</t>
  </si>
  <si>
    <t>330uF/50V</t>
  </si>
  <si>
    <t>Tụ CL là tụ đơn tín hiệu ra loa, để tín hiệu không bị giữ lại trên tụ :</t>
  </si>
  <si>
    <t>Chọn XCL = 1/10*RL</t>
  </si>
  <si>
    <t>XCL = (1/10) * RL</t>
  </si>
  <si>
    <t>CL</t>
  </si>
  <si>
    <t>CL = 1 / (2 * Pi * fc * XL)</t>
  </si>
  <si>
    <t>10000uF/50V</t>
  </si>
  <si>
    <t>5. Mạch cân bằng trở kháng loa</t>
  </si>
  <si>
    <t>Loa có cấu tạo là cuộn dây đồng mảnh nên trở kháng loa là ZL = RL + jωL</t>
  </si>
  <si>
    <t>Trở kháng loa phụ thuộc vào tần số. Ở tần số cao, trở kháng loa lớn nên để phát sinh dao động. Để khắc phục, ta mắc thêm</t>
  </si>
  <si>
    <t>mạch Zobel gồm R5 và C5 song song với loa. Thành phần tín hiệu có tần số cao sẽ thoát qua tụ C5 xuống mass (GND)</t>
  </si>
  <si>
    <t>Ở tần số cao, XL tăng nhưng XC5 giảm nên RL không đổi.</t>
  </si>
  <si>
    <t>ZL = (R5 + 1/jωC5) // (RL + jωL)</t>
  </si>
  <si>
    <t xml:space="preserve">     = [(R5 + 1/jωC5)*(RL + jωL)] / [(R5 + 1/jωC5) + (RL + jωL)]</t>
  </si>
  <si>
    <t xml:space="preserve">     = [R5*RL + jωL*R5 + RL/jωC5 + L/C5] / [R5 + RL + 1/(jωC5 + jωL)]</t>
  </si>
  <si>
    <t xml:space="preserve">Để ZL không phụ thuộc vào tần số --&gt; ZL = RL .         </t>
  </si>
  <si>
    <t xml:space="preserve">       =&gt; R5*RL + jωL*R5 + RL/jωC5 + L/C5 = R5*RL + RL^2 + RL/jωC5 + jωL*RL</t>
  </si>
  <si>
    <t xml:space="preserve">       +   =&gt; L/C5 = RL^2  --&gt; C5 = L/RL^2</t>
  </si>
  <si>
    <t xml:space="preserve">       +   =&gt; jωL*R5 = jωL*RL --&gt; R5 = RL = 8</t>
  </si>
  <si>
    <t>5.1 Tính tụ C5</t>
  </si>
  <si>
    <t>C5</t>
  </si>
  <si>
    <t>L</t>
  </si>
  <si>
    <t>0,1u</t>
  </si>
  <si>
    <t>H</t>
  </si>
  <si>
    <t>C5 = L/RL^2</t>
  </si>
  <si>
    <t>0,1uF/50V</t>
  </si>
  <si>
    <t xml:space="preserve">Ở tần số cao, tụ ngắn mạch, công suất trên R5 lớn nhưng không cần công suất chịu đựng của R5 lớn vì nếu có thì đó cũng là </t>
  </si>
  <si>
    <t>những xung hẹp, biên độ nhỏ.</t>
  </si>
  <si>
    <t>Do ở tần số cao, tụ ngắn mạch, nên người ta thường chọn R5 lớn hơn RL một chút - &gt; trở kháng tải không đổi R5 = 8,2 (Ω)</t>
  </si>
  <si>
    <t>5.2 Tính tụ R5</t>
  </si>
  <si>
    <t>Vì L của loa thường rất nhỏ, cỡ khoảng ≈ 0,1 uH.</t>
  </si>
  <si>
    <t>R5 ≈ RL</t>
  </si>
  <si>
    <t>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</si>
</sst>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d\.m"/>
    <numFmt numFmtId="165" formatCode="#,##0.0000000000000"/>
    <numFmt numFmtId="166" formatCode="_-* #,##0.0000000000000_-;\-* #,##0.0000000000000_-;_-* &quot;-&quot;??_-;_-@_-"/>
    <numFmt numFmtId="167" formatCode="0.000000000000"/>
  </numFmts>
  <fonts count="50">
    <font>
      <sz val="11"/>
      <color theme="1"/>
      <name val="Calibri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b/>
      <i/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i/>
      <sz val="11"/>
      <color rgb="FF000000"/>
      <name val="Calibri"/>
    </font>
    <font>
      <i/>
      <sz val="11"/>
      <color rgb="FF000000"/>
      <name val="Calibri"/>
    </font>
    <font>
      <sz val="11"/>
      <name val="Calibri"/>
    </font>
    <font>
      <b/>
      <sz val="13"/>
      <color rgb="FF000000"/>
      <name val="Times New Roman"/>
    </font>
    <font>
      <b/>
      <i/>
      <sz val="13"/>
      <color rgb="FF000000"/>
      <name val="Noto Sans Symbols"/>
    </font>
    <font>
      <b/>
      <i/>
      <sz val="13"/>
      <color rgb="FF000000"/>
      <name val="Times New Roman"/>
    </font>
    <font>
      <sz val="11"/>
      <color rgb="FF000000"/>
      <name val="Times New Roman"/>
    </font>
    <font>
      <sz val="14"/>
      <color rgb="FF000000"/>
      <name val="Times-Roman"/>
    </font>
    <font>
      <sz val="13"/>
      <color rgb="FF000000"/>
      <name val="Noto Sans Symbols"/>
    </font>
    <font>
      <sz val="11"/>
      <color rgb="FF000000"/>
      <name val="CambriaMath"/>
    </font>
    <font>
      <sz val="13"/>
      <color rgb="FF000000"/>
      <name val="Times New Roman"/>
    </font>
    <font>
      <sz val="11"/>
      <color rgb="FF000000"/>
      <name val="Calibri"/>
    </font>
    <font>
      <sz val="11"/>
      <color rgb="FF000000"/>
      <name val="Docs-Calibri"/>
    </font>
    <font>
      <i/>
      <sz val="13"/>
      <color rgb="FF000000"/>
      <name val="Noto Sans Symbols"/>
    </font>
    <font>
      <b/>
      <i/>
      <sz val="13"/>
      <color rgb="FF000000"/>
      <name val="Arial"/>
    </font>
    <font>
      <b/>
      <i/>
      <sz val="9"/>
      <color rgb="FF000000"/>
      <name val="Arial"/>
    </font>
    <font>
      <sz val="11"/>
      <color rgb="FF000000"/>
      <name val="Arial"/>
    </font>
    <font>
      <sz val="11"/>
      <color rgb="FF000000"/>
      <name val="SymbolMT"/>
    </font>
    <font>
      <sz val="11"/>
      <color rgb="FF000000"/>
      <name val="TimesNewRomanPSMT"/>
    </font>
    <font>
      <b/>
      <i/>
      <sz val="13"/>
      <color rgb="FF000000"/>
      <name val="TimesNewRomanPS-BoldMT"/>
    </font>
    <font>
      <b/>
      <i/>
      <sz val="9"/>
      <color rgb="FF000000"/>
      <name val="TimesNewRomanPS-BoldMT"/>
    </font>
    <font>
      <b/>
      <i/>
      <sz val="13"/>
      <color rgb="FF000000"/>
      <name val="SymbolMT"/>
    </font>
    <font>
      <b/>
      <i/>
      <sz val="13"/>
      <color rgb="FF000000"/>
      <name val="TimesNewRomanPSMT"/>
    </font>
    <font>
      <sz val="11"/>
      <color rgb="FF000000"/>
      <name val="Calibri"/>
      <family val="2"/>
      <charset val="163"/>
    </font>
    <font>
      <b/>
      <i/>
      <sz val="11"/>
      <color rgb="FF000000"/>
      <name val="Calibri"/>
      <family val="2"/>
      <charset val="163"/>
    </font>
    <font>
      <b/>
      <i/>
      <sz val="13"/>
      <color rgb="FF000000"/>
      <name val="Times New Roman"/>
      <family val="1"/>
      <charset val="163"/>
    </font>
    <font>
      <b/>
      <i/>
      <sz val="11"/>
      <color theme="1"/>
      <name val="Calibri"/>
      <family val="2"/>
      <charset val="163"/>
    </font>
    <font>
      <sz val="11"/>
      <color theme="1"/>
      <name val="Calibri"/>
      <family val="2"/>
      <charset val="163"/>
    </font>
    <font>
      <b/>
      <sz val="9"/>
      <color theme="1"/>
      <name val="&quot;Google Sans Mono&quot;"/>
      <charset val="163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theme="1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4"/>
      <color theme="1"/>
      <name val="Calibri"/>
      <family val="2"/>
      <charset val="163"/>
    </font>
    <font>
      <b/>
      <sz val="11"/>
      <color theme="1"/>
      <name val="Calibri"/>
      <family val="2"/>
      <charset val="163"/>
    </font>
    <font>
      <sz val="12"/>
      <color theme="1"/>
      <name val="Calibri"/>
      <family val="2"/>
      <charset val="163"/>
      <scheme val="minor"/>
    </font>
    <font>
      <sz val="14"/>
      <color theme="1"/>
      <name val="Calibri"/>
      <family val="2"/>
      <charset val="163"/>
    </font>
    <font>
      <b/>
      <sz val="12"/>
      <color theme="1"/>
      <name val="Calibri"/>
      <family val="2"/>
      <charset val="163"/>
      <scheme val="minor"/>
    </font>
    <font>
      <b/>
      <sz val="12"/>
      <color theme="1"/>
      <name val="Calibri"/>
      <family val="2"/>
      <charset val="163"/>
    </font>
  </fonts>
  <fills count="16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rgb="FFFF0000"/>
        <bgColor rgb="FFFF0000"/>
      </patternFill>
    </fill>
    <fill>
      <patternFill patternType="solid">
        <fgColor rgb="FFC5E0B3"/>
        <bgColor rgb="FFC5E0B3"/>
      </patternFill>
    </fill>
    <fill>
      <patternFill patternType="solid">
        <fgColor rgb="FF660000"/>
        <bgColor rgb="FF660000"/>
      </patternFill>
    </fill>
    <fill>
      <patternFill patternType="solid">
        <fgColor rgb="FFFFE599"/>
        <bgColor rgb="FFFFE599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D9E1F2"/>
        <bgColor rgb="FFD9E1F2"/>
      </patternFill>
    </fill>
    <fill>
      <patternFill patternType="solid">
        <fgColor theme="0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6"/>
    <xf numFmtId="43" fontId="6" fillId="0" borderId="6" applyFont="0" applyFill="0" applyBorder="0" applyAlignment="0" applyProtection="0"/>
    <xf numFmtId="9" fontId="6" fillId="0" borderId="6" applyFont="0" applyFill="0" applyBorder="0" applyAlignment="0" applyProtection="0"/>
    <xf numFmtId="0" fontId="6" fillId="0" borderId="6"/>
    <xf numFmtId="0" fontId="6" fillId="0" borderId="6"/>
  </cellStyleXfs>
  <cellXfs count="168">
    <xf numFmtId="0" fontId="0" fillId="0" borderId="0" xfId="0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2" xfId="0" applyFont="1" applyFill="1" applyBorder="1"/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/>
    </xf>
    <xf numFmtId="0" fontId="7" fillId="0" borderId="0" xfId="0" applyFont="1"/>
    <xf numFmtId="0" fontId="5" fillId="4" borderId="2" xfId="0" applyFont="1" applyFill="1" applyBorder="1"/>
    <xf numFmtId="0" fontId="4" fillId="4" borderId="2" xfId="0" applyFont="1" applyFill="1" applyBorder="1"/>
    <xf numFmtId="0" fontId="8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9" fillId="0" borderId="0" xfId="0" applyFont="1" applyAlignment="1">
      <alignment vertical="center" wrapText="1"/>
    </xf>
    <xf numFmtId="0" fontId="8" fillId="3" borderId="2" xfId="0" applyFont="1" applyFill="1" applyBorder="1" applyAlignment="1">
      <alignment vertical="center" wrapText="1"/>
    </xf>
    <xf numFmtId="0" fontId="9" fillId="6" borderId="2" xfId="0" applyFont="1" applyFill="1" applyBorder="1"/>
    <xf numFmtId="0" fontId="8" fillId="4" borderId="2" xfId="0" applyFont="1" applyFill="1" applyBorder="1"/>
    <xf numFmtId="0" fontId="9" fillId="4" borderId="2" xfId="0" applyFont="1" applyFill="1" applyBorder="1"/>
    <xf numFmtId="0" fontId="10" fillId="0" borderId="0" xfId="0" applyFont="1" applyAlignment="1">
      <alignment vertical="center" wrapText="1"/>
    </xf>
    <xf numFmtId="0" fontId="6" fillId="5" borderId="0" xfId="0" applyFont="1" applyFill="1"/>
    <xf numFmtId="0" fontId="8" fillId="3" borderId="2" xfId="0" applyFont="1" applyFill="1" applyBorder="1"/>
    <xf numFmtId="0" fontId="9" fillId="6" borderId="2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center" vertical="center"/>
    </xf>
    <xf numFmtId="0" fontId="4" fillId="6" borderId="2" xfId="0" applyFont="1" applyFill="1" applyBorder="1"/>
    <xf numFmtId="0" fontId="6" fillId="7" borderId="0" xfId="0" applyFont="1" applyFill="1"/>
    <xf numFmtId="0" fontId="6" fillId="8" borderId="0" xfId="0" applyFont="1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6" borderId="6" xfId="0" applyFont="1" applyFill="1" applyBorder="1"/>
    <xf numFmtId="0" fontId="4" fillId="6" borderId="6" xfId="0" applyFont="1" applyFill="1" applyBorder="1" applyAlignment="1">
      <alignment horizontal="center" vertical="center"/>
    </xf>
    <xf numFmtId="0" fontId="4" fillId="6" borderId="6" xfId="0" applyFont="1" applyFill="1" applyBorder="1"/>
    <xf numFmtId="0" fontId="17" fillId="0" borderId="7" xfId="0" applyFont="1" applyBorder="1"/>
    <xf numFmtId="0" fontId="4" fillId="0" borderId="8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7" fillId="0" borderId="10" xfId="0" applyFont="1" applyBorder="1"/>
    <xf numFmtId="0" fontId="6" fillId="0" borderId="11" xfId="0" applyFont="1" applyBorder="1"/>
    <xf numFmtId="0" fontId="4" fillId="0" borderId="0" xfId="0" applyFont="1"/>
    <xf numFmtId="0" fontId="4" fillId="0" borderId="0" xfId="0" applyFont="1" applyAlignment="1">
      <alignment horizontal="left" vertical="top"/>
    </xf>
    <xf numFmtId="0" fontId="19" fillId="0" borderId="0" xfId="0" applyFont="1"/>
    <xf numFmtId="0" fontId="16" fillId="6" borderId="2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horizontal="left" vertical="top"/>
    </xf>
    <xf numFmtId="0" fontId="23" fillId="0" borderId="0" xfId="0" applyFont="1"/>
    <xf numFmtId="0" fontId="0" fillId="0" borderId="0" xfId="0" applyAlignment="1">
      <alignment horizontal="center"/>
    </xf>
    <xf numFmtId="0" fontId="33" fillId="6" borderId="2" xfId="0" applyFont="1" applyFill="1" applyBorder="1"/>
    <xf numFmtId="0" fontId="9" fillId="0" borderId="1" xfId="0" applyFont="1" applyBorder="1" applyAlignment="1">
      <alignment horizontal="center" vertical="center" wrapText="1"/>
    </xf>
    <xf numFmtId="0" fontId="33" fillId="4" borderId="2" xfId="0" applyFont="1" applyFill="1" applyBorder="1"/>
    <xf numFmtId="0" fontId="35" fillId="0" borderId="0" xfId="0" applyFont="1"/>
    <xf numFmtId="0" fontId="33" fillId="0" borderId="1" xfId="0" applyFont="1" applyBorder="1" applyAlignment="1">
      <alignment horizontal="center" vertical="center" wrapText="1"/>
    </xf>
    <xf numFmtId="0" fontId="40" fillId="0" borderId="0" xfId="0" applyFont="1"/>
    <xf numFmtId="0" fontId="39" fillId="0" borderId="1" xfId="0" applyFont="1" applyBorder="1" applyAlignment="1">
      <alignment horizontal="center" vertical="center" wrapText="1"/>
    </xf>
    <xf numFmtId="0" fontId="9" fillId="13" borderId="1" xfId="7" applyFont="1" applyFill="1" applyBorder="1" applyAlignment="1">
      <alignment horizontal="center" vertical="center" wrapText="1"/>
    </xf>
    <xf numFmtId="0" fontId="42" fillId="14" borderId="0" xfId="0" applyFont="1" applyFill="1"/>
    <xf numFmtId="0" fontId="0" fillId="0" borderId="0" xfId="0" applyAlignment="1">
      <alignment horizontal="left"/>
    </xf>
    <xf numFmtId="0" fontId="3" fillId="0" borderId="6" xfId="0" applyFont="1" applyBorder="1"/>
    <xf numFmtId="0" fontId="6" fillId="0" borderId="12" xfId="0" applyFont="1" applyBorder="1"/>
    <xf numFmtId="164" fontId="4" fillId="0" borderId="12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166" fontId="4" fillId="9" borderId="12" xfId="1" applyNumberFormat="1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/>
    </xf>
    <xf numFmtId="0" fontId="4" fillId="6" borderId="12" xfId="0" applyFont="1" applyFill="1" applyBorder="1"/>
    <xf numFmtId="0" fontId="4" fillId="0" borderId="12" xfId="0" applyFont="1" applyBorder="1" applyAlignment="1">
      <alignment horizontal="center" vertical="center"/>
    </xf>
    <xf numFmtId="0" fontId="0" fillId="0" borderId="12" xfId="0" applyBorder="1"/>
    <xf numFmtId="166" fontId="4" fillId="9" borderId="12" xfId="0" applyNumberFormat="1" applyFont="1" applyFill="1" applyBorder="1" applyAlignment="1">
      <alignment horizontal="center" vertical="center"/>
    </xf>
    <xf numFmtId="43" fontId="4" fillId="0" borderId="12" xfId="1" applyFont="1" applyBorder="1" applyAlignment="1">
      <alignment horizontal="center" vertical="center"/>
    </xf>
    <xf numFmtId="0" fontId="37" fillId="0" borderId="12" xfId="0" applyFont="1" applyBorder="1" applyAlignment="1">
      <alignment horizontal="center"/>
    </xf>
    <xf numFmtId="0" fontId="37" fillId="9" borderId="12" xfId="0" applyFont="1" applyFill="1" applyBorder="1" applyAlignment="1">
      <alignment horizontal="center"/>
    </xf>
    <xf numFmtId="0" fontId="4" fillId="0" borderId="12" xfId="2" applyNumberFormat="1" applyFont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167" fontId="4" fillId="9" borderId="1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0" fillId="6" borderId="12" xfId="0" applyFont="1" applyFill="1" applyBorder="1"/>
    <xf numFmtId="0" fontId="9" fillId="9" borderId="12" xfId="0" applyFont="1" applyFill="1" applyBorder="1" applyAlignment="1">
      <alignment horizontal="center"/>
    </xf>
    <xf numFmtId="0" fontId="21" fillId="10" borderId="12" xfId="0" applyFont="1" applyFill="1" applyBorder="1" applyAlignment="1">
      <alignment horizontal="left"/>
    </xf>
    <xf numFmtId="0" fontId="9" fillId="0" borderId="12" xfId="0" applyFont="1" applyBorder="1"/>
    <xf numFmtId="0" fontId="9" fillId="0" borderId="12" xfId="0" applyFont="1" applyBorder="1" applyAlignment="1">
      <alignment horizontal="center"/>
    </xf>
    <xf numFmtId="164" fontId="9" fillId="0" borderId="12" xfId="0" applyNumberFormat="1" applyFont="1" applyBorder="1" applyAlignment="1">
      <alignment horizontal="center"/>
    </xf>
    <xf numFmtId="0" fontId="33" fillId="0" borderId="12" xfId="0" applyFont="1" applyBorder="1"/>
    <xf numFmtId="165" fontId="9" fillId="0" borderId="12" xfId="0" applyNumberFormat="1" applyFont="1" applyBorder="1" applyAlignment="1">
      <alignment horizontal="center"/>
    </xf>
    <xf numFmtId="0" fontId="9" fillId="10" borderId="12" xfId="0" applyFont="1" applyFill="1" applyBorder="1" applyAlignment="1">
      <alignment horizontal="left"/>
    </xf>
    <xf numFmtId="3" fontId="9" fillId="11" borderId="12" xfId="0" applyNumberFormat="1" applyFont="1" applyFill="1" applyBorder="1" applyAlignment="1">
      <alignment horizontal="center"/>
    </xf>
    <xf numFmtId="0" fontId="33" fillId="0" borderId="12" xfId="0" applyFont="1" applyBorder="1" applyAlignment="1">
      <alignment horizontal="center"/>
    </xf>
    <xf numFmtId="0" fontId="38" fillId="12" borderId="12" xfId="0" applyFont="1" applyFill="1" applyBorder="1" applyAlignment="1">
      <alignment horizontal="center"/>
    </xf>
    <xf numFmtId="0" fontId="33" fillId="10" borderId="12" xfId="0" applyFont="1" applyFill="1" applyBorder="1" applyAlignment="1">
      <alignment horizontal="left"/>
    </xf>
    <xf numFmtId="0" fontId="22" fillId="9" borderId="12" xfId="0" applyFont="1" applyFill="1" applyBorder="1" applyAlignment="1">
      <alignment horizontal="center"/>
    </xf>
    <xf numFmtId="0" fontId="17" fillId="0" borderId="8" xfId="0" applyFont="1" applyBorder="1"/>
    <xf numFmtId="0" fontId="17" fillId="0" borderId="6" xfId="0" applyFont="1" applyBorder="1"/>
    <xf numFmtId="0" fontId="4" fillId="0" borderId="12" xfId="0" applyFont="1" applyBorder="1"/>
    <xf numFmtId="0" fontId="37" fillId="0" borderId="12" xfId="0" applyFont="1" applyBorder="1"/>
    <xf numFmtId="0" fontId="37" fillId="0" borderId="12" xfId="0" applyFont="1" applyBorder="1" applyAlignment="1">
      <alignment horizontal="left" vertical="top"/>
    </xf>
    <xf numFmtId="0" fontId="18" fillId="0" borderId="12" xfId="0" applyFont="1" applyBorder="1"/>
    <xf numFmtId="0" fontId="9" fillId="6" borderId="12" xfId="0" applyFont="1" applyFill="1" applyBorder="1"/>
    <xf numFmtId="0" fontId="3" fillId="8" borderId="12" xfId="0" applyFont="1" applyFill="1" applyBorder="1"/>
    <xf numFmtId="0" fontId="6" fillId="8" borderId="12" xfId="0" applyFont="1" applyFill="1" applyBorder="1" applyAlignment="1">
      <alignment horizontal="center"/>
    </xf>
    <xf numFmtId="0" fontId="6" fillId="8" borderId="12" xfId="0" applyFont="1" applyFill="1" applyBorder="1"/>
    <xf numFmtId="0" fontId="9" fillId="8" borderId="12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/>
    </xf>
    <xf numFmtId="0" fontId="9" fillId="8" borderId="12" xfId="0" applyFont="1" applyFill="1" applyBorder="1"/>
    <xf numFmtId="0" fontId="9" fillId="0" borderId="12" xfId="0" applyFont="1" applyBorder="1" applyAlignment="1">
      <alignment vertical="center" wrapText="1"/>
    </xf>
    <xf numFmtId="0" fontId="9" fillId="6" borderId="12" xfId="0" applyFont="1" applyFill="1" applyBorder="1" applyAlignment="1">
      <alignment vertical="center" wrapText="1"/>
    </xf>
    <xf numFmtId="0" fontId="9" fillId="5" borderId="12" xfId="0" applyFont="1" applyFill="1" applyBorder="1"/>
    <xf numFmtId="0" fontId="4" fillId="5" borderId="1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/>
    </xf>
    <xf numFmtId="0" fontId="0" fillId="5" borderId="12" xfId="0" applyFill="1" applyBorder="1"/>
    <xf numFmtId="0" fontId="33" fillId="0" borderId="12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39" fillId="6" borderId="12" xfId="0" applyFont="1" applyFill="1" applyBorder="1"/>
    <xf numFmtId="0" fontId="41" fillId="0" borderId="12" xfId="0" applyFont="1" applyBorder="1"/>
    <xf numFmtId="0" fontId="8" fillId="4" borderId="12" xfId="0" applyFont="1" applyFill="1" applyBorder="1"/>
    <xf numFmtId="0" fontId="9" fillId="4" borderId="12" xfId="0" applyFont="1" applyFill="1" applyBorder="1"/>
    <xf numFmtId="0" fontId="5" fillId="3" borderId="12" xfId="0" applyFont="1" applyFill="1" applyBorder="1"/>
    <xf numFmtId="0" fontId="5" fillId="3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/>
    </xf>
    <xf numFmtId="2" fontId="4" fillId="0" borderId="12" xfId="0" applyNumberFormat="1" applyFont="1" applyBorder="1" applyAlignment="1">
      <alignment horizontal="center"/>
    </xf>
    <xf numFmtId="2" fontId="4" fillId="0" borderId="12" xfId="0" applyNumberFormat="1" applyFont="1" applyBorder="1" applyAlignment="1">
      <alignment horizontal="center" vertical="center"/>
    </xf>
    <xf numFmtId="0" fontId="16" fillId="0" borderId="12" xfId="0" applyFont="1" applyBorder="1"/>
    <xf numFmtId="0" fontId="42" fillId="15" borderId="12" xfId="0" applyFont="1" applyFill="1" applyBorder="1"/>
    <xf numFmtId="0" fontId="45" fillId="15" borderId="12" xfId="0" applyFont="1" applyFill="1" applyBorder="1" applyAlignment="1">
      <alignment horizontal="center" vertical="center"/>
    </xf>
    <xf numFmtId="0" fontId="42" fillId="15" borderId="12" xfId="0" applyFont="1" applyFill="1" applyBorder="1" applyAlignment="1">
      <alignment horizontal="center"/>
    </xf>
    <xf numFmtId="0" fontId="2" fillId="0" borderId="12" xfId="0" applyFont="1" applyBorder="1"/>
    <xf numFmtId="17" fontId="2" fillId="0" borderId="12" xfId="0" applyNumberFormat="1" applyFont="1" applyBorder="1" applyAlignment="1">
      <alignment horizontal="left"/>
    </xf>
    <xf numFmtId="0" fontId="43" fillId="14" borderId="0" xfId="0" applyFont="1" applyFill="1"/>
    <xf numFmtId="0" fontId="4" fillId="14" borderId="0" xfId="0" applyFont="1" applyFill="1" applyAlignment="1">
      <alignment horizontal="center" vertical="center"/>
    </xf>
    <xf numFmtId="0" fontId="0" fillId="14" borderId="0" xfId="0" applyFill="1"/>
    <xf numFmtId="0" fontId="2" fillId="0" borderId="12" xfId="0" applyFont="1" applyBorder="1" applyAlignment="1">
      <alignment horizontal="center"/>
    </xf>
    <xf numFmtId="0" fontId="43" fillId="14" borderId="12" xfId="0" applyFont="1" applyFill="1" applyBorder="1"/>
    <xf numFmtId="0" fontId="44" fillId="14" borderId="12" xfId="0" applyFont="1" applyFill="1" applyBorder="1" applyAlignment="1">
      <alignment horizontal="center" vertical="center"/>
    </xf>
    <xf numFmtId="0" fontId="43" fillId="14" borderId="12" xfId="0" applyFont="1" applyFill="1" applyBorder="1" applyAlignment="1">
      <alignment horizontal="center"/>
    </xf>
    <xf numFmtId="0" fontId="43" fillId="14" borderId="12" xfId="0" applyFont="1" applyFill="1" applyBorder="1" applyAlignment="1">
      <alignment horizontal="left"/>
    </xf>
    <xf numFmtId="0" fontId="44" fillId="14" borderId="12" xfId="0" applyFont="1" applyFill="1" applyBorder="1" applyAlignment="1">
      <alignment horizontal="left"/>
    </xf>
    <xf numFmtId="0" fontId="42" fillId="14" borderId="12" xfId="0" applyFont="1" applyFill="1" applyBorder="1" applyAlignment="1">
      <alignment horizontal="left"/>
    </xf>
    <xf numFmtId="43" fontId="4" fillId="9" borderId="12" xfId="1" applyFont="1" applyFill="1" applyBorder="1" applyAlignment="1">
      <alignment horizontal="center" vertical="center"/>
    </xf>
    <xf numFmtId="0" fontId="45" fillId="3" borderId="2" xfId="0" applyFont="1" applyFill="1" applyBorder="1"/>
    <xf numFmtId="0" fontId="46" fillId="0" borderId="0" xfId="0" applyFont="1"/>
    <xf numFmtId="0" fontId="44" fillId="14" borderId="0" xfId="0" applyFont="1" applyFill="1" applyAlignment="1">
      <alignment horizontal="center" vertical="center"/>
    </xf>
    <xf numFmtId="0" fontId="47" fillId="14" borderId="0" xfId="0" applyFont="1" applyFill="1" applyAlignment="1">
      <alignment horizontal="center" vertical="center"/>
    </xf>
    <xf numFmtId="0" fontId="48" fillId="15" borderId="0" xfId="0" applyFont="1" applyFill="1"/>
    <xf numFmtId="0" fontId="49" fillId="15" borderId="0" xfId="0" applyFont="1" applyFill="1" applyAlignment="1">
      <alignment horizontal="center" vertical="center"/>
    </xf>
    <xf numFmtId="0" fontId="46" fillId="15" borderId="0" xfId="0" applyFont="1" applyFill="1"/>
    <xf numFmtId="0" fontId="45" fillId="15" borderId="0" xfId="0" applyFont="1" applyFill="1" applyAlignment="1">
      <alignment horizontal="center" vertical="center"/>
    </xf>
    <xf numFmtId="0" fontId="0" fillId="15" borderId="0" xfId="0" applyFill="1"/>
    <xf numFmtId="0" fontId="1" fillId="0" borderId="12" xfId="0" applyFont="1" applyBorder="1"/>
    <xf numFmtId="0" fontId="37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0" fillId="0" borderId="12" xfId="0" applyBorder="1"/>
    <xf numFmtId="0" fontId="9" fillId="6" borderId="12" xfId="0" applyFont="1" applyFill="1" applyBorder="1" applyAlignment="1">
      <alignment horizontal="left"/>
    </xf>
    <xf numFmtId="0" fontId="12" fillId="0" borderId="12" xfId="0" applyFont="1" applyBorder="1"/>
    <xf numFmtId="0" fontId="9" fillId="6" borderId="3" xfId="0" applyFont="1" applyFill="1" applyBorder="1" applyAlignment="1">
      <alignment horizontal="left" vertical="top"/>
    </xf>
    <xf numFmtId="0" fontId="12" fillId="0" borderId="5" xfId="0" applyFont="1" applyBorder="1"/>
    <xf numFmtId="0" fontId="12" fillId="0" borderId="4" xfId="0" applyFont="1" applyBorder="1"/>
    <xf numFmtId="0" fontId="33" fillId="6" borderId="3" xfId="0" applyFont="1" applyFill="1" applyBorder="1" applyAlignment="1">
      <alignment horizontal="left"/>
    </xf>
    <xf numFmtId="0" fontId="9" fillId="6" borderId="3" xfId="0" applyFont="1" applyFill="1" applyBorder="1" applyAlignment="1">
      <alignment horizontal="left"/>
    </xf>
    <xf numFmtId="0" fontId="36" fillId="0" borderId="0" xfId="0" applyFont="1" applyAlignment="1">
      <alignment horizontal="left" vertical="top"/>
    </xf>
    <xf numFmtId="0" fontId="0" fillId="0" borderId="0" xfId="0"/>
    <xf numFmtId="0" fontId="16" fillId="6" borderId="3" xfId="0" applyFont="1" applyFill="1" applyBorder="1" applyAlignment="1">
      <alignment horizontal="left" vertical="top"/>
    </xf>
    <xf numFmtId="0" fontId="34" fillId="0" borderId="0" xfId="0" applyFont="1" applyAlignment="1">
      <alignment horizontal="left"/>
    </xf>
    <xf numFmtId="0" fontId="33" fillId="6" borderId="3" xfId="0" applyFont="1" applyFill="1" applyBorder="1" applyAlignment="1">
      <alignment horizontal="left" vertical="top"/>
    </xf>
  </cellXfs>
  <cellStyles count="8">
    <cellStyle name="Comma" xfId="1" builtinId="3"/>
    <cellStyle name="Comma 2" xfId="4" xr:uid="{00000000-0005-0000-0000-000001000000}"/>
    <cellStyle name="Normal" xfId="0" builtinId="0"/>
    <cellStyle name="Normal 2" xfId="3" xr:uid="{00000000-0005-0000-0000-000003000000}"/>
    <cellStyle name="Normal 3" xfId="6" xr:uid="{00000000-0005-0000-0000-000004000000}"/>
    <cellStyle name="Normal 4" xfId="7" xr:uid="{00000000-0005-0000-0000-000005000000}"/>
    <cellStyle name="Percent" xfId="2" builtinId="5"/>
    <cellStyle name="Percent 2" xfId="5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Q1006"/>
  <sheetViews>
    <sheetView tabSelected="1" topLeftCell="F238" workbookViewId="0">
      <selection activeCell="K214" sqref="K214"/>
    </sheetView>
  </sheetViews>
  <sheetFormatPr defaultRowHeight="15" customHeight="1"/>
  <cols>
    <col min="1" max="3" width="8.7109375" customWidth="1"/>
    <col min="4" max="4" width="20.7109375" customWidth="1"/>
    <col min="5" max="5" width="10.85546875" customWidth="1"/>
    <col min="6" max="6" width="2.5703125" customWidth="1"/>
    <col min="7" max="7" width="9.140625" customWidth="1"/>
    <col min="8" max="8" width="54" customWidth="1"/>
    <col min="9" max="9" width="20.7109375" customWidth="1"/>
    <col min="10" max="10" width="14.140625" customWidth="1"/>
    <col min="11" max="11" width="8.7109375" customWidth="1"/>
    <col min="12" max="12" width="44.85546875" customWidth="1"/>
    <col min="13" max="13" width="12" customWidth="1"/>
    <col min="14" max="26" width="8.7109375" customWidth="1"/>
  </cols>
  <sheetData>
    <row r="1" spans="8:12">
      <c r="H1" s="1" t="s">
        <v>0</v>
      </c>
      <c r="I1" s="2">
        <v>35</v>
      </c>
      <c r="J1" s="1" t="s">
        <v>1</v>
      </c>
    </row>
    <row r="2" spans="8:12">
      <c r="H2" s="1" t="s">
        <v>2</v>
      </c>
      <c r="I2" s="2">
        <v>0.6</v>
      </c>
      <c r="J2" s="1" t="s">
        <v>3</v>
      </c>
    </row>
    <row r="3" spans="8:12">
      <c r="H3" s="1" t="s">
        <v>4</v>
      </c>
      <c r="I3" s="2">
        <v>200000</v>
      </c>
      <c r="J3" s="1" t="s">
        <v>5</v>
      </c>
    </row>
    <row r="4" spans="8:12">
      <c r="H4" s="1" t="s">
        <v>6</v>
      </c>
      <c r="I4" s="3">
        <v>8</v>
      </c>
      <c r="J4" s="1" t="s">
        <v>5</v>
      </c>
    </row>
    <row r="5" spans="8:12">
      <c r="H5" s="1" t="s">
        <v>7</v>
      </c>
      <c r="I5" s="3" t="s">
        <v>284</v>
      </c>
      <c r="J5" s="1" t="s">
        <v>8</v>
      </c>
    </row>
    <row r="6" spans="8:12">
      <c r="H6" s="1" t="s">
        <v>9</v>
      </c>
      <c r="I6" s="2">
        <v>0.35</v>
      </c>
      <c r="J6" s="1" t="s">
        <v>10</v>
      </c>
    </row>
    <row r="7" spans="8:12">
      <c r="H7" s="1" t="s">
        <v>11</v>
      </c>
      <c r="I7" s="2">
        <v>0.8</v>
      </c>
      <c r="J7" s="1"/>
    </row>
    <row r="8" spans="8:12">
      <c r="I8" s="4"/>
    </row>
    <row r="9" spans="8:12">
      <c r="H9" s="120" t="s">
        <v>12</v>
      </c>
      <c r="I9" s="121" t="s">
        <v>13</v>
      </c>
      <c r="J9" s="122" t="s">
        <v>14</v>
      </c>
      <c r="K9" s="122" t="s">
        <v>15</v>
      </c>
      <c r="L9" s="122" t="s">
        <v>16</v>
      </c>
    </row>
    <row r="10" spans="8:12">
      <c r="H10" s="95" t="s">
        <v>272</v>
      </c>
      <c r="I10" s="123">
        <f>SQRT(I4*2*I1)</f>
        <v>23.664319132398465</v>
      </c>
      <c r="J10" s="78"/>
      <c r="K10" s="78" t="s">
        <v>3</v>
      </c>
      <c r="L10" s="70" t="s">
        <v>193</v>
      </c>
    </row>
    <row r="11" spans="8:12">
      <c r="H11" s="60" t="s">
        <v>17</v>
      </c>
      <c r="I11" s="124">
        <f>2*I10/I7</f>
        <v>59.16079783099616</v>
      </c>
      <c r="J11" s="78">
        <v>60</v>
      </c>
      <c r="K11" s="78" t="s">
        <v>18</v>
      </c>
      <c r="L11" s="60" t="s">
        <v>19</v>
      </c>
    </row>
    <row r="12" spans="8:12">
      <c r="H12" s="95" t="s">
        <v>20</v>
      </c>
      <c r="I12" s="69" t="s">
        <v>21</v>
      </c>
      <c r="J12" s="78">
        <v>0.05</v>
      </c>
      <c r="K12" s="78" t="s">
        <v>22</v>
      </c>
      <c r="L12" s="60" t="s">
        <v>23</v>
      </c>
    </row>
    <row r="13" spans="8:12">
      <c r="H13" s="95" t="s">
        <v>192</v>
      </c>
      <c r="I13" s="69"/>
      <c r="J13" s="78">
        <v>0.05</v>
      </c>
      <c r="K13" s="78" t="s">
        <v>22</v>
      </c>
      <c r="L13" s="60" t="s">
        <v>24</v>
      </c>
    </row>
    <row r="14" spans="8:12">
      <c r="H14" s="60" t="s">
        <v>25</v>
      </c>
      <c r="I14" s="69">
        <f>I10/I4</f>
        <v>2.9580398915498081</v>
      </c>
      <c r="J14" s="78"/>
      <c r="K14" s="78" t="s">
        <v>22</v>
      </c>
      <c r="L14" s="60" t="s">
        <v>26</v>
      </c>
    </row>
    <row r="15" spans="8:12">
      <c r="H15" s="95" t="s">
        <v>198</v>
      </c>
      <c r="I15" s="69">
        <f>I14+J13</f>
        <v>3.0080398915498079</v>
      </c>
      <c r="J15" s="78">
        <v>3</v>
      </c>
      <c r="K15" s="78" t="s">
        <v>22</v>
      </c>
      <c r="L15" s="70" t="s">
        <v>194</v>
      </c>
    </row>
    <row r="16" spans="8:12">
      <c r="H16" s="5" t="s">
        <v>27</v>
      </c>
      <c r="I16" s="4"/>
      <c r="J16" s="9"/>
      <c r="K16" s="9"/>
    </row>
    <row r="17" spans="8:15">
      <c r="H17" s="60" t="s">
        <v>28</v>
      </c>
      <c r="I17" s="69">
        <f>I10/20</f>
        <v>1.1832159566199232</v>
      </c>
      <c r="J17" s="78"/>
      <c r="K17" s="78" t="s">
        <v>3</v>
      </c>
      <c r="L17" s="60" t="s">
        <v>29</v>
      </c>
    </row>
    <row r="18" spans="8:15">
      <c r="H18" s="70" t="s">
        <v>199</v>
      </c>
      <c r="I18" s="69">
        <f>I17/I15</f>
        <v>0.39335115200560206</v>
      </c>
      <c r="J18" s="78">
        <v>0.4</v>
      </c>
      <c r="K18" s="78" t="s">
        <v>5</v>
      </c>
      <c r="L18" s="60" t="s">
        <v>30</v>
      </c>
    </row>
    <row r="19" spans="8:15">
      <c r="H19" s="95" t="s">
        <v>200</v>
      </c>
      <c r="I19" s="69">
        <f>(J18*I14^2)/4</f>
        <v>0.875</v>
      </c>
      <c r="J19" s="78"/>
      <c r="K19" s="78" t="s">
        <v>1</v>
      </c>
      <c r="L19" s="70" t="s">
        <v>195</v>
      </c>
    </row>
    <row r="20" spans="8:15">
      <c r="H20" s="10" t="s">
        <v>201</v>
      </c>
      <c r="I20" s="4"/>
      <c r="J20" s="9"/>
      <c r="K20" s="9"/>
    </row>
    <row r="21" spans="8:15" ht="15.75" customHeight="1">
      <c r="H21" s="120" t="s">
        <v>31</v>
      </c>
      <c r="I21" s="121" t="s">
        <v>13</v>
      </c>
      <c r="J21" s="122" t="s">
        <v>14</v>
      </c>
      <c r="K21" s="122" t="s">
        <v>15</v>
      </c>
      <c r="L21" s="122" t="s">
        <v>16</v>
      </c>
    </row>
    <row r="22" spans="8:15" ht="15.75" customHeight="1">
      <c r="H22" s="60" t="s">
        <v>32</v>
      </c>
      <c r="I22" s="69">
        <f>J11^2/(PI()^2*(I4+J18))/4</f>
        <v>10.855841104536189</v>
      </c>
      <c r="J22" s="78"/>
      <c r="K22" s="78" t="s">
        <v>1</v>
      </c>
      <c r="L22" s="70" t="s">
        <v>196</v>
      </c>
    </row>
    <row r="23" spans="8:15" ht="15.75" customHeight="1">
      <c r="H23" s="60" t="s">
        <v>33</v>
      </c>
      <c r="I23" s="69">
        <f>J11*J13/2</f>
        <v>1.5</v>
      </c>
      <c r="J23" s="78"/>
      <c r="K23" s="78" t="s">
        <v>1</v>
      </c>
      <c r="L23" s="70" t="s">
        <v>197</v>
      </c>
    </row>
    <row r="24" spans="8:15" ht="15.75" customHeight="1">
      <c r="H24" s="60" t="s">
        <v>34</v>
      </c>
      <c r="I24" s="69">
        <f>I23+I22</f>
        <v>12.355841104536189</v>
      </c>
      <c r="J24" s="78"/>
      <c r="K24" s="78" t="s">
        <v>1</v>
      </c>
      <c r="L24" s="70" t="s">
        <v>173</v>
      </c>
    </row>
    <row r="25" spans="8:15" ht="15.75" customHeight="1">
      <c r="H25" s="11" t="s">
        <v>35</v>
      </c>
      <c r="I25" s="4"/>
    </row>
    <row r="26" spans="8:15" ht="15.75" customHeight="1">
      <c r="H26" s="12" t="s">
        <v>174</v>
      </c>
      <c r="I26" s="4"/>
    </row>
    <row r="27" spans="8:15" ht="15.75" customHeight="1">
      <c r="H27" s="12" t="s">
        <v>175</v>
      </c>
      <c r="I27" s="4"/>
    </row>
    <row r="28" spans="8:15" ht="15.75" customHeight="1">
      <c r="H28" s="12" t="s">
        <v>176</v>
      </c>
      <c r="I28" s="4"/>
    </row>
    <row r="29" spans="8:15" ht="15.75" customHeight="1">
      <c r="H29" s="13" t="s">
        <v>36</v>
      </c>
    </row>
    <row r="30" spans="8:15" ht="15.75" customHeight="1">
      <c r="H30" s="13"/>
    </row>
    <row r="31" spans="8:15" ht="15.75" customHeight="1"/>
    <row r="32" spans="8:15" ht="15.75" customHeight="1">
      <c r="H32" s="56" t="s">
        <v>37</v>
      </c>
      <c r="I32" s="56" t="s">
        <v>38</v>
      </c>
      <c r="J32" s="56" t="s">
        <v>39</v>
      </c>
      <c r="K32" s="56" t="s">
        <v>40</v>
      </c>
      <c r="L32" s="56" t="s">
        <v>41</v>
      </c>
      <c r="M32" s="56" t="s">
        <v>42</v>
      </c>
      <c r="N32" s="56" t="s">
        <v>73</v>
      </c>
      <c r="O32" s="56" t="s">
        <v>43</v>
      </c>
    </row>
    <row r="33" spans="7:15" ht="15.75" customHeight="1">
      <c r="G33" s="14"/>
      <c r="H33" s="56" t="s">
        <v>282</v>
      </c>
      <c r="I33" s="56">
        <v>80</v>
      </c>
      <c r="J33" s="56">
        <v>8</v>
      </c>
      <c r="K33" s="56" t="s">
        <v>278</v>
      </c>
      <c r="L33" s="56">
        <v>120</v>
      </c>
      <c r="M33" s="56">
        <v>12</v>
      </c>
      <c r="N33" s="56">
        <v>150</v>
      </c>
      <c r="O33" s="56" t="s">
        <v>44</v>
      </c>
    </row>
    <row r="34" spans="7:15" ht="15.75" customHeight="1">
      <c r="G34" s="14"/>
      <c r="H34" s="56" t="s">
        <v>283</v>
      </c>
      <c r="I34" s="56">
        <v>80</v>
      </c>
      <c r="J34" s="56">
        <v>8</v>
      </c>
      <c r="K34" s="56" t="s">
        <v>278</v>
      </c>
      <c r="L34" s="56">
        <v>120</v>
      </c>
      <c r="M34" s="56">
        <v>10</v>
      </c>
      <c r="N34" s="56">
        <v>150</v>
      </c>
      <c r="O34" s="56" t="s">
        <v>45</v>
      </c>
    </row>
    <row r="35" spans="7:15" ht="15.75" customHeight="1">
      <c r="G35" s="14"/>
      <c r="H35" s="15"/>
      <c r="I35" s="15"/>
      <c r="J35" s="16"/>
    </row>
    <row r="36" spans="7:15" ht="15.75" customHeight="1"/>
    <row r="37" spans="7:15" ht="15.75" customHeight="1">
      <c r="H37" s="54" t="s">
        <v>279</v>
      </c>
      <c r="J37" s="17"/>
      <c r="K37" s="17"/>
      <c r="L37" s="17"/>
    </row>
    <row r="38" spans="7:15" ht="15.75" customHeight="1">
      <c r="H38" s="18" t="s">
        <v>46</v>
      </c>
      <c r="I38" s="6" t="s">
        <v>13</v>
      </c>
      <c r="J38" s="7" t="s">
        <v>14</v>
      </c>
      <c r="K38" s="7" t="s">
        <v>15</v>
      </c>
      <c r="L38" s="7" t="s">
        <v>16</v>
      </c>
      <c r="M38" s="17"/>
      <c r="N38" s="17"/>
      <c r="O38" s="17"/>
    </row>
    <row r="39" spans="7:15" ht="15.75" customHeight="1">
      <c r="H39" s="113" t="s">
        <v>225</v>
      </c>
      <c r="I39" s="114"/>
      <c r="J39" s="114">
        <v>0.05</v>
      </c>
      <c r="K39" s="114" t="s">
        <v>22</v>
      </c>
      <c r="L39" s="154" t="s">
        <v>47</v>
      </c>
      <c r="M39" s="17"/>
      <c r="N39" s="17"/>
      <c r="O39" s="17"/>
    </row>
    <row r="40" spans="7:15" ht="15.75" customHeight="1">
      <c r="H40" s="113" t="s">
        <v>226</v>
      </c>
      <c r="I40" s="69"/>
      <c r="J40" s="69">
        <v>3.0000000000000001E-3</v>
      </c>
      <c r="K40" s="115" t="s">
        <v>22</v>
      </c>
      <c r="L40" s="155"/>
      <c r="M40" s="17"/>
      <c r="N40" s="17"/>
      <c r="O40" s="17"/>
    </row>
    <row r="41" spans="7:15" ht="15.75" customHeight="1">
      <c r="H41" s="113" t="s">
        <v>227</v>
      </c>
      <c r="I41" s="69"/>
      <c r="J41" s="69">
        <v>90</v>
      </c>
      <c r="K41" s="115"/>
      <c r="L41" s="70"/>
      <c r="M41" s="17"/>
      <c r="N41" s="17"/>
      <c r="O41" s="17"/>
    </row>
    <row r="42" spans="7:15" ht="15.75" customHeight="1">
      <c r="H42" s="107" t="s">
        <v>48</v>
      </c>
      <c r="I42" s="69">
        <f>J13/(1+J41)</f>
        <v>5.4945054945054945E-4</v>
      </c>
      <c r="J42" s="69">
        <v>5.5000000000000003E-4</v>
      </c>
      <c r="K42" s="69" t="s">
        <v>22</v>
      </c>
      <c r="L42" s="70" t="s">
        <v>178</v>
      </c>
      <c r="M42" s="17"/>
      <c r="N42" s="17"/>
      <c r="O42" s="17"/>
    </row>
    <row r="43" spans="7:15" ht="15.75" customHeight="1">
      <c r="H43" s="107" t="s">
        <v>49</v>
      </c>
      <c r="I43" s="69">
        <f>J15/(1+J41)</f>
        <v>3.2967032967032968E-2</v>
      </c>
      <c r="J43" s="69">
        <v>3.2969999999999999E-2</v>
      </c>
      <c r="K43" s="69" t="s">
        <v>22</v>
      </c>
      <c r="L43" s="70" t="s">
        <v>177</v>
      </c>
    </row>
    <row r="44" spans="7:15" ht="15.75" customHeight="1">
      <c r="H44" s="116" t="s">
        <v>274</v>
      </c>
      <c r="I44" s="69"/>
      <c r="J44" s="69"/>
      <c r="K44" s="69"/>
      <c r="L44" s="70"/>
    </row>
    <row r="45" spans="7:15" ht="15.75" customHeight="1">
      <c r="H45" s="117" t="s">
        <v>273</v>
      </c>
      <c r="I45" s="69"/>
      <c r="J45" s="69">
        <v>0.6</v>
      </c>
      <c r="K45" s="69"/>
      <c r="L45" s="70"/>
    </row>
    <row r="46" spans="7:15" ht="15.75" customHeight="1">
      <c r="H46" s="117" t="s">
        <v>280</v>
      </c>
      <c r="I46" s="69"/>
      <c r="J46" s="69">
        <v>0.89</v>
      </c>
      <c r="K46" s="69"/>
      <c r="L46" s="70"/>
    </row>
    <row r="47" spans="7:15" ht="15.75" customHeight="1">
      <c r="H47" s="118" t="s">
        <v>50</v>
      </c>
      <c r="I47" s="69"/>
      <c r="J47" s="69"/>
      <c r="K47" s="69"/>
      <c r="L47" s="70"/>
    </row>
    <row r="48" spans="7:15" ht="15.75" customHeight="1">
      <c r="H48" s="119" t="s">
        <v>51</v>
      </c>
      <c r="I48" s="69"/>
      <c r="J48" s="69"/>
      <c r="K48" s="69"/>
      <c r="L48" s="70"/>
    </row>
    <row r="49" spans="7:12" ht="15.75" customHeight="1">
      <c r="H49" s="82" t="s">
        <v>52</v>
      </c>
      <c r="I49" s="69">
        <f>J18*J15</f>
        <v>1.2000000000000002</v>
      </c>
      <c r="J49" s="69"/>
      <c r="K49" s="69" t="s">
        <v>3</v>
      </c>
      <c r="L49" s="70" t="s">
        <v>202</v>
      </c>
    </row>
    <row r="50" spans="7:12" ht="15.75" customHeight="1">
      <c r="H50" s="82" t="s">
        <v>53</v>
      </c>
      <c r="I50" s="69">
        <f>J18*J13</f>
        <v>2.0000000000000004E-2</v>
      </c>
      <c r="J50" s="69"/>
      <c r="K50" s="69" t="s">
        <v>3</v>
      </c>
      <c r="L50" s="70" t="s">
        <v>203</v>
      </c>
    </row>
    <row r="51" spans="7:12" ht="15.75" customHeight="1">
      <c r="H51" s="82" t="s">
        <v>54</v>
      </c>
      <c r="I51" s="69">
        <f>(J45+I50)/J42</f>
        <v>1127.2727272727273</v>
      </c>
      <c r="J51" s="69">
        <v>1127.3</v>
      </c>
      <c r="K51" s="69" t="s">
        <v>5</v>
      </c>
      <c r="L51" s="70" t="s">
        <v>204</v>
      </c>
    </row>
    <row r="52" spans="7:12" ht="15.75" customHeight="1">
      <c r="H52" s="82" t="s">
        <v>55</v>
      </c>
      <c r="I52" s="69">
        <f>((J46+I49)-(J45+I50))/(I43-I42)</f>
        <v>45.34576271186441</v>
      </c>
      <c r="J52" s="69">
        <v>42</v>
      </c>
      <c r="K52" s="69" t="s">
        <v>5</v>
      </c>
      <c r="L52" s="70" t="s">
        <v>179</v>
      </c>
    </row>
    <row r="53" spans="7:12" ht="15.75" customHeight="1">
      <c r="H53" s="20" t="s">
        <v>56</v>
      </c>
      <c r="I53" s="4"/>
      <c r="J53" s="4"/>
      <c r="K53" s="4"/>
    </row>
    <row r="54" spans="7:12" ht="15.75" customHeight="1">
      <c r="H54" s="21" t="s">
        <v>51</v>
      </c>
      <c r="I54" s="4"/>
      <c r="J54" s="4"/>
      <c r="K54" s="4"/>
    </row>
    <row r="55" spans="7:12" ht="15.75" customHeight="1">
      <c r="H55" s="21" t="s">
        <v>57</v>
      </c>
      <c r="I55" s="4"/>
      <c r="J55" s="4">
        <v>220</v>
      </c>
      <c r="K55" s="4" t="s">
        <v>5</v>
      </c>
    </row>
    <row r="56" spans="7:12" ht="15.75" customHeight="1">
      <c r="H56" s="22" t="s">
        <v>58</v>
      </c>
      <c r="I56" s="4"/>
    </row>
    <row r="57" spans="7:12" ht="15.75" customHeight="1">
      <c r="H57" s="18" t="s">
        <v>59</v>
      </c>
      <c r="I57" s="6" t="s">
        <v>13</v>
      </c>
      <c r="J57" s="7" t="s">
        <v>14</v>
      </c>
      <c r="K57" s="7" t="s">
        <v>15</v>
      </c>
      <c r="L57" s="7" t="s">
        <v>16</v>
      </c>
    </row>
    <row r="58" spans="7:12" ht="15.75" customHeight="1">
      <c r="H58" s="107" t="s">
        <v>60</v>
      </c>
      <c r="I58" s="69">
        <f>(J45+I50)/J55</f>
        <v>2.8181818181818182E-3</v>
      </c>
      <c r="J58" s="69"/>
      <c r="K58" s="69" t="s">
        <v>22</v>
      </c>
      <c r="L58" s="70" t="s">
        <v>180</v>
      </c>
    </row>
    <row r="59" spans="7:12" ht="15.75" customHeight="1">
      <c r="H59" s="82" t="s">
        <v>61</v>
      </c>
      <c r="I59" s="69">
        <f>(J46+I49)/J55</f>
        <v>9.5000000000000015E-3</v>
      </c>
      <c r="J59" s="69"/>
      <c r="K59" s="69" t="s">
        <v>22</v>
      </c>
      <c r="L59" s="70" t="s">
        <v>181</v>
      </c>
    </row>
    <row r="60" spans="7:12" ht="15.75" customHeight="1">
      <c r="H60" s="82" t="s">
        <v>62</v>
      </c>
      <c r="I60" s="69">
        <f t="shared" ref="I60:I61" si="0">I58+I42</f>
        <v>3.3676323676323679E-3</v>
      </c>
      <c r="J60" s="69"/>
      <c r="K60" s="69" t="s">
        <v>22</v>
      </c>
      <c r="L60" s="70" t="s">
        <v>182</v>
      </c>
    </row>
    <row r="61" spans="7:12" ht="15.75" customHeight="1">
      <c r="H61" s="82" t="s">
        <v>63</v>
      </c>
      <c r="I61" s="69">
        <f t="shared" si="0"/>
        <v>4.2467032967032969E-2</v>
      </c>
      <c r="J61" s="69"/>
      <c r="K61" s="69" t="s">
        <v>22</v>
      </c>
      <c r="L61" s="70" t="s">
        <v>183</v>
      </c>
    </row>
    <row r="62" spans="7:12" ht="15.75" customHeight="1">
      <c r="H62" s="156" t="s">
        <v>64</v>
      </c>
      <c r="I62" s="157"/>
      <c r="J62" s="70"/>
      <c r="K62" s="70"/>
      <c r="L62" s="70"/>
    </row>
    <row r="63" spans="7:12" ht="15.75" customHeight="1">
      <c r="G63" s="8" t="s">
        <v>65</v>
      </c>
      <c r="H63" s="82" t="s">
        <v>190</v>
      </c>
      <c r="I63" s="69">
        <f>(J11^2)/(4*3.14^2*I64)</f>
        <v>0.11922937924616905</v>
      </c>
      <c r="J63" s="69"/>
      <c r="K63" s="69" t="s">
        <v>1</v>
      </c>
      <c r="L63" s="70" t="s">
        <v>184</v>
      </c>
    </row>
    <row r="64" spans="7:12" ht="15.75" customHeight="1">
      <c r="H64" s="82" t="s">
        <v>186</v>
      </c>
      <c r="I64" s="69">
        <f>I65+(1+J41)*I4</f>
        <v>765.59648428018443</v>
      </c>
      <c r="J64" s="69"/>
      <c r="K64" s="69" t="s">
        <v>5</v>
      </c>
      <c r="L64" s="70" t="s">
        <v>187</v>
      </c>
    </row>
    <row r="65" spans="7:15" ht="15.75" customHeight="1">
      <c r="H65" s="82" t="s">
        <v>205</v>
      </c>
      <c r="I65" s="69">
        <f>(J55*I52)/(J55+I52)</f>
        <v>37.596484280184477</v>
      </c>
      <c r="J65" s="69"/>
      <c r="K65" s="69" t="s">
        <v>5</v>
      </c>
      <c r="L65" s="70" t="s">
        <v>185</v>
      </c>
    </row>
    <row r="66" spans="7:15" ht="15.75" customHeight="1">
      <c r="H66" s="108" t="s">
        <v>66</v>
      </c>
      <c r="I66" s="69"/>
      <c r="J66" s="70"/>
      <c r="K66" s="70"/>
      <c r="L66" s="70"/>
    </row>
    <row r="67" spans="7:15" ht="15.75" customHeight="1">
      <c r="H67" s="82" t="s">
        <v>33</v>
      </c>
      <c r="I67" s="69">
        <f>I68*I60</f>
        <v>9.8941038961038966E-2</v>
      </c>
      <c r="J67" s="78"/>
      <c r="K67" s="78" t="s">
        <v>1</v>
      </c>
      <c r="L67" s="70" t="s">
        <v>189</v>
      </c>
    </row>
    <row r="68" spans="7:15" ht="15.75" customHeight="1">
      <c r="G68" s="23"/>
      <c r="H68" s="109" t="s">
        <v>67</v>
      </c>
      <c r="I68" s="110">
        <f>(J11/2)-(I58*J55)</f>
        <v>29.38</v>
      </c>
      <c r="J68" s="111"/>
      <c r="K68" s="111" t="s">
        <v>3</v>
      </c>
      <c r="L68" s="112" t="s">
        <v>188</v>
      </c>
      <c r="M68" s="23"/>
      <c r="N68" s="23"/>
    </row>
    <row r="69" spans="7:15" ht="15.75" customHeight="1">
      <c r="H69" s="82" t="s">
        <v>34</v>
      </c>
      <c r="I69" s="69">
        <f>I67+I63</f>
        <v>0.21817041820720801</v>
      </c>
      <c r="J69" s="78"/>
      <c r="K69" s="78" t="s">
        <v>1</v>
      </c>
      <c r="L69" s="60" t="s">
        <v>68</v>
      </c>
    </row>
    <row r="70" spans="7:15" ht="15.75" customHeight="1">
      <c r="H70" s="20" t="s">
        <v>69</v>
      </c>
      <c r="I70" s="4"/>
    </row>
    <row r="71" spans="7:15" ht="15.75" customHeight="1">
      <c r="H71" s="21" t="s">
        <v>70</v>
      </c>
      <c r="I71" s="4"/>
    </row>
    <row r="72" spans="7:15" ht="15.75" customHeight="1">
      <c r="H72" s="21" t="s">
        <v>71</v>
      </c>
      <c r="I72" s="4"/>
    </row>
    <row r="73" spans="7:15" ht="15.75" customHeight="1">
      <c r="H73" s="21" t="s">
        <v>191</v>
      </c>
      <c r="I73" s="4"/>
    </row>
    <row r="74" spans="7:15" ht="15.75" customHeight="1">
      <c r="H74" s="13" t="s">
        <v>72</v>
      </c>
      <c r="I74" s="4"/>
    </row>
    <row r="75" spans="7:15" ht="15.75" customHeight="1">
      <c r="G75" s="48"/>
      <c r="H75" s="50" t="s">
        <v>37</v>
      </c>
      <c r="I75" s="50" t="s">
        <v>38</v>
      </c>
      <c r="J75" s="50" t="s">
        <v>39</v>
      </c>
      <c r="K75" s="50" t="s">
        <v>40</v>
      </c>
      <c r="L75" s="50" t="s">
        <v>41</v>
      </c>
      <c r="M75" s="50" t="s">
        <v>42</v>
      </c>
      <c r="N75" s="50" t="s">
        <v>73</v>
      </c>
      <c r="O75" s="50" t="s">
        <v>43</v>
      </c>
    </row>
    <row r="76" spans="7:15" ht="15.75" customHeight="1">
      <c r="G76" s="48"/>
      <c r="H76" s="55" t="s">
        <v>275</v>
      </c>
      <c r="I76" s="50">
        <v>65</v>
      </c>
      <c r="J76" s="50">
        <v>6</v>
      </c>
      <c r="K76" s="50" t="s">
        <v>277</v>
      </c>
      <c r="L76" s="50">
        <v>100</v>
      </c>
      <c r="M76" s="50">
        <v>3</v>
      </c>
      <c r="N76" s="50">
        <v>150</v>
      </c>
      <c r="O76" s="50" t="s">
        <v>44</v>
      </c>
    </row>
    <row r="77" spans="7:15" ht="15.75" customHeight="1">
      <c r="G77" s="48"/>
      <c r="H77" s="55" t="s">
        <v>276</v>
      </c>
      <c r="I77" s="50">
        <v>65</v>
      </c>
      <c r="J77" s="50">
        <v>6</v>
      </c>
      <c r="K77" s="50" t="s">
        <v>277</v>
      </c>
      <c r="L77" s="50">
        <v>100</v>
      </c>
      <c r="M77" s="50">
        <v>3</v>
      </c>
      <c r="N77" s="50">
        <v>150</v>
      </c>
      <c r="O77" s="50" t="s">
        <v>45</v>
      </c>
    </row>
    <row r="78" spans="7:15" ht="15.75" customHeight="1">
      <c r="H78" s="22"/>
    </row>
    <row r="79" spans="7:15" ht="15.75" customHeight="1">
      <c r="H79" s="24" t="s">
        <v>74</v>
      </c>
      <c r="I79" s="6" t="s">
        <v>13</v>
      </c>
      <c r="J79" s="7" t="s">
        <v>14</v>
      </c>
      <c r="K79" s="7" t="s">
        <v>15</v>
      </c>
      <c r="L79" s="7" t="s">
        <v>16</v>
      </c>
    </row>
    <row r="80" spans="7:15" ht="15.75" customHeight="1">
      <c r="H80" s="158" t="s">
        <v>75</v>
      </c>
      <c r="I80" s="159"/>
      <c r="J80" s="159"/>
      <c r="K80" s="159"/>
      <c r="L80" s="160"/>
    </row>
    <row r="81" spans="8:12" ht="15.75" customHeight="1">
      <c r="H81" s="25" t="s">
        <v>206</v>
      </c>
      <c r="I81" s="25">
        <f>(0.05*J18)</f>
        <v>2.0000000000000004E-2</v>
      </c>
      <c r="J81" s="25"/>
      <c r="K81" s="25"/>
      <c r="L81" s="25"/>
    </row>
    <row r="82" spans="8:12" ht="15.75" customHeight="1">
      <c r="H82" s="161" t="s">
        <v>210</v>
      </c>
      <c r="I82" s="159"/>
      <c r="J82" s="159"/>
      <c r="K82" s="159"/>
      <c r="L82" s="160"/>
    </row>
    <row r="83" spans="8:12" ht="15.75" customHeight="1">
      <c r="H83" s="82" t="s">
        <v>76</v>
      </c>
      <c r="I83" s="69">
        <f>0.6+J45+I81+I81+0.6+0.6</f>
        <v>2.44</v>
      </c>
      <c r="J83" s="78"/>
      <c r="K83" s="78" t="s">
        <v>3</v>
      </c>
      <c r="L83" s="60" t="s">
        <v>77</v>
      </c>
    </row>
    <row r="84" spans="8:12" ht="15.75" customHeight="1">
      <c r="H84" s="162" t="s">
        <v>78</v>
      </c>
      <c r="I84" s="159"/>
      <c r="J84" s="159"/>
      <c r="K84" s="159"/>
      <c r="L84" s="160"/>
    </row>
    <row r="85" spans="8:12" ht="15.75" customHeight="1">
      <c r="H85" s="162" t="s">
        <v>79</v>
      </c>
      <c r="I85" s="159"/>
      <c r="J85" s="159"/>
      <c r="K85" s="159"/>
      <c r="L85" s="160"/>
    </row>
    <row r="86" spans="8:12" ht="15.75" customHeight="1">
      <c r="H86" s="49" t="s">
        <v>211</v>
      </c>
      <c r="I86" s="26"/>
      <c r="J86" s="27"/>
      <c r="K86" s="27"/>
      <c r="L86" s="27"/>
    </row>
    <row r="87" spans="8:12" ht="15.75" customHeight="1">
      <c r="H87" s="60" t="s">
        <v>80</v>
      </c>
      <c r="I87" s="69">
        <f>I61/(J99+1)</f>
        <v>6.9618086831201584E-4</v>
      </c>
      <c r="J87" s="78"/>
      <c r="K87" s="78" t="s">
        <v>22</v>
      </c>
      <c r="L87" s="64" t="s">
        <v>207</v>
      </c>
    </row>
    <row r="88" spans="8:12" ht="15.75" customHeight="1">
      <c r="H88" s="49" t="s">
        <v>213</v>
      </c>
      <c r="I88" s="4"/>
      <c r="J88" s="9"/>
      <c r="K88" s="9"/>
    </row>
    <row r="89" spans="8:12" ht="15.75" customHeight="1">
      <c r="H89" s="64" t="s">
        <v>212</v>
      </c>
      <c r="I89" s="69">
        <f>10*I87</f>
        <v>6.9618086831201584E-3</v>
      </c>
      <c r="J89" s="78">
        <v>7.0000000000000001E-3</v>
      </c>
      <c r="K89" s="78" t="s">
        <v>22</v>
      </c>
      <c r="L89" s="64" t="s">
        <v>208</v>
      </c>
    </row>
    <row r="90" spans="8:12" ht="15.75" customHeight="1">
      <c r="H90" s="10" t="s">
        <v>81</v>
      </c>
      <c r="I90" s="4"/>
    </row>
    <row r="91" spans="8:12" ht="15.75" customHeight="1">
      <c r="H91" s="19" t="s">
        <v>82</v>
      </c>
      <c r="I91" s="26"/>
      <c r="J91" s="27"/>
      <c r="K91" s="27"/>
    </row>
    <row r="92" spans="8:12" ht="15.75" customHeight="1">
      <c r="H92" s="162" t="s">
        <v>83</v>
      </c>
      <c r="I92" s="159"/>
      <c r="J92" s="159"/>
      <c r="K92" s="160"/>
    </row>
    <row r="93" spans="8:12" ht="15.75" customHeight="1">
      <c r="H93" s="82" t="s">
        <v>84</v>
      </c>
      <c r="I93" s="69">
        <f>I83-(3*0.7)</f>
        <v>0.3400000000000003</v>
      </c>
      <c r="J93" s="78"/>
      <c r="K93" s="78" t="s">
        <v>3</v>
      </c>
      <c r="L93" s="64" t="s">
        <v>209</v>
      </c>
    </row>
    <row r="94" spans="8:12" ht="15.75" customHeight="1">
      <c r="H94" s="64" t="s">
        <v>221</v>
      </c>
      <c r="I94" s="69">
        <f>I93/I89</f>
        <v>48.837883296674903</v>
      </c>
      <c r="J94" s="78">
        <v>100</v>
      </c>
      <c r="K94" s="78" t="s">
        <v>5</v>
      </c>
      <c r="L94" s="64" t="s">
        <v>218</v>
      </c>
    </row>
    <row r="95" spans="8:12" ht="15.75" customHeight="1">
      <c r="H95" s="166" t="s">
        <v>222</v>
      </c>
      <c r="I95" s="164"/>
      <c r="J95" s="164"/>
    </row>
    <row r="96" spans="8:12" ht="15.75" customHeight="1">
      <c r="H96" s="18" t="s">
        <v>85</v>
      </c>
      <c r="I96" s="6" t="s">
        <v>13</v>
      </c>
      <c r="J96" s="7" t="s">
        <v>14</v>
      </c>
      <c r="K96" s="7" t="s">
        <v>15</v>
      </c>
      <c r="L96" s="7" t="s">
        <v>16</v>
      </c>
    </row>
    <row r="97" spans="8:13" ht="15.75" customHeight="1">
      <c r="H97" s="167" t="s">
        <v>219</v>
      </c>
      <c r="I97" s="159"/>
      <c r="J97" s="159"/>
      <c r="K97" s="160"/>
      <c r="L97" s="28"/>
    </row>
    <row r="98" spans="8:13" ht="15.75" customHeight="1">
      <c r="H98" s="100" t="s">
        <v>214</v>
      </c>
      <c r="I98" s="101">
        <f>J99*J100/I60</f>
        <v>445.41679026994956</v>
      </c>
      <c r="J98" s="102"/>
      <c r="K98" s="103" t="s">
        <v>5</v>
      </c>
      <c r="L98" s="100" t="s">
        <v>217</v>
      </c>
      <c r="M98" s="70"/>
    </row>
    <row r="99" spans="8:13" ht="15.75" customHeight="1">
      <c r="H99" s="100" t="s">
        <v>228</v>
      </c>
      <c r="I99" s="104"/>
      <c r="J99" s="102">
        <v>60</v>
      </c>
      <c r="K99" s="101"/>
      <c r="L99" s="102"/>
      <c r="M99" s="70"/>
    </row>
    <row r="100" spans="8:13" ht="15.75" customHeight="1">
      <c r="H100" s="102" t="s">
        <v>86</v>
      </c>
      <c r="I100" s="104"/>
      <c r="J100" s="102">
        <v>2.5000000000000001E-2</v>
      </c>
      <c r="K100" s="105" t="s">
        <v>3</v>
      </c>
      <c r="L100" s="102"/>
      <c r="M100" s="70"/>
    </row>
    <row r="101" spans="8:13" ht="15.75" customHeight="1">
      <c r="H101" s="100" t="s">
        <v>215</v>
      </c>
      <c r="I101" s="104">
        <f>(J41*J100)/J39</f>
        <v>45</v>
      </c>
      <c r="J101" s="102"/>
      <c r="K101" s="105" t="s">
        <v>5</v>
      </c>
      <c r="L101" s="100" t="s">
        <v>220</v>
      </c>
      <c r="M101" s="102"/>
    </row>
    <row r="102" spans="8:13" ht="15.75" customHeight="1">
      <c r="H102" s="100" t="s">
        <v>216</v>
      </c>
      <c r="I102" s="104">
        <f>J55*(I101+J18)/(J55+I101+J18)</f>
        <v>37.633760361718167</v>
      </c>
      <c r="J102" s="102"/>
      <c r="K102" s="101"/>
      <c r="L102" s="100" t="s">
        <v>223</v>
      </c>
      <c r="M102" s="102"/>
    </row>
    <row r="103" spans="8:13" ht="15.75" customHeight="1">
      <c r="H103" s="106" t="s">
        <v>87</v>
      </c>
      <c r="I103" s="104"/>
      <c r="J103" s="102"/>
      <c r="K103" s="101"/>
      <c r="L103" s="102"/>
      <c r="M103" s="102"/>
    </row>
    <row r="104" spans="8:13" ht="15.75" customHeight="1">
      <c r="H104" s="106" t="s">
        <v>88</v>
      </c>
      <c r="I104" s="104">
        <f>I98+((1+J99)*I102)+(1+J99)*(1+J41)*I4</f>
        <v>47149.07617233476</v>
      </c>
      <c r="J104" s="102"/>
      <c r="K104" s="105" t="s">
        <v>5</v>
      </c>
      <c r="L104" s="100" t="s">
        <v>224</v>
      </c>
      <c r="M104" s="102"/>
    </row>
    <row r="105" spans="8:13" ht="15.75" customHeight="1">
      <c r="H105" s="158" t="s">
        <v>89</v>
      </c>
      <c r="I105" s="159"/>
      <c r="J105" s="159"/>
      <c r="K105" s="159"/>
      <c r="L105" s="160"/>
      <c r="M105" s="29"/>
    </row>
    <row r="106" spans="8:13" ht="15.75" customHeight="1">
      <c r="H106" s="158" t="s">
        <v>90</v>
      </c>
      <c r="I106" s="159"/>
      <c r="J106" s="159"/>
      <c r="K106" s="159"/>
      <c r="L106" s="160"/>
      <c r="M106" s="29"/>
    </row>
    <row r="107" spans="8:13" ht="15.75" customHeight="1">
      <c r="H107" s="158" t="s">
        <v>91</v>
      </c>
      <c r="I107" s="159"/>
      <c r="J107" s="159"/>
      <c r="K107" s="159"/>
      <c r="L107" s="160"/>
      <c r="M107" s="29"/>
    </row>
    <row r="108" spans="8:13" ht="15.75" customHeight="1">
      <c r="H108" s="158" t="s">
        <v>92</v>
      </c>
      <c r="I108" s="159"/>
      <c r="J108" s="159"/>
      <c r="K108" s="159"/>
      <c r="L108" s="160"/>
    </row>
    <row r="109" spans="8:13" ht="15.75" customHeight="1">
      <c r="H109" s="64" t="s">
        <v>229</v>
      </c>
      <c r="I109" s="69">
        <f>J11/40</f>
        <v>1.5</v>
      </c>
      <c r="J109" s="60">
        <v>1.5</v>
      </c>
      <c r="K109" s="63" t="s">
        <v>3</v>
      </c>
      <c r="L109" s="64" t="s">
        <v>231</v>
      </c>
    </row>
    <row r="110" spans="8:13" ht="15.75" customHeight="1">
      <c r="H110" s="64" t="s">
        <v>93</v>
      </c>
      <c r="I110" s="69">
        <f>(J114+ J113)*I111</f>
        <v>1.6847577013150783</v>
      </c>
      <c r="J110" s="70"/>
      <c r="K110" s="62"/>
      <c r="L110" s="70"/>
    </row>
    <row r="111" spans="8:13" ht="15.75" customHeight="1">
      <c r="H111" s="60" t="s">
        <v>94</v>
      </c>
      <c r="I111" s="69">
        <f>I89</f>
        <v>6.9618086831201584E-3</v>
      </c>
      <c r="J111" s="70"/>
      <c r="K111" s="63" t="s">
        <v>22</v>
      </c>
      <c r="L111" s="70"/>
    </row>
    <row r="112" spans="8:13" ht="15.75" customHeight="1">
      <c r="H112" s="60"/>
      <c r="I112" s="69"/>
      <c r="J112" s="60"/>
      <c r="K112" s="83"/>
      <c r="L112" s="70"/>
    </row>
    <row r="113" spans="8:15" ht="15.75" customHeight="1">
      <c r="H113" s="64" t="s">
        <v>230</v>
      </c>
      <c r="I113" s="69"/>
      <c r="J113" s="60">
        <v>22</v>
      </c>
      <c r="K113" s="83" t="s">
        <v>5</v>
      </c>
      <c r="L113" s="70"/>
    </row>
    <row r="114" spans="8:15" ht="15.75" customHeight="1">
      <c r="H114" s="60" t="s">
        <v>95</v>
      </c>
      <c r="I114" s="69">
        <f>I109/I111</f>
        <v>215.46124983827144</v>
      </c>
      <c r="J114" s="60">
        <v>220</v>
      </c>
      <c r="K114" s="83" t="s">
        <v>5</v>
      </c>
      <c r="L114" s="60" t="s">
        <v>96</v>
      </c>
    </row>
    <row r="115" spans="8:15" ht="15.75" customHeight="1">
      <c r="H115" s="60" t="s">
        <v>97</v>
      </c>
      <c r="I115" s="69">
        <f>(J11/2)-I50-0.6-0.6-I110</f>
        <v>27.095242298684919</v>
      </c>
      <c r="J115" s="70"/>
      <c r="K115" s="63" t="s">
        <v>3</v>
      </c>
      <c r="L115" s="64" t="s">
        <v>232</v>
      </c>
    </row>
    <row r="116" spans="8:15" ht="15.75" customHeight="1">
      <c r="H116" s="99" t="s">
        <v>98</v>
      </c>
      <c r="I116" s="69"/>
      <c r="J116" s="70"/>
      <c r="K116" s="62"/>
      <c r="L116" s="70"/>
    </row>
    <row r="117" spans="8:15" ht="15.75" customHeight="1">
      <c r="H117" s="60" t="s">
        <v>33</v>
      </c>
      <c r="I117" s="69">
        <f>I115*I89</f>
        <v>0.18863189310622927</v>
      </c>
      <c r="J117" s="70"/>
      <c r="K117" s="63" t="s">
        <v>1</v>
      </c>
      <c r="L117" s="64" t="s">
        <v>233</v>
      </c>
    </row>
    <row r="118" spans="8:15" ht="15.75" customHeight="1">
      <c r="H118" s="20" t="s">
        <v>99</v>
      </c>
      <c r="I118" s="4"/>
    </row>
    <row r="119" spans="8:15" ht="15.75" customHeight="1">
      <c r="H119" s="21" t="s">
        <v>100</v>
      </c>
      <c r="I119" s="4"/>
    </row>
    <row r="120" spans="8:15" ht="15.75" customHeight="1">
      <c r="H120" s="21" t="s">
        <v>71</v>
      </c>
      <c r="I120" s="4"/>
    </row>
    <row r="121" spans="8:15" ht="15.75" customHeight="1">
      <c r="H121" s="51" t="s">
        <v>234</v>
      </c>
      <c r="I121" s="4"/>
    </row>
    <row r="122" spans="8:15" ht="15.75" customHeight="1">
      <c r="H122" s="30" t="s">
        <v>101</v>
      </c>
      <c r="I122" s="4"/>
    </row>
    <row r="123" spans="8:15" ht="15.75" customHeight="1">
      <c r="H123" s="31" t="s">
        <v>102</v>
      </c>
      <c r="I123" s="4"/>
    </row>
    <row r="124" spans="8:15" ht="15.75" customHeight="1">
      <c r="H124" s="50" t="s">
        <v>37</v>
      </c>
      <c r="I124" s="50" t="s">
        <v>38</v>
      </c>
      <c r="J124" s="50" t="s">
        <v>39</v>
      </c>
      <c r="K124" s="50" t="s">
        <v>40</v>
      </c>
      <c r="L124" s="50" t="s">
        <v>41</v>
      </c>
      <c r="M124" s="50" t="s">
        <v>42</v>
      </c>
      <c r="N124" s="50" t="s">
        <v>103</v>
      </c>
      <c r="O124" s="50" t="s">
        <v>43</v>
      </c>
    </row>
    <row r="125" spans="8:15" ht="15.75" customHeight="1">
      <c r="H125" s="50" t="s">
        <v>104</v>
      </c>
      <c r="I125" s="50">
        <v>0.9</v>
      </c>
      <c r="J125" s="50">
        <v>1</v>
      </c>
      <c r="K125" s="50" t="s">
        <v>105</v>
      </c>
      <c r="L125" s="50">
        <v>160</v>
      </c>
      <c r="M125" s="50">
        <v>20</v>
      </c>
      <c r="N125" s="50">
        <v>150</v>
      </c>
      <c r="O125" s="50" t="s">
        <v>44</v>
      </c>
    </row>
    <row r="126" spans="8:15" ht="15.75" customHeight="1">
      <c r="H126" s="32" t="s">
        <v>106</v>
      </c>
    </row>
    <row r="127" spans="8:15" ht="15.75" customHeight="1">
      <c r="H127" s="52" t="s">
        <v>235</v>
      </c>
      <c r="J127" s="8">
        <v>100</v>
      </c>
    </row>
    <row r="128" spans="8:15" ht="15.75" customHeight="1">
      <c r="H128" s="18" t="s">
        <v>107</v>
      </c>
      <c r="I128" s="6" t="s">
        <v>13</v>
      </c>
      <c r="J128" s="7" t="s">
        <v>14</v>
      </c>
      <c r="K128" s="7" t="s">
        <v>15</v>
      </c>
      <c r="L128" s="7" t="s">
        <v>16</v>
      </c>
    </row>
    <row r="129" spans="8:17" ht="15.75" customHeight="1">
      <c r="H129" s="167" t="s">
        <v>236</v>
      </c>
      <c r="I129" s="159"/>
      <c r="J129" s="159"/>
      <c r="K129" s="159"/>
      <c r="L129" s="160"/>
      <c r="M129" s="36" t="s">
        <v>109</v>
      </c>
      <c r="N129" s="37"/>
      <c r="O129" s="38"/>
      <c r="P129" s="38"/>
      <c r="Q129" s="39"/>
    </row>
    <row r="130" spans="8:17" ht="15.75" customHeight="1">
      <c r="H130" s="33" t="s">
        <v>108</v>
      </c>
      <c r="I130" s="34"/>
      <c r="J130" s="35"/>
      <c r="K130" s="35"/>
      <c r="L130" s="35"/>
      <c r="M130" s="40" t="s">
        <v>110</v>
      </c>
      <c r="N130" s="4"/>
      <c r="Q130" s="41"/>
    </row>
    <row r="131" spans="8:17" ht="15.75" customHeight="1"/>
    <row r="132" spans="8:17" ht="15.75" customHeight="1"/>
    <row r="133" spans="8:17" ht="15.75" customHeight="1">
      <c r="H133" s="60" t="s">
        <v>111</v>
      </c>
      <c r="I133" s="69"/>
      <c r="J133" s="70"/>
      <c r="K133" s="70"/>
      <c r="L133" s="70"/>
    </row>
    <row r="134" spans="8:17" ht="15.75" customHeight="1">
      <c r="H134" s="64" t="s">
        <v>237</v>
      </c>
      <c r="I134" s="69">
        <f>I89</f>
        <v>6.9618086831201584E-3</v>
      </c>
      <c r="J134" s="70"/>
      <c r="K134" s="63" t="s">
        <v>22</v>
      </c>
      <c r="L134" s="70"/>
    </row>
    <row r="135" spans="8:17" ht="15.75" customHeight="1">
      <c r="H135" s="60" t="s">
        <v>112</v>
      </c>
      <c r="I135" s="69"/>
      <c r="J135" s="70"/>
      <c r="K135" s="62"/>
      <c r="L135" s="70"/>
    </row>
    <row r="136" spans="8:17" ht="15.75" customHeight="1">
      <c r="H136" s="64" t="s">
        <v>238</v>
      </c>
      <c r="I136" s="69">
        <f>I134</f>
        <v>6.9618086831201584E-3</v>
      </c>
      <c r="J136" s="70"/>
      <c r="K136" s="63" t="s">
        <v>22</v>
      </c>
      <c r="L136" s="70"/>
    </row>
    <row r="137" spans="8:17" ht="15.75" customHeight="1">
      <c r="H137" s="98" t="s">
        <v>113</v>
      </c>
      <c r="I137" s="69">
        <v>0.7</v>
      </c>
      <c r="J137" s="70"/>
      <c r="K137" s="63" t="s">
        <v>3</v>
      </c>
      <c r="L137" s="70"/>
    </row>
    <row r="138" spans="8:17" ht="15.75" customHeight="1">
      <c r="H138" s="64" t="s">
        <v>239</v>
      </c>
      <c r="I138" s="69"/>
      <c r="J138" s="70"/>
      <c r="K138" s="63" t="s">
        <v>3</v>
      </c>
      <c r="L138" s="70"/>
    </row>
    <row r="139" spans="8:17" ht="15.75" customHeight="1">
      <c r="H139" s="64" t="s">
        <v>240</v>
      </c>
      <c r="I139" s="69">
        <f>(2*I137)-0.6</f>
        <v>0.79999999999999993</v>
      </c>
      <c r="J139" s="70"/>
      <c r="K139" s="63" t="s">
        <v>3</v>
      </c>
      <c r="L139" s="64" t="s">
        <v>242</v>
      </c>
    </row>
    <row r="140" spans="8:17" ht="15.75" customHeight="1">
      <c r="H140" s="64" t="s">
        <v>241</v>
      </c>
      <c r="I140" s="69">
        <f>I139/I134</f>
        <v>114.91266658041143</v>
      </c>
      <c r="J140" s="70">
        <v>220</v>
      </c>
      <c r="K140" s="78" t="s">
        <v>5</v>
      </c>
      <c r="L140" s="64" t="s">
        <v>243</v>
      </c>
    </row>
    <row r="141" spans="8:17" ht="15.75" customHeight="1">
      <c r="H141" s="163" t="s">
        <v>244</v>
      </c>
      <c r="I141" s="164"/>
    </row>
    <row r="142" spans="8:17" ht="15.75" customHeight="1">
      <c r="H142" s="18" t="s">
        <v>114</v>
      </c>
      <c r="I142" s="6" t="s">
        <v>13</v>
      </c>
      <c r="J142" s="7" t="s">
        <v>14</v>
      </c>
      <c r="K142" s="7" t="s">
        <v>15</v>
      </c>
      <c r="L142" s="7" t="s">
        <v>16</v>
      </c>
    </row>
    <row r="143" spans="8:17" ht="15.75" customHeight="1">
      <c r="H143" s="165" t="s">
        <v>115</v>
      </c>
      <c r="I143" s="159"/>
      <c r="J143" s="159"/>
      <c r="K143" s="160"/>
      <c r="L143" s="43"/>
    </row>
    <row r="144" spans="8:17" ht="15.75" customHeight="1">
      <c r="H144" s="97" t="s">
        <v>245</v>
      </c>
      <c r="I144" s="69"/>
      <c r="J144" s="70"/>
      <c r="K144" s="70"/>
      <c r="L144" s="70"/>
    </row>
    <row r="145" spans="8:17" ht="15.75" customHeight="1">
      <c r="H145" s="97" t="s">
        <v>246</v>
      </c>
      <c r="I145" s="69">
        <f>J11/2-0.6-0.6-I139-I50</f>
        <v>27.979999999999997</v>
      </c>
      <c r="J145" s="70"/>
      <c r="K145" s="63" t="s">
        <v>3</v>
      </c>
      <c r="L145" s="70"/>
    </row>
    <row r="146" spans="8:17" ht="15.75" customHeight="1">
      <c r="H146" s="60" t="s">
        <v>116</v>
      </c>
      <c r="I146" s="69">
        <f>I145*I134</f>
        <v>0.19479140695370201</v>
      </c>
      <c r="J146" s="70"/>
      <c r="K146" s="63" t="s">
        <v>1</v>
      </c>
      <c r="L146" s="64" t="s">
        <v>247</v>
      </c>
    </row>
    <row r="147" spans="8:17" ht="15.75" customHeight="1">
      <c r="H147" s="20" t="s">
        <v>117</v>
      </c>
      <c r="I147" s="4"/>
    </row>
    <row r="148" spans="8:17" ht="15.75" customHeight="1">
      <c r="H148" s="51" t="s">
        <v>248</v>
      </c>
      <c r="I148" s="4"/>
    </row>
    <row r="149" spans="8:17" ht="15.75" customHeight="1">
      <c r="H149" s="21" t="s">
        <v>71</v>
      </c>
      <c r="I149" s="4"/>
    </row>
    <row r="150" spans="8:17" ht="15.75" customHeight="1">
      <c r="H150" s="51" t="s">
        <v>249</v>
      </c>
      <c r="I150" s="4"/>
    </row>
    <row r="151" spans="8:17" ht="15.75" customHeight="1">
      <c r="H151" s="30" t="s">
        <v>101</v>
      </c>
      <c r="I151" s="4"/>
    </row>
    <row r="152" spans="8:17" ht="15.75" customHeight="1">
      <c r="H152" s="31" t="s">
        <v>118</v>
      </c>
      <c r="I152" s="4"/>
    </row>
    <row r="153" spans="8:17" ht="15.75" customHeight="1">
      <c r="H153" s="50" t="s">
        <v>37</v>
      </c>
      <c r="I153" s="50" t="s">
        <v>38</v>
      </c>
      <c r="J153" s="50" t="s">
        <v>39</v>
      </c>
      <c r="K153" s="50" t="s">
        <v>40</v>
      </c>
      <c r="L153" s="50" t="s">
        <v>41</v>
      </c>
      <c r="M153" s="50" t="s">
        <v>42</v>
      </c>
      <c r="N153" s="50" t="s">
        <v>119</v>
      </c>
      <c r="O153" s="53" t="s">
        <v>43</v>
      </c>
    </row>
    <row r="154" spans="8:17" ht="15.75" customHeight="1">
      <c r="H154" s="50" t="s">
        <v>120</v>
      </c>
      <c r="I154" s="50">
        <v>0.9</v>
      </c>
      <c r="J154" s="50">
        <v>1</v>
      </c>
      <c r="K154" s="50" t="s">
        <v>121</v>
      </c>
      <c r="L154" s="50">
        <v>160</v>
      </c>
      <c r="M154" s="50">
        <v>15</v>
      </c>
      <c r="N154" s="50">
        <v>150</v>
      </c>
      <c r="O154" s="50" t="s">
        <v>45</v>
      </c>
    </row>
    <row r="155" spans="8:17" ht="15.75" customHeight="1">
      <c r="H155" s="18" t="s">
        <v>122</v>
      </c>
      <c r="I155" s="6" t="s">
        <v>13</v>
      </c>
      <c r="J155" s="7" t="s">
        <v>14</v>
      </c>
      <c r="K155" s="7" t="s">
        <v>15</v>
      </c>
      <c r="L155" s="7" t="s">
        <v>16</v>
      </c>
    </row>
    <row r="156" spans="8:17" ht="15.75" customHeight="1">
      <c r="H156" s="60" t="s">
        <v>123</v>
      </c>
      <c r="I156" s="69">
        <f>J11-(I137+I137)</f>
        <v>58.6</v>
      </c>
      <c r="J156" s="95"/>
      <c r="K156" s="78" t="s">
        <v>3</v>
      </c>
      <c r="L156" s="96" t="s">
        <v>251</v>
      </c>
      <c r="M156" s="93" t="s">
        <v>109</v>
      </c>
      <c r="N156" s="37"/>
      <c r="O156" s="38"/>
      <c r="P156" s="38"/>
      <c r="Q156" s="39"/>
    </row>
    <row r="157" spans="8:17" ht="15.75" customHeight="1">
      <c r="H157" s="60" t="s">
        <v>125</v>
      </c>
      <c r="I157" s="69">
        <v>7.0000000000000001E-3</v>
      </c>
      <c r="J157" s="70"/>
      <c r="K157" s="63" t="s">
        <v>22</v>
      </c>
      <c r="L157" s="70"/>
      <c r="M157" s="94" t="s">
        <v>124</v>
      </c>
      <c r="N157" s="4"/>
      <c r="Q157" s="41"/>
    </row>
    <row r="158" spans="8:17" ht="15.75" customHeight="1">
      <c r="H158" s="60" t="s">
        <v>126</v>
      </c>
      <c r="I158" s="76">
        <f>I156/I157</f>
        <v>8371.4285714285706</v>
      </c>
      <c r="J158" s="65">
        <v>8200</v>
      </c>
      <c r="K158" s="67" t="s">
        <v>5</v>
      </c>
      <c r="L158" s="64" t="s">
        <v>252</v>
      </c>
      <c r="M158" s="59" t="s">
        <v>250</v>
      </c>
    </row>
    <row r="159" spans="8:17" ht="15.75" customHeight="1">
      <c r="H159" s="5" t="s">
        <v>127</v>
      </c>
      <c r="I159" s="6" t="s">
        <v>13</v>
      </c>
      <c r="J159" s="7" t="s">
        <v>14</v>
      </c>
      <c r="K159" s="7" t="s">
        <v>15</v>
      </c>
      <c r="L159" s="7" t="s">
        <v>16</v>
      </c>
    </row>
    <row r="160" spans="8:17" ht="15.75" customHeight="1">
      <c r="H160" s="60" t="s">
        <v>128</v>
      </c>
      <c r="I160" s="69">
        <f>I134/J127</f>
        <v>6.9618086831201581E-5</v>
      </c>
      <c r="J160" s="70"/>
      <c r="K160" s="78" t="s">
        <v>22</v>
      </c>
      <c r="L160" s="64" t="s">
        <v>253</v>
      </c>
    </row>
    <row r="161" spans="5:12" ht="15.75" customHeight="1">
      <c r="H161" s="165" t="s">
        <v>129</v>
      </c>
      <c r="I161" s="159"/>
      <c r="J161" s="159"/>
      <c r="K161" s="159"/>
      <c r="L161" s="160"/>
    </row>
    <row r="162" spans="5:12" ht="15.75" customHeight="1">
      <c r="H162" s="44" t="s">
        <v>130</v>
      </c>
      <c r="I162" s="4"/>
      <c r="K162" s="42"/>
    </row>
    <row r="163" spans="5:12" ht="15.75" customHeight="1">
      <c r="H163" s="60" t="s">
        <v>131</v>
      </c>
      <c r="I163" s="63">
        <f>10*I160</f>
        <v>6.9618086831201584E-4</v>
      </c>
      <c r="J163" s="70"/>
      <c r="K163" s="78" t="s">
        <v>22</v>
      </c>
      <c r="L163" s="60" t="s">
        <v>132</v>
      </c>
    </row>
    <row r="164" spans="5:12" ht="15.75" customHeight="1">
      <c r="H164" s="5" t="s">
        <v>133</v>
      </c>
      <c r="I164" s="6" t="s">
        <v>13</v>
      </c>
      <c r="J164" s="7" t="s">
        <v>14</v>
      </c>
      <c r="K164" s="7" t="s">
        <v>15</v>
      </c>
      <c r="L164" s="7" t="s">
        <v>16</v>
      </c>
    </row>
    <row r="165" spans="5:12" ht="15.75" customHeight="1">
      <c r="E165">
        <f>40500</f>
        <v>40500</v>
      </c>
      <c r="H165" s="79" t="s">
        <v>134</v>
      </c>
      <c r="I165" s="69">
        <f>(I163 - I160)</f>
        <v>6.265627814808143E-4</v>
      </c>
      <c r="J165" s="62"/>
      <c r="K165" s="62"/>
      <c r="L165" s="64" t="s">
        <v>254</v>
      </c>
    </row>
    <row r="166" spans="5:12" ht="15.75" customHeight="1">
      <c r="H166" s="60" t="s">
        <v>135</v>
      </c>
      <c r="I166" s="69">
        <f>(0.6 + I110)</f>
        <v>2.2847577013150784</v>
      </c>
      <c r="J166" s="69"/>
      <c r="K166" s="62"/>
      <c r="L166" s="60" t="s">
        <v>136</v>
      </c>
    </row>
    <row r="167" spans="5:12" ht="15.75" customHeight="1">
      <c r="H167" s="60" t="s">
        <v>137</v>
      </c>
      <c r="I167" s="69">
        <f>(I166)/(I165)</f>
        <v>3646.4944437256509</v>
      </c>
      <c r="J167" s="65">
        <v>3600</v>
      </c>
      <c r="K167" s="80" t="s">
        <v>5</v>
      </c>
      <c r="L167" s="81" t="s">
        <v>138</v>
      </c>
    </row>
    <row r="168" spans="5:12" ht="15.75" customHeight="1">
      <c r="H168" s="82" t="s">
        <v>139</v>
      </c>
      <c r="I168" s="83">
        <f>(1/10*(60/2))</f>
        <v>3</v>
      </c>
      <c r="J168" s="84"/>
      <c r="K168" s="83"/>
      <c r="L168" s="82" t="s">
        <v>140</v>
      </c>
    </row>
    <row r="169" spans="5:12" ht="15.75" customHeight="1">
      <c r="H169" s="85" t="s">
        <v>255</v>
      </c>
      <c r="I169" s="86">
        <f>10*I160</f>
        <v>6.9618086831201584E-4</v>
      </c>
      <c r="J169" s="83"/>
      <c r="K169" s="83"/>
      <c r="L169" s="87" t="s">
        <v>141</v>
      </c>
    </row>
    <row r="170" spans="5:12" ht="15.75" customHeight="1">
      <c r="H170" s="82" t="s">
        <v>142</v>
      </c>
      <c r="I170" s="88">
        <f>I168/I163</f>
        <v>4309.2249967654288</v>
      </c>
      <c r="J170" s="89">
        <v>4300</v>
      </c>
      <c r="K170" s="80" t="s">
        <v>5</v>
      </c>
      <c r="L170" s="85" t="s">
        <v>256</v>
      </c>
    </row>
    <row r="171" spans="5:12" ht="15.75" customHeight="1">
      <c r="H171" s="60" t="s">
        <v>143</v>
      </c>
      <c r="I171" s="90">
        <f>(J11/2 - I166-I168 - I174)</f>
        <v>9.7152422986849203</v>
      </c>
      <c r="J171" s="62"/>
      <c r="K171" s="67"/>
      <c r="L171" s="91" t="s">
        <v>257</v>
      </c>
    </row>
    <row r="172" spans="5:12" ht="15.75" customHeight="1">
      <c r="H172" s="60" t="s">
        <v>144</v>
      </c>
      <c r="I172" s="76">
        <f>I163</f>
        <v>6.9618086831201584E-4</v>
      </c>
      <c r="J172" s="62"/>
      <c r="K172" s="67"/>
      <c r="L172" s="60" t="s">
        <v>145</v>
      </c>
    </row>
    <row r="173" spans="5:12" ht="15.75" customHeight="1">
      <c r="H173" s="60" t="s">
        <v>146</v>
      </c>
      <c r="I173" s="76">
        <f>(I171/I172)</f>
        <v>13955.054987708629</v>
      </c>
      <c r="J173" s="63">
        <v>15000</v>
      </c>
      <c r="K173" s="92" t="s">
        <v>5</v>
      </c>
      <c r="L173" s="70" t="s">
        <v>281</v>
      </c>
    </row>
    <row r="174" spans="5:12" ht="15.75" customHeight="1">
      <c r="H174" s="60" t="s">
        <v>147</v>
      </c>
      <c r="I174" s="76">
        <f>J11/4</f>
        <v>15</v>
      </c>
      <c r="J174" s="62"/>
      <c r="K174" s="67"/>
      <c r="L174" s="60" t="s">
        <v>148</v>
      </c>
    </row>
    <row r="175" spans="5:12" ht="15.75" customHeight="1">
      <c r="H175" s="45" t="s">
        <v>149</v>
      </c>
      <c r="I175" s="46"/>
      <c r="J175" s="46"/>
      <c r="K175" s="46"/>
      <c r="L175" s="46"/>
    </row>
    <row r="176" spans="5:12" ht="15.75" customHeight="1">
      <c r="H176" s="45" t="s">
        <v>150</v>
      </c>
      <c r="I176" s="46"/>
      <c r="J176" s="46"/>
      <c r="K176" s="46"/>
      <c r="L176" s="46"/>
    </row>
    <row r="177" spans="8:15" ht="15.75" customHeight="1">
      <c r="H177" s="18" t="s">
        <v>151</v>
      </c>
      <c r="I177" s="6" t="s">
        <v>13</v>
      </c>
      <c r="J177" s="7" t="s">
        <v>14</v>
      </c>
      <c r="K177" s="7" t="s">
        <v>15</v>
      </c>
      <c r="L177" s="7" t="s">
        <v>16</v>
      </c>
    </row>
    <row r="178" spans="8:15" ht="15.75" customHeight="1">
      <c r="H178" s="158" t="s">
        <v>152</v>
      </c>
      <c r="I178" s="159"/>
      <c r="J178" s="159"/>
      <c r="K178" s="159"/>
      <c r="L178" s="160"/>
    </row>
    <row r="179" spans="8:15" ht="15.75" customHeight="1">
      <c r="H179" s="125" t="s">
        <v>116</v>
      </c>
      <c r="I179" s="69">
        <f>I174*I163</f>
        <v>1.0442713024680238E-2</v>
      </c>
      <c r="J179" s="70"/>
      <c r="K179" s="78" t="s">
        <v>1</v>
      </c>
      <c r="L179" s="64" t="s">
        <v>258</v>
      </c>
    </row>
    <row r="180" spans="8:15" ht="15.75" customHeight="1">
      <c r="H180" s="20" t="s">
        <v>153</v>
      </c>
      <c r="I180" s="4"/>
    </row>
    <row r="181" spans="8:15" ht="15.75" customHeight="1">
      <c r="H181" s="21" t="s">
        <v>154</v>
      </c>
      <c r="I181" s="4"/>
    </row>
    <row r="182" spans="8:15" ht="15.75" customHeight="1">
      <c r="H182" s="21" t="s">
        <v>155</v>
      </c>
      <c r="I182" s="4"/>
    </row>
    <row r="183" spans="8:15" ht="15.75" customHeight="1">
      <c r="H183" s="51" t="s">
        <v>259</v>
      </c>
      <c r="I183" s="4"/>
    </row>
    <row r="184" spans="8:15" ht="15.75" customHeight="1">
      <c r="H184" s="30" t="s">
        <v>101</v>
      </c>
      <c r="I184" s="4"/>
    </row>
    <row r="185" spans="8:15" ht="15.75" customHeight="1">
      <c r="H185" s="47" t="s">
        <v>156</v>
      </c>
      <c r="I185" s="4"/>
    </row>
    <row r="186" spans="8:15" ht="15.75" customHeight="1">
      <c r="H186" s="50" t="s">
        <v>37</v>
      </c>
      <c r="I186" s="50" t="s">
        <v>38</v>
      </c>
      <c r="J186" s="50" t="s">
        <v>39</v>
      </c>
      <c r="K186" s="50" t="s">
        <v>40</v>
      </c>
      <c r="L186" s="50" t="s">
        <v>41</v>
      </c>
      <c r="M186" s="50" t="s">
        <v>42</v>
      </c>
      <c r="N186" s="50" t="s">
        <v>157</v>
      </c>
      <c r="O186" s="50" t="s">
        <v>43</v>
      </c>
    </row>
    <row r="187" spans="8:15" ht="15.75" customHeight="1">
      <c r="H187" s="50" t="s">
        <v>158</v>
      </c>
      <c r="I187" s="50">
        <v>0.4</v>
      </c>
      <c r="J187" s="50">
        <v>0.15</v>
      </c>
      <c r="K187" s="50" t="s">
        <v>159</v>
      </c>
      <c r="L187" s="50">
        <v>50</v>
      </c>
      <c r="M187" s="50">
        <v>80</v>
      </c>
      <c r="N187" s="50">
        <v>125</v>
      </c>
      <c r="O187" s="50" t="s">
        <v>45</v>
      </c>
    </row>
    <row r="188" spans="8:15" ht="15.75" customHeight="1">
      <c r="H188" s="32" t="s">
        <v>171</v>
      </c>
      <c r="I188" s="4"/>
    </row>
    <row r="189" spans="8:15" ht="15.75" customHeight="1">
      <c r="H189" s="32" t="s">
        <v>160</v>
      </c>
      <c r="I189" s="4"/>
      <c r="J189" s="8">
        <v>240</v>
      </c>
    </row>
    <row r="190" spans="8:15" ht="15.75" customHeight="1">
      <c r="H190" s="5" t="s">
        <v>161</v>
      </c>
      <c r="I190" s="6" t="s">
        <v>13</v>
      </c>
      <c r="J190" s="7" t="s">
        <v>14</v>
      </c>
      <c r="K190" s="7" t="s">
        <v>15</v>
      </c>
      <c r="L190" s="7" t="s">
        <v>16</v>
      </c>
    </row>
    <row r="191" spans="8:15" ht="15.75" customHeight="1">
      <c r="H191" s="60" t="s">
        <v>162</v>
      </c>
      <c r="I191" s="61">
        <f>J11/2 - 3</f>
        <v>27</v>
      </c>
      <c r="J191" s="62">
        <v>27</v>
      </c>
      <c r="K191" s="63" t="s">
        <v>3</v>
      </c>
      <c r="L191" s="64" t="s">
        <v>260</v>
      </c>
    </row>
    <row r="192" spans="8:15" ht="15.75" customHeight="1">
      <c r="H192" s="60" t="s">
        <v>163</v>
      </c>
      <c r="I192" s="61">
        <f>I191-0.7</f>
        <v>26.3</v>
      </c>
      <c r="J192" s="65">
        <v>26.3</v>
      </c>
      <c r="K192" s="63" t="s">
        <v>3</v>
      </c>
      <c r="L192" s="64" t="s">
        <v>261</v>
      </c>
    </row>
    <row r="193" spans="8:12" ht="15.75" customHeight="1">
      <c r="H193" s="60" t="s">
        <v>164</v>
      </c>
      <c r="I193" s="66">
        <f>(I163/J189)</f>
        <v>2.9007536179667327E-6</v>
      </c>
      <c r="J193" s="62"/>
      <c r="K193" s="67" t="s">
        <v>22</v>
      </c>
      <c r="L193" s="64" t="s">
        <v>262</v>
      </c>
    </row>
    <row r="194" spans="8:12" ht="15.75" customHeight="1">
      <c r="H194" s="68" t="s">
        <v>165</v>
      </c>
      <c r="I194" s="69"/>
      <c r="J194" s="62"/>
      <c r="K194" s="62"/>
      <c r="L194" s="70"/>
    </row>
    <row r="195" spans="8:12" ht="15.75" customHeight="1">
      <c r="H195" s="60" t="s">
        <v>166</v>
      </c>
      <c r="I195" s="71">
        <f>(10*I193)</f>
        <v>2.9007536179667328E-5</v>
      </c>
      <c r="J195" s="62"/>
      <c r="K195" s="67" t="s">
        <v>22</v>
      </c>
      <c r="L195" s="64" t="s">
        <v>269</v>
      </c>
    </row>
    <row r="196" spans="8:12" ht="15.75" customHeight="1">
      <c r="H196" s="60" t="s">
        <v>167</v>
      </c>
      <c r="I196" s="72">
        <f>(J192/I195)</f>
        <v>906660.93931944622</v>
      </c>
      <c r="J196" s="73">
        <v>910000</v>
      </c>
      <c r="K196" s="74" t="s">
        <v>5</v>
      </c>
      <c r="L196" s="64" t="s">
        <v>263</v>
      </c>
    </row>
    <row r="197" spans="8:12" ht="15.75" customHeight="1">
      <c r="H197" s="60" t="s">
        <v>168</v>
      </c>
      <c r="I197" s="62"/>
      <c r="J197" s="65">
        <v>200000</v>
      </c>
      <c r="K197" s="62"/>
      <c r="L197" s="70"/>
    </row>
    <row r="198" spans="8:12" ht="15.75" customHeight="1">
      <c r="H198" s="64" t="s">
        <v>172</v>
      </c>
      <c r="I198" s="75"/>
      <c r="J198" s="62"/>
      <c r="K198" s="62"/>
      <c r="L198" s="70"/>
    </row>
    <row r="199" spans="8:12" ht="15.75" customHeight="1">
      <c r="H199" s="64" t="s">
        <v>266</v>
      </c>
      <c r="I199" s="76">
        <v>255555.55559999999</v>
      </c>
      <c r="J199" s="73">
        <v>270000</v>
      </c>
      <c r="K199" s="67" t="s">
        <v>5</v>
      </c>
      <c r="L199" s="70"/>
    </row>
    <row r="200" spans="8:12" ht="15.75" customHeight="1">
      <c r="H200" s="64" t="s">
        <v>270</v>
      </c>
      <c r="I200" s="77">
        <f>I195</f>
        <v>2.9007536179667328E-5</v>
      </c>
      <c r="J200" s="63"/>
      <c r="K200" s="67" t="s">
        <v>22</v>
      </c>
      <c r="L200" s="70"/>
    </row>
    <row r="201" spans="8:12" ht="15.75" customHeight="1">
      <c r="H201" s="60" t="s">
        <v>169</v>
      </c>
      <c r="I201" s="69">
        <f>I200*J199</f>
        <v>7.8320347685101783</v>
      </c>
      <c r="J201" s="62"/>
      <c r="K201" s="78" t="s">
        <v>3</v>
      </c>
      <c r="L201" s="64" t="s">
        <v>264</v>
      </c>
    </row>
    <row r="202" spans="8:12" ht="15.75" customHeight="1">
      <c r="H202" s="64" t="s">
        <v>267</v>
      </c>
      <c r="I202" s="61">
        <f>(J11-J192-I201)</f>
        <v>25.867965231489826</v>
      </c>
      <c r="J202" s="62"/>
      <c r="K202" s="63" t="s">
        <v>3</v>
      </c>
      <c r="L202" s="64" t="s">
        <v>268</v>
      </c>
    </row>
    <row r="203" spans="8:12" ht="15.75" customHeight="1">
      <c r="H203" s="64" t="s">
        <v>271</v>
      </c>
      <c r="I203" s="77">
        <f>I200</f>
        <v>2.9007536179667328E-5</v>
      </c>
      <c r="J203" s="63"/>
      <c r="K203" s="67" t="s">
        <v>22</v>
      </c>
      <c r="L203" s="70"/>
    </row>
    <row r="204" spans="8:12" ht="15.75" customHeight="1">
      <c r="H204" s="60" t="s">
        <v>170</v>
      </c>
      <c r="I204" s="141">
        <f>I202/I203</f>
        <v>891767.05912795977</v>
      </c>
      <c r="J204" s="78">
        <v>910000</v>
      </c>
      <c r="K204" s="67" t="s">
        <v>5</v>
      </c>
      <c r="L204" s="64" t="s">
        <v>265</v>
      </c>
    </row>
    <row r="205" spans="8:12" ht="15.75" customHeight="1">
      <c r="I205" s="4"/>
    </row>
    <row r="206" spans="8:12" ht="15.75" customHeight="1">
      <c r="H206" s="5" t="s">
        <v>285</v>
      </c>
      <c r="I206" s="6" t="s">
        <v>13</v>
      </c>
      <c r="J206" s="7" t="s">
        <v>14</v>
      </c>
      <c r="K206" s="7" t="s">
        <v>15</v>
      </c>
      <c r="L206" s="7" t="s">
        <v>16</v>
      </c>
    </row>
    <row r="207" spans="8:12" ht="15.75" customHeight="1">
      <c r="H207" s="57" t="s">
        <v>286</v>
      </c>
      <c r="I207" s="4"/>
    </row>
    <row r="208" spans="8:12" ht="15.75" customHeight="1">
      <c r="H208" s="126" t="s">
        <v>287</v>
      </c>
      <c r="I208" s="127" t="s">
        <v>290</v>
      </c>
      <c r="J208" s="128" t="s">
        <v>291</v>
      </c>
      <c r="K208" s="128" t="s">
        <v>292</v>
      </c>
      <c r="L208" s="128" t="s">
        <v>293</v>
      </c>
    </row>
    <row r="209" spans="8:13" ht="22.5" customHeight="1">
      <c r="H209" s="138" t="s">
        <v>288</v>
      </c>
      <c r="I209" s="139"/>
      <c r="J209" s="140"/>
      <c r="K209" s="140"/>
      <c r="L209" s="140"/>
      <c r="M209" s="58"/>
    </row>
    <row r="210" spans="8:13" ht="15.75" customHeight="1">
      <c r="H210" s="129" t="s">
        <v>289</v>
      </c>
      <c r="I210" s="69">
        <f>1/20*I3</f>
        <v>10000</v>
      </c>
      <c r="J210" s="70"/>
      <c r="K210" s="134" t="s">
        <v>5</v>
      </c>
      <c r="L210" s="130" t="s">
        <v>309</v>
      </c>
    </row>
    <row r="211" spans="8:13" ht="19.5" customHeight="1">
      <c r="H211" s="131" t="s">
        <v>294</v>
      </c>
      <c r="I211" s="132"/>
      <c r="J211" s="133"/>
      <c r="K211" s="133"/>
      <c r="L211" s="133"/>
    </row>
    <row r="212" spans="8:13" ht="15.75" customHeight="1">
      <c r="H212" s="129" t="s">
        <v>295</v>
      </c>
      <c r="I212" s="69"/>
      <c r="J212" s="62">
        <v>30</v>
      </c>
      <c r="K212" s="134" t="s">
        <v>8</v>
      </c>
      <c r="L212" s="70"/>
    </row>
    <row r="213" spans="8:13" ht="15.75" customHeight="1">
      <c r="H213" s="129" t="s">
        <v>296</v>
      </c>
      <c r="I213" s="69">
        <f xml:space="preserve"> 1/(2*3.14*J212*I210)</f>
        <v>5.3078556263269634E-7</v>
      </c>
      <c r="J213" s="134" t="s">
        <v>301</v>
      </c>
      <c r="K213" s="134" t="s">
        <v>297</v>
      </c>
      <c r="L213" s="129" t="s">
        <v>313</v>
      </c>
    </row>
    <row r="214" spans="8:13" ht="22.5" customHeight="1">
      <c r="H214" s="135" t="s">
        <v>298</v>
      </c>
      <c r="I214" s="136"/>
      <c r="J214" s="137"/>
      <c r="K214" s="137"/>
      <c r="L214" s="135"/>
    </row>
    <row r="215" spans="8:13" ht="15.75" customHeight="1">
      <c r="H215" s="129" t="s">
        <v>299</v>
      </c>
      <c r="I215" s="69">
        <f xml:space="preserve"> 1/10 * J204</f>
        <v>91000</v>
      </c>
      <c r="J215" s="62"/>
      <c r="K215" s="134" t="s">
        <v>5</v>
      </c>
      <c r="L215" s="129" t="s">
        <v>310</v>
      </c>
    </row>
    <row r="216" spans="8:13" ht="15.75" customHeight="1">
      <c r="H216" s="129" t="s">
        <v>300</v>
      </c>
      <c r="I216" s="69">
        <f xml:space="preserve"> 1/(2*3.14*J212*I215)</f>
        <v>5.8328083805790815E-8</v>
      </c>
      <c r="J216" s="134" t="s">
        <v>302</v>
      </c>
      <c r="K216" s="134" t="s">
        <v>297</v>
      </c>
      <c r="L216" s="129" t="s">
        <v>314</v>
      </c>
    </row>
    <row r="217" spans="8:13" ht="21" customHeight="1">
      <c r="H217" s="135" t="s">
        <v>303</v>
      </c>
      <c r="I217" s="136"/>
      <c r="J217" s="137"/>
      <c r="K217" s="137"/>
      <c r="L217" s="135"/>
    </row>
    <row r="218" spans="8:13" ht="21.75" customHeight="1">
      <c r="H218" s="135" t="s">
        <v>305</v>
      </c>
      <c r="I218" s="136"/>
      <c r="J218" s="137"/>
      <c r="K218" s="137"/>
      <c r="L218" s="135"/>
    </row>
    <row r="219" spans="8:13" ht="15.75" customHeight="1">
      <c r="H219" s="129" t="s">
        <v>304</v>
      </c>
      <c r="I219" s="69"/>
      <c r="J219" s="70"/>
      <c r="K219" s="70"/>
      <c r="L219" s="70"/>
    </row>
    <row r="220" spans="8:13" ht="15.75" customHeight="1">
      <c r="H220" s="129" t="s">
        <v>306</v>
      </c>
      <c r="I220" s="69"/>
      <c r="J220" s="70"/>
      <c r="K220" s="70"/>
      <c r="L220" s="70"/>
    </row>
    <row r="221" spans="8:13" ht="21" customHeight="1">
      <c r="H221" s="135" t="s">
        <v>307</v>
      </c>
      <c r="I221" s="136"/>
      <c r="J221" s="135"/>
      <c r="K221" s="135"/>
      <c r="L221" s="135"/>
    </row>
    <row r="222" spans="8:13" ht="15.75" customHeight="1">
      <c r="H222" s="129" t="s">
        <v>308</v>
      </c>
      <c r="I222" s="69">
        <f xml:space="preserve"> 1/10 * J114</f>
        <v>22</v>
      </c>
      <c r="J222" s="62"/>
      <c r="K222" s="153" t="s">
        <v>5</v>
      </c>
      <c r="L222" s="129" t="s">
        <v>311</v>
      </c>
    </row>
    <row r="223" spans="8:13" ht="15.75" customHeight="1">
      <c r="H223" s="129" t="s">
        <v>312</v>
      </c>
      <c r="I223" s="69">
        <f xml:space="preserve"> 1/(2*3.14*J212*I222)</f>
        <v>2.412661648330438E-4</v>
      </c>
      <c r="J223" s="134" t="s">
        <v>316</v>
      </c>
      <c r="K223" s="134" t="s">
        <v>297</v>
      </c>
      <c r="L223" s="129" t="s">
        <v>315</v>
      </c>
    </row>
    <row r="224" spans="8:13" ht="21" customHeight="1">
      <c r="H224" s="135" t="s">
        <v>317</v>
      </c>
      <c r="I224" s="136"/>
      <c r="J224" s="137"/>
      <c r="K224" s="137"/>
      <c r="L224" s="135"/>
    </row>
    <row r="225" spans="8:12" ht="15.75" customHeight="1">
      <c r="H225" s="129" t="s">
        <v>318</v>
      </c>
      <c r="I225" s="69">
        <f xml:space="preserve"> (1/10)*I4</f>
        <v>0.8</v>
      </c>
      <c r="J225" s="62"/>
      <c r="K225" s="134" t="s">
        <v>5</v>
      </c>
      <c r="L225" s="129" t="s">
        <v>319</v>
      </c>
    </row>
    <row r="226" spans="8:12" ht="15.75" customHeight="1">
      <c r="H226" s="129" t="s">
        <v>320</v>
      </c>
      <c r="I226" s="69">
        <f>1/(2*3.14*J212*I225)</f>
        <v>6.6348195329087051E-3</v>
      </c>
      <c r="J226" s="134" t="s">
        <v>322</v>
      </c>
      <c r="K226" s="134" t="s">
        <v>297</v>
      </c>
      <c r="L226" s="129" t="s">
        <v>321</v>
      </c>
    </row>
    <row r="227" spans="8:12" ht="15.75" customHeight="1">
      <c r="I227" s="4"/>
    </row>
    <row r="228" spans="8:12" ht="15.75" customHeight="1">
      <c r="I228" s="4"/>
    </row>
    <row r="229" spans="8:12" ht="15.75" customHeight="1"/>
    <row r="230" spans="8:12" ht="24.75" customHeight="1">
      <c r="H230" s="142" t="s">
        <v>323</v>
      </c>
      <c r="I230" s="6" t="s">
        <v>13</v>
      </c>
      <c r="J230" s="7" t="s">
        <v>14</v>
      </c>
      <c r="K230" s="7" t="s">
        <v>15</v>
      </c>
      <c r="L230" s="7" t="s">
        <v>16</v>
      </c>
    </row>
    <row r="231" spans="8:12" ht="23.25" customHeight="1">
      <c r="H231" s="131" t="s">
        <v>324</v>
      </c>
      <c r="I231" s="144"/>
      <c r="J231" s="131"/>
      <c r="K231" s="131"/>
      <c r="L231" s="131"/>
    </row>
    <row r="232" spans="8:12" ht="20.25" customHeight="1">
      <c r="H232" s="131" t="s">
        <v>325</v>
      </c>
      <c r="I232" s="144"/>
      <c r="J232" s="131"/>
      <c r="K232" s="131"/>
      <c r="L232" s="131"/>
    </row>
    <row r="233" spans="8:12" ht="20.25" customHeight="1">
      <c r="H233" s="131" t="s">
        <v>326</v>
      </c>
      <c r="I233" s="144"/>
      <c r="J233" s="131"/>
      <c r="K233" s="131"/>
      <c r="L233" s="131"/>
    </row>
    <row r="234" spans="8:12" s="143" customFormat="1" ht="21" customHeight="1">
      <c r="H234" s="131" t="s">
        <v>327</v>
      </c>
      <c r="I234" s="144"/>
      <c r="J234" s="131"/>
      <c r="K234" s="131"/>
      <c r="L234" s="131"/>
    </row>
    <row r="235" spans="8:12" ht="19.5" customHeight="1">
      <c r="H235" s="146" t="s">
        <v>328</v>
      </c>
      <c r="I235" s="147"/>
      <c r="J235" s="148"/>
      <c r="K235" s="148"/>
      <c r="L235" s="148"/>
    </row>
    <row r="236" spans="8:12" s="143" customFormat="1" ht="20.25" customHeight="1">
      <c r="H236" s="146" t="s">
        <v>329</v>
      </c>
      <c r="I236" s="149"/>
      <c r="J236" s="150"/>
      <c r="K236" s="150"/>
      <c r="L236" s="150"/>
    </row>
    <row r="237" spans="8:12" ht="21.75" customHeight="1">
      <c r="H237" s="146" t="s">
        <v>330</v>
      </c>
      <c r="I237" s="147"/>
      <c r="J237" s="148"/>
      <c r="K237" s="148"/>
      <c r="L237" s="148"/>
    </row>
    <row r="238" spans="8:12" ht="19.5" customHeight="1">
      <c r="H238" s="131" t="s">
        <v>331</v>
      </c>
      <c r="I238" s="145"/>
      <c r="J238" s="133"/>
      <c r="K238" s="133"/>
      <c r="L238" s="133"/>
    </row>
    <row r="239" spans="8:12" ht="15.75" customHeight="1">
      <c r="H239" s="146" t="s">
        <v>332</v>
      </c>
      <c r="I239" s="147"/>
      <c r="J239" s="150"/>
      <c r="K239" s="150"/>
      <c r="L239" s="150"/>
    </row>
    <row r="240" spans="8:12" ht="15.75" customHeight="1">
      <c r="H240" s="146" t="s">
        <v>333</v>
      </c>
      <c r="I240" s="147"/>
      <c r="J240" s="150"/>
      <c r="K240" s="150"/>
      <c r="L240" s="150"/>
    </row>
    <row r="241" spans="8:12" ht="23.25" customHeight="1">
      <c r="H241" s="146" t="s">
        <v>334</v>
      </c>
      <c r="I241" s="147"/>
      <c r="J241" s="150"/>
      <c r="K241" s="150"/>
      <c r="L241" s="150"/>
    </row>
    <row r="242" spans="8:12" ht="15.75" customHeight="1">
      <c r="H242" s="131" t="s">
        <v>346</v>
      </c>
      <c r="I242" s="4"/>
    </row>
    <row r="243" spans="8:12" ht="15.75" customHeight="1">
      <c r="H243" s="126" t="s">
        <v>335</v>
      </c>
      <c r="I243" s="127" t="s">
        <v>290</v>
      </c>
      <c r="J243" s="128" t="s">
        <v>291</v>
      </c>
      <c r="K243" s="128" t="s">
        <v>292</v>
      </c>
      <c r="L243" s="128" t="s">
        <v>293</v>
      </c>
    </row>
    <row r="244" spans="8:12" ht="15.75" customHeight="1">
      <c r="H244" s="151" t="s">
        <v>337</v>
      </c>
      <c r="I244" s="152">
        <f>1/10000000</f>
        <v>9.9999999999999995E-8</v>
      </c>
      <c r="J244" s="153" t="s">
        <v>338</v>
      </c>
      <c r="K244" s="153" t="s">
        <v>339</v>
      </c>
      <c r="L244" s="70"/>
    </row>
    <row r="245" spans="8:12" ht="22.5" customHeight="1">
      <c r="H245" s="151" t="s">
        <v>336</v>
      </c>
      <c r="I245" s="69">
        <f>I244/(I4*I4)</f>
        <v>1.5624999999999999E-9</v>
      </c>
      <c r="J245" s="153" t="s">
        <v>341</v>
      </c>
      <c r="K245" s="153" t="s">
        <v>297</v>
      </c>
      <c r="L245" s="151" t="s">
        <v>340</v>
      </c>
    </row>
    <row r="246" spans="8:12" ht="21.75" customHeight="1">
      <c r="H246" s="131" t="s">
        <v>342</v>
      </c>
      <c r="I246" s="144"/>
      <c r="J246" s="131"/>
      <c r="K246" s="131"/>
      <c r="L246" s="131"/>
    </row>
    <row r="247" spans="8:12" ht="22.5" customHeight="1">
      <c r="H247" s="131" t="s">
        <v>343</v>
      </c>
      <c r="I247" s="144"/>
      <c r="J247" s="131"/>
      <c r="K247" s="131"/>
      <c r="L247" s="131"/>
    </row>
    <row r="248" spans="8:12" ht="15.75" customHeight="1">
      <c r="H248" s="131" t="s">
        <v>344</v>
      </c>
      <c r="I248" s="144"/>
      <c r="J248" s="131"/>
      <c r="K248" s="131"/>
      <c r="L248" s="131"/>
    </row>
    <row r="249" spans="8:12" ht="15.75" customHeight="1">
      <c r="H249" s="126" t="s">
        <v>345</v>
      </c>
      <c r="I249" s="127" t="s">
        <v>290</v>
      </c>
      <c r="J249" s="128" t="s">
        <v>291</v>
      </c>
      <c r="K249" s="128" t="s">
        <v>292</v>
      </c>
      <c r="L249" s="128" t="s">
        <v>293</v>
      </c>
    </row>
    <row r="250" spans="8:12" ht="15.75" customHeight="1">
      <c r="H250" s="151" t="s">
        <v>348</v>
      </c>
      <c r="I250" s="69"/>
      <c r="J250" s="62">
        <v>8.1999999999999993</v>
      </c>
      <c r="K250" s="153" t="s">
        <v>5</v>
      </c>
      <c r="L250" s="151" t="s">
        <v>347</v>
      </c>
    </row>
    <row r="251" spans="8:12" ht="15.75" customHeight="1"/>
    <row r="252" spans="8:12" ht="15.75" customHeight="1">
      <c r="I252" s="4"/>
    </row>
    <row r="253" spans="8:12" ht="15.75" customHeight="1">
      <c r="I253" s="4"/>
    </row>
    <row r="254" spans="8:12" ht="15.75" customHeight="1">
      <c r="I254" s="4"/>
    </row>
    <row r="255" spans="8:12" ht="15.75" customHeight="1">
      <c r="I255" s="4"/>
    </row>
    <row r="256" spans="8:12" ht="15.75" customHeight="1">
      <c r="I256" s="4"/>
    </row>
    <row r="257" spans="9:9" ht="15.75" customHeight="1">
      <c r="I257" s="4"/>
    </row>
    <row r="258" spans="9:9" ht="15.75" customHeight="1">
      <c r="I258" s="4"/>
    </row>
    <row r="259" spans="9:9" ht="15.75" customHeight="1">
      <c r="I259" s="4"/>
    </row>
    <row r="260" spans="9:9" ht="15.75" customHeight="1">
      <c r="I260" s="4"/>
    </row>
    <row r="261" spans="9:9" ht="15.75" customHeight="1">
      <c r="I261" s="4"/>
    </row>
    <row r="262" spans="9:9" ht="15.75" customHeight="1">
      <c r="I262" s="4"/>
    </row>
    <row r="263" spans="9:9" ht="15.75" customHeight="1">
      <c r="I263" s="4"/>
    </row>
    <row r="264" spans="9:9" ht="15.75" customHeight="1">
      <c r="I264" s="4"/>
    </row>
    <row r="265" spans="9:9" ht="15.75" customHeight="1">
      <c r="I265" s="4"/>
    </row>
    <row r="266" spans="9:9" ht="15.75" customHeight="1">
      <c r="I266" s="4"/>
    </row>
    <row r="267" spans="9:9" ht="15.75" customHeight="1">
      <c r="I267" s="4"/>
    </row>
    <row r="268" spans="9:9" ht="15.75" customHeight="1">
      <c r="I268" s="4"/>
    </row>
    <row r="269" spans="9:9" ht="15.75" customHeight="1">
      <c r="I269" s="4"/>
    </row>
    <row r="270" spans="9:9" ht="15.75" customHeight="1">
      <c r="I270" s="4"/>
    </row>
    <row r="271" spans="9:9" ht="15.75" customHeight="1">
      <c r="I271" s="4"/>
    </row>
    <row r="272" spans="9:9" ht="15.75" customHeight="1">
      <c r="I272" s="4"/>
    </row>
    <row r="273" spans="9:9" ht="15.75" customHeight="1">
      <c r="I273" s="4"/>
    </row>
    <row r="274" spans="9:9" ht="15.75" customHeight="1">
      <c r="I274" s="4"/>
    </row>
    <row r="275" spans="9:9" ht="15.75" customHeight="1">
      <c r="I275" s="4"/>
    </row>
    <row r="276" spans="9:9" ht="15.75" customHeight="1">
      <c r="I276" s="4"/>
    </row>
    <row r="277" spans="9:9" ht="15.75" customHeight="1">
      <c r="I277" s="4"/>
    </row>
    <row r="278" spans="9:9" ht="15.75" customHeight="1">
      <c r="I278" s="4"/>
    </row>
    <row r="279" spans="9:9" ht="15.75" customHeight="1">
      <c r="I279" s="4"/>
    </row>
    <row r="280" spans="9:9" ht="15.75" customHeight="1">
      <c r="I280" s="4"/>
    </row>
    <row r="281" spans="9:9" ht="15.75" customHeight="1">
      <c r="I281" s="4"/>
    </row>
    <row r="282" spans="9:9" ht="15.75" customHeight="1">
      <c r="I282" s="4"/>
    </row>
    <row r="283" spans="9:9" ht="15.75" customHeight="1">
      <c r="I283" s="4"/>
    </row>
    <row r="284" spans="9:9" ht="15.75" customHeight="1">
      <c r="I284" s="4"/>
    </row>
    <row r="285" spans="9:9" ht="15.75" customHeight="1">
      <c r="I285" s="4"/>
    </row>
    <row r="286" spans="9:9" ht="15.75" customHeight="1">
      <c r="I286" s="4"/>
    </row>
    <row r="287" spans="9:9" ht="15.75" customHeight="1">
      <c r="I287" s="4"/>
    </row>
    <row r="288" spans="9:9" ht="15.75" customHeight="1">
      <c r="I288" s="4"/>
    </row>
    <row r="289" spans="9:9" ht="15.75" customHeight="1">
      <c r="I289" s="4"/>
    </row>
    <row r="290" spans="9:9" ht="15.75" customHeight="1">
      <c r="I290" s="4"/>
    </row>
    <row r="291" spans="9:9" ht="15.75" customHeight="1">
      <c r="I291" s="4"/>
    </row>
    <row r="292" spans="9:9" ht="15.75" customHeight="1">
      <c r="I292" s="4"/>
    </row>
    <row r="293" spans="9:9" ht="15.75" customHeight="1">
      <c r="I293" s="4"/>
    </row>
    <row r="294" spans="9:9" ht="15.75" customHeight="1">
      <c r="I294" s="4"/>
    </row>
    <row r="295" spans="9:9" ht="15.75" customHeight="1">
      <c r="I295" s="4"/>
    </row>
    <row r="296" spans="9:9" ht="15.75" customHeight="1">
      <c r="I296" s="4"/>
    </row>
    <row r="297" spans="9:9" ht="15.75" customHeight="1">
      <c r="I297" s="4"/>
    </row>
    <row r="298" spans="9:9" ht="15.75" customHeight="1">
      <c r="I298" s="4"/>
    </row>
    <row r="299" spans="9:9" ht="15.75" customHeight="1">
      <c r="I299" s="4"/>
    </row>
    <row r="300" spans="9:9" ht="15.75" customHeight="1">
      <c r="I300" s="4"/>
    </row>
    <row r="301" spans="9:9" ht="15.75" customHeight="1">
      <c r="I301" s="4"/>
    </row>
    <row r="302" spans="9:9" ht="15.75" customHeight="1">
      <c r="I302" s="4"/>
    </row>
    <row r="303" spans="9:9" ht="15.75" customHeight="1">
      <c r="I303" s="4"/>
    </row>
    <row r="304" spans="9:9" ht="15.75" customHeight="1">
      <c r="I304" s="4"/>
    </row>
    <row r="305" spans="9:9" ht="15.75" customHeight="1">
      <c r="I305" s="4"/>
    </row>
    <row r="306" spans="9:9" ht="15.75" customHeight="1">
      <c r="I306" s="4"/>
    </row>
    <row r="307" spans="9:9" ht="15.75" customHeight="1">
      <c r="I307" s="4"/>
    </row>
    <row r="308" spans="9:9" ht="15.75" customHeight="1">
      <c r="I308" s="4"/>
    </row>
    <row r="309" spans="9:9" ht="15.75" customHeight="1">
      <c r="I309" s="4"/>
    </row>
    <row r="310" spans="9:9" ht="15.75" customHeight="1">
      <c r="I310" s="4"/>
    </row>
    <row r="311" spans="9:9" ht="15.75" customHeight="1">
      <c r="I311" s="4"/>
    </row>
    <row r="312" spans="9:9" ht="15.75" customHeight="1">
      <c r="I312" s="4"/>
    </row>
    <row r="313" spans="9:9" ht="15.75" customHeight="1">
      <c r="I313" s="4"/>
    </row>
    <row r="314" spans="9:9" ht="15.75" customHeight="1">
      <c r="I314" s="4"/>
    </row>
    <row r="315" spans="9:9" ht="15.75" customHeight="1">
      <c r="I315" s="4"/>
    </row>
    <row r="316" spans="9:9" ht="15.75" customHeight="1">
      <c r="I316" s="4"/>
    </row>
    <row r="317" spans="9:9" ht="15.75" customHeight="1">
      <c r="I317" s="4"/>
    </row>
    <row r="318" spans="9:9" ht="15.75" customHeight="1">
      <c r="I318" s="4"/>
    </row>
    <row r="319" spans="9:9" ht="15.75" customHeight="1">
      <c r="I319" s="4"/>
    </row>
    <row r="320" spans="9:9" ht="15.75" customHeight="1">
      <c r="I320" s="4"/>
    </row>
    <row r="321" spans="9:9" ht="15.75" customHeight="1">
      <c r="I321" s="4"/>
    </row>
    <row r="322" spans="9:9" ht="15.75" customHeight="1">
      <c r="I322" s="4"/>
    </row>
    <row r="323" spans="9:9" ht="15.75" customHeight="1">
      <c r="I323" s="4"/>
    </row>
    <row r="324" spans="9:9" ht="15.75" customHeight="1">
      <c r="I324" s="4"/>
    </row>
    <row r="325" spans="9:9" ht="15.75" customHeight="1">
      <c r="I325" s="4"/>
    </row>
    <row r="326" spans="9:9" ht="15.75" customHeight="1">
      <c r="I326" s="4"/>
    </row>
    <row r="327" spans="9:9" ht="15.75" customHeight="1">
      <c r="I327" s="4"/>
    </row>
    <row r="328" spans="9:9" ht="15.75" customHeight="1">
      <c r="I328" s="4"/>
    </row>
    <row r="329" spans="9:9" ht="15.75" customHeight="1">
      <c r="I329" s="4"/>
    </row>
    <row r="330" spans="9:9" ht="15.75" customHeight="1">
      <c r="I330" s="4"/>
    </row>
    <row r="331" spans="9:9" ht="15.75" customHeight="1">
      <c r="I331" s="4"/>
    </row>
    <row r="332" spans="9:9" ht="15.75" customHeight="1">
      <c r="I332" s="4"/>
    </row>
    <row r="333" spans="9:9" ht="15.75" customHeight="1">
      <c r="I333" s="4"/>
    </row>
    <row r="334" spans="9:9" ht="15.75" customHeight="1">
      <c r="I334" s="4"/>
    </row>
    <row r="335" spans="9:9" ht="15.75" customHeight="1">
      <c r="I335" s="4"/>
    </row>
    <row r="336" spans="9:9" ht="15.75" customHeight="1">
      <c r="I336" s="4"/>
    </row>
    <row r="337" spans="9:9" ht="15.75" customHeight="1">
      <c r="I337" s="4"/>
    </row>
    <row r="338" spans="9:9" ht="15.75" customHeight="1">
      <c r="I338" s="4"/>
    </row>
    <row r="339" spans="9:9" ht="15.75" customHeight="1">
      <c r="I339" s="4"/>
    </row>
    <row r="340" spans="9:9" ht="15.75" customHeight="1">
      <c r="I340" s="4"/>
    </row>
    <row r="341" spans="9:9" ht="15.75" customHeight="1">
      <c r="I341" s="4"/>
    </row>
    <row r="342" spans="9:9" ht="15.75" customHeight="1">
      <c r="I342" s="4"/>
    </row>
    <row r="343" spans="9:9" ht="15.75" customHeight="1">
      <c r="I343" s="4"/>
    </row>
    <row r="344" spans="9:9" ht="15.75" customHeight="1">
      <c r="I344" s="4"/>
    </row>
    <row r="345" spans="9:9" ht="15.75" customHeight="1">
      <c r="I345" s="4"/>
    </row>
    <row r="346" spans="9:9" ht="15.75" customHeight="1">
      <c r="I346" s="4"/>
    </row>
    <row r="347" spans="9:9" ht="15.75" customHeight="1">
      <c r="I347" s="4"/>
    </row>
    <row r="348" spans="9:9" ht="15.75" customHeight="1">
      <c r="I348" s="4"/>
    </row>
    <row r="349" spans="9:9" ht="15.75" customHeight="1">
      <c r="I349" s="4"/>
    </row>
    <row r="350" spans="9:9" ht="15.75" customHeight="1">
      <c r="I350" s="4"/>
    </row>
    <row r="351" spans="9:9" ht="15.75" customHeight="1">
      <c r="I351" s="4"/>
    </row>
    <row r="352" spans="9:9" ht="15.75" customHeight="1">
      <c r="I352" s="4"/>
    </row>
    <row r="353" spans="9:9" ht="15.75" customHeight="1">
      <c r="I353" s="4"/>
    </row>
    <row r="354" spans="9:9" ht="15.75" customHeight="1">
      <c r="I354" s="4"/>
    </row>
    <row r="355" spans="9:9" ht="15.75" customHeight="1">
      <c r="I355" s="4"/>
    </row>
    <row r="356" spans="9:9" ht="15.75" customHeight="1">
      <c r="I356" s="4"/>
    </row>
    <row r="357" spans="9:9" ht="15.75" customHeight="1">
      <c r="I357" s="4"/>
    </row>
    <row r="358" spans="9:9" ht="15.75" customHeight="1">
      <c r="I358" s="4"/>
    </row>
    <row r="359" spans="9:9" ht="15.75" customHeight="1">
      <c r="I359" s="4"/>
    </row>
    <row r="360" spans="9:9" ht="15.75" customHeight="1">
      <c r="I360" s="4"/>
    </row>
    <row r="361" spans="9:9" ht="15.75" customHeight="1">
      <c r="I361" s="4"/>
    </row>
    <row r="362" spans="9:9" ht="15.75" customHeight="1">
      <c r="I362" s="4"/>
    </row>
    <row r="363" spans="9:9" ht="15.75" customHeight="1">
      <c r="I363" s="4"/>
    </row>
    <row r="364" spans="9:9" ht="15.75" customHeight="1">
      <c r="I364" s="4"/>
    </row>
    <row r="365" spans="9:9" ht="15.75" customHeight="1">
      <c r="I365" s="4"/>
    </row>
    <row r="366" spans="9:9" ht="15.75" customHeight="1">
      <c r="I366" s="4"/>
    </row>
    <row r="367" spans="9:9" ht="15.75" customHeight="1">
      <c r="I367" s="4"/>
    </row>
    <row r="368" spans="9:9" ht="15.75" customHeight="1">
      <c r="I368" s="4"/>
    </row>
    <row r="369" spans="9:9" ht="15.75" customHeight="1">
      <c r="I369" s="4"/>
    </row>
    <row r="370" spans="9:9" ht="15.75" customHeight="1">
      <c r="I370" s="4"/>
    </row>
    <row r="371" spans="9:9" ht="15.75" customHeight="1">
      <c r="I371" s="4"/>
    </row>
    <row r="372" spans="9:9" ht="15.75" customHeight="1">
      <c r="I372" s="4"/>
    </row>
    <row r="373" spans="9:9" ht="15.75" customHeight="1">
      <c r="I373" s="4"/>
    </row>
    <row r="374" spans="9:9" ht="15.75" customHeight="1">
      <c r="I374" s="4"/>
    </row>
    <row r="375" spans="9:9" ht="15.75" customHeight="1">
      <c r="I375" s="4"/>
    </row>
    <row r="376" spans="9:9" ht="15.75" customHeight="1">
      <c r="I376" s="4"/>
    </row>
    <row r="377" spans="9:9" ht="15.75" customHeight="1">
      <c r="I377" s="4"/>
    </row>
    <row r="378" spans="9:9" ht="15.75" customHeight="1">
      <c r="I378" s="4"/>
    </row>
    <row r="379" spans="9:9" ht="15.75" customHeight="1">
      <c r="I379" s="4"/>
    </row>
    <row r="380" spans="9:9" ht="15.75" customHeight="1">
      <c r="I380" s="4"/>
    </row>
    <row r="381" spans="9:9" ht="15.75" customHeight="1">
      <c r="I381" s="4"/>
    </row>
    <row r="382" spans="9:9" ht="15.75" customHeight="1">
      <c r="I382" s="4"/>
    </row>
    <row r="383" spans="9:9" ht="15.75" customHeight="1">
      <c r="I383" s="4"/>
    </row>
    <row r="384" spans="9:9" ht="15.75" customHeight="1">
      <c r="I384" s="4"/>
    </row>
    <row r="385" spans="9:9" ht="15.75" customHeight="1">
      <c r="I385" s="4"/>
    </row>
    <row r="386" spans="9:9" ht="15.75" customHeight="1">
      <c r="I386" s="4"/>
    </row>
    <row r="387" spans="9:9" ht="15.75" customHeight="1">
      <c r="I387" s="4"/>
    </row>
    <row r="388" spans="9:9" ht="15.75" customHeight="1">
      <c r="I388" s="4"/>
    </row>
    <row r="389" spans="9:9" ht="15.75" customHeight="1">
      <c r="I389" s="4"/>
    </row>
    <row r="390" spans="9:9" ht="15.75" customHeight="1">
      <c r="I390" s="4"/>
    </row>
    <row r="391" spans="9:9" ht="15.75" customHeight="1">
      <c r="I391" s="4"/>
    </row>
    <row r="392" spans="9:9" ht="15.75" customHeight="1">
      <c r="I392" s="4"/>
    </row>
    <row r="393" spans="9:9" ht="15.75" customHeight="1">
      <c r="I393" s="4"/>
    </row>
    <row r="394" spans="9:9" ht="15.75" customHeight="1">
      <c r="I394" s="4"/>
    </row>
    <row r="395" spans="9:9" ht="15.75" customHeight="1">
      <c r="I395" s="4"/>
    </row>
    <row r="396" spans="9:9" ht="15.75" customHeight="1">
      <c r="I396" s="4"/>
    </row>
    <row r="397" spans="9:9" ht="15.75" customHeight="1">
      <c r="I397" s="4"/>
    </row>
    <row r="398" spans="9:9" ht="15.75" customHeight="1">
      <c r="I398" s="4"/>
    </row>
    <row r="399" spans="9:9" ht="15.75" customHeight="1">
      <c r="I399" s="4"/>
    </row>
    <row r="400" spans="9:9" ht="15.75" customHeight="1">
      <c r="I400" s="4"/>
    </row>
    <row r="401" spans="9:9" ht="15.75" customHeight="1">
      <c r="I401" s="4"/>
    </row>
    <row r="402" spans="9:9" ht="15.75" customHeight="1">
      <c r="I402" s="4"/>
    </row>
    <row r="403" spans="9:9" ht="15.75" customHeight="1">
      <c r="I403" s="4"/>
    </row>
    <row r="404" spans="9:9" ht="15.75" customHeight="1">
      <c r="I404" s="4"/>
    </row>
    <row r="405" spans="9:9" ht="15.75" customHeight="1">
      <c r="I405" s="4"/>
    </row>
    <row r="406" spans="9:9" ht="15.75" customHeight="1">
      <c r="I406" s="4"/>
    </row>
    <row r="407" spans="9:9" ht="15.75" customHeight="1">
      <c r="I407" s="4"/>
    </row>
    <row r="408" spans="9:9" ht="15.75" customHeight="1">
      <c r="I408" s="4"/>
    </row>
    <row r="409" spans="9:9" ht="15.75" customHeight="1">
      <c r="I409" s="4"/>
    </row>
    <row r="410" spans="9:9" ht="15.75" customHeight="1">
      <c r="I410" s="4"/>
    </row>
    <row r="411" spans="9:9" ht="15.75" customHeight="1">
      <c r="I411" s="4"/>
    </row>
    <row r="412" spans="9:9" ht="15.75" customHeight="1">
      <c r="I412" s="4"/>
    </row>
    <row r="413" spans="9:9" ht="15.75" customHeight="1">
      <c r="I413" s="4"/>
    </row>
    <row r="414" spans="9:9" ht="15.75" customHeight="1">
      <c r="I414" s="4"/>
    </row>
    <row r="415" spans="9:9" ht="15.75" customHeight="1">
      <c r="I415" s="4"/>
    </row>
    <row r="416" spans="9:9" ht="15.75" customHeight="1">
      <c r="I416" s="4"/>
    </row>
    <row r="417" spans="9:9" ht="15.75" customHeight="1">
      <c r="I417" s="4"/>
    </row>
    <row r="418" spans="9:9" ht="15.75" customHeight="1">
      <c r="I418" s="4"/>
    </row>
    <row r="419" spans="9:9" ht="15.75" customHeight="1">
      <c r="I419" s="4"/>
    </row>
    <row r="420" spans="9:9" ht="15.75" customHeight="1">
      <c r="I420" s="4"/>
    </row>
    <row r="421" spans="9:9" ht="15.75" customHeight="1">
      <c r="I421" s="4"/>
    </row>
    <row r="422" spans="9:9" ht="15.75" customHeight="1">
      <c r="I422" s="4"/>
    </row>
    <row r="423" spans="9:9" ht="15.75" customHeight="1">
      <c r="I423" s="4"/>
    </row>
    <row r="424" spans="9:9" ht="15.75" customHeight="1">
      <c r="I424" s="4"/>
    </row>
    <row r="425" spans="9:9" ht="15.75" customHeight="1">
      <c r="I425" s="4"/>
    </row>
    <row r="426" spans="9:9" ht="15.75" customHeight="1">
      <c r="I426" s="4"/>
    </row>
    <row r="427" spans="9:9" ht="15.75" customHeight="1">
      <c r="I427" s="4"/>
    </row>
    <row r="428" spans="9:9" ht="15.75" customHeight="1">
      <c r="I428" s="4"/>
    </row>
    <row r="429" spans="9:9" ht="15.75" customHeight="1">
      <c r="I429" s="4"/>
    </row>
    <row r="430" spans="9:9" ht="15.75" customHeight="1">
      <c r="I430" s="4"/>
    </row>
    <row r="431" spans="9:9" ht="15.75" customHeight="1">
      <c r="I431" s="4"/>
    </row>
    <row r="432" spans="9:9" ht="15.75" customHeight="1">
      <c r="I432" s="4"/>
    </row>
    <row r="433" spans="9:9" ht="15.75" customHeight="1">
      <c r="I433" s="4"/>
    </row>
    <row r="434" spans="9:9" ht="15.75" customHeight="1">
      <c r="I434" s="4"/>
    </row>
    <row r="435" spans="9:9" ht="15.75" customHeight="1">
      <c r="I435" s="4"/>
    </row>
    <row r="436" spans="9:9" ht="15.75" customHeight="1">
      <c r="I436" s="4"/>
    </row>
    <row r="437" spans="9:9" ht="15.75" customHeight="1">
      <c r="I437" s="4"/>
    </row>
    <row r="438" spans="9:9" ht="15.75" customHeight="1">
      <c r="I438" s="4"/>
    </row>
    <row r="439" spans="9:9" ht="15.75" customHeight="1">
      <c r="I439" s="4"/>
    </row>
    <row r="440" spans="9:9" ht="15.75" customHeight="1">
      <c r="I440" s="4"/>
    </row>
    <row r="441" spans="9:9" ht="15.75" customHeight="1">
      <c r="I441" s="4"/>
    </row>
    <row r="442" spans="9:9" ht="15.75" customHeight="1">
      <c r="I442" s="4"/>
    </row>
    <row r="443" spans="9:9" ht="15.75" customHeight="1">
      <c r="I443" s="4"/>
    </row>
    <row r="444" spans="9:9" ht="15.75" customHeight="1">
      <c r="I444" s="4"/>
    </row>
    <row r="445" spans="9:9" ht="15.75" customHeight="1">
      <c r="I445" s="4"/>
    </row>
    <row r="446" spans="9:9" ht="15.75" customHeight="1">
      <c r="I446" s="4"/>
    </row>
    <row r="447" spans="9:9" ht="15.75" customHeight="1">
      <c r="I447" s="4"/>
    </row>
    <row r="448" spans="9:9" ht="15.75" customHeight="1">
      <c r="I448" s="4"/>
    </row>
    <row r="449" spans="9:9" ht="15.75" customHeight="1">
      <c r="I449" s="4"/>
    </row>
    <row r="450" spans="9:9" ht="15.75" customHeight="1">
      <c r="I450" s="4"/>
    </row>
    <row r="451" spans="9:9" ht="15.75" customHeight="1">
      <c r="I451" s="4"/>
    </row>
    <row r="452" spans="9:9" ht="15.75" customHeight="1">
      <c r="I452" s="4"/>
    </row>
    <row r="453" spans="9:9" ht="15.75" customHeight="1">
      <c r="I453" s="4"/>
    </row>
    <row r="454" spans="9:9" ht="15.75" customHeight="1">
      <c r="I454" s="4"/>
    </row>
    <row r="455" spans="9:9" ht="15.75" customHeight="1">
      <c r="I455" s="4"/>
    </row>
    <row r="456" spans="9:9" ht="15.75" customHeight="1">
      <c r="I456" s="4"/>
    </row>
    <row r="457" spans="9:9" ht="15.75" customHeight="1">
      <c r="I457" s="4"/>
    </row>
    <row r="458" spans="9:9" ht="15.75" customHeight="1">
      <c r="I458" s="4"/>
    </row>
    <row r="459" spans="9:9" ht="15.75" customHeight="1">
      <c r="I459" s="4"/>
    </row>
    <row r="460" spans="9:9" ht="15.75" customHeight="1">
      <c r="I460" s="4"/>
    </row>
    <row r="461" spans="9:9" ht="15.75" customHeight="1">
      <c r="I461" s="4"/>
    </row>
    <row r="462" spans="9:9" ht="15.75" customHeight="1">
      <c r="I462" s="4"/>
    </row>
    <row r="463" spans="9:9" ht="15.75" customHeight="1">
      <c r="I463" s="4"/>
    </row>
    <row r="464" spans="9:9" ht="15.75" customHeight="1">
      <c r="I464" s="4"/>
    </row>
    <row r="465" spans="9:9" ht="15.75" customHeight="1">
      <c r="I465" s="4"/>
    </row>
    <row r="466" spans="9:9" ht="15.75" customHeight="1">
      <c r="I466" s="4"/>
    </row>
    <row r="467" spans="9:9" ht="15.75" customHeight="1">
      <c r="I467" s="4"/>
    </row>
    <row r="468" spans="9:9" ht="15.75" customHeight="1">
      <c r="I468" s="4"/>
    </row>
    <row r="469" spans="9:9" ht="15.75" customHeight="1">
      <c r="I469" s="4"/>
    </row>
    <row r="470" spans="9:9" ht="15.75" customHeight="1">
      <c r="I470" s="4"/>
    </row>
    <row r="471" spans="9:9" ht="15.75" customHeight="1">
      <c r="I471" s="4"/>
    </row>
    <row r="472" spans="9:9" ht="15.75" customHeight="1">
      <c r="I472" s="4"/>
    </row>
    <row r="473" spans="9:9" ht="15.75" customHeight="1">
      <c r="I473" s="4"/>
    </row>
    <row r="474" spans="9:9" ht="15.75" customHeight="1">
      <c r="I474" s="4"/>
    </row>
    <row r="475" spans="9:9" ht="15.75" customHeight="1">
      <c r="I475" s="4"/>
    </row>
    <row r="476" spans="9:9" ht="15.75" customHeight="1">
      <c r="I476" s="4"/>
    </row>
    <row r="477" spans="9:9" ht="15.75" customHeight="1">
      <c r="I477" s="4"/>
    </row>
    <row r="478" spans="9:9" ht="15.75" customHeight="1">
      <c r="I478" s="4"/>
    </row>
    <row r="479" spans="9:9" ht="15.75" customHeight="1">
      <c r="I479" s="4"/>
    </row>
    <row r="480" spans="9:9" ht="15.75" customHeight="1">
      <c r="I480" s="4"/>
    </row>
    <row r="481" spans="9:9" ht="15.75" customHeight="1">
      <c r="I481" s="4"/>
    </row>
    <row r="482" spans="9:9" ht="15.75" customHeight="1">
      <c r="I482" s="4"/>
    </row>
    <row r="483" spans="9:9" ht="15.75" customHeight="1">
      <c r="I483" s="4"/>
    </row>
    <row r="484" spans="9:9" ht="15.75" customHeight="1">
      <c r="I484" s="4"/>
    </row>
    <row r="485" spans="9:9" ht="15.75" customHeight="1">
      <c r="I485" s="4"/>
    </row>
    <row r="486" spans="9:9" ht="15.75" customHeight="1">
      <c r="I486" s="4"/>
    </row>
    <row r="487" spans="9:9" ht="15.75" customHeight="1">
      <c r="I487" s="4"/>
    </row>
    <row r="488" spans="9:9" ht="15.75" customHeight="1">
      <c r="I488" s="4"/>
    </row>
    <row r="489" spans="9:9" ht="15.75" customHeight="1">
      <c r="I489" s="4"/>
    </row>
    <row r="490" spans="9:9" ht="15.75" customHeight="1">
      <c r="I490" s="4"/>
    </row>
    <row r="491" spans="9:9" ht="15.75" customHeight="1">
      <c r="I491" s="4"/>
    </row>
    <row r="492" spans="9:9" ht="15.75" customHeight="1">
      <c r="I492" s="4"/>
    </row>
    <row r="493" spans="9:9" ht="15.75" customHeight="1">
      <c r="I493" s="4"/>
    </row>
    <row r="494" spans="9:9" ht="15.75" customHeight="1">
      <c r="I494" s="4"/>
    </row>
    <row r="495" spans="9:9" ht="15.75" customHeight="1">
      <c r="I495" s="4"/>
    </row>
    <row r="496" spans="9:9" ht="15.75" customHeight="1">
      <c r="I496" s="4"/>
    </row>
    <row r="497" spans="9:9" ht="15.75" customHeight="1">
      <c r="I497" s="4"/>
    </row>
    <row r="498" spans="9:9" ht="15.75" customHeight="1">
      <c r="I498" s="4"/>
    </row>
    <row r="499" spans="9:9" ht="15.75" customHeight="1">
      <c r="I499" s="4"/>
    </row>
    <row r="500" spans="9:9" ht="15.75" customHeight="1">
      <c r="I500" s="4"/>
    </row>
    <row r="501" spans="9:9" ht="15.75" customHeight="1">
      <c r="I501" s="4"/>
    </row>
    <row r="502" spans="9:9" ht="15.75" customHeight="1">
      <c r="I502" s="4"/>
    </row>
    <row r="503" spans="9:9" ht="15.75" customHeight="1">
      <c r="I503" s="4"/>
    </row>
    <row r="504" spans="9:9" ht="15.75" customHeight="1">
      <c r="I504" s="4"/>
    </row>
    <row r="505" spans="9:9" ht="15.75" customHeight="1">
      <c r="I505" s="4"/>
    </row>
    <row r="506" spans="9:9" ht="15.75" customHeight="1">
      <c r="I506" s="4"/>
    </row>
    <row r="507" spans="9:9" ht="15.75" customHeight="1">
      <c r="I507" s="4"/>
    </row>
    <row r="508" spans="9:9" ht="15.75" customHeight="1">
      <c r="I508" s="4"/>
    </row>
    <row r="509" spans="9:9" ht="15.75" customHeight="1">
      <c r="I509" s="4"/>
    </row>
    <row r="510" spans="9:9" ht="15.75" customHeight="1">
      <c r="I510" s="4"/>
    </row>
    <row r="511" spans="9:9" ht="15.75" customHeight="1">
      <c r="I511" s="4"/>
    </row>
    <row r="512" spans="9:9" ht="15.75" customHeight="1">
      <c r="I512" s="4"/>
    </row>
    <row r="513" spans="9:9" ht="15.75" customHeight="1">
      <c r="I513" s="4"/>
    </row>
    <row r="514" spans="9:9" ht="15.75" customHeight="1">
      <c r="I514" s="4"/>
    </row>
    <row r="515" spans="9:9" ht="15.75" customHeight="1">
      <c r="I515" s="4"/>
    </row>
    <row r="516" spans="9:9" ht="15.75" customHeight="1">
      <c r="I516" s="4"/>
    </row>
    <row r="517" spans="9:9" ht="15.75" customHeight="1">
      <c r="I517" s="4"/>
    </row>
    <row r="518" spans="9:9" ht="15.75" customHeight="1">
      <c r="I518" s="4"/>
    </row>
    <row r="519" spans="9:9" ht="15.75" customHeight="1">
      <c r="I519" s="4"/>
    </row>
    <row r="520" spans="9:9" ht="15.75" customHeight="1">
      <c r="I520" s="4"/>
    </row>
    <row r="521" spans="9:9" ht="15.75" customHeight="1">
      <c r="I521" s="4"/>
    </row>
    <row r="522" spans="9:9" ht="15.75" customHeight="1">
      <c r="I522" s="4"/>
    </row>
    <row r="523" spans="9:9" ht="15.75" customHeight="1">
      <c r="I523" s="4"/>
    </row>
    <row r="524" spans="9:9" ht="15.75" customHeight="1">
      <c r="I524" s="4"/>
    </row>
    <row r="525" spans="9:9" ht="15.75" customHeight="1">
      <c r="I525" s="4"/>
    </row>
    <row r="526" spans="9:9" ht="15.75" customHeight="1">
      <c r="I526" s="4"/>
    </row>
    <row r="527" spans="9:9" ht="15.75" customHeight="1">
      <c r="I527" s="4"/>
    </row>
    <row r="528" spans="9:9" ht="15.75" customHeight="1">
      <c r="I528" s="4"/>
    </row>
    <row r="529" spans="9:9" ht="15.75" customHeight="1">
      <c r="I529" s="4"/>
    </row>
    <row r="530" spans="9:9" ht="15.75" customHeight="1">
      <c r="I530" s="4"/>
    </row>
    <row r="531" spans="9:9" ht="15.75" customHeight="1">
      <c r="I531" s="4"/>
    </row>
    <row r="532" spans="9:9" ht="15.75" customHeight="1">
      <c r="I532" s="4"/>
    </row>
    <row r="533" spans="9:9" ht="15.75" customHeight="1">
      <c r="I533" s="4"/>
    </row>
    <row r="534" spans="9:9" ht="15.75" customHeight="1">
      <c r="I534" s="4"/>
    </row>
    <row r="535" spans="9:9" ht="15.75" customHeight="1">
      <c r="I535" s="4"/>
    </row>
    <row r="536" spans="9:9" ht="15.75" customHeight="1">
      <c r="I536" s="4"/>
    </row>
    <row r="537" spans="9:9" ht="15.75" customHeight="1">
      <c r="I537" s="4"/>
    </row>
    <row r="538" spans="9:9" ht="15.75" customHeight="1">
      <c r="I538" s="4"/>
    </row>
    <row r="539" spans="9:9" ht="15.75" customHeight="1">
      <c r="I539" s="4"/>
    </row>
    <row r="540" spans="9:9" ht="15.75" customHeight="1">
      <c r="I540" s="4"/>
    </row>
    <row r="541" spans="9:9" ht="15.75" customHeight="1">
      <c r="I541" s="4"/>
    </row>
    <row r="542" spans="9:9" ht="15.75" customHeight="1">
      <c r="I542" s="4"/>
    </row>
    <row r="543" spans="9:9" ht="15.75" customHeight="1">
      <c r="I543" s="4"/>
    </row>
    <row r="544" spans="9:9" ht="15.75" customHeight="1">
      <c r="I544" s="4"/>
    </row>
    <row r="545" spans="9:9" ht="15.75" customHeight="1">
      <c r="I545" s="4"/>
    </row>
    <row r="546" spans="9:9" ht="15.75" customHeight="1">
      <c r="I546" s="4"/>
    </row>
    <row r="547" spans="9:9" ht="15.75" customHeight="1">
      <c r="I547" s="4"/>
    </row>
    <row r="548" spans="9:9" ht="15.75" customHeight="1">
      <c r="I548" s="4"/>
    </row>
    <row r="549" spans="9:9" ht="15.75" customHeight="1">
      <c r="I549" s="4"/>
    </row>
    <row r="550" spans="9:9" ht="15.75" customHeight="1">
      <c r="I550" s="4"/>
    </row>
    <row r="551" spans="9:9" ht="15.75" customHeight="1">
      <c r="I551" s="4"/>
    </row>
    <row r="552" spans="9:9" ht="15.75" customHeight="1">
      <c r="I552" s="4"/>
    </row>
    <row r="553" spans="9:9" ht="15.75" customHeight="1">
      <c r="I553" s="4"/>
    </row>
    <row r="554" spans="9:9" ht="15.75" customHeight="1">
      <c r="I554" s="4"/>
    </row>
    <row r="555" spans="9:9" ht="15.75" customHeight="1">
      <c r="I555" s="4"/>
    </row>
    <row r="556" spans="9:9" ht="15.75" customHeight="1">
      <c r="I556" s="4"/>
    </row>
    <row r="557" spans="9:9" ht="15.75" customHeight="1">
      <c r="I557" s="4"/>
    </row>
    <row r="558" spans="9:9" ht="15.75" customHeight="1">
      <c r="I558" s="4"/>
    </row>
    <row r="559" spans="9:9" ht="15.75" customHeight="1">
      <c r="I559" s="4"/>
    </row>
    <row r="560" spans="9:9" ht="15.75" customHeight="1">
      <c r="I560" s="4"/>
    </row>
    <row r="561" spans="9:9" ht="15.75" customHeight="1">
      <c r="I561" s="4"/>
    </row>
    <row r="562" spans="9:9" ht="15.75" customHeight="1">
      <c r="I562" s="4"/>
    </row>
    <row r="563" spans="9:9" ht="15.75" customHeight="1">
      <c r="I563" s="4"/>
    </row>
    <row r="564" spans="9:9" ht="15.75" customHeight="1">
      <c r="I564" s="4"/>
    </row>
    <row r="565" spans="9:9" ht="15.75" customHeight="1">
      <c r="I565" s="4"/>
    </row>
    <row r="566" spans="9:9" ht="15.75" customHeight="1">
      <c r="I566" s="4"/>
    </row>
    <row r="567" spans="9:9" ht="15.75" customHeight="1">
      <c r="I567" s="4"/>
    </row>
    <row r="568" spans="9:9" ht="15.75" customHeight="1">
      <c r="I568" s="4"/>
    </row>
    <row r="569" spans="9:9" ht="15.75" customHeight="1">
      <c r="I569" s="4"/>
    </row>
    <row r="570" spans="9:9" ht="15.75" customHeight="1">
      <c r="I570" s="4"/>
    </row>
    <row r="571" spans="9:9" ht="15.75" customHeight="1">
      <c r="I571" s="4"/>
    </row>
    <row r="572" spans="9:9" ht="15.75" customHeight="1">
      <c r="I572" s="4"/>
    </row>
    <row r="573" spans="9:9" ht="15.75" customHeight="1">
      <c r="I573" s="4"/>
    </row>
    <row r="574" spans="9:9" ht="15.75" customHeight="1">
      <c r="I574" s="4"/>
    </row>
    <row r="575" spans="9:9" ht="15.75" customHeight="1">
      <c r="I575" s="4"/>
    </row>
    <row r="576" spans="9:9" ht="15.75" customHeight="1">
      <c r="I576" s="4"/>
    </row>
    <row r="577" spans="9:9" ht="15.75" customHeight="1">
      <c r="I577" s="4"/>
    </row>
    <row r="578" spans="9:9" ht="15.75" customHeight="1">
      <c r="I578" s="4"/>
    </row>
    <row r="579" spans="9:9" ht="15.75" customHeight="1">
      <c r="I579" s="4"/>
    </row>
    <row r="580" spans="9:9" ht="15.75" customHeight="1">
      <c r="I580" s="4"/>
    </row>
    <row r="581" spans="9:9" ht="15.75" customHeight="1">
      <c r="I581" s="4"/>
    </row>
    <row r="582" spans="9:9" ht="15.75" customHeight="1">
      <c r="I582" s="4"/>
    </row>
    <row r="583" spans="9:9" ht="15.75" customHeight="1">
      <c r="I583" s="4"/>
    </row>
    <row r="584" spans="9:9" ht="15.75" customHeight="1">
      <c r="I584" s="4"/>
    </row>
    <row r="585" spans="9:9" ht="15.75" customHeight="1">
      <c r="I585" s="4"/>
    </row>
    <row r="586" spans="9:9" ht="15.75" customHeight="1">
      <c r="I586" s="4"/>
    </row>
    <row r="587" spans="9:9" ht="15.75" customHeight="1">
      <c r="I587" s="4"/>
    </row>
    <row r="588" spans="9:9" ht="15.75" customHeight="1">
      <c r="I588" s="4"/>
    </row>
    <row r="589" spans="9:9" ht="15.75" customHeight="1">
      <c r="I589" s="4"/>
    </row>
    <row r="590" spans="9:9" ht="15.75" customHeight="1">
      <c r="I590" s="4"/>
    </row>
    <row r="591" spans="9:9" ht="15.75" customHeight="1">
      <c r="I591" s="4"/>
    </row>
    <row r="592" spans="9:9" ht="15.75" customHeight="1">
      <c r="I592" s="4"/>
    </row>
    <row r="593" spans="9:9" ht="15.75" customHeight="1">
      <c r="I593" s="4"/>
    </row>
    <row r="594" spans="9:9" ht="15.75" customHeight="1">
      <c r="I594" s="4"/>
    </row>
    <row r="595" spans="9:9" ht="15.75" customHeight="1">
      <c r="I595" s="4"/>
    </row>
    <row r="596" spans="9:9" ht="15.75" customHeight="1">
      <c r="I596" s="4"/>
    </row>
    <row r="597" spans="9:9" ht="15.75" customHeight="1">
      <c r="I597" s="4"/>
    </row>
    <row r="598" spans="9:9" ht="15.75" customHeight="1">
      <c r="I598" s="4"/>
    </row>
    <row r="599" spans="9:9" ht="15.75" customHeight="1">
      <c r="I599" s="4"/>
    </row>
    <row r="600" spans="9:9" ht="15.75" customHeight="1">
      <c r="I600" s="4"/>
    </row>
    <row r="601" spans="9:9" ht="15.75" customHeight="1">
      <c r="I601" s="4"/>
    </row>
    <row r="602" spans="9:9" ht="15.75" customHeight="1">
      <c r="I602" s="4"/>
    </row>
    <row r="603" spans="9:9" ht="15.75" customHeight="1">
      <c r="I603" s="4"/>
    </row>
    <row r="604" spans="9:9" ht="15.75" customHeight="1">
      <c r="I604" s="4"/>
    </row>
    <row r="605" spans="9:9" ht="15.75" customHeight="1">
      <c r="I605" s="4"/>
    </row>
    <row r="606" spans="9:9" ht="15.75" customHeight="1">
      <c r="I606" s="4"/>
    </row>
    <row r="607" spans="9:9" ht="15.75" customHeight="1">
      <c r="I607" s="4"/>
    </row>
    <row r="608" spans="9:9" ht="15.75" customHeight="1">
      <c r="I608" s="4"/>
    </row>
    <row r="609" spans="9:9" ht="15.75" customHeight="1">
      <c r="I609" s="4"/>
    </row>
    <row r="610" spans="9:9" ht="15.75" customHeight="1">
      <c r="I610" s="4"/>
    </row>
    <row r="611" spans="9:9" ht="15.75" customHeight="1">
      <c r="I611" s="4"/>
    </row>
    <row r="612" spans="9:9" ht="15.75" customHeight="1">
      <c r="I612" s="4"/>
    </row>
    <row r="613" spans="9:9" ht="15.75" customHeight="1">
      <c r="I613" s="4"/>
    </row>
    <row r="614" spans="9:9" ht="15.75" customHeight="1">
      <c r="I614" s="4"/>
    </row>
    <row r="615" spans="9:9" ht="15.75" customHeight="1">
      <c r="I615" s="4"/>
    </row>
    <row r="616" spans="9:9" ht="15.75" customHeight="1">
      <c r="I616" s="4"/>
    </row>
    <row r="617" spans="9:9" ht="15.75" customHeight="1">
      <c r="I617" s="4"/>
    </row>
    <row r="618" spans="9:9" ht="15.75" customHeight="1">
      <c r="I618" s="4"/>
    </row>
    <row r="619" spans="9:9" ht="15.75" customHeight="1">
      <c r="I619" s="4"/>
    </row>
    <row r="620" spans="9:9" ht="15.75" customHeight="1">
      <c r="I620" s="4"/>
    </row>
    <row r="621" spans="9:9" ht="15.75" customHeight="1">
      <c r="I621" s="4"/>
    </row>
    <row r="622" spans="9:9" ht="15.75" customHeight="1">
      <c r="I622" s="4"/>
    </row>
    <row r="623" spans="9:9" ht="15.75" customHeight="1">
      <c r="I623" s="4"/>
    </row>
    <row r="624" spans="9:9" ht="15.75" customHeight="1">
      <c r="I624" s="4"/>
    </row>
    <row r="625" spans="9:9" ht="15.75" customHeight="1">
      <c r="I625" s="4"/>
    </row>
    <row r="626" spans="9:9" ht="15.75" customHeight="1">
      <c r="I626" s="4"/>
    </row>
    <row r="627" spans="9:9" ht="15.75" customHeight="1">
      <c r="I627" s="4"/>
    </row>
    <row r="628" spans="9:9" ht="15.75" customHeight="1">
      <c r="I628" s="4"/>
    </row>
    <row r="629" spans="9:9" ht="15.75" customHeight="1">
      <c r="I629" s="4"/>
    </row>
    <row r="630" spans="9:9" ht="15.75" customHeight="1">
      <c r="I630" s="4"/>
    </row>
    <row r="631" spans="9:9" ht="15.75" customHeight="1">
      <c r="I631" s="4"/>
    </row>
    <row r="632" spans="9:9" ht="15.75" customHeight="1">
      <c r="I632" s="4"/>
    </row>
    <row r="633" spans="9:9" ht="15.75" customHeight="1">
      <c r="I633" s="4"/>
    </row>
    <row r="634" spans="9:9" ht="15.75" customHeight="1">
      <c r="I634" s="4"/>
    </row>
    <row r="635" spans="9:9" ht="15.75" customHeight="1">
      <c r="I635" s="4"/>
    </row>
    <row r="636" spans="9:9" ht="15.75" customHeight="1">
      <c r="I636" s="4"/>
    </row>
    <row r="637" spans="9:9" ht="15.75" customHeight="1">
      <c r="I637" s="4"/>
    </row>
    <row r="638" spans="9:9" ht="15.75" customHeight="1">
      <c r="I638" s="4"/>
    </row>
    <row r="639" spans="9:9" ht="15.75" customHeight="1">
      <c r="I639" s="4"/>
    </row>
    <row r="640" spans="9:9" ht="15.75" customHeight="1">
      <c r="I640" s="4"/>
    </row>
    <row r="641" spans="9:9" ht="15.75" customHeight="1">
      <c r="I641" s="4"/>
    </row>
    <row r="642" spans="9:9" ht="15.75" customHeight="1">
      <c r="I642" s="4"/>
    </row>
    <row r="643" spans="9:9" ht="15.75" customHeight="1">
      <c r="I643" s="4"/>
    </row>
    <row r="644" spans="9:9" ht="15.75" customHeight="1">
      <c r="I644" s="4"/>
    </row>
    <row r="645" spans="9:9" ht="15.75" customHeight="1">
      <c r="I645" s="4"/>
    </row>
    <row r="646" spans="9:9" ht="15.75" customHeight="1">
      <c r="I646" s="4"/>
    </row>
    <row r="647" spans="9:9" ht="15.75" customHeight="1">
      <c r="I647" s="4"/>
    </row>
    <row r="648" spans="9:9" ht="15.75" customHeight="1">
      <c r="I648" s="4"/>
    </row>
    <row r="649" spans="9:9" ht="15.75" customHeight="1">
      <c r="I649" s="4"/>
    </row>
    <row r="650" spans="9:9" ht="15.75" customHeight="1">
      <c r="I650" s="4"/>
    </row>
    <row r="651" spans="9:9" ht="15.75" customHeight="1">
      <c r="I651" s="4"/>
    </row>
    <row r="652" spans="9:9" ht="15.75" customHeight="1">
      <c r="I652" s="4"/>
    </row>
    <row r="653" spans="9:9" ht="15.75" customHeight="1">
      <c r="I653" s="4"/>
    </row>
    <row r="654" spans="9:9" ht="15.75" customHeight="1">
      <c r="I654" s="4"/>
    </row>
    <row r="655" spans="9:9" ht="15.75" customHeight="1">
      <c r="I655" s="4"/>
    </row>
    <row r="656" spans="9:9" ht="15.75" customHeight="1">
      <c r="I656" s="4"/>
    </row>
    <row r="657" spans="9:9" ht="15.75" customHeight="1">
      <c r="I657" s="4"/>
    </row>
    <row r="658" spans="9:9" ht="15.75" customHeight="1">
      <c r="I658" s="4"/>
    </row>
    <row r="659" spans="9:9" ht="15.75" customHeight="1">
      <c r="I659" s="4"/>
    </row>
    <row r="660" spans="9:9" ht="15.75" customHeight="1">
      <c r="I660" s="4"/>
    </row>
    <row r="661" spans="9:9" ht="15.75" customHeight="1">
      <c r="I661" s="4"/>
    </row>
    <row r="662" spans="9:9" ht="15.75" customHeight="1">
      <c r="I662" s="4"/>
    </row>
    <row r="663" spans="9:9" ht="15.75" customHeight="1">
      <c r="I663" s="4"/>
    </row>
    <row r="664" spans="9:9" ht="15.75" customHeight="1">
      <c r="I664" s="4"/>
    </row>
    <row r="665" spans="9:9" ht="15.75" customHeight="1">
      <c r="I665" s="4"/>
    </row>
    <row r="666" spans="9:9" ht="15.75" customHeight="1">
      <c r="I666" s="4"/>
    </row>
    <row r="667" spans="9:9" ht="15.75" customHeight="1">
      <c r="I667" s="4"/>
    </row>
    <row r="668" spans="9:9" ht="15.75" customHeight="1">
      <c r="I668" s="4"/>
    </row>
    <row r="669" spans="9:9" ht="15.75" customHeight="1">
      <c r="I669" s="4"/>
    </row>
    <row r="670" spans="9:9" ht="15.75" customHeight="1">
      <c r="I670" s="4"/>
    </row>
    <row r="671" spans="9:9" ht="15.75" customHeight="1">
      <c r="I671" s="4"/>
    </row>
    <row r="672" spans="9:9" ht="15.75" customHeight="1">
      <c r="I672" s="4"/>
    </row>
    <row r="673" spans="9:9" ht="15.75" customHeight="1">
      <c r="I673" s="4"/>
    </row>
    <row r="674" spans="9:9" ht="15.75" customHeight="1">
      <c r="I674" s="4"/>
    </row>
    <row r="675" spans="9:9" ht="15.75" customHeight="1">
      <c r="I675" s="4"/>
    </row>
    <row r="676" spans="9:9" ht="15.75" customHeight="1">
      <c r="I676" s="4"/>
    </row>
    <row r="677" spans="9:9" ht="15.75" customHeight="1">
      <c r="I677" s="4"/>
    </row>
    <row r="678" spans="9:9" ht="15.75" customHeight="1">
      <c r="I678" s="4"/>
    </row>
    <row r="679" spans="9:9" ht="15.75" customHeight="1">
      <c r="I679" s="4"/>
    </row>
    <row r="680" spans="9:9" ht="15.75" customHeight="1">
      <c r="I680" s="4"/>
    </row>
    <row r="681" spans="9:9" ht="15.75" customHeight="1">
      <c r="I681" s="4"/>
    </row>
    <row r="682" spans="9:9" ht="15.75" customHeight="1">
      <c r="I682" s="4"/>
    </row>
    <row r="683" spans="9:9" ht="15.75" customHeight="1">
      <c r="I683" s="4"/>
    </row>
    <row r="684" spans="9:9" ht="15.75" customHeight="1">
      <c r="I684" s="4"/>
    </row>
    <row r="685" spans="9:9" ht="15.75" customHeight="1">
      <c r="I685" s="4"/>
    </row>
    <row r="686" spans="9:9" ht="15.75" customHeight="1">
      <c r="I686" s="4"/>
    </row>
    <row r="687" spans="9:9" ht="15.75" customHeight="1">
      <c r="I687" s="4"/>
    </row>
    <row r="688" spans="9:9" ht="15.75" customHeight="1">
      <c r="I688" s="4"/>
    </row>
    <row r="689" spans="9:9" ht="15.75" customHeight="1">
      <c r="I689" s="4"/>
    </row>
    <row r="690" spans="9:9" ht="15.75" customHeight="1">
      <c r="I690" s="4"/>
    </row>
    <row r="691" spans="9:9" ht="15.75" customHeight="1">
      <c r="I691" s="4"/>
    </row>
    <row r="692" spans="9:9" ht="15.75" customHeight="1">
      <c r="I692" s="4"/>
    </row>
    <row r="693" spans="9:9" ht="15.75" customHeight="1">
      <c r="I693" s="4"/>
    </row>
    <row r="694" spans="9:9" ht="15.75" customHeight="1">
      <c r="I694" s="4"/>
    </row>
    <row r="695" spans="9:9" ht="15.75" customHeight="1">
      <c r="I695" s="4"/>
    </row>
    <row r="696" spans="9:9" ht="15.75" customHeight="1">
      <c r="I696" s="4"/>
    </row>
    <row r="697" spans="9:9" ht="15.75" customHeight="1">
      <c r="I697" s="4"/>
    </row>
    <row r="698" spans="9:9" ht="15.75" customHeight="1">
      <c r="I698" s="4"/>
    </row>
    <row r="699" spans="9:9" ht="15.75" customHeight="1">
      <c r="I699" s="4"/>
    </row>
    <row r="700" spans="9:9" ht="15.75" customHeight="1">
      <c r="I700" s="4"/>
    </row>
    <row r="701" spans="9:9" ht="15.75" customHeight="1">
      <c r="I701" s="4"/>
    </row>
    <row r="702" spans="9:9" ht="15.75" customHeight="1">
      <c r="I702" s="4"/>
    </row>
    <row r="703" spans="9:9" ht="15.75" customHeight="1">
      <c r="I703" s="4"/>
    </row>
    <row r="704" spans="9:9" ht="15.75" customHeight="1">
      <c r="I704" s="4"/>
    </row>
    <row r="705" spans="9:9" ht="15.75" customHeight="1">
      <c r="I705" s="4"/>
    </row>
    <row r="706" spans="9:9" ht="15.75" customHeight="1">
      <c r="I706" s="4"/>
    </row>
    <row r="707" spans="9:9" ht="15.75" customHeight="1">
      <c r="I707" s="4"/>
    </row>
    <row r="708" spans="9:9" ht="15.75" customHeight="1">
      <c r="I708" s="4"/>
    </row>
    <row r="709" spans="9:9" ht="15.75" customHeight="1">
      <c r="I709" s="4"/>
    </row>
    <row r="710" spans="9:9" ht="15.75" customHeight="1">
      <c r="I710" s="4"/>
    </row>
    <row r="711" spans="9:9" ht="15.75" customHeight="1">
      <c r="I711" s="4"/>
    </row>
    <row r="712" spans="9:9" ht="15.75" customHeight="1">
      <c r="I712" s="4"/>
    </row>
    <row r="713" spans="9:9" ht="15.75" customHeight="1">
      <c r="I713" s="4"/>
    </row>
    <row r="714" spans="9:9" ht="15.75" customHeight="1">
      <c r="I714" s="4"/>
    </row>
    <row r="715" spans="9:9" ht="15.75" customHeight="1">
      <c r="I715" s="4"/>
    </row>
    <row r="716" spans="9:9" ht="15.75" customHeight="1">
      <c r="I716" s="4"/>
    </row>
    <row r="717" spans="9:9" ht="15.75" customHeight="1">
      <c r="I717" s="4"/>
    </row>
    <row r="718" spans="9:9" ht="15.75" customHeight="1">
      <c r="I718" s="4"/>
    </row>
    <row r="719" spans="9:9" ht="15.75" customHeight="1">
      <c r="I719" s="4"/>
    </row>
    <row r="720" spans="9:9" ht="15.75" customHeight="1">
      <c r="I720" s="4"/>
    </row>
    <row r="721" spans="9:9" ht="15.75" customHeight="1">
      <c r="I721" s="4"/>
    </row>
    <row r="722" spans="9:9" ht="15.75" customHeight="1">
      <c r="I722" s="4"/>
    </row>
    <row r="723" spans="9:9" ht="15.75" customHeight="1">
      <c r="I723" s="4"/>
    </row>
    <row r="724" spans="9:9" ht="15.75" customHeight="1">
      <c r="I724" s="4"/>
    </row>
    <row r="725" spans="9:9" ht="15.75" customHeight="1">
      <c r="I725" s="4"/>
    </row>
    <row r="726" spans="9:9" ht="15.75" customHeight="1">
      <c r="I726" s="4"/>
    </row>
    <row r="727" spans="9:9" ht="15.75" customHeight="1">
      <c r="I727" s="4"/>
    </row>
    <row r="728" spans="9:9" ht="15.75" customHeight="1">
      <c r="I728" s="4"/>
    </row>
    <row r="729" spans="9:9" ht="15.75" customHeight="1">
      <c r="I729" s="4"/>
    </row>
    <row r="730" spans="9:9" ht="15.75" customHeight="1">
      <c r="I730" s="4"/>
    </row>
    <row r="731" spans="9:9" ht="15.75" customHeight="1">
      <c r="I731" s="4"/>
    </row>
    <row r="732" spans="9:9" ht="15.75" customHeight="1">
      <c r="I732" s="4"/>
    </row>
    <row r="733" spans="9:9" ht="15.75" customHeight="1">
      <c r="I733" s="4"/>
    </row>
    <row r="734" spans="9:9" ht="15.75" customHeight="1">
      <c r="I734" s="4"/>
    </row>
    <row r="735" spans="9:9" ht="15.75" customHeight="1">
      <c r="I735" s="4"/>
    </row>
    <row r="736" spans="9:9" ht="15.75" customHeight="1">
      <c r="I736" s="4"/>
    </row>
    <row r="737" spans="9:9" ht="15.75" customHeight="1">
      <c r="I737" s="4"/>
    </row>
    <row r="738" spans="9:9" ht="15.75" customHeight="1">
      <c r="I738" s="4"/>
    </row>
    <row r="739" spans="9:9" ht="15.75" customHeight="1">
      <c r="I739" s="4"/>
    </row>
    <row r="740" spans="9:9" ht="15.75" customHeight="1">
      <c r="I740" s="4"/>
    </row>
    <row r="741" spans="9:9" ht="15.75" customHeight="1">
      <c r="I741" s="4"/>
    </row>
    <row r="742" spans="9:9" ht="15.75" customHeight="1">
      <c r="I742" s="4"/>
    </row>
    <row r="743" spans="9:9" ht="15.75" customHeight="1">
      <c r="I743" s="4"/>
    </row>
    <row r="744" spans="9:9" ht="15.75" customHeight="1">
      <c r="I744" s="4"/>
    </row>
    <row r="745" spans="9:9" ht="15.75" customHeight="1">
      <c r="I745" s="4"/>
    </row>
    <row r="746" spans="9:9" ht="15.75" customHeight="1">
      <c r="I746" s="4"/>
    </row>
    <row r="747" spans="9:9" ht="15.75" customHeight="1">
      <c r="I747" s="4"/>
    </row>
    <row r="748" spans="9:9" ht="15.75" customHeight="1">
      <c r="I748" s="4"/>
    </row>
    <row r="749" spans="9:9" ht="15.75" customHeight="1">
      <c r="I749" s="4"/>
    </row>
    <row r="750" spans="9:9" ht="15.75" customHeight="1">
      <c r="I750" s="4"/>
    </row>
    <row r="751" spans="9:9" ht="15.75" customHeight="1">
      <c r="I751" s="4"/>
    </row>
    <row r="752" spans="9:9" ht="15.75" customHeight="1">
      <c r="I752" s="4"/>
    </row>
    <row r="753" spans="9:9" ht="15.75" customHeight="1">
      <c r="I753" s="4"/>
    </row>
    <row r="754" spans="9:9" ht="15.75" customHeight="1">
      <c r="I754" s="4"/>
    </row>
    <row r="755" spans="9:9" ht="15.75" customHeight="1">
      <c r="I755" s="4"/>
    </row>
    <row r="756" spans="9:9" ht="15.75" customHeight="1">
      <c r="I756" s="4"/>
    </row>
    <row r="757" spans="9:9" ht="15.75" customHeight="1">
      <c r="I757" s="4"/>
    </row>
    <row r="758" spans="9:9" ht="15.75" customHeight="1">
      <c r="I758" s="4"/>
    </row>
    <row r="759" spans="9:9" ht="15.75" customHeight="1">
      <c r="I759" s="4"/>
    </row>
    <row r="760" spans="9:9" ht="15.75" customHeight="1">
      <c r="I760" s="4"/>
    </row>
    <row r="761" spans="9:9" ht="15.75" customHeight="1">
      <c r="I761" s="4"/>
    </row>
    <row r="762" spans="9:9" ht="15.75" customHeight="1">
      <c r="I762" s="4"/>
    </row>
    <row r="763" spans="9:9" ht="15.75" customHeight="1">
      <c r="I763" s="4"/>
    </row>
    <row r="764" spans="9:9" ht="15.75" customHeight="1">
      <c r="I764" s="4"/>
    </row>
    <row r="765" spans="9:9" ht="15.75" customHeight="1">
      <c r="I765" s="4"/>
    </row>
    <row r="766" spans="9:9" ht="15.75" customHeight="1">
      <c r="I766" s="4"/>
    </row>
    <row r="767" spans="9:9" ht="15.75" customHeight="1">
      <c r="I767" s="4"/>
    </row>
    <row r="768" spans="9:9" ht="15.75" customHeight="1">
      <c r="I768" s="4"/>
    </row>
    <row r="769" spans="9:9" ht="15.75" customHeight="1">
      <c r="I769" s="4"/>
    </row>
    <row r="770" spans="9:9" ht="15.75" customHeight="1">
      <c r="I770" s="4"/>
    </row>
    <row r="771" spans="9:9" ht="15.75" customHeight="1">
      <c r="I771" s="4"/>
    </row>
    <row r="772" spans="9:9" ht="15.75" customHeight="1">
      <c r="I772" s="4"/>
    </row>
    <row r="773" spans="9:9" ht="15.75" customHeight="1">
      <c r="I773" s="4"/>
    </row>
    <row r="774" spans="9:9" ht="15.75" customHeight="1">
      <c r="I774" s="4"/>
    </row>
    <row r="775" spans="9:9" ht="15.75" customHeight="1">
      <c r="I775" s="4"/>
    </row>
    <row r="776" spans="9:9" ht="15.75" customHeight="1">
      <c r="I776" s="4"/>
    </row>
    <row r="777" spans="9:9" ht="15.75" customHeight="1">
      <c r="I777" s="4"/>
    </row>
    <row r="778" spans="9:9" ht="15.75" customHeight="1">
      <c r="I778" s="4"/>
    </row>
    <row r="779" spans="9:9" ht="15.75" customHeight="1">
      <c r="I779" s="4"/>
    </row>
    <row r="780" spans="9:9" ht="15.75" customHeight="1">
      <c r="I780" s="4"/>
    </row>
    <row r="781" spans="9:9" ht="15.75" customHeight="1">
      <c r="I781" s="4"/>
    </row>
    <row r="782" spans="9:9" ht="15.75" customHeight="1">
      <c r="I782" s="4"/>
    </row>
    <row r="783" spans="9:9" ht="15.75" customHeight="1">
      <c r="I783" s="4"/>
    </row>
    <row r="784" spans="9:9" ht="15.75" customHeight="1">
      <c r="I784" s="4"/>
    </row>
    <row r="785" spans="9:9" ht="15.75" customHeight="1">
      <c r="I785" s="4"/>
    </row>
    <row r="786" spans="9:9" ht="15.75" customHeight="1">
      <c r="I786" s="4"/>
    </row>
    <row r="787" spans="9:9" ht="15.75" customHeight="1">
      <c r="I787" s="4"/>
    </row>
    <row r="788" spans="9:9" ht="15.75" customHeight="1">
      <c r="I788" s="4"/>
    </row>
    <row r="789" spans="9:9" ht="15.75" customHeight="1">
      <c r="I789" s="4"/>
    </row>
    <row r="790" spans="9:9" ht="15.75" customHeight="1">
      <c r="I790" s="4"/>
    </row>
    <row r="791" spans="9:9" ht="15.75" customHeight="1">
      <c r="I791" s="4"/>
    </row>
    <row r="792" spans="9:9" ht="15.75" customHeight="1">
      <c r="I792" s="4"/>
    </row>
    <row r="793" spans="9:9" ht="15.75" customHeight="1">
      <c r="I793" s="4"/>
    </row>
    <row r="794" spans="9:9" ht="15.75" customHeight="1">
      <c r="I794" s="4"/>
    </row>
    <row r="795" spans="9:9" ht="15.75" customHeight="1">
      <c r="I795" s="4"/>
    </row>
    <row r="796" spans="9:9" ht="15.75" customHeight="1">
      <c r="I796" s="4"/>
    </row>
    <row r="797" spans="9:9" ht="15.75" customHeight="1">
      <c r="I797" s="4"/>
    </row>
    <row r="798" spans="9:9" ht="15.75" customHeight="1">
      <c r="I798" s="4"/>
    </row>
    <row r="799" spans="9:9" ht="15.75" customHeight="1">
      <c r="I799" s="4"/>
    </row>
    <row r="800" spans="9:9" ht="15.75" customHeight="1">
      <c r="I800" s="4"/>
    </row>
    <row r="801" spans="9:9" ht="15.75" customHeight="1">
      <c r="I801" s="4"/>
    </row>
    <row r="802" spans="9:9" ht="15.75" customHeight="1">
      <c r="I802" s="4"/>
    </row>
    <row r="803" spans="9:9" ht="15.75" customHeight="1">
      <c r="I803" s="4"/>
    </row>
    <row r="804" spans="9:9" ht="15.75" customHeight="1">
      <c r="I804" s="4"/>
    </row>
    <row r="805" spans="9:9" ht="15.75" customHeight="1">
      <c r="I805" s="4"/>
    </row>
    <row r="806" spans="9:9" ht="15.75" customHeight="1">
      <c r="I806" s="4"/>
    </row>
    <row r="807" spans="9:9" ht="15.75" customHeight="1">
      <c r="I807" s="4"/>
    </row>
    <row r="808" spans="9:9" ht="15.75" customHeight="1">
      <c r="I808" s="4"/>
    </row>
    <row r="809" spans="9:9" ht="15.75" customHeight="1">
      <c r="I809" s="4"/>
    </row>
    <row r="810" spans="9:9" ht="15.75" customHeight="1">
      <c r="I810" s="4"/>
    </row>
    <row r="811" spans="9:9" ht="15.75" customHeight="1">
      <c r="I811" s="4"/>
    </row>
    <row r="812" spans="9:9" ht="15.75" customHeight="1">
      <c r="I812" s="4"/>
    </row>
    <row r="813" spans="9:9" ht="15.75" customHeight="1">
      <c r="I813" s="4"/>
    </row>
    <row r="814" spans="9:9" ht="15.75" customHeight="1">
      <c r="I814" s="4"/>
    </row>
    <row r="815" spans="9:9" ht="15.75" customHeight="1">
      <c r="I815" s="4"/>
    </row>
    <row r="816" spans="9:9" ht="15.75" customHeight="1">
      <c r="I816" s="4"/>
    </row>
    <row r="817" spans="9:9" ht="15.75" customHeight="1">
      <c r="I817" s="4"/>
    </row>
    <row r="818" spans="9:9" ht="15.75" customHeight="1">
      <c r="I818" s="4"/>
    </row>
    <row r="819" spans="9:9" ht="15.75" customHeight="1">
      <c r="I819" s="4"/>
    </row>
    <row r="820" spans="9:9" ht="15.75" customHeight="1">
      <c r="I820" s="4"/>
    </row>
    <row r="821" spans="9:9" ht="15.75" customHeight="1">
      <c r="I821" s="4"/>
    </row>
    <row r="822" spans="9:9" ht="15.75" customHeight="1">
      <c r="I822" s="4"/>
    </row>
    <row r="823" spans="9:9" ht="15.75" customHeight="1">
      <c r="I823" s="4"/>
    </row>
    <row r="824" spans="9:9" ht="15.75" customHeight="1">
      <c r="I824" s="4"/>
    </row>
    <row r="825" spans="9:9" ht="15.75" customHeight="1">
      <c r="I825" s="4"/>
    </row>
    <row r="826" spans="9:9" ht="15.75" customHeight="1">
      <c r="I826" s="4"/>
    </row>
    <row r="827" spans="9:9" ht="15.75" customHeight="1">
      <c r="I827" s="4"/>
    </row>
    <row r="828" spans="9:9" ht="15.75" customHeight="1">
      <c r="I828" s="4"/>
    </row>
    <row r="829" spans="9:9" ht="15.75" customHeight="1">
      <c r="I829" s="4"/>
    </row>
    <row r="830" spans="9:9" ht="15.75" customHeight="1">
      <c r="I830" s="4"/>
    </row>
    <row r="831" spans="9:9" ht="15.75" customHeight="1">
      <c r="I831" s="4"/>
    </row>
    <row r="832" spans="9:9" ht="15.75" customHeight="1">
      <c r="I832" s="4"/>
    </row>
    <row r="833" spans="9:9" ht="15.75" customHeight="1">
      <c r="I833" s="4"/>
    </row>
    <row r="834" spans="9:9" ht="15.75" customHeight="1">
      <c r="I834" s="4"/>
    </row>
    <row r="835" spans="9:9" ht="15.75" customHeight="1">
      <c r="I835" s="4"/>
    </row>
    <row r="836" spans="9:9" ht="15.75" customHeight="1">
      <c r="I836" s="4"/>
    </row>
    <row r="837" spans="9:9" ht="15.75" customHeight="1">
      <c r="I837" s="4"/>
    </row>
    <row r="838" spans="9:9" ht="15.75" customHeight="1">
      <c r="I838" s="4"/>
    </row>
    <row r="839" spans="9:9" ht="15.75" customHeight="1">
      <c r="I839" s="4"/>
    </row>
    <row r="840" spans="9:9" ht="15.75" customHeight="1">
      <c r="I840" s="4"/>
    </row>
    <row r="841" spans="9:9" ht="15.75" customHeight="1">
      <c r="I841" s="4"/>
    </row>
    <row r="842" spans="9:9" ht="15.75" customHeight="1">
      <c r="I842" s="4"/>
    </row>
    <row r="843" spans="9:9" ht="15.75" customHeight="1">
      <c r="I843" s="4"/>
    </row>
    <row r="844" spans="9:9" ht="15.75" customHeight="1">
      <c r="I844" s="4"/>
    </row>
    <row r="845" spans="9:9" ht="15.75" customHeight="1">
      <c r="I845" s="4"/>
    </row>
    <row r="846" spans="9:9" ht="15.75" customHeight="1">
      <c r="I846" s="4"/>
    </row>
    <row r="847" spans="9:9" ht="15.75" customHeight="1">
      <c r="I847" s="4"/>
    </row>
    <row r="848" spans="9:9" ht="15.75" customHeight="1">
      <c r="I848" s="4"/>
    </row>
    <row r="849" spans="9:9" ht="15.75" customHeight="1">
      <c r="I849" s="4"/>
    </row>
    <row r="850" spans="9:9" ht="15.75" customHeight="1">
      <c r="I850" s="4"/>
    </row>
    <row r="851" spans="9:9" ht="15.75" customHeight="1">
      <c r="I851" s="4"/>
    </row>
    <row r="852" spans="9:9" ht="15.75" customHeight="1">
      <c r="I852" s="4"/>
    </row>
    <row r="853" spans="9:9" ht="15.75" customHeight="1">
      <c r="I853" s="4"/>
    </row>
    <row r="854" spans="9:9" ht="15.75" customHeight="1">
      <c r="I854" s="4"/>
    </row>
    <row r="855" spans="9:9" ht="15.75" customHeight="1">
      <c r="I855" s="4"/>
    </row>
    <row r="856" spans="9:9" ht="15.75" customHeight="1">
      <c r="I856" s="4"/>
    </row>
    <row r="857" spans="9:9" ht="15.75" customHeight="1">
      <c r="I857" s="4"/>
    </row>
    <row r="858" spans="9:9" ht="15.75" customHeight="1">
      <c r="I858" s="4"/>
    </row>
    <row r="859" spans="9:9" ht="15.75" customHeight="1">
      <c r="I859" s="4"/>
    </row>
    <row r="860" spans="9:9" ht="15.75" customHeight="1">
      <c r="I860" s="4"/>
    </row>
    <row r="861" spans="9:9" ht="15.75" customHeight="1">
      <c r="I861" s="4"/>
    </row>
    <row r="862" spans="9:9" ht="15.75" customHeight="1">
      <c r="I862" s="4"/>
    </row>
    <row r="863" spans="9:9" ht="15.75" customHeight="1">
      <c r="I863" s="4"/>
    </row>
    <row r="864" spans="9:9" ht="15.75" customHeight="1">
      <c r="I864" s="4"/>
    </row>
    <row r="865" spans="9:9" ht="15.75" customHeight="1">
      <c r="I865" s="4"/>
    </row>
    <row r="866" spans="9:9" ht="15.75" customHeight="1">
      <c r="I866" s="4"/>
    </row>
    <row r="867" spans="9:9" ht="15.75" customHeight="1">
      <c r="I867" s="4"/>
    </row>
    <row r="868" spans="9:9" ht="15.75" customHeight="1">
      <c r="I868" s="4"/>
    </row>
    <row r="869" spans="9:9" ht="15.75" customHeight="1">
      <c r="I869" s="4"/>
    </row>
    <row r="870" spans="9:9" ht="15.75" customHeight="1">
      <c r="I870" s="4"/>
    </row>
    <row r="871" spans="9:9" ht="15.75" customHeight="1">
      <c r="I871" s="4"/>
    </row>
    <row r="872" spans="9:9" ht="15.75" customHeight="1">
      <c r="I872" s="4"/>
    </row>
    <row r="873" spans="9:9" ht="15.75" customHeight="1">
      <c r="I873" s="4"/>
    </row>
    <row r="874" spans="9:9" ht="15.75" customHeight="1">
      <c r="I874" s="4"/>
    </row>
    <row r="875" spans="9:9" ht="15.75" customHeight="1">
      <c r="I875" s="4"/>
    </row>
    <row r="876" spans="9:9" ht="15.75" customHeight="1">
      <c r="I876" s="4"/>
    </row>
    <row r="877" spans="9:9" ht="15.75" customHeight="1">
      <c r="I877" s="4"/>
    </row>
    <row r="878" spans="9:9" ht="15.75" customHeight="1">
      <c r="I878" s="4"/>
    </row>
    <row r="879" spans="9:9" ht="15.75" customHeight="1">
      <c r="I879" s="4"/>
    </row>
    <row r="880" spans="9:9" ht="15.75" customHeight="1">
      <c r="I880" s="4"/>
    </row>
    <row r="881" spans="9:9" ht="15.75" customHeight="1">
      <c r="I881" s="4"/>
    </row>
    <row r="882" spans="9:9" ht="15.75" customHeight="1">
      <c r="I882" s="4"/>
    </row>
    <row r="883" spans="9:9" ht="15.75" customHeight="1">
      <c r="I883" s="4"/>
    </row>
    <row r="884" spans="9:9" ht="15.75" customHeight="1">
      <c r="I884" s="4"/>
    </row>
    <row r="885" spans="9:9" ht="15.75" customHeight="1">
      <c r="I885" s="4"/>
    </row>
    <row r="886" spans="9:9" ht="15.75" customHeight="1">
      <c r="I886" s="4"/>
    </row>
    <row r="887" spans="9:9" ht="15.75" customHeight="1">
      <c r="I887" s="4"/>
    </row>
    <row r="888" spans="9:9" ht="15.75" customHeight="1">
      <c r="I888" s="4"/>
    </row>
    <row r="889" spans="9:9" ht="15.75" customHeight="1">
      <c r="I889" s="4"/>
    </row>
    <row r="890" spans="9:9" ht="15.75" customHeight="1">
      <c r="I890" s="4"/>
    </row>
    <row r="891" spans="9:9" ht="15.75" customHeight="1">
      <c r="I891" s="4"/>
    </row>
    <row r="892" spans="9:9" ht="15.75" customHeight="1">
      <c r="I892" s="4"/>
    </row>
    <row r="893" spans="9:9" ht="15.75" customHeight="1">
      <c r="I893" s="4"/>
    </row>
    <row r="894" spans="9:9" ht="15.75" customHeight="1">
      <c r="I894" s="4"/>
    </row>
    <row r="895" spans="9:9" ht="15.75" customHeight="1">
      <c r="I895" s="4"/>
    </row>
    <row r="896" spans="9:9" ht="15.75" customHeight="1">
      <c r="I896" s="4"/>
    </row>
    <row r="897" spans="9:9" ht="15.75" customHeight="1">
      <c r="I897" s="4"/>
    </row>
    <row r="898" spans="9:9" ht="15.75" customHeight="1">
      <c r="I898" s="4"/>
    </row>
    <row r="899" spans="9:9" ht="15.75" customHeight="1">
      <c r="I899" s="4"/>
    </row>
    <row r="900" spans="9:9" ht="15.75" customHeight="1">
      <c r="I900" s="4"/>
    </row>
    <row r="901" spans="9:9" ht="15.75" customHeight="1">
      <c r="I901" s="4"/>
    </row>
    <row r="902" spans="9:9" ht="15.75" customHeight="1">
      <c r="I902" s="4"/>
    </row>
    <row r="903" spans="9:9" ht="15.75" customHeight="1">
      <c r="I903" s="4"/>
    </row>
    <row r="904" spans="9:9" ht="15.75" customHeight="1">
      <c r="I904" s="4"/>
    </row>
    <row r="905" spans="9:9" ht="15.75" customHeight="1">
      <c r="I905" s="4"/>
    </row>
    <row r="906" spans="9:9" ht="15.75" customHeight="1">
      <c r="I906" s="4"/>
    </row>
    <row r="907" spans="9:9" ht="15.75" customHeight="1">
      <c r="I907" s="4"/>
    </row>
    <row r="908" spans="9:9" ht="15.75" customHeight="1">
      <c r="I908" s="4"/>
    </row>
    <row r="909" spans="9:9" ht="15.75" customHeight="1">
      <c r="I909" s="4"/>
    </row>
    <row r="910" spans="9:9" ht="15.75" customHeight="1">
      <c r="I910" s="4"/>
    </row>
    <row r="911" spans="9:9" ht="15.75" customHeight="1">
      <c r="I911" s="4"/>
    </row>
    <row r="912" spans="9:9" ht="15.75" customHeight="1">
      <c r="I912" s="4"/>
    </row>
    <row r="913" spans="9:9" ht="15.75" customHeight="1">
      <c r="I913" s="4"/>
    </row>
    <row r="914" spans="9:9" ht="15.75" customHeight="1">
      <c r="I914" s="4"/>
    </row>
    <row r="915" spans="9:9" ht="15.75" customHeight="1">
      <c r="I915" s="4"/>
    </row>
    <row r="916" spans="9:9" ht="15.75" customHeight="1">
      <c r="I916" s="4"/>
    </row>
    <row r="917" spans="9:9" ht="15.75" customHeight="1">
      <c r="I917" s="4"/>
    </row>
    <row r="918" spans="9:9" ht="15.75" customHeight="1">
      <c r="I918" s="4"/>
    </row>
    <row r="919" spans="9:9" ht="15.75" customHeight="1">
      <c r="I919" s="4"/>
    </row>
    <row r="920" spans="9:9" ht="15.75" customHeight="1">
      <c r="I920" s="4"/>
    </row>
    <row r="921" spans="9:9" ht="15.75" customHeight="1">
      <c r="I921" s="4"/>
    </row>
    <row r="922" spans="9:9" ht="15.75" customHeight="1">
      <c r="I922" s="4"/>
    </row>
    <row r="923" spans="9:9" ht="15.75" customHeight="1">
      <c r="I923" s="4"/>
    </row>
    <row r="924" spans="9:9" ht="15.75" customHeight="1">
      <c r="I924" s="4"/>
    </row>
    <row r="925" spans="9:9" ht="15.75" customHeight="1">
      <c r="I925" s="4"/>
    </row>
    <row r="926" spans="9:9" ht="15.75" customHeight="1">
      <c r="I926" s="4"/>
    </row>
    <row r="927" spans="9:9" ht="15.75" customHeight="1">
      <c r="I927" s="4"/>
    </row>
    <row r="928" spans="9:9" ht="15.75" customHeight="1">
      <c r="I928" s="4"/>
    </row>
    <row r="929" spans="9:9" ht="15.75" customHeight="1">
      <c r="I929" s="4"/>
    </row>
    <row r="930" spans="9:9" ht="15.75" customHeight="1">
      <c r="I930" s="4"/>
    </row>
    <row r="931" spans="9:9" ht="15.75" customHeight="1">
      <c r="I931" s="4"/>
    </row>
    <row r="932" spans="9:9" ht="15.75" customHeight="1">
      <c r="I932" s="4"/>
    </row>
    <row r="933" spans="9:9" ht="15.75" customHeight="1">
      <c r="I933" s="4"/>
    </row>
    <row r="934" spans="9:9" ht="15.75" customHeight="1">
      <c r="I934" s="4"/>
    </row>
    <row r="935" spans="9:9" ht="15.75" customHeight="1">
      <c r="I935" s="4"/>
    </row>
    <row r="936" spans="9:9" ht="15.75" customHeight="1">
      <c r="I936" s="4"/>
    </row>
    <row r="937" spans="9:9" ht="15.75" customHeight="1">
      <c r="I937" s="4"/>
    </row>
    <row r="938" spans="9:9" ht="15.75" customHeight="1">
      <c r="I938" s="4"/>
    </row>
    <row r="939" spans="9:9" ht="15.75" customHeight="1">
      <c r="I939" s="4"/>
    </row>
    <row r="940" spans="9:9" ht="15.75" customHeight="1">
      <c r="I940" s="4"/>
    </row>
    <row r="941" spans="9:9" ht="15.75" customHeight="1">
      <c r="I941" s="4"/>
    </row>
    <row r="942" spans="9:9" ht="15.75" customHeight="1">
      <c r="I942" s="4"/>
    </row>
    <row r="943" spans="9:9" ht="15.75" customHeight="1">
      <c r="I943" s="4"/>
    </row>
    <row r="944" spans="9:9" ht="15.75" customHeight="1">
      <c r="I944" s="4"/>
    </row>
    <row r="945" spans="9:9" ht="15.75" customHeight="1">
      <c r="I945" s="4"/>
    </row>
    <row r="946" spans="9:9" ht="15.75" customHeight="1">
      <c r="I946" s="4"/>
    </row>
    <row r="947" spans="9:9" ht="15.75" customHeight="1">
      <c r="I947" s="4"/>
    </row>
    <row r="948" spans="9:9" ht="15.75" customHeight="1">
      <c r="I948" s="4"/>
    </row>
    <row r="949" spans="9:9" ht="15.75" customHeight="1">
      <c r="I949" s="4"/>
    </row>
    <row r="950" spans="9:9" ht="15.75" customHeight="1">
      <c r="I950" s="4"/>
    </row>
    <row r="951" spans="9:9" ht="15.75" customHeight="1">
      <c r="I951" s="4"/>
    </row>
    <row r="952" spans="9:9" ht="15.75" customHeight="1">
      <c r="I952" s="4"/>
    </row>
    <row r="953" spans="9:9" ht="15.75" customHeight="1">
      <c r="I953" s="4"/>
    </row>
    <row r="954" spans="9:9" ht="15.75" customHeight="1">
      <c r="I954" s="4"/>
    </row>
    <row r="955" spans="9:9" ht="15.75" customHeight="1">
      <c r="I955" s="4"/>
    </row>
    <row r="956" spans="9:9" ht="15.75" customHeight="1">
      <c r="I956" s="4"/>
    </row>
    <row r="957" spans="9:9" ht="15.75" customHeight="1">
      <c r="I957" s="4"/>
    </row>
    <row r="958" spans="9:9" ht="15.75" customHeight="1">
      <c r="I958" s="4"/>
    </row>
    <row r="959" spans="9:9" ht="15.75" customHeight="1">
      <c r="I959" s="4"/>
    </row>
    <row r="960" spans="9:9" ht="15.75" customHeight="1">
      <c r="I960" s="4"/>
    </row>
    <row r="961" spans="9:9" ht="15.75" customHeight="1">
      <c r="I961" s="4"/>
    </row>
    <row r="962" spans="9:9" ht="15.75" customHeight="1">
      <c r="I962" s="4"/>
    </row>
    <row r="963" spans="9:9" ht="15.75" customHeight="1">
      <c r="I963" s="4"/>
    </row>
    <row r="964" spans="9:9" ht="15.75" customHeight="1">
      <c r="I964" s="4"/>
    </row>
    <row r="965" spans="9:9" ht="15.75" customHeight="1">
      <c r="I965" s="4"/>
    </row>
    <row r="966" spans="9:9" ht="15.75" customHeight="1">
      <c r="I966" s="4"/>
    </row>
    <row r="967" spans="9:9" ht="15.75" customHeight="1">
      <c r="I967" s="4"/>
    </row>
    <row r="968" spans="9:9" ht="15.75" customHeight="1">
      <c r="I968" s="4"/>
    </row>
    <row r="969" spans="9:9" ht="15.75" customHeight="1">
      <c r="I969" s="4"/>
    </row>
    <row r="970" spans="9:9" ht="15.75" customHeight="1">
      <c r="I970" s="4"/>
    </row>
    <row r="971" spans="9:9" ht="15.75" customHeight="1">
      <c r="I971" s="4"/>
    </row>
    <row r="972" spans="9:9" ht="15.75" customHeight="1">
      <c r="I972" s="4"/>
    </row>
    <row r="973" spans="9:9" ht="15.75" customHeight="1">
      <c r="I973" s="4"/>
    </row>
    <row r="974" spans="9:9" ht="15.75" customHeight="1">
      <c r="I974" s="4"/>
    </row>
    <row r="975" spans="9:9" ht="15.75" customHeight="1">
      <c r="I975" s="4"/>
    </row>
    <row r="976" spans="9:9" ht="15.75" customHeight="1">
      <c r="I976" s="4"/>
    </row>
    <row r="977" spans="9:9" ht="15.75" customHeight="1">
      <c r="I977" s="4"/>
    </row>
    <row r="978" spans="9:9" ht="15.75" customHeight="1">
      <c r="I978" s="4"/>
    </row>
    <row r="979" spans="9:9" ht="15.75" customHeight="1">
      <c r="I979" s="4"/>
    </row>
    <row r="980" spans="9:9" ht="15.75" customHeight="1">
      <c r="I980" s="4"/>
    </row>
    <row r="981" spans="9:9" ht="15.75" customHeight="1">
      <c r="I981" s="4"/>
    </row>
    <row r="982" spans="9:9" ht="15.75" customHeight="1">
      <c r="I982" s="4"/>
    </row>
    <row r="983" spans="9:9" ht="15.75" customHeight="1">
      <c r="I983" s="4"/>
    </row>
    <row r="984" spans="9:9" ht="15.75" customHeight="1">
      <c r="I984" s="4"/>
    </row>
    <row r="985" spans="9:9" ht="15.75" customHeight="1">
      <c r="I985" s="4"/>
    </row>
    <row r="986" spans="9:9" ht="15.75" customHeight="1">
      <c r="I986" s="4"/>
    </row>
    <row r="987" spans="9:9" ht="15.75" customHeight="1">
      <c r="I987" s="4"/>
    </row>
    <row r="988" spans="9:9" ht="15.75" customHeight="1">
      <c r="I988" s="4"/>
    </row>
    <row r="989" spans="9:9" ht="15.75" customHeight="1">
      <c r="I989" s="4"/>
    </row>
    <row r="990" spans="9:9" ht="15.75" customHeight="1">
      <c r="I990" s="4"/>
    </row>
    <row r="991" spans="9:9" ht="15.75" customHeight="1">
      <c r="I991" s="4"/>
    </row>
    <row r="992" spans="9:9" ht="15.75" customHeight="1">
      <c r="I992" s="4"/>
    </row>
    <row r="993" spans="9:9" ht="15.75" customHeight="1">
      <c r="I993" s="4"/>
    </row>
    <row r="994" spans="9:9" ht="15.75" customHeight="1">
      <c r="I994" s="4"/>
    </row>
    <row r="995" spans="9:9" ht="15.75" customHeight="1">
      <c r="I995" s="4"/>
    </row>
    <row r="996" spans="9:9" ht="15.75" customHeight="1">
      <c r="I996" s="4"/>
    </row>
    <row r="997" spans="9:9" ht="15.75" customHeight="1">
      <c r="I997" s="4"/>
    </row>
    <row r="998" spans="9:9" ht="15.75" customHeight="1">
      <c r="I998" s="4"/>
    </row>
    <row r="999" spans="9:9" ht="15.75" customHeight="1">
      <c r="I999" s="4"/>
    </row>
    <row r="1000" spans="9:9" ht="15.75" customHeight="1">
      <c r="I1000" s="4"/>
    </row>
    <row r="1001" spans="9:9" ht="15.75" customHeight="1">
      <c r="I1001" s="4"/>
    </row>
    <row r="1002" spans="9:9" ht="15.75" customHeight="1">
      <c r="I1002" s="4"/>
    </row>
    <row r="1003" spans="9:9" ht="15.75" customHeight="1">
      <c r="I1003" s="4"/>
    </row>
    <row r="1004" spans="9:9" ht="15.75" customHeight="1"/>
    <row r="1005" spans="9:9" ht="15.75" customHeight="1"/>
    <row r="1006" spans="9:9" ht="15.75" customHeight="1"/>
  </sheetData>
  <mergeCells count="18">
    <mergeCell ref="H178:L178"/>
    <mergeCell ref="H95:J95"/>
    <mergeCell ref="H97:K97"/>
    <mergeCell ref="H105:L105"/>
    <mergeCell ref="H106:L106"/>
    <mergeCell ref="H107:L107"/>
    <mergeCell ref="H108:L108"/>
    <mergeCell ref="H129:L129"/>
    <mergeCell ref="H85:L85"/>
    <mergeCell ref="H92:K92"/>
    <mergeCell ref="H141:I141"/>
    <mergeCell ref="H143:K143"/>
    <mergeCell ref="H161:L161"/>
    <mergeCell ref="L39:L40"/>
    <mergeCell ref="H62:I62"/>
    <mergeCell ref="H80:L80"/>
    <mergeCell ref="H82:L82"/>
    <mergeCell ref="H84:L84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Thịnh</dc:creator>
  <cp:lastModifiedBy>Phước Tuyền Lê</cp:lastModifiedBy>
  <dcterms:created xsi:type="dcterms:W3CDTF">2023-09-23T15:19:29Z</dcterms:created>
  <dcterms:modified xsi:type="dcterms:W3CDTF">2023-10-23T16:00:52Z</dcterms:modified>
</cp:coreProperties>
</file>