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Users\SHIVAM\Desktop\MIT Project\Finance PROJECT\LockheedMartin\"/>
    </mc:Choice>
  </mc:AlternateContent>
  <xr:revisionPtr revIDLastSave="0" documentId="13_ncr:1_{C264940C-4E76-4DB1-8732-5D1D6219163E}" xr6:coauthVersionLast="47" xr6:coauthVersionMax="47" xr10:uidLastSave="{00000000-0000-0000-0000-000000000000}"/>
  <bookViews>
    <workbookView xWindow="-110" yWindow="-110" windowWidth="25820" windowHeight="13900" tabRatio="772" xr2:uid="{00000000-000D-0000-FFFF-FFFF00000000}"/>
  </bookViews>
  <sheets>
    <sheet name="Input sheet" sheetId="11" r:id="rId1"/>
    <sheet name="Sheet1" sheetId="34" r:id="rId2"/>
    <sheet name="Valuation output" sheetId="13" r:id="rId3"/>
    <sheet name="Stories to Numbers" sheetId="28" r:id="rId4"/>
    <sheet name="Valuation as picture" sheetId="32" r:id="rId5"/>
    <sheet name="Diagnostics" sheetId="12" r:id="rId6"/>
    <sheet name="Option value" sheetId="14" r:id="rId7"/>
    <sheet name="Synthetic rating" sheetId="20" r:id="rId8"/>
    <sheet name="R&amp; D converter" sheetId="25" r:id="rId9"/>
    <sheet name="Operating lease converter" sheetId="18" r:id="rId10"/>
    <sheet name="Cost of capital worksheet" sheetId="19" r:id="rId11"/>
    <sheet name="Failure Rate worksheet" sheetId="30" r:id="rId12"/>
    <sheet name="Summary Sheet" sheetId="29" r:id="rId13"/>
    <sheet name="Country equity risk premiums" sheetId="23" r:id="rId14"/>
    <sheet name="Industry Averages(US)" sheetId="8" r:id="rId15"/>
    <sheet name="Input Stat Distributioons" sheetId="31" r:id="rId16"/>
    <sheet name="Industry Average Beta (Global)" sheetId="26" r:id="rId17"/>
    <sheet name="Trailing 12 month" sheetId="24" r:id="rId18"/>
    <sheet name="Answer keys" sheetId="21" r:id="rId19"/>
    <sheet name="Sheet3" sheetId="36" r:id="rId20"/>
    <sheet name="Sheet2" sheetId="35" r:id="rId21"/>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8" i="11" l="1"/>
  <c r="C12" i="18"/>
  <c r="B60" i="19"/>
  <c r="B18" i="19"/>
  <c r="B22" i="11"/>
  <c r="C8" i="34"/>
  <c r="D7" i="34"/>
  <c r="C7" i="34"/>
  <c r="D4" i="34"/>
  <c r="D5" i="34"/>
  <c r="D6" i="34"/>
  <c r="D3" i="34"/>
  <c r="C18" i="11"/>
  <c r="B18" i="11"/>
  <c r="B194" i="23" l="1"/>
  <c r="B193" i="23"/>
  <c r="B192" i="23"/>
  <c r="B191" i="23"/>
  <c r="B190" i="23"/>
  <c r="B189" i="23"/>
  <c r="B188" i="23"/>
  <c r="B187" i="23"/>
  <c r="B186" i="23"/>
  <c r="B185" i="23"/>
  <c r="D181" i="23"/>
  <c r="D179" i="23"/>
  <c r="D160" i="23"/>
  <c r="D155" i="23"/>
  <c r="D149" i="23"/>
  <c r="D144" i="23"/>
  <c r="D118" i="23"/>
  <c r="D105" i="23"/>
  <c r="D104" i="23"/>
  <c r="D98" i="23"/>
  <c r="D97" i="23"/>
  <c r="D91" i="23"/>
  <c r="D78" i="23"/>
  <c r="D71" i="23"/>
  <c r="D70" i="23"/>
  <c r="D69" i="23"/>
  <c r="D68" i="23"/>
  <c r="D61" i="23"/>
  <c r="D29" i="23"/>
  <c r="D7" i="23"/>
  <c r="D173" i="23"/>
  <c r="D168" i="23"/>
  <c r="D159" i="23"/>
  <c r="D158" i="23"/>
  <c r="D151" i="23"/>
  <c r="D134" i="23"/>
  <c r="D125" i="23"/>
  <c r="D120" i="23"/>
  <c r="D109" i="23"/>
  <c r="D101" i="23"/>
  <c r="D99" i="23"/>
  <c r="D86" i="23"/>
  <c r="D83" i="23"/>
  <c r="D81" i="23"/>
  <c r="D80" i="23"/>
  <c r="D75" i="23"/>
  <c r="D67" i="23"/>
  <c r="D65" i="23"/>
  <c r="D63" i="23"/>
  <c r="D59" i="23"/>
  <c r="D58" i="23"/>
  <c r="D50" i="23"/>
  <c r="D48" i="23"/>
  <c r="D21" i="23"/>
  <c r="D14" i="23"/>
  <c r="D8" i="23"/>
  <c r="D174" i="23"/>
  <c r="D34" i="23"/>
  <c r="D172" i="23"/>
  <c r="D143" i="23"/>
  <c r="D140" i="23"/>
  <c r="D136" i="23"/>
  <c r="D135" i="23"/>
  <c r="D126" i="23"/>
  <c r="D96" i="23"/>
  <c r="D92" i="23"/>
  <c r="D87" i="23"/>
  <c r="D82" i="23"/>
  <c r="D79" i="23"/>
  <c r="D17" i="23"/>
  <c r="D5" i="23"/>
  <c r="D176" i="23"/>
  <c r="D171" i="23"/>
  <c r="D162" i="23"/>
  <c r="D147" i="23"/>
  <c r="D146" i="23"/>
  <c r="D142" i="23"/>
  <c r="D138" i="23"/>
  <c r="D137" i="23"/>
  <c r="D133" i="23"/>
  <c r="D114" i="23"/>
  <c r="D112" i="23"/>
  <c r="D103" i="23"/>
  <c r="D100" i="23"/>
  <c r="D95" i="23"/>
  <c r="D93" i="23"/>
  <c r="D88" i="23"/>
  <c r="D74" i="23"/>
  <c r="D62" i="23"/>
  <c r="D55" i="23"/>
  <c r="D49" i="23"/>
  <c r="D45" i="23"/>
  <c r="D30" i="23"/>
  <c r="D26" i="23"/>
  <c r="D20" i="23"/>
  <c r="D15" i="23"/>
  <c r="D11" i="23"/>
  <c r="D6" i="23"/>
  <c r="D177" i="23"/>
  <c r="D175" i="23"/>
  <c r="D156" i="23"/>
  <c r="D131" i="23"/>
  <c r="D130" i="23"/>
  <c r="D128" i="23"/>
  <c r="D122" i="23"/>
  <c r="D111" i="23"/>
  <c r="D72" i="23"/>
  <c r="D66" i="23"/>
  <c r="D54" i="23"/>
  <c r="D52" i="23"/>
  <c r="D43" i="23"/>
  <c r="D39" i="23"/>
  <c r="D37" i="23"/>
  <c r="D28" i="23"/>
  <c r="D25" i="23"/>
  <c r="D22" i="23"/>
  <c r="D10" i="23"/>
  <c r="D169" i="23"/>
  <c r="D166" i="23"/>
  <c r="D154" i="23"/>
  <c r="D153" i="23"/>
  <c r="D115" i="23"/>
  <c r="D84" i="23"/>
  <c r="D51" i="23"/>
  <c r="D47" i="23"/>
  <c r="D46" i="23"/>
  <c r="D36" i="23"/>
  <c r="D24" i="23"/>
  <c r="D19" i="23"/>
  <c r="D16" i="23"/>
  <c r="D12" i="23"/>
  <c r="D121" i="23"/>
  <c r="D42" i="23"/>
  <c r="D13" i="23"/>
  <c r="D178" i="23"/>
  <c r="D164" i="23"/>
  <c r="D161" i="23"/>
  <c r="D152" i="23"/>
  <c r="D148" i="23"/>
  <c r="D145" i="23"/>
  <c r="D132" i="23"/>
  <c r="D129" i="23"/>
  <c r="D127" i="23"/>
  <c r="D113" i="23"/>
  <c r="D107" i="23"/>
  <c r="D106" i="23"/>
  <c r="D102" i="23"/>
  <c r="D94" i="23"/>
  <c r="D90" i="23"/>
  <c r="D85" i="23"/>
  <c r="D77" i="23"/>
  <c r="D76" i="23"/>
  <c r="D73" i="23"/>
  <c r="D57" i="23"/>
  <c r="D38" i="23"/>
  <c r="D32" i="23"/>
  <c r="D18" i="23"/>
  <c r="D180" i="23"/>
  <c r="D170" i="23"/>
  <c r="D167" i="23"/>
  <c r="D165" i="23"/>
  <c r="D163" i="23"/>
  <c r="D157" i="23"/>
  <c r="D150" i="23"/>
  <c r="D141" i="23"/>
  <c r="D139" i="23"/>
  <c r="D124" i="23"/>
  <c r="D123" i="23"/>
  <c r="D119" i="23"/>
  <c r="D117" i="23"/>
  <c r="D116" i="23"/>
  <c r="D110" i="23"/>
  <c r="D108" i="23"/>
  <c r="D89" i="23"/>
  <c r="D64" i="23"/>
  <c r="D60" i="23"/>
  <c r="D56" i="23"/>
  <c r="D53" i="23"/>
  <c r="D44" i="23"/>
  <c r="D41" i="23"/>
  <c r="D40" i="23"/>
  <c r="D35" i="23"/>
  <c r="D33" i="23"/>
  <c r="D31" i="23"/>
  <c r="D27" i="23"/>
  <c r="D23" i="23"/>
  <c r="D9" i="23"/>
  <c r="L63" i="19" l="1"/>
  <c r="L62" i="19"/>
  <c r="L61" i="19"/>
  <c r="L60" i="19"/>
  <c r="L59" i="19"/>
  <c r="L58" i="19"/>
  <c r="L57" i="19"/>
  <c r="L56" i="19"/>
  <c r="L55" i="19"/>
  <c r="L54" i="19"/>
  <c r="L53" i="19"/>
  <c r="L52" i="19"/>
  <c r="L64" i="19" s="1"/>
  <c r="G33" i="32"/>
  <c r="D33" i="32"/>
  <c r="O3" i="32"/>
  <c r="A3"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l="1"/>
  <c r="N31" i="11"/>
  <c r="M31" i="11"/>
  <c r="L31" i="11"/>
  <c r="N27" i="11"/>
  <c r="M27" i="11"/>
  <c r="L27" i="11"/>
  <c r="N26" i="11"/>
  <c r="M26" i="11"/>
  <c r="L26" i="11"/>
  <c r="L25" i="11"/>
  <c r="N25" i="11"/>
  <c r="M25" i="11"/>
  <c r="C38" i="13" l="1"/>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B72" i="19" l="1"/>
  <c r="C9" i="28" l="1"/>
  <c r="D12" i="28"/>
  <c r="B3" i="13"/>
  <c r="B8" i="32" s="1"/>
  <c r="C2" i="13"/>
  <c r="D38" i="13"/>
  <c r="B61" i="11"/>
  <c r="C10" i="28"/>
  <c r="G1" i="28"/>
  <c r="M12" i="13"/>
  <c r="P8" i="32" s="1"/>
  <c r="I29" i="19"/>
  <c r="I23" i="19"/>
  <c r="C4" i="13"/>
  <c r="B24" i="19"/>
  <c r="D2" i="13"/>
  <c r="F16" i="32" s="1"/>
  <c r="H32" i="19"/>
  <c r="J27" i="19" s="1"/>
  <c r="K27" i="11"/>
  <c r="K26" i="11"/>
  <c r="C9" i="32" s="1"/>
  <c r="M2" i="13"/>
  <c r="J26" i="11"/>
  <c r="D15" i="20"/>
  <c r="C7" i="20"/>
  <c r="I53" i="19"/>
  <c r="J53" i="19" s="1"/>
  <c r="K53" i="19"/>
  <c r="I54" i="19"/>
  <c r="J54" i="19" s="1"/>
  <c r="K54" i="19"/>
  <c r="I55" i="19"/>
  <c r="J55" i="19" s="1"/>
  <c r="K55" i="19"/>
  <c r="I56" i="19"/>
  <c r="J56" i="19" s="1"/>
  <c r="K56" i="19"/>
  <c r="I57" i="19"/>
  <c r="J57" i="19" s="1"/>
  <c r="K57" i="19"/>
  <c r="I58" i="19"/>
  <c r="J58" i="19" s="1"/>
  <c r="K58" i="19"/>
  <c r="I59" i="19"/>
  <c r="J59" i="19" s="1"/>
  <c r="K59" i="19"/>
  <c r="I60" i="19"/>
  <c r="J60" i="19" s="1"/>
  <c r="K60" i="19"/>
  <c r="I61" i="19"/>
  <c r="J61" i="19" s="1"/>
  <c r="K61" i="19"/>
  <c r="I62" i="19"/>
  <c r="J62" i="19" s="1"/>
  <c r="K62" i="19"/>
  <c r="I63" i="19"/>
  <c r="J63" i="19" s="1"/>
  <c r="K63" i="19"/>
  <c r="H64" i="19"/>
  <c r="I52" i="19"/>
  <c r="J52" i="19" s="1"/>
  <c r="K52"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s="1"/>
  <c r="A49" i="29"/>
  <c r="A24" i="29"/>
  <c r="A36" i="29" s="1"/>
  <c r="A48" i="29" s="1"/>
  <c r="A23" i="29"/>
  <c r="A35" i="29" s="1"/>
  <c r="A47" i="29"/>
  <c r="A22" i="29"/>
  <c r="A34" i="29" s="1"/>
  <c r="A46" i="29"/>
  <c r="A21" i="29"/>
  <c r="A33" i="29" s="1"/>
  <c r="A45" i="29"/>
  <c r="A20" i="29"/>
  <c r="A32" i="29" s="1"/>
  <c r="A44" i="29" s="1"/>
  <c r="A19" i="29"/>
  <c r="A31" i="29" s="1"/>
  <c r="A43" i="29"/>
  <c r="A18" i="29"/>
  <c r="A30" i="29" s="1"/>
  <c r="A42" i="29"/>
  <c r="A17" i="29"/>
  <c r="A29" i="29" s="1"/>
  <c r="A41" i="29"/>
  <c r="A16" i="29"/>
  <c r="A28" i="29" s="1"/>
  <c r="A40" i="29" s="1"/>
  <c r="J27" i="11"/>
  <c r="A15" i="29"/>
  <c r="B10" i="13"/>
  <c r="F2" i="29" s="1"/>
  <c r="J15" i="19"/>
  <c r="K15" i="19" s="1"/>
  <c r="J14" i="19"/>
  <c r="K14" i="19" s="1"/>
  <c r="B14" i="24"/>
  <c r="B6" i="13"/>
  <c r="C6" i="13" s="1"/>
  <c r="D6" i="13" s="1"/>
  <c r="E6" i="13" s="1"/>
  <c r="F6" i="13" s="1"/>
  <c r="G6" i="13" s="1"/>
  <c r="M6" i="13"/>
  <c r="F11" i="28" s="1"/>
  <c r="B22" i="13"/>
  <c r="B17" i="32" s="1"/>
  <c r="G39" i="28"/>
  <c r="B29" i="32" s="1"/>
  <c r="E2" i="24"/>
  <c r="E4" i="24"/>
  <c r="B22" i="18"/>
  <c r="A22" i="18"/>
  <c r="B23" i="18"/>
  <c r="A23" i="18"/>
  <c r="B24" i="18"/>
  <c r="A24" i="18"/>
  <c r="B25" i="18"/>
  <c r="A25" i="18"/>
  <c r="B26" i="18"/>
  <c r="A26" i="18"/>
  <c r="D18" i="18"/>
  <c r="B27" i="18"/>
  <c r="E3" i="24"/>
  <c r="A25" i="25"/>
  <c r="C25" i="25" s="1"/>
  <c r="D25" i="25" s="1"/>
  <c r="B25" i="25"/>
  <c r="A12" i="25"/>
  <c r="A13" i="25" s="1"/>
  <c r="B26" i="25"/>
  <c r="B27" i="25"/>
  <c r="C24" i="25"/>
  <c r="B28" i="25"/>
  <c r="B29" i="25"/>
  <c r="B30" i="25"/>
  <c r="B31" i="25"/>
  <c r="B32" i="25"/>
  <c r="B33" i="25"/>
  <c r="B34" i="25"/>
  <c r="B19" i="19"/>
  <c r="E5" i="24"/>
  <c r="B30" i="19"/>
  <c r="D60" i="19"/>
  <c r="B38" i="19"/>
  <c r="H18" i="19"/>
  <c r="J16" i="19" s="1"/>
  <c r="K16" i="19" s="1"/>
  <c r="J9" i="19"/>
  <c r="K9" i="19" s="1"/>
  <c r="J10" i="19"/>
  <c r="K10" i="19" s="1"/>
  <c r="J11" i="19"/>
  <c r="K11" i="19" s="1"/>
  <c r="J12" i="19"/>
  <c r="K12" i="19" s="1"/>
  <c r="J13" i="19"/>
  <c r="K13" i="19" s="1"/>
  <c r="J17" i="19"/>
  <c r="K17" i="19" s="1"/>
  <c r="D62" i="19"/>
  <c r="B26" i="13"/>
  <c r="B20" i="32" s="1"/>
  <c r="B27" i="13"/>
  <c r="B21" i="32" s="1"/>
  <c r="B28" i="13"/>
  <c r="B22" i="32" s="1"/>
  <c r="B32" i="13"/>
  <c r="D9" i="28"/>
  <c r="A1" i="28"/>
  <c r="F10" i="20"/>
  <c r="I36" i="19"/>
  <c r="L36" i="19" s="1"/>
  <c r="I47" i="19"/>
  <c r="L47" i="19" s="1"/>
  <c r="I46" i="19"/>
  <c r="L46" i="19" s="1"/>
  <c r="I45" i="19"/>
  <c r="L45" i="19" s="1"/>
  <c r="I44" i="19"/>
  <c r="L44" i="19" s="1"/>
  <c r="I43" i="19"/>
  <c r="L43" i="19" s="1"/>
  <c r="I42" i="19"/>
  <c r="L42" i="19" s="1"/>
  <c r="I41" i="19"/>
  <c r="L41" i="19" s="1"/>
  <c r="I40" i="19"/>
  <c r="L40" i="19" s="1"/>
  <c r="I39" i="19"/>
  <c r="L39" i="19" s="1"/>
  <c r="I38" i="19"/>
  <c r="L38" i="19" s="1"/>
  <c r="I37" i="19"/>
  <c r="L37" i="19" s="1"/>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s="1"/>
  <c r="B18" i="14" s="1"/>
  <c r="B4" i="14"/>
  <c r="B15" i="14" s="1"/>
  <c r="B9" i="14"/>
  <c r="D17" i="14" s="1"/>
  <c r="D19" i="14"/>
  <c r="I25" i="11"/>
  <c r="B24" i="25"/>
  <c r="D24" i="25" s="1"/>
  <c r="I5" i="19"/>
  <c r="J29" i="19"/>
  <c r="E25" i="25" l="1"/>
  <c r="E18" i="32"/>
  <c r="L4" i="13"/>
  <c r="N18" i="32" s="1"/>
  <c r="K4" i="13"/>
  <c r="M18" i="32" s="1"/>
  <c r="D3" i="12"/>
  <c r="E16" i="32"/>
  <c r="F9" i="28"/>
  <c r="O16" i="32"/>
  <c r="P7" i="32" s="1"/>
  <c r="D38" i="28"/>
  <c r="B26" i="32"/>
  <c r="E38" i="13"/>
  <c r="G28" i="32" s="1"/>
  <c r="F28" i="32"/>
  <c r="C3" i="12"/>
  <c r="B7" i="32"/>
  <c r="B11" i="28"/>
  <c r="D11" i="28" s="1"/>
  <c r="D3" i="29"/>
  <c r="H4" i="13"/>
  <c r="J18" i="32" s="1"/>
  <c r="E4" i="13"/>
  <c r="C12" i="12"/>
  <c r="G4" i="13"/>
  <c r="D4" i="13"/>
  <c r="J4" i="13"/>
  <c r="L18" i="32" s="1"/>
  <c r="F4" i="13"/>
  <c r="I4" i="13"/>
  <c r="K18" i="32" s="1"/>
  <c r="B9" i="28"/>
  <c r="B7" i="12"/>
  <c r="B17" i="13"/>
  <c r="E31" i="12"/>
  <c r="D16" i="29"/>
  <c r="C17" i="12"/>
  <c r="G33" i="28"/>
  <c r="B33" i="12"/>
  <c r="E2" i="13"/>
  <c r="E3" i="12"/>
  <c r="C17" i="28"/>
  <c r="D35" i="28"/>
  <c r="D17" i="29"/>
  <c r="C3" i="13"/>
  <c r="D20" i="14"/>
  <c r="J24" i="19"/>
  <c r="J28" i="19"/>
  <c r="J30" i="19"/>
  <c r="K30" i="19" s="1"/>
  <c r="J23" i="19"/>
  <c r="K23" i="19" s="1"/>
  <c r="J31" i="19"/>
  <c r="K31" i="19" s="1"/>
  <c r="J21" i="19"/>
  <c r="J40" i="19"/>
  <c r="K41" i="19"/>
  <c r="J37" i="19"/>
  <c r="J25" i="19"/>
  <c r="K25" i="19" s="1"/>
  <c r="J22" i="19"/>
  <c r="K22" i="19" s="1"/>
  <c r="J26" i="19"/>
  <c r="K26" i="19" s="1"/>
  <c r="K39" i="19"/>
  <c r="K47" i="19"/>
  <c r="J8" i="19"/>
  <c r="K8" i="19" s="1"/>
  <c r="J44" i="19"/>
  <c r="K45" i="19"/>
  <c r="J36" i="19"/>
  <c r="K36" i="19"/>
  <c r="J42" i="19"/>
  <c r="J43" i="19"/>
  <c r="K38" i="19"/>
  <c r="J46" i="19"/>
  <c r="J7" i="19"/>
  <c r="K7" i="19" s="1"/>
  <c r="K24" i="19"/>
  <c r="K29" i="19"/>
  <c r="K27" i="19"/>
  <c r="K28" i="19"/>
  <c r="A27" i="25"/>
  <c r="A14" i="25"/>
  <c r="A26" i="25"/>
  <c r="C26" i="25" s="1"/>
  <c r="D26" i="25" s="1"/>
  <c r="J6" i="19"/>
  <c r="K6" i="19" s="1"/>
  <c r="J5" i="19"/>
  <c r="K5" i="19" s="1"/>
  <c r="C3" i="29"/>
  <c r="B2" i="29"/>
  <c r="K42" i="19"/>
  <c r="J41" i="19"/>
  <c r="K40" i="19"/>
  <c r="J38" i="19"/>
  <c r="J45" i="19"/>
  <c r="F14" i="28"/>
  <c r="K37" i="19"/>
  <c r="K46" i="19"/>
  <c r="H6" i="13"/>
  <c r="I6" i="13" s="1"/>
  <c r="J6" i="13" s="1"/>
  <c r="K6" i="13" s="1"/>
  <c r="L6" i="13" s="1"/>
  <c r="J64" i="19"/>
  <c r="K64" i="19" s="1"/>
  <c r="B23" i="19" s="1"/>
  <c r="K44" i="19"/>
  <c r="J39" i="19"/>
  <c r="J47" i="19"/>
  <c r="K43" i="19"/>
  <c r="F2" i="13" l="1"/>
  <c r="G16" i="32"/>
  <c r="D12" i="12"/>
  <c r="E10" i="28"/>
  <c r="I18" i="32"/>
  <c r="C19" i="28"/>
  <c r="G18" i="32"/>
  <c r="D6" i="29"/>
  <c r="H18" i="32"/>
  <c r="C18" i="28"/>
  <c r="F18" i="32"/>
  <c r="E26" i="25"/>
  <c r="D18" i="29"/>
  <c r="F38" i="13"/>
  <c r="D19" i="29" s="1"/>
  <c r="C5" i="13"/>
  <c r="E19" i="32" s="1"/>
  <c r="E17" i="32"/>
  <c r="B17" i="28"/>
  <c r="D17" i="28" s="1"/>
  <c r="D3" i="13"/>
  <c r="C7" i="12"/>
  <c r="D7" i="29"/>
  <c r="C21" i="28"/>
  <c r="D4" i="29"/>
  <c r="B3" i="29"/>
  <c r="E3" i="29" s="1"/>
  <c r="C20" i="28"/>
  <c r="D5" i="29"/>
  <c r="J32" i="19"/>
  <c r="K21" i="19"/>
  <c r="K32" i="19" s="1"/>
  <c r="B27" i="19" s="1"/>
  <c r="A15" i="25"/>
  <c r="A28" i="25"/>
  <c r="E27" i="25"/>
  <c r="C27" i="25"/>
  <c r="D27" i="25" s="1"/>
  <c r="K18" i="19"/>
  <c r="J18" i="19"/>
  <c r="J48" i="19"/>
  <c r="L48" i="19" s="1"/>
  <c r="B67" i="19" s="1"/>
  <c r="H28" i="32" l="1"/>
  <c r="C7" i="13"/>
  <c r="E20" i="32" s="1"/>
  <c r="C10" i="13"/>
  <c r="F3" i="29" s="1"/>
  <c r="G2" i="13"/>
  <c r="H16" i="32"/>
  <c r="F17" i="32"/>
  <c r="C8" i="13"/>
  <c r="E21" i="32" s="1"/>
  <c r="D5" i="13"/>
  <c r="F19" i="32" s="1"/>
  <c r="B4" i="29"/>
  <c r="C4" i="29" s="1"/>
  <c r="B18" i="28"/>
  <c r="D18" i="28" s="1"/>
  <c r="E3" i="13"/>
  <c r="C16" i="29"/>
  <c r="E16" i="29" s="1"/>
  <c r="K48" i="19"/>
  <c r="A16" i="25"/>
  <c r="A29" i="25"/>
  <c r="E28" i="25"/>
  <c r="C28" i="25"/>
  <c r="D28" i="25" s="1"/>
  <c r="H3" i="29" l="1"/>
  <c r="B16" i="29" s="1"/>
  <c r="F16" i="29" s="1"/>
  <c r="D40" i="29" s="1"/>
  <c r="E17" i="28"/>
  <c r="C17" i="29"/>
  <c r="E17" i="29" s="1"/>
  <c r="J2" i="13"/>
  <c r="L16" i="32" s="1"/>
  <c r="I16" i="32"/>
  <c r="L2" i="13"/>
  <c r="N16" i="32" s="1"/>
  <c r="I2" i="13"/>
  <c r="K16" i="32" s="1"/>
  <c r="K2" i="13"/>
  <c r="M16" i="32" s="1"/>
  <c r="H2" i="13"/>
  <c r="J16" i="32" s="1"/>
  <c r="E4" i="29"/>
  <c r="D10" i="13"/>
  <c r="F4" i="29" s="1"/>
  <c r="D7" i="13"/>
  <c r="F20" i="32" s="1"/>
  <c r="D8" i="13"/>
  <c r="F21" i="32" s="1"/>
  <c r="G17" i="32"/>
  <c r="B19" i="28"/>
  <c r="D19" i="28" s="1"/>
  <c r="E5" i="13"/>
  <c r="G19" i="32" s="1"/>
  <c r="C9" i="13"/>
  <c r="E22" i="32" s="1"/>
  <c r="F17" i="28"/>
  <c r="F3" i="13"/>
  <c r="B5" i="29"/>
  <c r="C18" i="29" s="1"/>
  <c r="E18" i="29" s="1"/>
  <c r="A17" i="25"/>
  <c r="A30" i="25"/>
  <c r="E29" i="25"/>
  <c r="C29" i="25"/>
  <c r="D29" i="25" s="1"/>
  <c r="G3" i="29" l="1"/>
  <c r="G17" i="28"/>
  <c r="D9" i="13"/>
  <c r="F22" i="32" s="1"/>
  <c r="H4" i="29"/>
  <c r="B17" i="29" s="1"/>
  <c r="F17" i="29" s="1"/>
  <c r="D41" i="29" s="1"/>
  <c r="E18" i="28"/>
  <c r="C5" i="29"/>
  <c r="E5" i="29"/>
  <c r="E8" i="13"/>
  <c r="G21" i="32" s="1"/>
  <c r="H17" i="32"/>
  <c r="F5" i="13"/>
  <c r="H19" i="32" s="1"/>
  <c r="B6" i="29"/>
  <c r="C19" i="29" s="1"/>
  <c r="E19" i="29" s="1"/>
  <c r="E10" i="13"/>
  <c r="F5" i="29" s="1"/>
  <c r="E7" i="13"/>
  <c r="G20" i="32" s="1"/>
  <c r="F18" i="28"/>
  <c r="B20" i="28"/>
  <c r="D20" i="28" s="1"/>
  <c r="G3" i="13"/>
  <c r="B21" i="28" s="1"/>
  <c r="D21" i="28" s="1"/>
  <c r="A31" i="25"/>
  <c r="A18" i="25"/>
  <c r="E30" i="25"/>
  <c r="C30" i="25"/>
  <c r="D30" i="25" s="1"/>
  <c r="G4" i="29" l="1"/>
  <c r="G18" i="28"/>
  <c r="F10" i="13"/>
  <c r="F6" i="29" s="1"/>
  <c r="F7" i="13"/>
  <c r="H20" i="32" s="1"/>
  <c r="E6" i="29"/>
  <c r="C6" i="29"/>
  <c r="I17" i="32"/>
  <c r="F8" i="13"/>
  <c r="D7" i="12"/>
  <c r="E19" i="28"/>
  <c r="E9" i="13"/>
  <c r="G22" i="32" s="1"/>
  <c r="H5" i="29"/>
  <c r="B18" i="29" s="1"/>
  <c r="F18" i="29" s="1"/>
  <c r="D42" i="29" s="1"/>
  <c r="B7" i="29"/>
  <c r="C20" i="29" s="1"/>
  <c r="G5" i="13"/>
  <c r="I19" i="32" s="1"/>
  <c r="H3" i="13"/>
  <c r="J17" i="32" s="1"/>
  <c r="F19" i="28"/>
  <c r="A19" i="25"/>
  <c r="A32" i="25"/>
  <c r="E31" i="25"/>
  <c r="C31" i="25"/>
  <c r="D31" i="25" s="1"/>
  <c r="E7" i="29" l="1"/>
  <c r="C7" i="29"/>
  <c r="G7" i="13"/>
  <c r="I20" i="32" s="1"/>
  <c r="B8" i="29"/>
  <c r="C8" i="29" s="1"/>
  <c r="H6" i="29"/>
  <c r="B19" i="29" s="1"/>
  <c r="F19" i="29" s="1"/>
  <c r="D43" i="29" s="1"/>
  <c r="F9" i="13"/>
  <c r="H22" i="32" s="1"/>
  <c r="E20" i="28"/>
  <c r="B22" i="28"/>
  <c r="I3" i="13"/>
  <c r="K17" i="32" s="1"/>
  <c r="G10" i="13"/>
  <c r="F7" i="29" s="1"/>
  <c r="G5" i="29"/>
  <c r="G19" i="28"/>
  <c r="H21" i="32"/>
  <c r="F20" i="28"/>
  <c r="E32" i="25"/>
  <c r="C32" i="25"/>
  <c r="D32" i="25" s="1"/>
  <c r="A33" i="25"/>
  <c r="A20" i="25"/>
  <c r="A34" i="25" s="1"/>
  <c r="C21" i="29" l="1"/>
  <c r="B9" i="29"/>
  <c r="J3" i="13"/>
  <c r="L17" i="32" s="1"/>
  <c r="H7" i="29"/>
  <c r="B20" i="29" s="1"/>
  <c r="E21" i="28"/>
  <c r="B23" i="28"/>
  <c r="G20" i="28"/>
  <c r="G6" i="29"/>
  <c r="C34" i="25"/>
  <c r="D34" i="25" s="1"/>
  <c r="E34" i="25"/>
  <c r="C33" i="25"/>
  <c r="D33" i="25" s="1"/>
  <c r="E33" i="25"/>
  <c r="C9" i="29"/>
  <c r="C22" i="29"/>
  <c r="K3" i="13"/>
  <c r="M17" i="32" s="1"/>
  <c r="B24" i="28"/>
  <c r="B10" i="29" l="1"/>
  <c r="C23" i="29" s="1"/>
  <c r="G7" i="29"/>
  <c r="E35" i="25"/>
  <c r="D37" i="25" s="1"/>
  <c r="D39" i="25" s="1"/>
  <c r="D35" i="25"/>
  <c r="L3" i="13"/>
  <c r="N17" i="32" s="1"/>
  <c r="B25" i="28"/>
  <c r="B11" i="29"/>
  <c r="C10" i="29" l="1"/>
  <c r="E7" i="12"/>
  <c r="D40" i="25"/>
  <c r="B26" i="28"/>
  <c r="B12" i="29"/>
  <c r="M3" i="13"/>
  <c r="O17" i="32" s="1"/>
  <c r="C11" i="29"/>
  <c r="C24" i="29"/>
  <c r="B27" i="28" l="1"/>
  <c r="J34" i="11"/>
  <c r="C25" i="29"/>
  <c r="C12" i="29"/>
  <c r="G38" i="13" l="1"/>
  <c r="E12" i="28"/>
  <c r="G8" i="13" l="1"/>
  <c r="I21" i="32" s="1"/>
  <c r="I28" i="32"/>
  <c r="D17" i="12"/>
  <c r="D20" i="29"/>
  <c r="E20" i="29" s="1"/>
  <c r="F20" i="29" s="1"/>
  <c r="D44" i="29" s="1"/>
  <c r="H38" i="13"/>
  <c r="D12" i="29"/>
  <c r="E12" i="29" s="1"/>
  <c r="M4" i="13"/>
  <c r="C26" i="28"/>
  <c r="D26" i="28" s="1"/>
  <c r="L5" i="13"/>
  <c r="N19" i="32" s="1"/>
  <c r="C23" i="28"/>
  <c r="D23" i="28" s="1"/>
  <c r="D9" i="29"/>
  <c r="E9" i="29" s="1"/>
  <c r="I5" i="13"/>
  <c r="K19" i="32" s="1"/>
  <c r="C22" i="28"/>
  <c r="D22" i="28" s="1"/>
  <c r="D8" i="29"/>
  <c r="E8" i="29" s="1"/>
  <c r="H5" i="13"/>
  <c r="J19" i="32" s="1"/>
  <c r="C25" i="28"/>
  <c r="D25" i="28" s="1"/>
  <c r="D11" i="29"/>
  <c r="E11" i="29" s="1"/>
  <c r="K5" i="13"/>
  <c r="M19" i="32" s="1"/>
  <c r="C24" i="28"/>
  <c r="D24" i="28" s="1"/>
  <c r="D10" i="29"/>
  <c r="E10" i="29" s="1"/>
  <c r="J5" i="13"/>
  <c r="L19" i="32" s="1"/>
  <c r="E12" i="12" l="1"/>
  <c r="O18" i="32"/>
  <c r="H8" i="13"/>
  <c r="J21" i="32" s="1"/>
  <c r="J28" i="32"/>
  <c r="D21" i="29"/>
  <c r="E21" i="29" s="1"/>
  <c r="I38" i="13"/>
  <c r="F21" i="28"/>
  <c r="G21" i="28" s="1"/>
  <c r="G9" i="13"/>
  <c r="H10" i="13"/>
  <c r="F8" i="29" s="1"/>
  <c r="H7" i="13"/>
  <c r="J20" i="32" s="1"/>
  <c r="F10" i="28"/>
  <c r="C27" i="28"/>
  <c r="D27" i="28" s="1"/>
  <c r="M5" i="13"/>
  <c r="O19" i="32" s="1"/>
  <c r="F22" i="28" l="1"/>
  <c r="I22" i="32"/>
  <c r="I8" i="13"/>
  <c r="K21" i="32" s="1"/>
  <c r="K28" i="32"/>
  <c r="D22" i="29"/>
  <c r="E22" i="29" s="1"/>
  <c r="J38" i="13"/>
  <c r="I7" i="13"/>
  <c r="I10" i="13"/>
  <c r="F9" i="29" s="1"/>
  <c r="J35" i="11"/>
  <c r="M7" i="13"/>
  <c r="H9" i="13"/>
  <c r="H8" i="29"/>
  <c r="E22" i="28"/>
  <c r="G22" i="28" l="1"/>
  <c r="H9" i="29"/>
  <c r="B22" i="29" s="1"/>
  <c r="K20" i="32"/>
  <c r="E27" i="28"/>
  <c r="O20" i="32"/>
  <c r="I9" i="13"/>
  <c r="K22" i="32" s="1"/>
  <c r="J22" i="32"/>
  <c r="J8" i="13"/>
  <c r="L21" i="32" s="1"/>
  <c r="L28" i="32"/>
  <c r="F23" i="28"/>
  <c r="K38" i="13"/>
  <c r="D23" i="29"/>
  <c r="E23" i="29" s="1"/>
  <c r="E23" i="28"/>
  <c r="J7" i="13"/>
  <c r="L20" i="32" s="1"/>
  <c r="J10" i="13"/>
  <c r="K10" i="13" s="1"/>
  <c r="B21" i="29"/>
  <c r="G8" i="29"/>
  <c r="G9" i="29" l="1"/>
  <c r="F24" i="28"/>
  <c r="G23" i="28"/>
  <c r="K8" i="13"/>
  <c r="M21" i="32" s="1"/>
  <c r="M28" i="32"/>
  <c r="J9" i="13"/>
  <c r="F10" i="29"/>
  <c r="L38" i="13"/>
  <c r="D24" i="29"/>
  <c r="E24" i="29" s="1"/>
  <c r="H10" i="29"/>
  <c r="B23" i="29" s="1"/>
  <c r="F23" i="29" s="1"/>
  <c r="D47" i="29" s="1"/>
  <c r="E24" i="28"/>
  <c r="K7" i="13"/>
  <c r="M20" i="32" s="1"/>
  <c r="F11" i="29"/>
  <c r="L10" i="13"/>
  <c r="L7" i="13"/>
  <c r="N20" i="32" s="1"/>
  <c r="F22" i="29"/>
  <c r="D46" i="29" s="1"/>
  <c r="F21" i="29"/>
  <c r="D45" i="29" s="1"/>
  <c r="G24" i="28" l="1"/>
  <c r="F25" i="28"/>
  <c r="L22" i="32"/>
  <c r="L8" i="13"/>
  <c r="N21" i="32" s="1"/>
  <c r="N28" i="32"/>
  <c r="G10" i="29"/>
  <c r="E17" i="12"/>
  <c r="D25" i="29"/>
  <c r="E25" i="29" s="1"/>
  <c r="E25" i="28"/>
  <c r="H11" i="29"/>
  <c r="G11" i="29" s="1"/>
  <c r="K9" i="13"/>
  <c r="E26" i="28"/>
  <c r="H12" i="29"/>
  <c r="F12" i="29"/>
  <c r="M10" i="13"/>
  <c r="B24" i="29" l="1"/>
  <c r="F24" i="29" s="1"/>
  <c r="D48" i="29" s="1"/>
  <c r="G25" i="28"/>
  <c r="M22" i="32"/>
  <c r="F26" i="28"/>
  <c r="G26" i="28" s="1"/>
  <c r="L9" i="13"/>
  <c r="B25" i="29"/>
  <c r="G12" i="29"/>
  <c r="N22" i="32" l="1"/>
  <c r="F25" i="29"/>
  <c r="D49" i="29" s="1"/>
  <c r="B30" i="13" l="1"/>
  <c r="D37" i="28" s="1"/>
  <c r="B24" i="32" l="1"/>
  <c r="M40" i="13"/>
  <c r="O29" i="32" s="1"/>
  <c r="P9" i="32" l="1"/>
  <c r="P10" i="32" s="1"/>
  <c r="F12" i="28"/>
  <c r="F13" i="28"/>
  <c r="E27" i="12"/>
  <c r="M8" i="13"/>
  <c r="F27" i="28" l="1"/>
  <c r="G27" i="28" s="1"/>
  <c r="N8" i="13"/>
  <c r="M9" i="13"/>
  <c r="O21" i="32"/>
  <c r="B16" i="13" l="1"/>
  <c r="B18" i="13" s="1"/>
  <c r="O22" i="32"/>
  <c r="N23" i="32" l="1"/>
  <c r="D29" i="28"/>
  <c r="E49" i="29"/>
  <c r="B13" i="19"/>
  <c r="B37" i="19"/>
  <c r="B45" i="19"/>
  <c r="C53" i="19"/>
  <c r="C54" i="19"/>
  <c r="C55" i="19"/>
  <c r="C56" i="19"/>
  <c r="C57" i="19"/>
  <c r="C60" i="19"/>
  <c r="E60" i="19"/>
  <c r="B61" i="19"/>
  <c r="C61" i="19"/>
  <c r="D61" i="19"/>
  <c r="E61" i="19"/>
  <c r="B62" i="19"/>
  <c r="C62" i="19"/>
  <c r="E62" i="19"/>
  <c r="B12" i="12"/>
  <c r="B17" i="12"/>
  <c r="B21" i="12"/>
  <c r="C21" i="12"/>
  <c r="B22" i="12"/>
  <c r="C22" i="12"/>
  <c r="B23" i="12"/>
  <c r="C23" i="12"/>
  <c r="B27" i="12"/>
  <c r="C27" i="12"/>
  <c r="D27" i="12"/>
  <c r="C31" i="12"/>
  <c r="D31" i="12"/>
  <c r="B36" i="12"/>
  <c r="B37" i="12"/>
  <c r="I26" i="11"/>
  <c r="I27" i="11"/>
  <c r="I29" i="11"/>
  <c r="B34" i="11"/>
  <c r="J36" i="11"/>
  <c r="C15" i="18"/>
  <c r="C22" i="18"/>
  <c r="E22" i="18"/>
  <c r="C23" i="18"/>
  <c r="C24" i="18"/>
  <c r="C25" i="18"/>
  <c r="C26" i="18"/>
  <c r="C27" i="18"/>
  <c r="C28" i="18"/>
  <c r="F31" i="18"/>
  <c r="F32" i="18"/>
  <c r="F33" i="18"/>
  <c r="F34" i="18"/>
  <c r="B17" i="14"/>
  <c r="B22" i="14"/>
  <c r="B23" i="14"/>
  <c r="B25" i="14"/>
  <c r="B26" i="14"/>
  <c r="B28" i="14"/>
  <c r="B29" i="14"/>
  <c r="B10" i="28"/>
  <c r="B13" i="28"/>
  <c r="D13" i="28"/>
  <c r="D14" i="28"/>
  <c r="D30" i="28"/>
  <c r="D31" i="28"/>
  <c r="D32" i="28"/>
  <c r="D33" i="28"/>
  <c r="D34" i="28"/>
  <c r="D36" i="28"/>
  <c r="D39" i="28"/>
  <c r="D2" i="29"/>
  <c r="E2" i="29"/>
  <c r="G2" i="29"/>
  <c r="H2" i="29"/>
  <c r="B15" i="29"/>
  <c r="G15" i="29"/>
  <c r="H15" i="29"/>
  <c r="G16" i="29"/>
  <c r="H16" i="29"/>
  <c r="G17" i="29"/>
  <c r="H17" i="29"/>
  <c r="G18" i="29"/>
  <c r="H18" i="29"/>
  <c r="G19" i="29"/>
  <c r="H19" i="29"/>
  <c r="G20" i="29"/>
  <c r="H20" i="29"/>
  <c r="G21" i="29"/>
  <c r="H21" i="29"/>
  <c r="G22" i="29"/>
  <c r="H22" i="29"/>
  <c r="G23" i="29"/>
  <c r="H23" i="29"/>
  <c r="G24" i="29"/>
  <c r="H24" i="29"/>
  <c r="G25" i="29"/>
  <c r="H25" i="29"/>
  <c r="H28" i="29"/>
  <c r="H29" i="29"/>
  <c r="H30" i="29"/>
  <c r="H31" i="29"/>
  <c r="H32" i="29"/>
  <c r="H33" i="29"/>
  <c r="H34" i="29"/>
  <c r="H35" i="29"/>
  <c r="H36" i="29"/>
  <c r="H37" i="29"/>
  <c r="B40" i="29"/>
  <c r="C40" i="29"/>
  <c r="F40" i="29"/>
  <c r="B41" i="29"/>
  <c r="C41" i="29"/>
  <c r="F41" i="29"/>
  <c r="B42" i="29"/>
  <c r="C42" i="29"/>
  <c r="F42" i="29"/>
  <c r="B43" i="29"/>
  <c r="C43" i="29"/>
  <c r="F43" i="29"/>
  <c r="B44" i="29"/>
  <c r="C44" i="29"/>
  <c r="F44" i="29"/>
  <c r="B45" i="29"/>
  <c r="C45" i="29"/>
  <c r="F45" i="29"/>
  <c r="B46" i="29"/>
  <c r="C46" i="29"/>
  <c r="F46" i="29"/>
  <c r="B47" i="29"/>
  <c r="C47" i="29"/>
  <c r="F47" i="29"/>
  <c r="B48" i="29"/>
  <c r="C48" i="29"/>
  <c r="F48" i="29"/>
  <c r="B49" i="29"/>
  <c r="C49" i="29"/>
  <c r="F49" i="29"/>
  <c r="F50" i="29"/>
  <c r="F8" i="20"/>
  <c r="F9" i="20"/>
  <c r="D12" i="20"/>
  <c r="D13" i="20"/>
  <c r="D14" i="20"/>
  <c r="D16" i="20"/>
  <c r="B9" i="32"/>
  <c r="B10" i="32"/>
  <c r="B11" i="32"/>
  <c r="B15" i="32"/>
  <c r="B16" i="32"/>
  <c r="B18" i="32"/>
  <c r="B19" i="32"/>
  <c r="B23" i="32"/>
  <c r="B25" i="32"/>
  <c r="E25" i="32"/>
  <c r="F25" i="32"/>
  <c r="G25" i="32"/>
  <c r="H25" i="32"/>
  <c r="I25" i="32"/>
  <c r="J25" i="32"/>
  <c r="K25" i="32"/>
  <c r="L25" i="32"/>
  <c r="M25" i="32"/>
  <c r="N25" i="32"/>
  <c r="E26" i="32"/>
  <c r="F26" i="32"/>
  <c r="G26" i="32"/>
  <c r="H26" i="32"/>
  <c r="I26" i="32"/>
  <c r="J26" i="32"/>
  <c r="K26" i="32"/>
  <c r="L26" i="32"/>
  <c r="M26" i="32"/>
  <c r="N26" i="32"/>
  <c r="B27" i="32"/>
  <c r="E29" i="32"/>
  <c r="F29" i="32"/>
  <c r="G29" i="32"/>
  <c r="H29" i="32"/>
  <c r="I29" i="32"/>
  <c r="J29" i="32"/>
  <c r="K29" i="32"/>
  <c r="L29" i="32"/>
  <c r="M29" i="32"/>
  <c r="N29" i="32"/>
  <c r="B30" i="32"/>
  <c r="B4" i="13"/>
  <c r="B5" i="13"/>
  <c r="N5" i="13"/>
  <c r="B7" i="13"/>
  <c r="C12" i="13"/>
  <c r="D12" i="13"/>
  <c r="E12" i="13"/>
  <c r="F12" i="13"/>
  <c r="G12" i="13"/>
  <c r="H12" i="13"/>
  <c r="I12" i="13"/>
  <c r="J12" i="13"/>
  <c r="K12" i="13"/>
  <c r="L12" i="13"/>
  <c r="C13" i="13"/>
  <c r="D13" i="13"/>
  <c r="E13" i="13"/>
  <c r="F13" i="13"/>
  <c r="G13" i="13"/>
  <c r="H13" i="13"/>
  <c r="I13" i="13"/>
  <c r="J13" i="13"/>
  <c r="K13" i="13"/>
  <c r="L13" i="13"/>
  <c r="C14" i="13"/>
  <c r="D14" i="13"/>
  <c r="E14" i="13"/>
  <c r="F14" i="13"/>
  <c r="G14" i="13"/>
  <c r="H14" i="13"/>
  <c r="I14" i="13"/>
  <c r="J14" i="13"/>
  <c r="K14" i="13"/>
  <c r="L14" i="13"/>
  <c r="B19" i="13"/>
  <c r="B20" i="13"/>
  <c r="B21" i="13"/>
  <c r="B23" i="13"/>
  <c r="B24" i="13"/>
  <c r="B25" i="13"/>
  <c r="B29" i="13"/>
  <c r="B31" i="13"/>
  <c r="B33" i="13"/>
  <c r="B35" i="13"/>
  <c r="B39" i="13"/>
  <c r="C39" i="13"/>
  <c r="D39" i="13"/>
  <c r="E39" i="13"/>
  <c r="F39" i="13"/>
  <c r="G39" i="13"/>
  <c r="H39" i="13"/>
  <c r="I39" i="13"/>
  <c r="J39" i="13"/>
  <c r="K39" i="13"/>
  <c r="L39" i="13"/>
  <c r="B40" i="13"/>
  <c r="C40" i="13"/>
  <c r="D40" i="13"/>
  <c r="E40" i="13"/>
  <c r="F40" i="13"/>
  <c r="G40" i="13"/>
  <c r="H40" i="13"/>
  <c r="I40" i="13"/>
  <c r="J40" i="13"/>
  <c r="K40" i="13"/>
  <c r="L4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tc={7BAE0B7D-2A22-9646-AFBD-9CED059E2F7D}</author>
    <author>tc={DF1B34C1-6F66-8E4E-B352-B5D7538E8B46}</author>
  </authors>
  <commentList>
    <comment ref="C6"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8"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9"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10" authorId="0" shapeId="0" xr:uid="{57883CF3-701A-3341-AB63-735E05221EBE}">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10" authorId="0" shapeId="0" xr:uid="{AECC39D8-013F-454C-BFDE-D8BCC6B3676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11" authorId="0" shapeId="0" xr:uid="{4D61831E-EAB5-F740-A5FE-1696EF522009}">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11" authorId="0" shapeId="0" xr:uid="{9C1AE77D-5624-234D-8020-495900AE6E4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3" authorId="0" shapeId="0" xr:uid="{D0C6CE7C-9CD3-7148-8718-DE0C186DD9A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3" authorId="0" shapeId="0" xr:uid="{2B3C314C-6D7A-3740-87CF-BED6A618AF1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4" authorId="0" shapeId="0" xr:uid="{78226889-FA49-8541-8526-BB5F9CBC170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4" authorId="0" shapeId="0" xr:uid="{B9635B3E-54C8-1F44-B34E-2B11636B88E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1" shapeId="0" xr:uid="{7BAE0B7D-2A22-9646-AFBD-9CED059E2F7D}">
      <text>
        <t>[Threaded comment]
Your version of Excel allows you to read this threaded comment; however, any edits to it will get removed if the file is opened in a newer version of Excel. Learn more: https://go.microsoft.com/fwlink/?linkid=870924
Comment:
    If you have R&amp;D or R&amp;D-like expenses (customer acquisitions, exploration costs, brand advertising), say yes, and input data into the R&amp;D page.</t>
      </text>
    </comment>
    <comment ref="B16" authorId="2" shapeId="0" xr:uid="{DF1B34C1-6F66-8E4E-B352-B5D7538E8B46}">
      <text>
        <t>[Threaded comment]
Your version of Excel allows you to read this threaded comment; however, any edits to it will get removed if the file is opened in a newer version of Excel. Learn more: https://go.microsoft.com/fwlink/?linkid=870924
Comment:
    If accountants have already converted leases to debt, and you included that debt is cell B12, answer no to this question. Do not double count.</t>
      </text>
    </comment>
    <comment ref="B17" authorId="0" shapeId="0" xr:uid="{0CAFC7B1-7FCA-0648-B619-23D4DC73382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7" authorId="0" shapeId="0" xr:uid="{AF67B202-94EC-364C-8747-A8E77B362F7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8" authorId="0" shapeId="0" xr:uid="{6A544F43-903B-054E-8D80-B5268007274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9" authorId="0" shapeId="0" xr:uid="{233CC1A7-5E48-4C40-B0E3-9D203B72C8B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0" authorId="0" shapeId="0" xr:uid="{0EFD4AA7-478F-5240-AE6D-BFD0F30854A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21" authorId="0" shapeId="0" xr:uid="{C5CBD7BA-60EF-924C-8AEB-73F3E4B678C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2" authorId="0" shapeId="0" xr:uid="{59AA45D5-E6BC-7A47-877F-9FE3F55A9AC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3" authorId="0" shapeId="0" xr:uid="{302D5BA5-9A80-6F4B-A864-1C70AC1D509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17B69521-81E4-415B-B01E-7333C0950C4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7"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8"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9"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30"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3"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B34"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4"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5" authorId="0" shapeId="0" xr:uid="{00000000-0006-0000-0000-00001B000000}">
      <text>
        <r>
          <rPr>
            <b/>
            <sz val="10"/>
            <color rgb="FF000000"/>
            <rFont val="Calibri"/>
            <family val="2"/>
          </rPr>
          <t>Aswath Damodaran:</t>
        </r>
        <r>
          <rPr>
            <sz val="10"/>
            <color rgb="FF000000"/>
            <rFont val="Calibri"/>
            <family val="2"/>
          </rPr>
          <t xml:space="preserve">
</t>
        </r>
        <r>
          <rPr>
            <sz val="10"/>
            <color rgb="FF000000"/>
            <rFont val="Calibri"/>
            <family val="2"/>
          </rPr>
          <t xml:space="preserve">Determined by your target margin. </t>
        </r>
      </text>
    </comment>
    <comment ref="J36" authorId="0" shapeId="0" xr:uid="{00000000-0006-0000-0000-00001D00000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7"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8"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9"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0"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4"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7"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8"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50"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1"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52"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3" authorId="0" shapeId="0" xr:uid="{00000000-0006-0000-00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5" authorId="0" shapeId="0" xr:uid="{8A7F8E31-D412-7A48-B238-5008AE9E717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58"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60"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61"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67"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70"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71"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8"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9"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10"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23"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25"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27"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31"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Interest expense (gross) from most recent financial statement.</t>
        </r>
      </text>
    </comment>
    <comment ref="B32"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36"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37"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1BE30A9F-3478-C04C-9E17-44B5BD2DCFF5}">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<sst xmlns="http://schemas.openxmlformats.org/spreadsheetml/2006/main" count="1585" uniqueCount="921">
  <si>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</si>
  <si>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</si>
  <si>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</si>
  <si>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</si>
  <si>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</si>
  <si>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</si>
  <si>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</si>
  <si>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</si>
  <si>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</si>
  <si>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</si>
  <si>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</si>
  <si>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</si>
  <si>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</si>
  <si>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</si>
  <si>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</si>
  <si>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</si>
  <si>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</si>
  <si>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</si>
  <si>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</si>
  <si>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</si>
  <si>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</si>
  <si>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</si>
  <si>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</si>
  <si>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</si>
  <si>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</si>
  <si>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</si>
  <si>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</si>
  <si>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</si>
  <si>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</si>
  <si>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</si>
  <si>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</si>
  <si>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</si>
  <si>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</si>
  <si>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</si>
  <si>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</si>
  <si>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</si>
  <si>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</si>
  <si>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</si>
  <si>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</si>
  <si>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</si>
  <si>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</si>
  <si>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</si>
  <si>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</si>
  <si>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</si>
  <si>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</si>
  <si>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</si>
  <si>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</si>
  <si>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</si>
  <si>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</si>
  <si>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</si>
  <si>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</si>
  <si>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</si>
  <si>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</si>
  <si>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</si>
  <si>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</si>
  <si>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</si>
  <si>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</si>
  <si>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</si>
  <si>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</si>
  <si>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</si>
  <si>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</si>
  <si>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</si>
  <si>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</si>
  <si>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</si>
  <si>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</si>
  <si>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</si>
  <si>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</si>
  <si>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</si>
  <si>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</si>
  <si>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</si>
  <si>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</si>
  <si>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</si>
  <si>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</si>
  <si>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</si>
  <si>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</si>
  <si>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</si>
  <si>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</si>
  <si>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</si>
  <si>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</si>
  <si>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</si>
  <si>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</si>
  <si>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</si>
  <si>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</si>
  <si>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</si>
  <si>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</si>
  <si>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</si>
  <si>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</si>
  <si>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</si>
  <si>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</si>
  <si>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</si>
  <si>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</si>
  <si>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</si>
  <si>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</si>
  <si>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</si>
  <si>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</si>
  <si>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</si>
  <si>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</si>
  <si>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</si>
  <si>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</si>
  <si>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</si>
  <si>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</si>
  <si>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</si>
  <si>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</si>
  <si>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</si>
  <si>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</si>
  <si>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</si>
  <si>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</si>
  <si>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</si>
  <si>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</si>
  <si>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</si>
  <si>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</si>
  <si>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</si>
  <si>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</si>
  <si>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</si>
  <si>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</si>
  <si>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</si>
  <si>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</si>
  <si>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</si>
  <si>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</si>
  <si>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</si>
  <si>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</si>
  <si>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</si>
  <si>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</si>
  <si>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</si>
  <si>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</si>
  <si>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</si>
  <si>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</si>
  <si>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</si>
  <si>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</si>
  <si>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</si>
  <si>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</si>
  <si>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</si>
  <si>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</si>
  <si>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</si>
  <si>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</si>
  <si>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</si>
  <si>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</si>
  <si>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</si>
  <si>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</si>
  <si>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</si>
  <si>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</si>
  <si>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</si>
  <si>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</si>
  <si>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</si>
  <si>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</si>
  <si>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</si>
  <si>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</si>
  <si>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</si>
  <si>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</si>
  <si>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</si>
  <si>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</si>
  <si>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</si>
  <si>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</si>
  <si>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</si>
  <si>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</si>
  <si>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</si>
  <si>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</si>
  <si>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</si>
  <si>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</si>
  <si>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</si>
  <si>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</si>
  <si>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</si>
  <si>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</si>
  <si>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</si>
  <si>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</si>
  <si>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</si>
  <si>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</si>
  <si>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</si>
  <si>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</si>
  <si>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</si>
  <si>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</si>
  <si>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</si>
  <si>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</si>
  <si>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</si>
  <si>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</si>
  <si>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</si>
  <si>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</si>
  <si>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</si>
  <si>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</si>
  <si>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</si>
  <si>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</si>
  <si>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</si>
  <si>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</si>
  <si>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</si>
  <si>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</si>
  <si>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</si>
  <si>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</si>
  <si>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</si>
  <si>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</si>
  <si>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</si>
  <si>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</si>
  <si>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</si>
  <si>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</si>
  <si>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</si>
  <si>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</si>
  <si>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</si>
  <si>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</si>
  <si>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</si>
  <si>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</si>
  <si>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</si>
  <si>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</si>
  <si>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</si>
  <si>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</si>
  <si>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</si>
  <si>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</si>
  <si>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</si>
  <si>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</si>
  <si>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</si>
  <si>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</si>
  <si>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</si>
  <si>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</si>
  <si>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</si>
  <si>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</si>
  <si>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</si>
  <si>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</si>
  <si>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</si>
  <si>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</si>
  <si>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</si>
  <si>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</si>
  <si>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</si>
  <si>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</si>
  <si>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</si>
  <si>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</si>
  <si>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</si>
  <si>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</si>
  <si>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</si>
  <si>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</si>
  <si>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</si>
  <si>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</si>
  <si>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</si>
  <si>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</si>
  <si>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</si>
  <si>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</si>
  <si>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</si>
  <si>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</si>
  <si>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</si>
  <si>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</si>
  <si>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</si>
  <si>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</si>
  <si>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</si>
  <si>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</si>
  <si>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</si>
  <si>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</si>
  <si>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</si>
  <si>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</si>
  <si>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</si>
  <si>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</si>
  <si>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</si>
  <si>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</si>
  <si>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</si>
  <si>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</si>
  <si>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</si>
  <si>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</si>
  <si>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</si>
  <si>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</si>
  <si>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</si>
  <si>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</si>
  <si>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</si>
  <si>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</si>
  <si>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</si>
  <si>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</si>
  <si>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</si>
  <si>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</si>
  <si>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</si>
  <si>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</si>
  <si>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</si>
  <si>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</si>
  <si>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</si>
  <si>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</si>
  <si>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</si>
  <si>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</si>
  <si>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</si>
  <si>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</si>
  <si>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</si>
  <si>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</si>
  <si>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</si>
  <si>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</si>
  <si>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</si>
  <si>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</si>
  <si>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</si>
  <si>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</si>
  <si>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</si>
  <si>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</si>
  <si>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</si>
  <si>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</si>
  <si>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</si>
  <si>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</si>
  <si>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</si>
  <si>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</si>
  <si>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</si>
  <si>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</si>
  <si>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</si>
  <si>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</si>
  <si>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</si>
  <si>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</si>
  <si>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</si>
  <si>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</si>
  <si>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</si>
  <si>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</si>
  <si>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</si>
  <si>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</si>
  <si>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</si>
  <si>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</si>
  <si>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</si>
  <si>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</si>
  <si>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</si>
  <si>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</si>
  <si>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</si>
  <si>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</si>
  <si>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</si>
  <si>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</si>
  <si>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</si>
  <si>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</si>
  <si>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</si>
  <si>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</si>
  <si>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</si>
  <si>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</si>
  <si>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</si>
  <si>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</si>
  <si>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</si>
  <si>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</si>
  <si>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</si>
  <si>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</si>
  <si>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</si>
  <si>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</si>
  <si>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</si>
  <si>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</si>
  <si>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</si>
  <si>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</si>
  <si>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</si>
  <si>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</si>
  <si>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</si>
  <si>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</si>
  <si>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</si>
  <si>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</si>
  <si>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</si>
  <si>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</si>
  <si>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</si>
  <si>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</si>
  <si>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</si>
  <si>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</si>
  <si>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</si>
  <si>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</si>
  <si>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</si>
  <si>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</si>
  <si>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</si>
  <si>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</si>
  <si>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</si>
  <si>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</si>
  <si>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</si>
  <si>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</si>
  <si>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</si>
  <si>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</si>
  <si>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</si>
  <si>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</si>
  <si>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</si>
  <si>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</si>
  <si>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</si>
  <si>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</si>
  <si>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</si>
  <si>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</si>
  <si>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</si>
  <si>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</si>
  <si>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</si>
  <si>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</si>
  <si>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</si>
  <si>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</si>
  <si>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</si>
  <si>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</si>
  <si>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</si>
  <si>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</si>
  <si>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</si>
  <si>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</si>
  <si>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</si>
  <si>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</si>
  <si>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</si>
  <si>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</si>
  <si>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</si>
  <si>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</si>
  <si>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</si>
  <si>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</si>
  <si>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</si>
  <si>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</si>
  <si>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</si>
  <si>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</si>
  <si>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</si>
  <si>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</si>
  <si>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</si>
  <si>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</si>
  <si>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</si>
  <si>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</si>
  <si>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</si>
  <si>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</si>
  <si>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</si>
  <si>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</si>
  <si>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</si>
  <si>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</si>
  <si>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</si>
  <si>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</si>
  <si>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</si>
  <si>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</si>
  <si>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</si>
  <si>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</si>
  <si>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</si>
  <si>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</si>
  <si>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</si>
  <si>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</si>
  <si>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</si>
  <si>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</si>
  <si>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</si>
  <si>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</si>
  <si>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</si>
  <si>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</si>
  <si>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</si>
  <si>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</si>
  <si>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</si>
  <si>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</si>
  <si>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</si>
  <si>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</si>
  <si>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</si>
  <si>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</si>
  <si>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</si>
  <si>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</si>
  <si>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</si>
  <si>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</si>
  <si>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</si>
  <si>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</si>
  <si>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</si>
  <si>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</si>
  <si>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</si>
  <si>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</si>
  <si>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</si>
  <si>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</si>
  <si>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</si>
  <si>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</si>
  <si>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</si>
  <si>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</si>
  <si>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</si>
  <si>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</si>
  <si>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</si>
  <si>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</si>
  <si>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</si>
  <si>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</si>
  <si>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</si>
  <si>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</si>
  <si>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</si>
  <si>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</si>
  <si>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</si>
  <si>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</si>
  <si>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</si>
  <si>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</si>
  <si>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</si>
  <si>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</si>
  <si>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</si>
  <si>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</si>
  <si>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</si>
  <si>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</si>
  <si>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</si>
  <si>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</si>
  <si>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</si>
  <si>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</si>
  <si>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</si>
  <si>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</si>
  <si>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</si>
  <si>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</si>
  <si>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</si>
  <si>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</si>
  <si>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</si>
  <si>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</si>
  <si>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</si>
  <si>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</si>
  <si>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</si>
  <si>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</si>
  <si>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</si>
  <si>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</si>
  <si>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</si>
  <si>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</si>
  <si>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</si>
  <si>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</si>
  <si>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</si>
  <si>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</si>
  <si>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</si>
  <si>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</si>
  <si>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</si>
  <si>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</si>
  <si>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</si>
  <si>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</si>
  <si>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</si>
  <si>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</si>
  <si>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</si>
  <si>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</si>
  <si>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</si>
  <si>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</si>
  <si>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</si>
  <si>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</si>
  <si>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</si>
  <si>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</si>
  <si>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</si>
  <si>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</si>
  <si>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</si>
  <si>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</si>
  <si>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</si>
  <si>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</si>
  <si>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</si>
  <si>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</si>
  <si>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</si>
  <si>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</si>
  <si>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</si>
  <si>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</si>
  <si>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</si>
  <si>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</si>
  <si>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</si>
  <si>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</si>
  <si>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</si>
  <si>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</si>
  <si>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</si>
  <si>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</si>
  <si>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</si>
  <si>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</si>
  <si>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</si>
  <si>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</si>
  <si>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</si>
  <si>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</si>
  <si>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</si>
  <si>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</si>
  <si>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</si>
  <si>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</si>
  <si>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</si>
  <si>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</si>
  <si>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</si>
  <si>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</si>
  <si>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</si>
  <si>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</si>
  <si>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</si>
  <si>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</si>
  <si>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</si>
  <si>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</si>
  <si>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</si>
  <si>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</si>
  <si>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</si>
  <si>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</si>
  <si>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</si>
  <si>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</si>
  <si>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</si>
  <si>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</si>
  <si>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</si>
  <si>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</si>
  <si>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</si>
  <si>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</si>
  <si>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</si>
  <si>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</si>
  <si>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</si>
  <si>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</si>
  <si>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</si>
  <si>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</si>
  <si>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</si>
  <si>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</si>
  <si>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</si>
  <si>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</si>
  <si>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</si>
  <si>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</si>
  <si>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</si>
  <si>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</si>
  <si>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</si>
  <si>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</si>
  <si>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</si>
  <si>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</si>
  <si>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</si>
  <si>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</si>
  <si>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</si>
  <si>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</si>
  <si>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</si>
  <si>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</si>
  <si>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</si>
  <si>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</si>
  <si>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</si>
  <si>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</si>
  <si>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</si>
  <si>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</si>
  <si>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</si>
  <si>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</si>
  <si>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</si>
  <si>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</si>
  <si>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</si>
  <si>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</si>
  <si>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</si>
  <si>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</si>
  <si>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</si>
  <si>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</si>
  <si>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</si>
  <si>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</si>
  <si>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</si>
  <si>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</si>
  <si>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</si>
  <si>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</si>
  <si>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</si>
  <si>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</si>
  <si>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</si>
  <si>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</si>
  <si>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</si>
  <si>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</si>
  <si>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</si>
  <si>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</si>
  <si>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</si>
  <si>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</si>
  <si>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</si>
  <si>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</si>
  <si>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</si>
  <si>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</si>
  <si>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</si>
  <si>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</si>
  <si>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</si>
  <si>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</si>
  <si>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</si>
  <si>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</si>
  <si>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</si>
  <si>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</si>
  <si>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</si>
  <si>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</si>
  <si>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</si>
  <si>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</si>
  <si>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</si>
  <si>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</si>
  <si>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</si>
  <si>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</si>
  <si>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</si>
  <si>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</si>
  <si>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</si>
  <si>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</si>
  <si>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</si>
  <si>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</si>
  <si>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South Korea</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</si>
  <si>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</si>
  <si>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</si>
  <si>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</si>
  <si>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</si>
  <si>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</si>
  <si>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</si>
  <si>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</si>
  <si>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</si>
  <si>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</si>
  <si>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</si>
  <si>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</si>
  <si>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</si>
  <si>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</si>
  <si>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</si>
  <si>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</si>
  <si>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</si>
  <si>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</si>
  <si>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Côte d'Ivoire</t>
  </si>
  <si>
    <t>Curacao</t>
  </si>
  <si>
    <t>Guernsey (States of)</t>
  </si>
  <si>
    <t>Jersey (States of)</t>
  </si>
  <si>
    <t>Korea</t>
  </si>
  <si>
    <t>Maldives</t>
  </si>
  <si>
    <t>Uzbekistan</t>
  </si>
  <si>
    <t>Yemen, Republic</t>
  </si>
  <si>
    <t>Weighted Average: ERP</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</si>
  <si>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</si>
  <si>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</si>
  <si>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</si>
  <si>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</si>
  <si>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</si>
  <si>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</si>
  <si>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</si>
  <si>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</si>
  <si>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</si>
  <si>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Weighted Average: Default Spreads</t>
  </si>
  <si>
    <t>Tax Rate</t>
  </si>
  <si>
    <t>Weighted Average: CRP</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</si>
  <si>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</si>
  <si>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</si>
  <si>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</si>
  <si>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</si>
  <si>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</si>
  <si>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</si>
  <si>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</si>
  <si>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</si>
  <si>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</si>
  <si>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</si>
  <si>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</si>
  <si>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</si>
  <si>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</si>
  <si>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</si>
  <si>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</si>
  <si>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</si>
  <si>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</si>
  <si>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</si>
  <si>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</si>
  <si>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</si>
  <si>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</si>
  <si>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</si>
  <si>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</si>
  <si>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</si>
  <si>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</si>
  <si>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</si>
  <si>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</si>
  <si>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</si>
  <si>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</si>
  <si>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</si>
  <si>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</si>
  <si>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</si>
  <si>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</si>
  <si>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</si>
  <si>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</si>
  <si>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</si>
  <si>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</si>
  <si>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</si>
  <si>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</si>
  <si>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</si>
  <si>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</si>
  <si>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</si>
  <si>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</si>
  <si>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</si>
  <si>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</si>
  <si>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</si>
  <si>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</si>
  <si>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</si>
  <si>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</si>
  <si>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</si>
  <si>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</si>
  <si>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</si>
  <si>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</si>
  <si>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</si>
  <si>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</si>
  <si>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</si>
  <si>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</si>
  <si>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</si>
  <si>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</si>
  <si>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</si>
  <si>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</si>
  <si>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</si>
  <si>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</si>
  <si>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</si>
  <si>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</si>
  <si>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</si>
  <si>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</si>
  <si>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</si>
  <si>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</si>
  <si>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</si>
  <si>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</si>
  <si>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</si>
  <si>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</si>
  <si>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</si>
  <si>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</si>
  <si>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</si>
  <si>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</si>
  <si>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</si>
  <si>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</si>
  <si>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</si>
  <si>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</si>
  <si>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</si>
  <si>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</si>
  <si>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</si>
  <si>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</si>
  <si>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</si>
  <si>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</si>
  <si>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</si>
  <si>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</si>
  <si>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</si>
  <si>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</si>
  <si>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</si>
  <si>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What risk  decile does your company fall in?</t>
  </si>
  <si>
    <t>Which grouping (US, Emerging Markets, Global)</t>
  </si>
  <si>
    <t>US</t>
  </si>
  <si>
    <t>Emerging</t>
  </si>
  <si>
    <t>Emerging Markets</t>
  </si>
  <si>
    <t>Which approach will you be using?</t>
  </si>
  <si>
    <t>Cost of Capital Approach</t>
  </si>
  <si>
    <t>Detailed</t>
  </si>
  <si>
    <t>Cost of capital based upon approach =</t>
  </si>
  <si>
    <t>If direct input, enter cost of capital to use</t>
  </si>
  <si>
    <t>Cost of capital based upon decile/group chosen</t>
  </si>
  <si>
    <t xml:space="preserve">First Quartile </t>
  </si>
  <si>
    <t>Median</t>
  </si>
  <si>
    <t>Third Quartile</t>
  </si>
  <si>
    <t>Decile/Quartile</t>
  </si>
  <si>
    <t>Eruope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</si>
  <si>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</si>
  <si>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</si>
  <si>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</si>
  <si>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</si>
  <si>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</si>
  <si>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</si>
  <si>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</si>
  <si>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</si>
  <si>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</si>
  <si>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r>
      <rPr>
        <b/>
        <sz val="12"/>
        <rFont val="Helv"/>
      </rPr>
      <t>Important:</t>
    </r>
    <r>
      <rPr>
        <sz val="12"/>
        <rFont val="Helv"/>
      </rPr>
      <t xml:space="preserve"> Before you run this spreadsheet, go into preferences in Excel and check under Calculation options</t>
    </r>
  </si>
  <si>
    <t>Updated on January 2023 with updated Industry averages and risk premiums</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</si>
  <si>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</si>
  <si>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</si>
  <si>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</si>
  <si>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</si>
  <si>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</si>
  <si>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</si>
  <si>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</si>
  <si>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</si>
  <si>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</si>
  <si>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</si>
  <si>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</si>
  <si>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</si>
  <si>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</si>
  <si>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</si>
  <si>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</si>
  <si>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</si>
  <si>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</si>
  <si>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</si>
  <si>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</si>
  <si>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</si>
  <si>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</si>
  <si>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</si>
  <si>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</si>
  <si>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</si>
  <si>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</si>
  <si>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</si>
  <si>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</si>
  <si>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</si>
  <si>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</si>
  <si>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</si>
  <si>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</si>
  <si>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</si>
  <si>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</si>
  <si>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</si>
  <si>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</si>
  <si>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</si>
  <si>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</si>
  <si>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</si>
  <si>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</si>
  <si>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</si>
  <si>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</si>
  <si>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</si>
  <si>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</si>
  <si>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</si>
  <si>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</si>
  <si>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</si>
  <si>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</si>
  <si>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</si>
  <si>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</si>
  <si>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</si>
  <si>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</si>
  <si>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</si>
  <si>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</si>
  <si>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</si>
  <si>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</si>
  <si>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</si>
  <si>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</si>
  <si>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</si>
  <si>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</si>
  <si>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</si>
  <si>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</si>
  <si>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</si>
  <si>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</si>
  <si>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</si>
  <si>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</si>
  <si>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</si>
  <si>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</si>
  <si>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</si>
  <si>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</si>
  <si>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</si>
  <si>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</si>
  <si>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</si>
  <si>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</si>
  <si>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</si>
  <si>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</si>
  <si>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</si>
  <si>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</si>
  <si>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</si>
  <si>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</si>
  <si>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</si>
  <si>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</si>
  <si>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</si>
  <si>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</si>
  <si>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</si>
  <si>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</si>
  <si>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</si>
  <si>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</si>
  <si>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</si>
  <si>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</si>
  <si>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</si>
  <si>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</si>
  <si>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</si>
  <si>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</si>
  <si>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</si>
  <si>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</si>
  <si>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</si>
  <si>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</si>
  <si>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</si>
  <si>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</si>
  <si>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</si>
  <si>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</si>
  <si>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</si>
  <si>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</si>
  <si>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</si>
  <si>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</si>
  <si>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</si>
  <si>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</si>
  <si>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</si>
  <si>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</si>
  <si>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</si>
  <si>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</si>
  <si>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</si>
  <si>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</si>
  <si>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</si>
  <si>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</si>
  <si>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</si>
  <si>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</si>
  <si>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</si>
  <si>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</si>
  <si>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9th Decile (Highest Risk)</t>
  </si>
  <si>
    <t>1st Decile (Lowest Risk)</t>
  </si>
  <si>
    <t>Changes to</t>
  </si>
  <si>
    <t>Moves to</t>
  </si>
  <si>
    <t>Sales to Capital  (c )</t>
  </si>
  <si>
    <t>Updated July 1, 2023</t>
  </si>
  <si>
    <t>Lockheed Martin</t>
  </si>
  <si>
    <t>Effective yearly/semi annual Income Tax Rate</t>
  </si>
  <si>
    <t>2023 - 6 months</t>
  </si>
  <si>
    <t>Income tax expense</t>
  </si>
  <si>
    <t>Weighted value</t>
  </si>
  <si>
    <t xml:space="preserve">Weighted average effective tax rate = </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</si>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</sst>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s>
  <fonts count="98">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font>
    <font>
      <b/>
      <sz val="10"/>
      <name val="Geneva"/>
      <family val="2"/>
    </font>
    <font>
      <sz val="10"/>
      <name val="Arial"/>
      <family val="2"/>
    </font>
    <font>
      <i/>
      <sz val="14"/>
      <name val="Times"/>
      <family val="1"/>
    </font>
    <font>
      <sz val="8"/>
      <name val="Arial"/>
      <family val="2"/>
    </font>
    <font>
      <b/>
      <sz val="12"/>
      <color theme="1"/>
      <name val="Calibri"/>
      <family val="2"/>
      <scheme val="minor"/>
    </font>
    <font>
      <sz val="12"/>
      <color rgb="FFFF0000"/>
      <name val="Calibri"/>
      <family val="2"/>
      <scheme val="minor"/>
    </font>
    <font>
      <sz val="12"/>
      <color rgb="FFFF0000"/>
      <name val="Times"/>
      <family val="1"/>
    </font>
    <font>
      <sz val="10"/>
      <name val="Calibri"/>
      <family val="2"/>
      <scheme val="minor"/>
    </font>
    <font>
      <i/>
      <sz val="12"/>
      <color theme="1"/>
      <name val="Calibri"/>
      <family val="2"/>
      <scheme val="minor"/>
    </font>
    <font>
      <sz val="12"/>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i/>
      <sz val="12"/>
      <color rgb="FF000000"/>
      <name val="Helvetica"/>
      <family val="2"/>
    </font>
    <font>
      <b/>
      <sz val="9"/>
      <color rgb="FF000000"/>
      <name val="Geneva"/>
      <family val="2"/>
      <charset val="1"/>
    </font>
    <font>
      <sz val="9"/>
      <color rgb="FF000000"/>
      <name val="Geneva"/>
      <family val="2"/>
      <charset val="1"/>
    </font>
    <font>
      <b/>
      <sz val="12"/>
      <color rgb="FF0A0A0A"/>
      <name val="Arial"/>
      <family val="2"/>
    </font>
    <font>
      <sz val="12"/>
      <color rgb="FF0A0A0A"/>
      <name val="Arial"/>
      <family val="2"/>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Calibri"/>
      <family val="2"/>
    </font>
    <font>
      <sz val="12"/>
      <name val="Geneva"/>
      <family val="2"/>
    </font>
    <font>
      <sz val="12"/>
      <name val="Helvetica"/>
      <family val="2"/>
    </font>
    <font>
      <sz val="12"/>
      <name val="Helv"/>
    </font>
    <font>
      <b/>
      <sz val="12"/>
      <name val="Helv"/>
    </font>
    <font>
      <b/>
      <sz val="12"/>
      <color theme="1"/>
      <name val="Helv"/>
    </font>
    <font>
      <i/>
      <sz val="12"/>
      <color rgb="FF00B050"/>
      <name val="Helv"/>
    </font>
    <font>
      <i/>
      <sz val="12"/>
      <name val="Helv"/>
    </font>
    <font>
      <i/>
      <sz val="12"/>
      <color rgb="FFFF0000"/>
      <name val="Helv"/>
    </font>
    <font>
      <sz val="12"/>
      <color theme="1"/>
      <name val="Helv"/>
    </font>
    <font>
      <b/>
      <i/>
      <sz val="12"/>
      <name val="Helv"/>
    </font>
    <font>
      <i/>
      <sz val="12"/>
      <color theme="1"/>
      <name val="Helv"/>
    </font>
    <font>
      <b/>
      <i/>
      <sz val="14"/>
      <name val="Helvetica"/>
      <family val="2"/>
    </font>
    <font>
      <b/>
      <i/>
      <sz val="18"/>
      <name val="Helvetica"/>
      <family val="2"/>
    </font>
    <font>
      <sz val="12"/>
      <color theme="1"/>
      <name val="Times Roman"/>
    </font>
    <font>
      <i/>
      <sz val="12"/>
      <color theme="1"/>
      <name val="Times Roman"/>
    </font>
    <font>
      <b/>
      <sz val="12"/>
      <name val="Helvetica"/>
      <family val="2"/>
    </font>
    <font>
      <b/>
      <sz val="14"/>
      <color theme="1"/>
      <name val="Times Roman"/>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sz val="12"/>
      <color rgb="FFFF0000"/>
      <name val="Helvetica"/>
      <family val="2"/>
    </font>
    <font>
      <b/>
      <sz val="14"/>
      <name val="Helvetica"/>
      <family val="2"/>
    </font>
    <font>
      <i/>
      <sz val="12"/>
      <name val="Helvetica"/>
      <family val="2"/>
    </font>
    <font>
      <sz val="9"/>
      <name val="Helvetica"/>
      <family val="2"/>
    </font>
    <font>
      <i/>
      <sz val="10"/>
      <name val="Helvetica"/>
      <family val="2"/>
    </font>
    <font>
      <b/>
      <sz val="12"/>
      <color rgb="FF0A0A0A"/>
      <name val="Helvetica"/>
      <family val="2"/>
    </font>
    <font>
      <sz val="12"/>
      <color rgb="FF0A0A0A"/>
      <name val="Helvetica"/>
      <family val="2"/>
    </font>
    <font>
      <b/>
      <sz val="9"/>
      <name val="Helvetica"/>
      <family val="2"/>
    </font>
    <font>
      <sz val="12"/>
      <color rgb="FF000000"/>
      <name val="Helvetica"/>
      <family val="2"/>
    </font>
    <font>
      <sz val="12"/>
      <color theme="0"/>
      <name val="Times"/>
      <family val="1"/>
    </font>
    <font>
      <sz val="9"/>
      <color theme="0"/>
      <name val="Geneva"/>
      <family val="2"/>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FF00"/>
        <bgColor rgb="FF000000"/>
      </patternFill>
    </fill>
    <fill>
      <patternFill patternType="solid">
        <fgColor rgb="FFFFFFFF"/>
        <bgColor rgb="FF000000"/>
      </patternFill>
    </fill>
    <fill>
      <patternFill patternType="solid">
        <fgColor theme="0" tint="-0.14999847407452621"/>
        <bgColor indexed="64"/>
      </patternFill>
    </fill>
    <fill>
      <patternFill patternType="solid">
        <fgColor theme="2"/>
        <bgColor indexed="64"/>
      </patternFill>
    </fill>
    <fill>
      <patternFill patternType="solid">
        <fgColor theme="0" tint="-0.14999847407452621"/>
        <bgColor theme="0" tint="-0.14999847407452621"/>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s>
  <cellStyleXfs count="4">
    <xf numFmtId="0" fontId="0" fillId="0" borderId="0"/>
    <xf numFmtId="167"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cellStyleXfs>
  <cellXfs count="635">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166"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166"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20" fillId="0" borderId="0" xfId="0" applyFont="1"/>
    <xf numFmtId="0" fontId="13" fillId="0" borderId="2" xfId="0" applyFont="1" applyBorder="1"/>
    <xf numFmtId="166" fontId="13" fillId="3" borderId="1" xfId="2" applyFont="1" applyFill="1" applyBorder="1"/>
    <xf numFmtId="166" fontId="13" fillId="0" borderId="0" xfId="2" applyFont="1" applyBorder="1"/>
    <xf numFmtId="0" fontId="13" fillId="2" borderId="1" xfId="0" applyFont="1" applyFill="1" applyBorder="1" applyAlignment="1">
      <alignment horizontal="center"/>
    </xf>
    <xf numFmtId="0" fontId="13" fillId="0" borderId="3" xfId="0" applyFont="1" applyBorder="1"/>
    <xf numFmtId="166" fontId="13" fillId="2" borderId="3" xfId="0" applyNumberFormat="1" applyFont="1" applyFill="1" applyBorder="1"/>
    <xf numFmtId="166" fontId="13" fillId="2" borderId="3" xfId="2" applyFont="1" applyFill="1" applyBorder="1"/>
    <xf numFmtId="0" fontId="13" fillId="2" borderId="2" xfId="0" applyFont="1" applyFill="1" applyBorder="1"/>
    <xf numFmtId="166" fontId="13" fillId="2" borderId="2" xfId="0" applyNumberFormat="1" applyFont="1" applyFill="1" applyBorder="1"/>
    <xf numFmtId="166" fontId="13" fillId="2" borderId="4" xfId="0" applyNumberFormat="1" applyFont="1" applyFill="1" applyBorder="1"/>
    <xf numFmtId="0" fontId="22" fillId="0" borderId="5" xfId="0" applyFont="1" applyBorder="1" applyAlignment="1">
      <alignment horizontal="center"/>
    </xf>
    <xf numFmtId="0" fontId="22" fillId="0" borderId="1" xfId="0" applyFont="1" applyBorder="1" applyAlignment="1">
      <alignment horizontal="center"/>
    </xf>
    <xf numFmtId="0" fontId="23" fillId="0" borderId="1" xfId="0" applyFont="1" applyBorder="1"/>
    <xf numFmtId="0" fontId="23" fillId="0" borderId="0" xfId="0" applyFont="1"/>
    <xf numFmtId="0" fontId="24" fillId="0" borderId="1" xfId="0" applyFont="1" applyBorder="1"/>
    <xf numFmtId="0" fontId="23" fillId="0" borderId="1" xfId="0" applyFont="1" applyBorder="1" applyAlignment="1">
      <alignment horizontal="center"/>
    </xf>
    <xf numFmtId="0" fontId="23" fillId="0" borderId="0" xfId="0" applyFont="1" applyAlignment="1">
      <alignment horizontal="center"/>
    </xf>
    <xf numFmtId="0" fontId="25" fillId="0" borderId="0" xfId="0" applyFont="1"/>
    <xf numFmtId="0" fontId="25" fillId="0" borderId="1" xfId="0" applyFont="1" applyBorder="1"/>
    <xf numFmtId="0" fontId="26" fillId="0" borderId="0" xfId="0" applyFont="1"/>
    <xf numFmtId="10" fontId="13" fillId="4" borderId="2" xfId="0" applyNumberFormat="1" applyFont="1" applyFill="1" applyBorder="1" applyAlignment="1">
      <alignment horizontal="center"/>
    </xf>
    <xf numFmtId="165" fontId="13" fillId="2" borderId="2" xfId="0" applyNumberFormat="1" applyFont="1" applyFill="1" applyBorder="1"/>
    <xf numFmtId="0" fontId="23" fillId="6" borderId="1" xfId="0" applyFont="1" applyFill="1" applyBorder="1"/>
    <xf numFmtId="10" fontId="23" fillId="6" borderId="1" xfId="3" applyNumberFormat="1" applyFont="1" applyFill="1" applyBorder="1" applyAlignment="1">
      <alignment horizontal="center"/>
    </xf>
    <xf numFmtId="10" fontId="23" fillId="6" borderId="1" xfId="0" applyNumberFormat="1" applyFont="1" applyFill="1" applyBorder="1" applyAlignment="1">
      <alignment horizontal="center"/>
    </xf>
    <xf numFmtId="166" fontId="23" fillId="6" borderId="1" xfId="2" applyFont="1" applyFill="1" applyBorder="1"/>
    <xf numFmtId="166" fontId="23" fillId="6" borderId="1" xfId="2" applyFont="1" applyFill="1" applyBorder="1" applyAlignment="1">
      <alignment horizontal="center"/>
    </xf>
    <xf numFmtId="10" fontId="23" fillId="6" borderId="1" xfId="3" applyNumberFormat="1" applyFont="1" applyFill="1" applyBorder="1"/>
    <xf numFmtId="10" fontId="23" fillId="6" borderId="1" xfId="2" applyNumberFormat="1" applyFont="1" applyFill="1" applyBorder="1"/>
    <xf numFmtId="10" fontId="23" fillId="6" borderId="1" xfId="2" applyNumberFormat="1" applyFont="1" applyFill="1" applyBorder="1" applyAlignment="1">
      <alignment horizontal="center"/>
    </xf>
    <xf numFmtId="166" fontId="23" fillId="6" borderId="1" xfId="0" applyNumberFormat="1" applyFont="1" applyFill="1" applyBorder="1" applyAlignment="1">
      <alignment horizontal="center"/>
    </xf>
    <xf numFmtId="0" fontId="23" fillId="6" borderId="1" xfId="0" applyFont="1" applyFill="1" applyBorder="1" applyAlignment="1">
      <alignment horizontal="center"/>
    </xf>
    <xf numFmtId="166" fontId="23" fillId="6" borderId="1" xfId="0" applyNumberFormat="1" applyFont="1" applyFill="1" applyBorder="1"/>
    <xf numFmtId="10" fontId="23" fillId="6" borderId="1" xfId="0" applyNumberFormat="1" applyFont="1" applyFill="1" applyBorder="1"/>
    <xf numFmtId="168" fontId="23" fillId="6" borderId="1" xfId="0" applyNumberFormat="1" applyFont="1" applyFill="1" applyBorder="1"/>
    <xf numFmtId="165" fontId="23" fillId="6" borderId="1" xfId="0" applyNumberFormat="1" applyFont="1" applyFill="1" applyBorder="1"/>
    <xf numFmtId="167" fontId="23" fillId="6" borderId="1" xfId="1" applyFont="1" applyFill="1" applyBorder="1"/>
    <xf numFmtId="166" fontId="36" fillId="6" borderId="1" xfId="2" applyFont="1" applyFill="1" applyBorder="1"/>
    <xf numFmtId="2" fontId="23" fillId="6" borderId="1" xfId="0" applyNumberFormat="1" applyFont="1" applyFill="1" applyBorder="1" applyAlignment="1">
      <alignment horizontal="center"/>
    </xf>
    <xf numFmtId="172" fontId="23" fillId="6" borderId="1" xfId="0" applyNumberFormat="1" applyFont="1" applyFill="1" applyBorder="1"/>
    <xf numFmtId="172" fontId="23" fillId="6" borderId="1" xfId="0" applyNumberFormat="1" applyFont="1" applyFill="1" applyBorder="1" applyAlignment="1">
      <alignment horizontal="center"/>
    </xf>
    <xf numFmtId="0" fontId="27"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6" borderId="1" xfId="0" applyNumberFormat="1" applyFont="1" applyFill="1" applyBorder="1"/>
    <xf numFmtId="166" fontId="13" fillId="6" borderId="1" xfId="0" applyNumberFormat="1" applyFont="1" applyFill="1" applyBorder="1"/>
    <xf numFmtId="166" fontId="13" fillId="6" borderId="1" xfId="2" applyFont="1" applyFill="1" applyBorder="1"/>
    <xf numFmtId="10" fontId="13" fillId="6" borderId="1" xfId="3" applyNumberFormat="1" applyFont="1" applyFill="1" applyBorder="1"/>
    <xf numFmtId="10" fontId="13" fillId="6" borderId="3" xfId="0" applyNumberFormat="1" applyFont="1" applyFill="1" applyBorder="1"/>
    <xf numFmtId="10" fontId="13" fillId="6" borderId="1" xfId="0" applyNumberFormat="1" applyFont="1" applyFill="1" applyBorder="1"/>
    <xf numFmtId="10" fontId="13" fillId="6" borderId="13" xfId="3" applyNumberFormat="1" applyFont="1" applyFill="1" applyBorder="1"/>
    <xf numFmtId="10" fontId="13" fillId="6" borderId="2" xfId="3" applyNumberFormat="1" applyFont="1" applyFill="1" applyBorder="1"/>
    <xf numFmtId="2" fontId="13" fillId="6" borderId="1" xfId="2" applyNumberFormat="1" applyFont="1" applyFill="1" applyBorder="1"/>
    <xf numFmtId="0" fontId="28" fillId="0" borderId="0" xfId="0" applyFont="1"/>
    <xf numFmtId="0" fontId="29" fillId="0" borderId="0" xfId="0" applyFont="1"/>
    <xf numFmtId="0" fontId="21" fillId="0" borderId="0" xfId="0" applyFont="1"/>
    <xf numFmtId="0" fontId="13" fillId="3" borderId="1" xfId="0" applyFont="1" applyFill="1" applyBorder="1" applyAlignment="1">
      <alignment horizontal="center"/>
    </xf>
    <xf numFmtId="0" fontId="31" fillId="0" borderId="0" xfId="0" applyFont="1"/>
    <xf numFmtId="0" fontId="9" fillId="5" borderId="0" xfId="0" applyFont="1" applyFill="1"/>
    <xf numFmtId="0" fontId="31" fillId="0" borderId="10" xfId="0" applyFont="1" applyBorder="1"/>
    <xf numFmtId="173" fontId="23" fillId="6" borderId="1" xfId="0" applyNumberFormat="1" applyFont="1" applyFill="1" applyBorder="1" applyAlignment="1">
      <alignment horizontal="center"/>
    </xf>
    <xf numFmtId="0" fontId="0" fillId="0" borderId="1" xfId="0" applyBorder="1" applyAlignment="1">
      <alignment horizontal="center"/>
    </xf>
    <xf numFmtId="0" fontId="13" fillId="4" borderId="1" xfId="0" applyFont="1" applyFill="1" applyBorder="1"/>
    <xf numFmtId="0" fontId="13" fillId="6" borderId="1" xfId="0" applyFont="1" applyFill="1" applyBorder="1"/>
    <xf numFmtId="0" fontId="14" fillId="0" borderId="1" xfId="0" applyFont="1" applyBorder="1"/>
    <xf numFmtId="171" fontId="13" fillId="6" borderId="1" xfId="3" applyNumberFormat="1" applyFont="1" applyFill="1" applyBorder="1"/>
    <xf numFmtId="171" fontId="13" fillId="6" borderId="1" xfId="0" applyNumberFormat="1" applyFont="1" applyFill="1" applyBorder="1"/>
    <xf numFmtId="2" fontId="13" fillId="3" borderId="1" xfId="0" applyNumberFormat="1" applyFont="1" applyFill="1" applyBorder="1"/>
    <xf numFmtId="175" fontId="13" fillId="4" borderId="1" xfId="2" applyNumberFormat="1" applyFont="1" applyFill="1" applyBorder="1"/>
    <xf numFmtId="173" fontId="13" fillId="6" borderId="1" xfId="0" applyNumberFormat="1" applyFont="1" applyFill="1" applyBorder="1"/>
    <xf numFmtId="175" fontId="13" fillId="6" borderId="1" xfId="0" applyNumberFormat="1" applyFont="1" applyFill="1" applyBorder="1"/>
    <xf numFmtId="0" fontId="0" fillId="6" borderId="1" xfId="0" applyFill="1" applyBorder="1"/>
    <xf numFmtId="175" fontId="5" fillId="6" borderId="1" xfId="2" applyNumberFormat="1" applyFont="1" applyFill="1" applyBorder="1"/>
    <xf numFmtId="173"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3"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4" fillId="0" borderId="0" xfId="0" applyNumberFormat="1" applyFont="1" applyAlignment="1">
      <alignment horizontal="center"/>
    </xf>
    <xf numFmtId="168" fontId="4" fillId="0" borderId="0" xfId="0" applyNumberFormat="1" applyFont="1"/>
    <xf numFmtId="10" fontId="13" fillId="4" borderId="1" xfId="0" applyNumberFormat="1" applyFont="1" applyFill="1" applyBorder="1" applyAlignment="1">
      <alignment horizontal="center"/>
    </xf>
    <xf numFmtId="10" fontId="13" fillId="6" borderId="1" xfId="0" applyNumberFormat="1" applyFont="1" applyFill="1" applyBorder="1" applyAlignment="1">
      <alignment horizontal="center"/>
    </xf>
    <xf numFmtId="170" fontId="13" fillId="3" borderId="1" xfId="0" applyNumberFormat="1" applyFont="1" applyFill="1" applyBorder="1"/>
    <xf numFmtId="9" fontId="13" fillId="6" borderId="1" xfId="0" applyNumberFormat="1" applyFont="1" applyFill="1" applyBorder="1" applyAlignment="1">
      <alignment horizontal="center"/>
    </xf>
    <xf numFmtId="0" fontId="32" fillId="0" borderId="0" xfId="0" applyFont="1"/>
    <xf numFmtId="2" fontId="13" fillId="4" borderId="1" xfId="0" applyNumberFormat="1" applyFont="1" applyFill="1" applyBorder="1"/>
    <xf numFmtId="0" fontId="27" fillId="0" borderId="0" xfId="0" applyFont="1" applyAlignment="1">
      <alignment horizontal="left"/>
    </xf>
    <xf numFmtId="168" fontId="0" fillId="6" borderId="1" xfId="0" applyNumberFormat="1" applyFill="1" applyBorder="1"/>
    <xf numFmtId="0" fontId="4" fillId="0" borderId="1" xfId="0" applyFont="1" applyBorder="1" applyAlignment="1">
      <alignment horizontal="center" wrapText="1"/>
    </xf>
    <xf numFmtId="0" fontId="38" fillId="0" borderId="31" xfId="0" applyFont="1" applyBorder="1" applyAlignment="1">
      <alignment horizontal="center"/>
    </xf>
    <xf numFmtId="0" fontId="38" fillId="0" borderId="14" xfId="0" applyFont="1" applyBorder="1" applyAlignment="1">
      <alignment horizontal="center"/>
    </xf>
    <xf numFmtId="16" fontId="38" fillId="0" borderId="14" xfId="0" applyNumberFormat="1" applyFont="1" applyBorder="1" applyAlignment="1">
      <alignment horizontal="center"/>
    </xf>
    <xf numFmtId="0" fontId="38" fillId="0" borderId="32" xfId="0" applyFont="1" applyBorder="1" applyAlignment="1">
      <alignment horizontal="center"/>
    </xf>
    <xf numFmtId="0" fontId="39" fillId="0" borderId="35" xfId="0" applyFont="1" applyBorder="1"/>
    <xf numFmtId="0" fontId="39" fillId="0" borderId="36" xfId="0" applyFont="1" applyBorder="1"/>
    <xf numFmtId="10" fontId="39" fillId="0" borderId="1" xfId="0" applyNumberFormat="1" applyFont="1" applyBorder="1" applyAlignment="1">
      <alignment horizontal="center"/>
    </xf>
    <xf numFmtId="0" fontId="39" fillId="0" borderId="1" xfId="0" applyFont="1" applyBorder="1" applyAlignment="1">
      <alignment horizontal="center"/>
    </xf>
    <xf numFmtId="10" fontId="39" fillId="0" borderId="18" xfId="3" applyNumberFormat="1" applyFont="1" applyBorder="1" applyAlignment="1">
      <alignment horizontal="center"/>
    </xf>
    <xf numFmtId="0" fontId="39" fillId="0" borderId="37" xfId="0" applyFont="1" applyBorder="1"/>
    <xf numFmtId="10" fontId="39" fillId="0" borderId="25" xfId="0" applyNumberFormat="1" applyFont="1" applyBorder="1" applyAlignment="1">
      <alignment horizontal="center"/>
    </xf>
    <xf numFmtId="0" fontId="39" fillId="0" borderId="36" xfId="0" applyFont="1" applyBorder="1" applyAlignment="1">
      <alignment horizontal="center"/>
    </xf>
    <xf numFmtId="10" fontId="39" fillId="0" borderId="1" xfId="3" applyNumberFormat="1" applyFont="1" applyBorder="1" applyAlignment="1">
      <alignment horizontal="center"/>
    </xf>
    <xf numFmtId="0" fontId="39" fillId="0" borderId="37" xfId="0" applyFont="1" applyBorder="1" applyAlignment="1">
      <alignment horizontal="center"/>
    </xf>
    <xf numFmtId="10" fontId="39" fillId="0" borderId="25" xfId="3" applyNumberFormat="1" applyFont="1" applyBorder="1" applyAlignment="1">
      <alignment horizontal="center"/>
    </xf>
    <xf numFmtId="172" fontId="39" fillId="0" borderId="6" xfId="2" applyNumberFormat="1" applyFont="1" applyFill="1" applyBorder="1"/>
    <xf numFmtId="0" fontId="39" fillId="0" borderId="6" xfId="0" applyFont="1" applyBorder="1"/>
    <xf numFmtId="0" fontId="39" fillId="0" borderId="7" xfId="0" applyFont="1" applyBorder="1"/>
    <xf numFmtId="172" fontId="39" fillId="0" borderId="0" xfId="2" applyNumberFormat="1" applyFont="1" applyFill="1" applyBorder="1"/>
    <xf numFmtId="0" fontId="39" fillId="0" borderId="0" xfId="0" applyFont="1"/>
    <xf numFmtId="0" fontId="39" fillId="0" borderId="12" xfId="0" applyFont="1" applyBorder="1"/>
    <xf numFmtId="0" fontId="39" fillId="0" borderId="0" xfId="0" applyFont="1" applyAlignment="1">
      <alignment horizontal="left"/>
    </xf>
    <xf numFmtId="0" fontId="39" fillId="0" borderId="39" xfId="0" applyFont="1" applyBorder="1"/>
    <xf numFmtId="10" fontId="39" fillId="0" borderId="17" xfId="3" applyNumberFormat="1" applyFont="1" applyBorder="1" applyAlignment="1">
      <alignment horizontal="center"/>
    </xf>
    <xf numFmtId="10" fontId="39" fillId="0" borderId="3" xfId="0" applyNumberFormat="1" applyFont="1" applyBorder="1" applyAlignment="1">
      <alignment horizontal="center"/>
    </xf>
    <xf numFmtId="0" fontId="39" fillId="0" borderId="34" xfId="0" applyFont="1" applyBorder="1" applyAlignment="1">
      <alignment horizontal="center"/>
    </xf>
    <xf numFmtId="168" fontId="39" fillId="0" borderId="40" xfId="0" applyNumberFormat="1" applyFont="1" applyBorder="1" applyAlignment="1">
      <alignment horizontal="left"/>
    </xf>
    <xf numFmtId="10" fontId="39" fillId="0" borderId="18" xfId="0" applyNumberFormat="1" applyFont="1" applyBorder="1" applyAlignment="1">
      <alignment horizontal="left"/>
    </xf>
    <xf numFmtId="0" fontId="33" fillId="0" borderId="1" xfId="0" applyFont="1" applyBorder="1" applyAlignment="1">
      <alignment horizontal="center"/>
    </xf>
    <xf numFmtId="0" fontId="0" fillId="4" borderId="1" xfId="0" applyFill="1" applyBorder="1"/>
    <xf numFmtId="10" fontId="13" fillId="4" borderId="1" xfId="0" applyNumberFormat="1" applyFont="1" applyFill="1" applyBorder="1"/>
    <xf numFmtId="166" fontId="5" fillId="4" borderId="1" xfId="2" applyFont="1" applyFill="1" applyBorder="1" applyAlignment="1">
      <alignment horizontal="center"/>
    </xf>
    <xf numFmtId="0" fontId="37" fillId="4" borderId="1" xfId="0" applyFont="1" applyFill="1" applyBorder="1"/>
    <xf numFmtId="174" fontId="33" fillId="0" borderId="0" xfId="0" applyNumberFormat="1" applyFont="1" applyAlignment="1">
      <alignment horizontal="right"/>
    </xf>
    <xf numFmtId="0" fontId="40" fillId="0" borderId="0" xfId="0" applyFont="1"/>
    <xf numFmtId="166" fontId="0" fillId="0" borderId="0" xfId="0" applyNumberFormat="1"/>
    <xf numFmtId="10" fontId="0" fillId="4" borderId="1" xfId="0" applyNumberFormat="1" applyFill="1" applyBorder="1"/>
    <xf numFmtId="0" fontId="51" fillId="0" borderId="0" xfId="0" applyFont="1"/>
    <xf numFmtId="0" fontId="22" fillId="0" borderId="1" xfId="0" applyFont="1" applyBorder="1"/>
    <xf numFmtId="10" fontId="23" fillId="0" borderId="1" xfId="3" applyNumberFormat="1" applyFont="1" applyBorder="1" applyAlignment="1">
      <alignment horizontal="center"/>
    </xf>
    <xf numFmtId="10" fontId="23" fillId="0" borderId="1"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1" fillId="0" borderId="0" xfId="0" applyFont="1" applyAlignment="1">
      <alignment horizontal="left"/>
    </xf>
    <xf numFmtId="10" fontId="31" fillId="0" borderId="0" xfId="0" applyNumberFormat="1" applyFont="1"/>
    <xf numFmtId="2" fontId="31" fillId="0" borderId="0" xfId="0" applyNumberFormat="1" applyFont="1"/>
    <xf numFmtId="10" fontId="33" fillId="0" borderId="0" xfId="0" applyNumberFormat="1" applyFont="1"/>
    <xf numFmtId="0" fontId="52" fillId="0" borderId="0" xfId="0" applyFont="1"/>
    <xf numFmtId="17" fontId="34" fillId="0" borderId="1" xfId="0" applyNumberFormat="1" applyFont="1" applyBorder="1"/>
    <xf numFmtId="0" fontId="22" fillId="0" borderId="13" xfId="0" applyFont="1" applyBorder="1" applyAlignment="1">
      <alignment horizontal="center"/>
    </xf>
    <xf numFmtId="10" fontId="23" fillId="0" borderId="13" xfId="0" applyNumberFormat="1" applyFont="1" applyBorder="1" applyAlignment="1">
      <alignment horizontal="center"/>
    </xf>
    <xf numFmtId="2" fontId="39" fillId="10" borderId="18" xfId="0" applyNumberFormat="1" applyFont="1" applyFill="1" applyBorder="1" applyAlignment="1">
      <alignment horizontal="center"/>
    </xf>
    <xf numFmtId="2" fontId="39" fillId="10" borderId="1" xfId="0" applyNumberFormat="1" applyFont="1" applyFill="1" applyBorder="1" applyAlignment="1">
      <alignment horizontal="center"/>
    </xf>
    <xf numFmtId="10" fontId="39" fillId="10" borderId="1" xfId="0" applyNumberFormat="1" applyFont="1" applyFill="1" applyBorder="1" applyAlignment="1">
      <alignment horizontal="center"/>
    </xf>
    <xf numFmtId="10" fontId="39" fillId="10" borderId="13" xfId="0" applyNumberFormat="1" applyFont="1" applyFill="1" applyBorder="1" applyAlignment="1">
      <alignment horizontal="center"/>
    </xf>
    <xf numFmtId="10" fontId="39" fillId="10" borderId="18" xfId="0" applyNumberFormat="1" applyFont="1" applyFill="1" applyBorder="1" applyAlignment="1">
      <alignment horizontal="center"/>
    </xf>
    <xf numFmtId="0" fontId="55" fillId="10" borderId="14" xfId="0" applyFont="1" applyFill="1" applyBorder="1"/>
    <xf numFmtId="0" fontId="56" fillId="10" borderId="14" xfId="0" applyFont="1" applyFill="1" applyBorder="1"/>
    <xf numFmtId="0" fontId="56" fillId="10" borderId="1" xfId="0" applyFont="1" applyFill="1" applyBorder="1"/>
    <xf numFmtId="10" fontId="56" fillId="10" borderId="1" xfId="3" applyNumberFormat="1" applyFont="1" applyFill="1" applyBorder="1"/>
    <xf numFmtId="0" fontId="38" fillId="0" borderId="33" xfId="0" applyFont="1" applyBorder="1" applyAlignment="1">
      <alignment horizontal="center"/>
    </xf>
    <xf numFmtId="177" fontId="38" fillId="0" borderId="33" xfId="0" applyNumberFormat="1" applyFont="1" applyBorder="1" applyAlignment="1">
      <alignment horizontal="center"/>
    </xf>
    <xf numFmtId="177" fontId="38" fillId="0" borderId="41" xfId="0" applyNumberFormat="1" applyFont="1" applyBorder="1" applyAlignment="1">
      <alignment horizontal="center"/>
    </xf>
    <xf numFmtId="168" fontId="39" fillId="0" borderId="1" xfId="2" applyNumberFormat="1" applyFont="1" applyBorder="1" applyAlignment="1">
      <alignment horizontal="center"/>
    </xf>
    <xf numFmtId="168" fontId="39" fillId="0" borderId="25" xfId="2" applyNumberFormat="1" applyFont="1" applyBorder="1" applyAlignment="1">
      <alignment horizontal="center"/>
    </xf>
    <xf numFmtId="168" fontId="39" fillId="0" borderId="13" xfId="2" applyNumberFormat="1" applyFont="1" applyBorder="1" applyAlignment="1">
      <alignment horizontal="center"/>
    </xf>
    <xf numFmtId="10" fontId="0" fillId="0" borderId="0" xfId="0" applyNumberFormat="1" applyAlignment="1">
      <alignment horizontal="center"/>
    </xf>
    <xf numFmtId="172" fontId="13" fillId="6" borderId="1" xfId="2" applyNumberFormat="1" applyFont="1" applyFill="1" applyBorder="1"/>
    <xf numFmtId="174" fontId="33" fillId="4" borderId="1" xfId="0" applyNumberFormat="1" applyFont="1" applyFill="1" applyBorder="1" applyAlignment="1">
      <alignment horizontal="right"/>
    </xf>
    <xf numFmtId="0" fontId="57" fillId="0" borderId="0" xfId="0" applyFont="1"/>
    <xf numFmtId="10" fontId="39" fillId="0" borderId="13" xfId="3" applyNumberFormat="1" applyFont="1" applyBorder="1" applyAlignment="1">
      <alignment horizontal="center"/>
    </xf>
    <xf numFmtId="0" fontId="58" fillId="0" borderId="1" xfId="0" applyFont="1" applyBorder="1"/>
    <xf numFmtId="0" fontId="58" fillId="0" borderId="1" xfId="0" applyFont="1" applyBorder="1" applyAlignment="1">
      <alignment horizontal="center"/>
    </xf>
    <xf numFmtId="0" fontId="58" fillId="0" borderId="0" xfId="0" applyFont="1" applyAlignment="1">
      <alignment wrapText="1"/>
    </xf>
    <xf numFmtId="0" fontId="58" fillId="0" borderId="1" xfId="0" applyFont="1" applyBorder="1" applyAlignment="1">
      <alignment horizontal="center" wrapText="1"/>
    </xf>
    <xf numFmtId="0" fontId="38" fillId="0" borderId="1" xfId="0" applyFont="1" applyBorder="1" applyAlignment="1">
      <alignment horizontal="center"/>
    </xf>
    <xf numFmtId="176" fontId="2" fillId="0" borderId="1" xfId="3" applyNumberFormat="1" applyFont="1" applyBorder="1" applyAlignment="1">
      <alignment horizontal="center"/>
    </xf>
    <xf numFmtId="10" fontId="2" fillId="0" borderId="1" xfId="0" applyNumberFormat="1" applyFont="1" applyBorder="1" applyAlignment="1">
      <alignment horizontal="center"/>
    </xf>
    <xf numFmtId="2" fontId="2" fillId="0" borderId="1" xfId="0" applyNumberFormat="1" applyFont="1" applyBorder="1" applyAlignment="1">
      <alignment horizontal="center"/>
    </xf>
    <xf numFmtId="168" fontId="39" fillId="10" borderId="33" xfId="2" applyNumberFormat="1" applyFont="1" applyFill="1" applyBorder="1"/>
    <xf numFmtId="168" fontId="39" fillId="10" borderId="1" xfId="2" applyNumberFormat="1" applyFont="1" applyFill="1" applyBorder="1"/>
    <xf numFmtId="168" fontId="39" fillId="10" borderId="13" xfId="2" applyNumberFormat="1" applyFont="1" applyFill="1" applyBorder="1"/>
    <xf numFmtId="167" fontId="39" fillId="10" borderId="1" xfId="0" applyNumberFormat="1" applyFont="1" applyFill="1" applyBorder="1"/>
    <xf numFmtId="168" fontId="35" fillId="10" borderId="34" xfId="2" applyNumberFormat="1" applyFont="1" applyFill="1" applyBorder="1"/>
    <xf numFmtId="0" fontId="32" fillId="5" borderId="0" xfId="0" applyFont="1" applyFill="1"/>
    <xf numFmtId="0" fontId="32" fillId="5" borderId="49" xfId="0" applyFont="1" applyFill="1" applyBorder="1"/>
    <xf numFmtId="0" fontId="13" fillId="4" borderId="18" xfId="0" applyFont="1" applyFill="1" applyBorder="1"/>
    <xf numFmtId="173" fontId="13" fillId="6" borderId="1" xfId="0" applyNumberFormat="1" applyFont="1" applyFill="1" applyBorder="1" applyAlignment="1">
      <alignment horizontal="center"/>
    </xf>
    <xf numFmtId="173" fontId="0" fillId="6" borderId="1" xfId="0" applyNumberFormat="1" applyFill="1" applyBorder="1" applyAlignment="1">
      <alignment horizontal="center"/>
    </xf>
    <xf numFmtId="10" fontId="13" fillId="6" borderId="1" xfId="3" applyNumberFormat="1" applyFont="1" applyFill="1" applyBorder="1" applyAlignment="1">
      <alignment horizontal="center"/>
    </xf>
    <xf numFmtId="10" fontId="0" fillId="6" borderId="1" xfId="3" applyNumberFormat="1" applyFont="1" applyFill="1" applyBorder="1" applyAlignment="1">
      <alignment horizontal="center"/>
    </xf>
    <xf numFmtId="0" fontId="13" fillId="4" borderId="3" xfId="0" applyFont="1" applyFill="1" applyBorder="1"/>
    <xf numFmtId="10" fontId="0" fillId="6" borderId="2" xfId="0" applyNumberFormat="1" applyFill="1" applyBorder="1" applyAlignment="1">
      <alignment horizontal="center"/>
    </xf>
    <xf numFmtId="0" fontId="0" fillId="10" borderId="1" xfId="0" applyFill="1" applyBorder="1" applyAlignment="1">
      <alignment horizontal="center"/>
    </xf>
    <xf numFmtId="0" fontId="60" fillId="0" borderId="0" xfId="0" applyFont="1" applyAlignment="1">
      <alignment horizontal="left" vertical="top" wrapText="1"/>
    </xf>
    <xf numFmtId="0" fontId="60"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60" fillId="6" borderId="1" xfId="3" applyNumberFormat="1" applyFont="1" applyFill="1" applyBorder="1" applyAlignment="1">
      <alignment horizontal="center" vertical="top" wrapText="1"/>
    </xf>
    <xf numFmtId="10" fontId="0" fillId="10" borderId="1" xfId="3" applyNumberFormat="1" applyFont="1" applyFill="1" applyBorder="1"/>
    <xf numFmtId="0" fontId="0" fillId="4" borderId="1" xfId="0" applyFill="1" applyBorder="1" applyAlignment="1">
      <alignment horizontal="center"/>
    </xf>
    <xf numFmtId="0" fontId="2" fillId="0" borderId="42" xfId="0" applyFont="1" applyBorder="1" applyAlignment="1">
      <alignment vertical="center" wrapText="1"/>
    </xf>
    <xf numFmtId="166" fontId="39" fillId="0" borderId="0" xfId="0" applyNumberFormat="1" applyFont="1"/>
    <xf numFmtId="10" fontId="39" fillId="0" borderId="0" xfId="0" applyNumberFormat="1" applyFont="1"/>
    <xf numFmtId="166" fontId="63" fillId="0" borderId="0" xfId="0" applyNumberFormat="1" applyFont="1"/>
    <xf numFmtId="0" fontId="64" fillId="0" borderId="0" xfId="0" applyFont="1"/>
    <xf numFmtId="10" fontId="64" fillId="0" borderId="0" xfId="0" applyNumberFormat="1" applyFont="1"/>
    <xf numFmtId="0" fontId="2" fillId="0" borderId="1" xfId="0" applyFont="1" applyBorder="1" applyAlignment="1">
      <alignment horizontal="center" vertical="center" wrapText="1"/>
    </xf>
    <xf numFmtId="0" fontId="2" fillId="0" borderId="1" xfId="0" applyFont="1" applyBorder="1" applyAlignment="1">
      <alignment vertical="center" wrapText="1"/>
    </xf>
    <xf numFmtId="166" fontId="39" fillId="0" borderId="1" xfId="0" applyNumberFormat="1" applyFont="1" applyBorder="1" applyAlignment="1">
      <alignment horizontal="center"/>
    </xf>
    <xf numFmtId="166" fontId="39" fillId="0" borderId="1" xfId="2" applyFont="1" applyBorder="1" applyAlignment="1">
      <alignment horizontal="center"/>
    </xf>
    <xf numFmtId="2" fontId="39" fillId="0" borderId="1" xfId="0" applyNumberFormat="1" applyFont="1" applyBorder="1" applyAlignment="1">
      <alignment horizontal="center"/>
    </xf>
    <xf numFmtId="0" fontId="64" fillId="0" borderId="1" xfId="0" applyFont="1" applyBorder="1"/>
    <xf numFmtId="10" fontId="64" fillId="0" borderId="1" xfId="3" applyNumberFormat="1" applyFont="1" applyBorder="1"/>
    <xf numFmtId="173" fontId="64" fillId="0" borderId="1" xfId="0" applyNumberFormat="1" applyFont="1" applyBorder="1"/>
    <xf numFmtId="166" fontId="64" fillId="0" borderId="1" xfId="0" applyNumberFormat="1" applyFont="1" applyBorder="1"/>
    <xf numFmtId="0" fontId="65" fillId="0" borderId="0" xfId="0" applyFont="1"/>
    <xf numFmtId="0" fontId="66" fillId="0" borderId="0" xfId="0" applyFont="1"/>
    <xf numFmtId="0" fontId="67" fillId="0" borderId="0" xfId="0" applyFont="1"/>
    <xf numFmtId="17" fontId="67" fillId="4" borderId="1" xfId="0" applyNumberFormat="1" applyFont="1" applyFill="1" applyBorder="1" applyAlignment="1">
      <alignment horizontal="center"/>
    </xf>
    <xf numFmtId="0" fontId="66" fillId="0" borderId="15" xfId="0" applyFont="1" applyBorder="1"/>
    <xf numFmtId="0" fontId="66" fillId="0" borderId="16" xfId="0" applyFont="1" applyBorder="1"/>
    <xf numFmtId="0" fontId="66" fillId="0" borderId="17" xfId="0" applyFont="1" applyBorder="1"/>
    <xf numFmtId="0" fontId="68" fillId="4" borderId="1" xfId="0" applyFont="1" applyFill="1" applyBorder="1" applyAlignment="1">
      <alignment horizontal="center"/>
    </xf>
    <xf numFmtId="0" fontId="66" fillId="0" borderId="20" xfId="0" applyFont="1" applyBorder="1"/>
    <xf numFmtId="0" fontId="66" fillId="0" borderId="21" xfId="0" applyFont="1" applyBorder="1"/>
    <xf numFmtId="0" fontId="69" fillId="0" borderId="1" xfId="0" applyFont="1" applyBorder="1"/>
    <xf numFmtId="0" fontId="66" fillId="4" borderId="1" xfId="0" applyFont="1" applyFill="1" applyBorder="1"/>
    <xf numFmtId="0" fontId="70" fillId="0" borderId="1" xfId="0" applyFont="1" applyBorder="1"/>
    <xf numFmtId="0" fontId="66" fillId="0" borderId="1" xfId="0" applyFont="1" applyBorder="1"/>
    <xf numFmtId="166" fontId="66" fillId="4" borderId="1" xfId="2" applyFont="1" applyFill="1" applyBorder="1" applyAlignment="1">
      <alignment horizontal="center"/>
    </xf>
    <xf numFmtId="0" fontId="71" fillId="0" borderId="0" xfId="0" applyFont="1"/>
    <xf numFmtId="166" fontId="66" fillId="7" borderId="18" xfId="0" applyNumberFormat="1" applyFont="1" applyFill="1" applyBorder="1" applyAlignment="1">
      <alignment horizontal="center"/>
    </xf>
    <xf numFmtId="166" fontId="66" fillId="4" borderId="14" xfId="2" applyFont="1" applyFill="1" applyBorder="1" applyAlignment="1">
      <alignment horizontal="center"/>
    </xf>
    <xf numFmtId="2" fontId="66" fillId="4" borderId="14" xfId="2" applyNumberFormat="1" applyFont="1" applyFill="1" applyBorder="1" applyAlignment="1">
      <alignment horizontal="center"/>
    </xf>
    <xf numFmtId="10" fontId="66" fillId="4" borderId="1" xfId="2" applyNumberFormat="1" applyFont="1" applyFill="1" applyBorder="1" applyAlignment="1">
      <alignment horizontal="center"/>
    </xf>
    <xf numFmtId="166" fontId="66" fillId="0" borderId="0" xfId="2" applyFont="1" applyFill="1" applyBorder="1" applyAlignment="1">
      <alignment horizontal="center"/>
    </xf>
    <xf numFmtId="0" fontId="66" fillId="0" borderId="11" xfId="0" applyFont="1" applyBorder="1"/>
    <xf numFmtId="10" fontId="66" fillId="6" borderId="1" xfId="0" applyNumberFormat="1" applyFont="1" applyFill="1" applyBorder="1"/>
    <xf numFmtId="0" fontId="72" fillId="0" borderId="1" xfId="0" applyFont="1" applyBorder="1"/>
    <xf numFmtId="10" fontId="72" fillId="4" borderId="1" xfId="2" applyNumberFormat="1" applyFont="1" applyFill="1" applyBorder="1" applyAlignment="1">
      <alignment horizontal="center"/>
    </xf>
    <xf numFmtId="10" fontId="66" fillId="6" borderId="1" xfId="3" applyNumberFormat="1" applyFont="1" applyFill="1" applyBorder="1"/>
    <xf numFmtId="2" fontId="66" fillId="6" borderId="1" xfId="0" applyNumberFormat="1" applyFont="1" applyFill="1" applyBorder="1"/>
    <xf numFmtId="10" fontId="66" fillId="4" borderId="1" xfId="0" applyNumberFormat="1" applyFont="1" applyFill="1" applyBorder="1" applyAlignment="1">
      <alignment horizontal="center"/>
    </xf>
    <xf numFmtId="10" fontId="66" fillId="5" borderId="0" xfId="3" applyNumberFormat="1" applyFont="1" applyFill="1" applyBorder="1"/>
    <xf numFmtId="2" fontId="66" fillId="4" borderId="1" xfId="0" applyNumberFormat="1" applyFont="1" applyFill="1" applyBorder="1" applyAlignment="1">
      <alignment horizontal="center"/>
    </xf>
    <xf numFmtId="0" fontId="66" fillId="0" borderId="9" xfId="0" applyFont="1" applyBorder="1"/>
    <xf numFmtId="172" fontId="66" fillId="6" borderId="1" xfId="0" applyNumberFormat="1" applyFont="1" applyFill="1" applyBorder="1"/>
    <xf numFmtId="10" fontId="66" fillId="0" borderId="0" xfId="0" applyNumberFormat="1" applyFont="1"/>
    <xf numFmtId="0" fontId="66" fillId="0" borderId="29" xfId="0" applyFont="1" applyBorder="1"/>
    <xf numFmtId="10" fontId="66" fillId="5" borderId="0" xfId="0" applyNumberFormat="1" applyFont="1" applyFill="1" applyAlignment="1">
      <alignment horizontal="center"/>
    </xf>
    <xf numFmtId="2" fontId="66" fillId="0" borderId="0" xfId="0" applyNumberFormat="1" applyFont="1" applyAlignment="1">
      <alignment horizontal="center"/>
    </xf>
    <xf numFmtId="168" fontId="66" fillId="4" borderId="1" xfId="0" applyNumberFormat="1" applyFont="1" applyFill="1" applyBorder="1" applyAlignment="1">
      <alignment horizontal="center"/>
    </xf>
    <xf numFmtId="168" fontId="66" fillId="0" borderId="0" xfId="0" applyNumberFormat="1" applyFont="1" applyAlignment="1">
      <alignment horizontal="center"/>
    </xf>
    <xf numFmtId="0" fontId="70" fillId="0" borderId="0" xfId="0" applyFont="1"/>
    <xf numFmtId="10" fontId="66" fillId="0" borderId="0" xfId="0" applyNumberFormat="1" applyFont="1" applyAlignment="1">
      <alignment horizontal="center"/>
    </xf>
    <xf numFmtId="0" fontId="73" fillId="5" borderId="0" xfId="0" applyFont="1" applyFill="1"/>
    <xf numFmtId="0" fontId="70" fillId="5" borderId="0" xfId="0" applyFont="1" applyFill="1"/>
    <xf numFmtId="0" fontId="66" fillId="4" borderId="1" xfId="0" applyFont="1" applyFill="1" applyBorder="1" applyAlignment="1">
      <alignment horizontal="center"/>
    </xf>
    <xf numFmtId="9" fontId="66" fillId="4" borderId="1" xfId="0" applyNumberFormat="1" applyFont="1" applyFill="1" applyBorder="1" applyAlignment="1">
      <alignment horizontal="center"/>
    </xf>
    <xf numFmtId="9" fontId="66" fillId="5" borderId="0" xfId="0" applyNumberFormat="1" applyFont="1" applyFill="1" applyAlignment="1">
      <alignment horizontal="center"/>
    </xf>
    <xf numFmtId="168" fontId="66" fillId="10" borderId="0" xfId="0" applyNumberFormat="1" applyFont="1" applyFill="1" applyAlignment="1">
      <alignment horizontal="center"/>
    </xf>
    <xf numFmtId="10" fontId="66" fillId="4" borderId="1" xfId="3" applyNumberFormat="1" applyFont="1" applyFill="1" applyBorder="1" applyAlignment="1">
      <alignment horizontal="center"/>
    </xf>
    <xf numFmtId="168" fontId="64" fillId="4" borderId="1" xfId="0" applyNumberFormat="1" applyFont="1" applyFill="1" applyBorder="1" applyAlignment="1">
      <alignment horizontal="center"/>
    </xf>
    <xf numFmtId="0" fontId="65" fillId="4" borderId="1" xfId="0" applyFont="1" applyFill="1" applyBorder="1"/>
    <xf numFmtId="0" fontId="65" fillId="6" borderId="1" xfId="0" applyFont="1" applyFill="1" applyBorder="1"/>
    <xf numFmtId="0" fontId="74" fillId="0" borderId="1" xfId="0" applyFont="1" applyBorder="1"/>
    <xf numFmtId="0" fontId="75" fillId="0" borderId="0" xfId="0" applyFont="1"/>
    <xf numFmtId="0" fontId="56" fillId="10" borderId="0" xfId="0" applyFont="1" applyFill="1"/>
    <xf numFmtId="0" fontId="76" fillId="0" borderId="0" xfId="0" applyFont="1"/>
    <xf numFmtId="0" fontId="77" fillId="0" borderId="0" xfId="0" applyFont="1"/>
    <xf numFmtId="0" fontId="77" fillId="0" borderId="1" xfId="0" applyFont="1" applyBorder="1"/>
    <xf numFmtId="0" fontId="78" fillId="0" borderId="1" xfId="0" applyFont="1" applyBorder="1" applyAlignment="1">
      <alignment horizontal="center"/>
    </xf>
    <xf numFmtId="10" fontId="77" fillId="10" borderId="1" xfId="0" applyNumberFormat="1" applyFont="1" applyFill="1" applyBorder="1" applyAlignment="1">
      <alignment horizontal="center"/>
    </xf>
    <xf numFmtId="10" fontId="0" fillId="0" borderId="0" xfId="0" applyNumberFormat="1"/>
    <xf numFmtId="0" fontId="77" fillId="0" borderId="1" xfId="0" applyFont="1" applyBorder="1" applyAlignment="1">
      <alignment horizontal="center"/>
    </xf>
    <xf numFmtId="0" fontId="79" fillId="0" borderId="0" xfId="0" applyFont="1"/>
    <xf numFmtId="0" fontId="77" fillId="0" borderId="0" xfId="0" applyFont="1" applyAlignment="1">
      <alignment horizontal="center"/>
    </xf>
    <xf numFmtId="10" fontId="77" fillId="0" borderId="0" xfId="0" applyNumberFormat="1" applyFont="1" applyAlignment="1">
      <alignment horizontal="center"/>
    </xf>
    <xf numFmtId="0" fontId="1" fillId="11" borderId="1" xfId="0" applyFont="1" applyFill="1" applyBorder="1"/>
    <xf numFmtId="10" fontId="1" fillId="11" borderId="1" xfId="3" applyNumberFormat="1" applyFont="1" applyFill="1" applyBorder="1" applyAlignment="1">
      <alignment horizontal="center"/>
    </xf>
    <xf numFmtId="10" fontId="1" fillId="0" borderId="1" xfId="3" applyNumberFormat="1" applyFont="1" applyBorder="1" applyAlignment="1">
      <alignment horizontal="center"/>
    </xf>
    <xf numFmtId="0" fontId="1" fillId="0" borderId="1" xfId="0" applyFont="1" applyBorder="1"/>
    <xf numFmtId="10" fontId="0" fillId="0" borderId="13" xfId="0" applyNumberFormat="1" applyBorder="1" applyAlignment="1">
      <alignment horizontal="center"/>
    </xf>
    <xf numFmtId="10" fontId="1" fillId="0" borderId="13" xfId="3" applyNumberFormat="1" applyFont="1" applyBorder="1" applyAlignment="1">
      <alignment horizontal="center"/>
    </xf>
    <xf numFmtId="10" fontId="23" fillId="0" borderId="0" xfId="0" applyNumberFormat="1" applyFont="1" applyAlignment="1">
      <alignment horizontal="center"/>
    </xf>
    <xf numFmtId="0" fontId="39" fillId="10" borderId="5" xfId="0" applyFont="1" applyFill="1" applyBorder="1" applyAlignment="1">
      <alignment horizontal="left"/>
    </xf>
    <xf numFmtId="0" fontId="39" fillId="10" borderId="5" xfId="0" applyFont="1" applyFill="1" applyBorder="1" applyAlignment="1">
      <alignment wrapText="1"/>
    </xf>
    <xf numFmtId="0" fontId="39" fillId="10" borderId="5" xfId="0" applyFont="1" applyFill="1" applyBorder="1"/>
    <xf numFmtId="0" fontId="39" fillId="10" borderId="16" xfId="0" applyFont="1" applyFill="1" applyBorder="1"/>
    <xf numFmtId="0" fontId="39" fillId="10" borderId="38" xfId="0" applyFont="1" applyFill="1" applyBorder="1"/>
    <xf numFmtId="0" fontId="10" fillId="0" borderId="0" xfId="0" applyFont="1" applyAlignment="1">
      <alignment horizontal="center"/>
    </xf>
    <xf numFmtId="0" fontId="81" fillId="0" borderId="0" xfId="0" applyFont="1" applyAlignment="1">
      <alignment horizontal="center"/>
    </xf>
    <xf numFmtId="168" fontId="10" fillId="0" borderId="1" xfId="0" applyNumberFormat="1" applyFont="1" applyBorder="1" applyAlignment="1">
      <alignment horizontal="center"/>
    </xf>
    <xf numFmtId="10" fontId="10" fillId="0" borderId="1" xfId="3" applyNumberFormat="1" applyFont="1" applyBorder="1" applyAlignment="1">
      <alignment horizontal="center"/>
    </xf>
    <xf numFmtId="10" fontId="10" fillId="0" borderId="1" xfId="0" applyNumberFormat="1" applyFont="1" applyBorder="1" applyAlignment="1">
      <alignment horizontal="center"/>
    </xf>
    <xf numFmtId="168" fontId="10" fillId="10" borderId="1" xfId="0" applyNumberFormat="1" applyFont="1" applyFill="1" applyBorder="1" applyAlignment="1">
      <alignment horizontal="center"/>
    </xf>
    <xf numFmtId="10" fontId="10" fillId="10" borderId="1" xfId="3" applyNumberFormat="1" applyFont="1" applyFill="1" applyBorder="1" applyAlignment="1">
      <alignment horizontal="center"/>
    </xf>
    <xf numFmtId="0" fontId="10" fillId="0" borderId="1" xfId="0" applyFont="1" applyBorder="1"/>
    <xf numFmtId="0" fontId="82" fillId="0" borderId="1" xfId="0" applyFont="1" applyBorder="1" applyAlignment="1">
      <alignment horizontal="center"/>
    </xf>
    <xf numFmtId="0" fontId="79" fillId="0" borderId="10" xfId="0" applyFont="1" applyBorder="1"/>
    <xf numFmtId="0" fontId="79" fillId="0" borderId="6" xfId="0" applyFont="1" applyBorder="1" applyAlignment="1">
      <alignment horizontal="center"/>
    </xf>
    <xf numFmtId="0" fontId="10" fillId="0" borderId="6" xfId="0" applyFont="1" applyBorder="1" applyAlignment="1">
      <alignment horizontal="center"/>
    </xf>
    <xf numFmtId="0" fontId="10" fillId="0" borderId="11" xfId="0" applyFont="1" applyBorder="1"/>
    <xf numFmtId="0" fontId="82" fillId="0" borderId="0" xfId="0" applyFont="1" applyAlignment="1">
      <alignment horizontal="center"/>
    </xf>
    <xf numFmtId="0" fontId="82" fillId="0" borderId="12" xfId="0" applyFont="1" applyBorder="1" applyAlignment="1">
      <alignment horizontal="center"/>
    </xf>
    <xf numFmtId="0" fontId="10" fillId="0" borderId="7" xfId="0" applyFont="1" applyBorder="1" applyAlignment="1">
      <alignment horizontal="center"/>
    </xf>
    <xf numFmtId="0" fontId="10" fillId="0" borderId="12" xfId="0" applyFont="1" applyBorder="1" applyAlignment="1">
      <alignment horizontal="center"/>
    </xf>
    <xf numFmtId="0" fontId="81" fillId="0" borderId="10" xfId="0" applyFont="1" applyBorder="1"/>
    <xf numFmtId="0" fontId="82" fillId="0" borderId="6" xfId="0" applyFont="1" applyBorder="1" applyAlignment="1">
      <alignment horizontal="center"/>
    </xf>
    <xf numFmtId="0" fontId="82" fillId="0" borderId="7" xfId="0" applyFont="1" applyBorder="1" applyAlignment="1">
      <alignment horizontal="center"/>
    </xf>
    <xf numFmtId="0" fontId="82" fillId="0" borderId="11" xfId="0" applyFont="1" applyBorder="1"/>
    <xf numFmtId="0" fontId="10" fillId="10" borderId="11" xfId="0" applyFont="1" applyFill="1" applyBorder="1"/>
    <xf numFmtId="0" fontId="10" fillId="10" borderId="37" xfId="0" applyFont="1" applyFill="1" applyBorder="1"/>
    <xf numFmtId="10" fontId="10" fillId="10" borderId="25" xfId="0" applyNumberFormat="1" applyFont="1" applyFill="1" applyBorder="1" applyAlignment="1">
      <alignment horizontal="center"/>
    </xf>
    <xf numFmtId="10" fontId="10" fillId="10" borderId="25" xfId="3" applyNumberFormat="1" applyFont="1" applyFill="1" applyBorder="1" applyAlignment="1">
      <alignment horizontal="center"/>
    </xf>
    <xf numFmtId="10" fontId="10" fillId="10" borderId="26" xfId="0" applyNumberFormat="1" applyFont="1" applyFill="1" applyBorder="1" applyAlignment="1">
      <alignment horizontal="center"/>
    </xf>
    <xf numFmtId="0" fontId="10" fillId="10" borderId="1" xfId="0" applyFont="1" applyFill="1" applyBorder="1"/>
    <xf numFmtId="166" fontId="10" fillId="10" borderId="1" xfId="0" applyNumberFormat="1" applyFont="1" applyFill="1" applyBorder="1" applyAlignment="1">
      <alignment horizontal="center"/>
    </xf>
    <xf numFmtId="10" fontId="10" fillId="10" borderId="1" xfId="0" applyNumberFormat="1" applyFont="1" applyFill="1" applyBorder="1" applyAlignment="1">
      <alignment horizontal="center"/>
    </xf>
    <xf numFmtId="0" fontId="10" fillId="0" borderId="1" xfId="0" applyFont="1" applyBorder="1" applyAlignment="1">
      <alignment wrapText="1"/>
    </xf>
    <xf numFmtId="0" fontId="10" fillId="10" borderId="36" xfId="0" applyFont="1" applyFill="1" applyBorder="1"/>
    <xf numFmtId="10" fontId="10" fillId="10" borderId="24" xfId="3" applyNumberFormat="1" applyFont="1" applyFill="1" applyBorder="1" applyAlignment="1">
      <alignment horizontal="center"/>
    </xf>
    <xf numFmtId="0" fontId="10" fillId="0" borderId="9" xfId="0" applyFont="1" applyBorder="1" applyAlignment="1">
      <alignment horizontal="center"/>
    </xf>
    <xf numFmtId="0" fontId="10" fillId="0" borderId="29" xfId="0" applyFont="1" applyBorder="1" applyAlignment="1">
      <alignment horizontal="center"/>
    </xf>
    <xf numFmtId="10" fontId="31" fillId="10" borderId="3" xfId="0" applyNumberFormat="1" applyFont="1" applyFill="1" applyBorder="1" applyAlignment="1">
      <alignment horizontal="center"/>
    </xf>
    <xf numFmtId="0" fontId="84" fillId="5" borderId="14" xfId="0" applyFont="1" applyFill="1" applyBorder="1" applyAlignment="1">
      <alignment horizontal="center" vertical="center" wrapText="1"/>
    </xf>
    <xf numFmtId="0" fontId="84" fillId="5" borderId="23" xfId="0" applyFont="1" applyFill="1" applyBorder="1" applyAlignment="1">
      <alignment horizontal="center" vertical="center" wrapText="1"/>
    </xf>
    <xf numFmtId="0" fontId="85" fillId="5" borderId="22" xfId="0" applyFont="1" applyFill="1" applyBorder="1" applyAlignment="1">
      <alignment vertical="center"/>
    </xf>
    <xf numFmtId="0" fontId="85" fillId="10" borderId="1" xfId="0" applyFont="1" applyFill="1" applyBorder="1" applyAlignment="1">
      <alignment horizontal="left" vertical="top" wrapText="1"/>
    </xf>
    <xf numFmtId="0" fontId="85" fillId="10" borderId="24" xfId="0" applyFont="1" applyFill="1" applyBorder="1" applyAlignment="1">
      <alignment horizontal="left" vertical="top" wrapText="1"/>
    </xf>
    <xf numFmtId="9" fontId="85" fillId="10" borderId="1" xfId="3" applyFont="1" applyFill="1" applyBorder="1" applyAlignment="1">
      <alignment horizontal="left" vertical="top" wrapText="1"/>
    </xf>
    <xf numFmtId="0" fontId="85" fillId="5" borderId="27" xfId="0" applyFont="1" applyFill="1" applyBorder="1"/>
    <xf numFmtId="0" fontId="85" fillId="5" borderId="28" xfId="0" applyFont="1" applyFill="1" applyBorder="1"/>
    <xf numFmtId="10" fontId="85" fillId="10" borderId="25" xfId="3" applyNumberFormat="1" applyFont="1" applyFill="1" applyBorder="1" applyAlignment="1">
      <alignment horizontal="left" vertical="top" wrapText="1"/>
    </xf>
    <xf numFmtId="0" fontId="85" fillId="10" borderId="26" xfId="0" applyFont="1" applyFill="1" applyBorder="1" applyAlignment="1">
      <alignment horizontal="left" vertical="top" wrapText="1"/>
    </xf>
    <xf numFmtId="0" fontId="31" fillId="10" borderId="39" xfId="0" applyFont="1" applyFill="1" applyBorder="1"/>
    <xf numFmtId="0" fontId="31" fillId="0" borderId="0" xfId="0" applyFont="1" applyAlignment="1">
      <alignment horizontal="center"/>
    </xf>
    <xf numFmtId="0" fontId="31" fillId="0" borderId="12" xfId="0" applyFont="1" applyBorder="1"/>
    <xf numFmtId="0" fontId="13" fillId="0" borderId="0" xfId="0" applyFont="1" applyAlignment="1">
      <alignment horizontal="center"/>
    </xf>
    <xf numFmtId="0" fontId="13" fillId="0" borderId="12" xfId="0" applyFont="1" applyBorder="1"/>
    <xf numFmtId="0" fontId="13" fillId="0" borderId="9" xfId="0" applyFont="1" applyBorder="1" applyAlignment="1">
      <alignment horizontal="center"/>
    </xf>
    <xf numFmtId="0" fontId="13" fillId="0" borderId="29" xfId="0" applyFont="1" applyBorder="1"/>
    <xf numFmtId="0" fontId="83" fillId="5" borderId="22" xfId="0" applyFont="1" applyFill="1" applyBorder="1" applyAlignment="1">
      <alignment horizontal="center" vertical="center" wrapText="1"/>
    </xf>
    <xf numFmtId="166" fontId="65" fillId="2" borderId="1" xfId="0" applyNumberFormat="1" applyFont="1" applyFill="1" applyBorder="1"/>
    <xf numFmtId="166" fontId="65" fillId="2" borderId="1" xfId="2" applyFont="1" applyFill="1" applyBorder="1"/>
    <xf numFmtId="2" fontId="65" fillId="2" borderId="1" xfId="0" applyNumberFormat="1" applyFont="1" applyFill="1" applyBorder="1"/>
    <xf numFmtId="10" fontId="65" fillId="2" borderId="1" xfId="3" applyNumberFormat="1" applyFont="1" applyFill="1" applyBorder="1"/>
    <xf numFmtId="10" fontId="65" fillId="2" borderId="1" xfId="0" applyNumberFormat="1" applyFont="1" applyFill="1" applyBorder="1"/>
    <xf numFmtId="4" fontId="65" fillId="2" borderId="1" xfId="0" applyNumberFormat="1" applyFont="1" applyFill="1" applyBorder="1"/>
    <xf numFmtId="0" fontId="86" fillId="0" borderId="0" xfId="0" applyFont="1"/>
    <xf numFmtId="0" fontId="89" fillId="0" borderId="0" xfId="0" applyFont="1"/>
    <xf numFmtId="0" fontId="65" fillId="0" borderId="1" xfId="0" applyFont="1" applyBorder="1"/>
    <xf numFmtId="166" fontId="65" fillId="6" borderId="2" xfId="2" applyFont="1" applyFill="1" applyBorder="1"/>
    <xf numFmtId="165" fontId="65" fillId="6" borderId="2" xfId="0" applyNumberFormat="1" applyFont="1" applyFill="1" applyBorder="1"/>
    <xf numFmtId="0" fontId="65" fillId="0" borderId="1" xfId="0" applyFont="1" applyBorder="1" applyAlignment="1">
      <alignment horizontal="center"/>
    </xf>
    <xf numFmtId="3" fontId="65" fillId="0" borderId="1" xfId="0" applyNumberFormat="1" applyFont="1" applyBorder="1" applyAlignment="1">
      <alignment horizontal="center"/>
    </xf>
    <xf numFmtId="10" fontId="79" fillId="0" borderId="1" xfId="0" applyNumberFormat="1" applyFont="1" applyBorder="1" applyAlignment="1">
      <alignment horizontal="center"/>
    </xf>
    <xf numFmtId="169" fontId="79" fillId="0" borderId="1" xfId="1" applyNumberFormat="1" applyFont="1" applyBorder="1" applyAlignment="1">
      <alignment horizontal="center"/>
    </xf>
    <xf numFmtId="10" fontId="65" fillId="0" borderId="1" xfId="0" applyNumberFormat="1" applyFont="1" applyBorder="1" applyAlignment="1">
      <alignment horizontal="center"/>
    </xf>
    <xf numFmtId="0" fontId="65" fillId="0" borderId="0" xfId="0" applyFont="1" applyAlignment="1">
      <alignment horizontal="center"/>
    </xf>
    <xf numFmtId="173" fontId="65" fillId="0" borderId="1" xfId="0" applyNumberFormat="1" applyFont="1" applyBorder="1" applyAlignment="1">
      <alignment horizontal="center"/>
    </xf>
    <xf numFmtId="0" fontId="79" fillId="0" borderId="13" xfId="0" applyFont="1" applyBorder="1" applyAlignment="1">
      <alignment horizontal="center"/>
    </xf>
    <xf numFmtId="0" fontId="88" fillId="0" borderId="0" xfId="0" applyFont="1"/>
    <xf numFmtId="0" fontId="90" fillId="0" borderId="0" xfId="0" applyFont="1"/>
    <xf numFmtId="0" fontId="91" fillId="0" borderId="0" xfId="0" applyFont="1"/>
    <xf numFmtId="0" fontId="85" fillId="0" borderId="0" xfId="0" applyFont="1"/>
    <xf numFmtId="10" fontId="79" fillId="0" borderId="0" xfId="0" applyNumberFormat="1" applyFont="1"/>
    <xf numFmtId="166" fontId="65" fillId="0" borderId="0" xfId="2" applyFont="1"/>
    <xf numFmtId="168" fontId="79" fillId="0" borderId="13" xfId="0" applyNumberFormat="1" applyFont="1" applyBorder="1" applyAlignment="1">
      <alignment horizontal="center"/>
    </xf>
    <xf numFmtId="0" fontId="83" fillId="0" borderId="0" xfId="0" applyFont="1"/>
    <xf numFmtId="0" fontId="92" fillId="10" borderId="14" xfId="0" applyFont="1" applyFill="1" applyBorder="1"/>
    <xf numFmtId="0" fontId="93" fillId="10" borderId="14" xfId="0" applyFont="1" applyFill="1" applyBorder="1"/>
    <xf numFmtId="0" fontId="93" fillId="10" borderId="1" xfId="0" applyFont="1" applyFill="1" applyBorder="1"/>
    <xf numFmtId="10" fontId="93" fillId="10" borderId="1" xfId="3" applyNumberFormat="1" applyFont="1" applyFill="1" applyBorder="1"/>
    <xf numFmtId="0" fontId="65" fillId="6" borderId="2" xfId="0" applyFont="1" applyFill="1" applyBorder="1" applyAlignment="1">
      <alignment horizontal="center"/>
    </xf>
    <xf numFmtId="166" fontId="65" fillId="6" borderId="1" xfId="0" applyNumberFormat="1" applyFont="1" applyFill="1" applyBorder="1"/>
    <xf numFmtId="168" fontId="65" fillId="6" borderId="2" xfId="0" applyNumberFormat="1" applyFont="1" applyFill="1" applyBorder="1"/>
    <xf numFmtId="10" fontId="65" fillId="6" borderId="2" xfId="0" applyNumberFormat="1" applyFont="1" applyFill="1" applyBorder="1"/>
    <xf numFmtId="2" fontId="79" fillId="6" borderId="2" xfId="0" applyNumberFormat="1" applyFont="1" applyFill="1" applyBorder="1" applyAlignment="1">
      <alignment horizontal="center"/>
    </xf>
    <xf numFmtId="0" fontId="79" fillId="6" borderId="4" xfId="0" applyFont="1" applyFill="1" applyBorder="1" applyAlignment="1">
      <alignment horizontal="center"/>
    </xf>
    <xf numFmtId="10" fontId="79" fillId="6" borderId="2" xfId="3" applyNumberFormat="1" applyFont="1" applyFill="1" applyBorder="1" applyAlignment="1">
      <alignment horizontal="center"/>
    </xf>
    <xf numFmtId="10" fontId="79" fillId="6" borderId="2" xfId="0" applyNumberFormat="1" applyFont="1" applyFill="1" applyBorder="1" applyAlignment="1">
      <alignment horizontal="center"/>
    </xf>
    <xf numFmtId="10" fontId="79" fillId="0" borderId="0" xfId="0" applyNumberFormat="1" applyFont="1" applyAlignment="1">
      <alignment horizontal="center"/>
    </xf>
    <xf numFmtId="10" fontId="86" fillId="0" borderId="0" xfId="0" applyNumberFormat="1" applyFont="1" applyAlignment="1">
      <alignment horizontal="center"/>
    </xf>
    <xf numFmtId="0" fontId="89" fillId="0" borderId="1" xfId="0" applyFont="1" applyBorder="1" applyAlignment="1">
      <alignment horizontal="centerContinuous"/>
    </xf>
    <xf numFmtId="0" fontId="89" fillId="0" borderId="1" xfId="0" applyFont="1" applyBorder="1"/>
    <xf numFmtId="0" fontId="89" fillId="0" borderId="1" xfId="0" applyFont="1" applyBorder="1" applyAlignment="1">
      <alignment horizontal="center"/>
    </xf>
    <xf numFmtId="10" fontId="65" fillId="0" borderId="30" xfId="3" applyNumberFormat="1" applyFont="1" applyBorder="1" applyAlignment="1">
      <alignment horizontal="center"/>
    </xf>
    <xf numFmtId="2" fontId="65" fillId="0" borderId="1" xfId="0" applyNumberFormat="1" applyFont="1" applyBorder="1" applyAlignment="1">
      <alignment horizontal="center"/>
    </xf>
    <xf numFmtId="0" fontId="65" fillId="0" borderId="1" xfId="0" applyFont="1" applyBorder="1" applyAlignment="1">
      <alignment horizontal="centerContinuous"/>
    </xf>
    <xf numFmtId="0" fontId="73" fillId="0" borderId="8" xfId="0" applyFont="1" applyBorder="1"/>
    <xf numFmtId="0" fontId="88" fillId="0" borderId="0" xfId="0" applyFont="1" applyAlignment="1">
      <alignment horizontal="centerContinuous"/>
    </xf>
    <xf numFmtId="0" fontId="85" fillId="3" borderId="1" xfId="0" applyFont="1" applyFill="1" applyBorder="1" applyAlignment="1">
      <alignment horizontal="center"/>
    </xf>
    <xf numFmtId="166" fontId="85" fillId="3" borderId="1" xfId="2" applyFont="1" applyFill="1" applyBorder="1"/>
    <xf numFmtId="2" fontId="90" fillId="0" borderId="1" xfId="0" applyNumberFormat="1" applyFont="1" applyBorder="1" applyAlignment="1">
      <alignment horizontal="center"/>
    </xf>
    <xf numFmtId="2" fontId="90" fillId="0" borderId="0" xfId="0" applyNumberFormat="1" applyFont="1"/>
    <xf numFmtId="2" fontId="85" fillId="0" borderId="0" xfId="0" applyNumberFormat="1" applyFont="1"/>
    <xf numFmtId="1" fontId="90" fillId="0" borderId="1" xfId="0" applyNumberFormat="1" applyFont="1" applyBorder="1" applyAlignment="1">
      <alignment horizontal="center"/>
    </xf>
    <xf numFmtId="2" fontId="90" fillId="3" borderId="1" xfId="0" applyNumberFormat="1" applyFont="1" applyFill="1" applyBorder="1" applyAlignment="1">
      <alignment horizontal="center"/>
    </xf>
    <xf numFmtId="2" fontId="94" fillId="0" borderId="0" xfId="0" applyNumberFormat="1" applyFont="1"/>
    <xf numFmtId="2" fontId="90" fillId="0" borderId="13" xfId="0" applyNumberFormat="1" applyFont="1" applyBorder="1" applyAlignment="1">
      <alignment horizontal="centerContinuous"/>
    </xf>
    <xf numFmtId="2" fontId="90" fillId="0" borderId="18" xfId="0" applyNumberFormat="1" applyFont="1" applyBorder="1" applyAlignment="1">
      <alignment horizontal="centerContinuous"/>
    </xf>
    <xf numFmtId="166" fontId="90" fillId="0" borderId="1" xfId="2" applyFont="1" applyBorder="1"/>
    <xf numFmtId="2" fontId="90" fillId="0" borderId="3" xfId="0" applyNumberFormat="1" applyFont="1" applyBorder="1" applyAlignment="1">
      <alignment horizontal="center"/>
    </xf>
    <xf numFmtId="166" fontId="90" fillId="0" borderId="3" xfId="2" applyFont="1" applyBorder="1"/>
    <xf numFmtId="166" fontId="85" fillId="0" borderId="2" xfId="2" applyFont="1" applyBorder="1"/>
    <xf numFmtId="166" fontId="90" fillId="0" borderId="0" xfId="2" applyFont="1"/>
    <xf numFmtId="166" fontId="85" fillId="0" borderId="0" xfId="2" applyFont="1"/>
    <xf numFmtId="168" fontId="85" fillId="0" borderId="19" xfId="0" applyNumberFormat="1" applyFont="1" applyBorder="1"/>
    <xf numFmtId="164" fontId="85" fillId="0" borderId="1" xfId="2" applyNumberFormat="1" applyFont="1" applyBorder="1"/>
    <xf numFmtId="0" fontId="66" fillId="0" borderId="1" xfId="0" applyFont="1" applyBorder="1" applyAlignment="1">
      <alignment vertical="center"/>
    </xf>
    <xf numFmtId="10" fontId="66" fillId="6" borderId="1" xfId="0" applyNumberFormat="1" applyFont="1" applyFill="1" applyBorder="1" applyAlignment="1">
      <alignment horizontal="center" vertical="center"/>
    </xf>
    <xf numFmtId="0" fontId="52" fillId="0" borderId="1" xfId="0" applyFont="1" applyBorder="1" applyAlignment="1">
      <alignment horizontal="center" wrapText="1"/>
    </xf>
    <xf numFmtId="0" fontId="52" fillId="0" borderId="18" xfId="0" applyFont="1" applyBorder="1" applyAlignment="1">
      <alignment horizontal="center" wrapText="1"/>
    </xf>
    <xf numFmtId="0" fontId="95" fillId="0" borderId="14" xfId="0" applyFont="1" applyBorder="1" applyAlignment="1">
      <alignment vertical="center"/>
    </xf>
    <xf numFmtId="3" fontId="95" fillId="0" borderId="30" xfId="0" applyNumberFormat="1" applyFont="1" applyBorder="1"/>
    <xf numFmtId="178" fontId="95" fillId="0" borderId="30" xfId="0" applyNumberFormat="1" applyFont="1" applyBorder="1"/>
    <xf numFmtId="2" fontId="95" fillId="0" borderId="30" xfId="0" applyNumberFormat="1" applyFont="1" applyBorder="1" applyAlignment="1">
      <alignment horizontal="center"/>
    </xf>
    <xf numFmtId="4" fontId="95" fillId="0" borderId="30" xfId="0" applyNumberFormat="1" applyFont="1" applyBorder="1"/>
    <xf numFmtId="0" fontId="52" fillId="0" borderId="0" xfId="0" applyFont="1" applyAlignment="1">
      <alignment vertical="center"/>
    </xf>
    <xf numFmtId="0" fontId="70" fillId="0" borderId="1" xfId="0" applyFont="1" applyBorder="1" applyAlignment="1">
      <alignment horizontal="center"/>
    </xf>
    <xf numFmtId="10" fontId="66" fillId="6" borderId="14" xfId="3" applyNumberFormat="1" applyFont="1" applyFill="1" applyBorder="1" applyAlignment="1">
      <alignment horizontal="center"/>
    </xf>
    <xf numFmtId="10" fontId="66" fillId="6" borderId="1" xfId="3" applyNumberFormat="1" applyFont="1" applyFill="1" applyBorder="1" applyAlignment="1">
      <alignment horizontal="center"/>
    </xf>
    <xf numFmtId="10" fontId="66" fillId="6" borderId="1" xfId="0" applyNumberFormat="1" applyFont="1" applyFill="1" applyBorder="1" applyAlignment="1">
      <alignment horizontal="center"/>
    </xf>
    <xf numFmtId="2" fontId="66" fillId="6" borderId="1" xfId="0" applyNumberFormat="1" applyFont="1" applyFill="1" applyBorder="1" applyAlignment="1">
      <alignment horizontal="center"/>
    </xf>
    <xf numFmtId="166" fontId="96" fillId="12" borderId="1" xfId="2" applyFont="1" applyFill="1" applyBorder="1" applyAlignment="1">
      <alignment horizontal="center"/>
    </xf>
    <xf numFmtId="166" fontId="97" fillId="12" borderId="1" xfId="0" applyNumberFormat="1" applyFont="1" applyFill="1" applyBorder="1"/>
    <xf numFmtId="2" fontId="66" fillId="6" borderId="0" xfId="0" applyNumberFormat="1" applyFont="1" applyFill="1" applyAlignment="1">
      <alignment horizontal="center"/>
    </xf>
    <xf numFmtId="9" fontId="66" fillId="0" borderId="0" xfId="0" applyNumberFormat="1" applyFont="1" applyAlignment="1">
      <alignment horizontal="center"/>
    </xf>
    <xf numFmtId="1" fontId="66" fillId="4" borderId="1" xfId="0" applyNumberFormat="1" applyFont="1" applyFill="1" applyBorder="1" applyAlignment="1">
      <alignment horizontal="center"/>
    </xf>
    <xf numFmtId="166" fontId="23" fillId="0" borderId="0" xfId="0" applyNumberFormat="1" applyFont="1" applyAlignment="1">
      <alignment horizontal="center"/>
    </xf>
    <xf numFmtId="166" fontId="23" fillId="0" borderId="0" xfId="0" applyNumberFormat="1" applyFont="1" applyAlignment="1">
      <alignment horizontal="left"/>
    </xf>
    <xf numFmtId="166" fontId="71" fillId="8" borderId="18" xfId="0" applyNumberFormat="1" applyFont="1" applyFill="1" applyBorder="1"/>
    <xf numFmtId="0" fontId="85" fillId="0" borderId="1" xfId="0" applyFont="1" applyBorder="1"/>
    <xf numFmtId="0" fontId="85" fillId="10" borderId="1" xfId="0" applyFont="1" applyFill="1" applyBorder="1"/>
    <xf numFmtId="10" fontId="85" fillId="0" borderId="1" xfId="0" applyNumberFormat="1" applyFont="1" applyBorder="1"/>
    <xf numFmtId="0" fontId="85" fillId="0" borderId="1" xfId="0" applyFont="1" applyBorder="1" applyAlignment="1">
      <alignment horizontal="center"/>
    </xf>
    <xf numFmtId="0" fontId="85" fillId="10" borderId="1" xfId="0" applyFont="1" applyFill="1" applyBorder="1" applyAlignment="1">
      <alignment horizontal="center"/>
    </xf>
    <xf numFmtId="0" fontId="85" fillId="0" borderId="0" xfId="0" applyFont="1" applyAlignment="1">
      <alignment horizontal="center"/>
    </xf>
    <xf numFmtId="10" fontId="85" fillId="10" borderId="1" xfId="0" applyNumberFormat="1" applyFont="1" applyFill="1" applyBorder="1"/>
    <xf numFmtId="172" fontId="85" fillId="0" borderId="1" xfId="0" applyNumberFormat="1" applyFont="1" applyBorder="1"/>
    <xf numFmtId="172" fontId="85" fillId="10" borderId="1" xfId="0" applyNumberFormat="1" applyFont="1" applyFill="1" applyBorder="1"/>
    <xf numFmtId="10" fontId="85" fillId="0" borderId="0" xfId="0" applyNumberFormat="1" applyFont="1"/>
    <xf numFmtId="173" fontId="85" fillId="0" borderId="1" xfId="0" applyNumberFormat="1" applyFont="1" applyBorder="1"/>
    <xf numFmtId="166" fontId="85" fillId="10" borderId="1" xfId="0" applyNumberFormat="1" applyFont="1" applyFill="1" applyBorder="1"/>
    <xf numFmtId="179" fontId="85" fillId="0" borderId="1" xfId="0" applyNumberFormat="1" applyFont="1" applyBorder="1"/>
    <xf numFmtId="166" fontId="85" fillId="10" borderId="31" xfId="0" applyNumberFormat="1" applyFont="1" applyFill="1" applyBorder="1"/>
    <xf numFmtId="172" fontId="85" fillId="10" borderId="50" xfId="0" applyNumberFormat="1" applyFont="1" applyFill="1" applyBorder="1"/>
    <xf numFmtId="0" fontId="85" fillId="10" borderId="36" xfId="0" applyFont="1" applyFill="1" applyBorder="1"/>
    <xf numFmtId="172" fontId="85" fillId="10" borderId="24" xfId="0" applyNumberFormat="1" applyFont="1" applyFill="1" applyBorder="1"/>
    <xf numFmtId="10" fontId="85" fillId="10" borderId="36" xfId="0" applyNumberFormat="1" applyFont="1" applyFill="1" applyBorder="1"/>
    <xf numFmtId="10" fontId="85" fillId="10" borderId="24" xfId="0" applyNumberFormat="1" applyFont="1" applyFill="1" applyBorder="1"/>
    <xf numFmtId="179" fontId="85" fillId="10" borderId="24" xfId="0" applyNumberFormat="1" applyFont="1" applyFill="1" applyBorder="1"/>
    <xf numFmtId="167" fontId="85" fillId="10" borderId="36" xfId="0" applyNumberFormat="1" applyFont="1" applyFill="1" applyBorder="1"/>
    <xf numFmtId="167" fontId="85" fillId="10" borderId="24" xfId="0" applyNumberFormat="1" applyFont="1" applyFill="1" applyBorder="1"/>
    <xf numFmtId="0" fontId="85" fillId="0" borderId="14" xfId="0" applyFont="1" applyBorder="1"/>
    <xf numFmtId="2" fontId="85" fillId="10" borderId="1" xfId="0" applyNumberFormat="1" applyFont="1" applyFill="1" applyBorder="1"/>
    <xf numFmtId="0" fontId="85" fillId="10" borderId="39" xfId="0" applyFont="1" applyFill="1" applyBorder="1"/>
    <xf numFmtId="168" fontId="85" fillId="10" borderId="54" xfId="0" applyNumberFormat="1" applyFont="1" applyFill="1" applyBorder="1"/>
    <xf numFmtId="168" fontId="85" fillId="10" borderId="1" xfId="0" applyNumberFormat="1" applyFont="1" applyFill="1" applyBorder="1"/>
    <xf numFmtId="10" fontId="85" fillId="10" borderId="1" xfId="3" applyNumberFormat="1" applyFont="1" applyFill="1" applyBorder="1"/>
    <xf numFmtId="0" fontId="85" fillId="0" borderId="17" xfId="0" applyFont="1" applyBorder="1"/>
    <xf numFmtId="168" fontId="85" fillId="0" borderId="15" xfId="0" applyNumberFormat="1" applyFont="1" applyBorder="1"/>
    <xf numFmtId="2" fontId="10" fillId="10" borderId="1" xfId="0" applyNumberFormat="1" applyFont="1" applyFill="1" applyBorder="1" applyAlignment="1">
      <alignment horizontal="center"/>
    </xf>
    <xf numFmtId="0" fontId="0" fillId="10" borderId="1" xfId="0" applyFill="1" applyBorder="1" applyAlignment="1">
      <alignment horizontal="left"/>
    </xf>
    <xf numFmtId="9" fontId="0" fillId="10" borderId="1" xfId="0" applyNumberFormat="1" applyFill="1" applyBorder="1" applyAlignment="1">
      <alignment horizontal="left"/>
    </xf>
    <xf numFmtId="0" fontId="73" fillId="0" borderId="0" xfId="0" applyFont="1"/>
    <xf numFmtId="0" fontId="67" fillId="0" borderId="44" xfId="0" applyFont="1" applyBorder="1" applyAlignment="1">
      <alignment horizontal="center"/>
    </xf>
    <xf numFmtId="0" fontId="67" fillId="0" borderId="9" xfId="0" applyFont="1" applyBorder="1" applyAlignment="1">
      <alignment horizontal="center"/>
    </xf>
    <xf numFmtId="0" fontId="67" fillId="0" borderId="42" xfId="0" applyFont="1" applyBorder="1" applyAlignment="1">
      <alignment horizontal="center"/>
    </xf>
    <xf numFmtId="0" fontId="67" fillId="0" borderId="6" xfId="0" applyFont="1" applyBorder="1" applyAlignment="1">
      <alignment horizontal="center"/>
    </xf>
    <xf numFmtId="0" fontId="67" fillId="0" borderId="7" xfId="0" applyFont="1" applyBorder="1" applyAlignment="1">
      <alignment horizontal="center"/>
    </xf>
    <xf numFmtId="0" fontId="67" fillId="0" borderId="10" xfId="0" applyFont="1" applyBorder="1" applyAlignment="1">
      <alignment horizontal="left"/>
    </xf>
    <xf numFmtId="0" fontId="67" fillId="0" borderId="6" xfId="0" applyFont="1" applyBorder="1" applyAlignment="1">
      <alignment horizontal="left"/>
    </xf>
    <xf numFmtId="0" fontId="67" fillId="0" borderId="7" xfId="0" applyFont="1" applyBorder="1" applyAlignment="1">
      <alignment horizontal="left"/>
    </xf>
    <xf numFmtId="0" fontId="71" fillId="0" borderId="20" xfId="0" applyFont="1" applyBorder="1" applyAlignment="1">
      <alignment horizontal="center" wrapText="1"/>
    </xf>
    <xf numFmtId="0" fontId="71" fillId="0" borderId="12" xfId="0" applyFont="1" applyBorder="1" applyAlignment="1">
      <alignment horizontal="center" wrapText="1"/>
    </xf>
    <xf numFmtId="0" fontId="70" fillId="0" borderId="1" xfId="0" applyFont="1" applyBorder="1" applyAlignment="1">
      <alignment horizontal="center"/>
    </xf>
    <xf numFmtId="0" fontId="67" fillId="0" borderId="0" xfId="0" applyFont="1" applyAlignment="1">
      <alignment horizontal="center"/>
    </xf>
    <xf numFmtId="0" fontId="34" fillId="0" borderId="13" xfId="0" applyFont="1" applyBorder="1" applyAlignment="1">
      <alignment horizontal="center"/>
    </xf>
    <xf numFmtId="0" fontId="34" fillId="0" borderId="5" xfId="0" applyFont="1" applyBorder="1" applyAlignment="1">
      <alignment horizontal="center"/>
    </xf>
    <xf numFmtId="0" fontId="34" fillId="0" borderId="18" xfId="0" applyFont="1" applyBorder="1" applyAlignment="1">
      <alignment horizontal="center"/>
    </xf>
    <xf numFmtId="0" fontId="39" fillId="0" borderId="22" xfId="0" applyFont="1" applyBorder="1" applyAlignment="1">
      <alignment horizontal="left"/>
    </xf>
    <xf numFmtId="0" fontId="39" fillId="0" borderId="5" xfId="0" applyFont="1" applyBorder="1" applyAlignment="1">
      <alignment horizontal="left"/>
    </xf>
    <xf numFmtId="0" fontId="39" fillId="0" borderId="18" xfId="0" applyFont="1" applyBorder="1" applyAlignment="1">
      <alignment horizontal="left"/>
    </xf>
    <xf numFmtId="0" fontId="39" fillId="0" borderId="45" xfId="0" applyFont="1" applyBorder="1" applyAlignment="1">
      <alignment horizontal="left"/>
    </xf>
    <xf numFmtId="0" fontId="39" fillId="0" borderId="46" xfId="0" applyFont="1" applyBorder="1" applyAlignment="1">
      <alignment horizontal="left"/>
    </xf>
    <xf numFmtId="0" fontId="39" fillId="0" borderId="47" xfId="0" applyFont="1" applyBorder="1" applyAlignment="1">
      <alignment horizontal="left"/>
    </xf>
    <xf numFmtId="0" fontId="3" fillId="10" borderId="15" xfId="0" applyFont="1" applyFill="1" applyBorder="1" applyAlignment="1">
      <alignment horizontal="left" vertical="top" wrapText="1"/>
    </xf>
    <xf numFmtId="0" fontId="3" fillId="10" borderId="16" xfId="0" applyFont="1" applyFill="1" applyBorder="1" applyAlignment="1">
      <alignment horizontal="left" vertical="top" wrapText="1"/>
    </xf>
    <xf numFmtId="0" fontId="3" fillId="10" borderId="17" xfId="0" applyFont="1" applyFill="1" applyBorder="1" applyAlignment="1">
      <alignment horizontal="left" vertical="top" wrapText="1"/>
    </xf>
    <xf numFmtId="0" fontId="3" fillId="10" borderId="20" xfId="0" applyFont="1" applyFill="1" applyBorder="1" applyAlignment="1">
      <alignment horizontal="left" vertical="top" wrapText="1"/>
    </xf>
    <xf numFmtId="0" fontId="3" fillId="10" borderId="0" xfId="0" applyFont="1" applyFill="1" applyAlignment="1">
      <alignment horizontal="left" vertical="top" wrapText="1"/>
    </xf>
    <xf numFmtId="0" fontId="3" fillId="10" borderId="21" xfId="0" applyFont="1" applyFill="1" applyBorder="1" applyAlignment="1">
      <alignment horizontal="left" vertical="top" wrapText="1"/>
    </xf>
    <xf numFmtId="0" fontId="3" fillId="10" borderId="48" xfId="0" applyFont="1" applyFill="1" applyBorder="1" applyAlignment="1">
      <alignment horizontal="left" vertical="top" wrapText="1"/>
    </xf>
    <xf numFmtId="0" fontId="3" fillId="10" borderId="49" xfId="0" applyFont="1" applyFill="1" applyBorder="1" applyAlignment="1">
      <alignment horizontal="left" vertical="top" wrapText="1"/>
    </xf>
    <xf numFmtId="0" fontId="3" fillId="10" borderId="30" xfId="0" applyFont="1" applyFill="1" applyBorder="1" applyAlignment="1">
      <alignment horizontal="left" vertical="top" wrapText="1"/>
    </xf>
    <xf numFmtId="0" fontId="42" fillId="0" borderId="15" xfId="0" applyFont="1" applyBorder="1" applyAlignment="1">
      <alignment horizontal="left" wrapText="1"/>
    </xf>
    <xf numFmtId="0" fontId="43" fillId="0" borderId="16" xfId="0" applyFont="1" applyBorder="1" applyAlignment="1">
      <alignment horizontal="left" wrapText="1"/>
    </xf>
    <xf numFmtId="0" fontId="43" fillId="0" borderId="17" xfId="0" applyFont="1" applyBorder="1" applyAlignment="1">
      <alignment horizontal="left" wrapText="1"/>
    </xf>
    <xf numFmtId="0" fontId="43" fillId="0" borderId="20" xfId="0" applyFont="1" applyBorder="1" applyAlignment="1">
      <alignment horizontal="left" wrapText="1"/>
    </xf>
    <xf numFmtId="0" fontId="43" fillId="0" borderId="0" xfId="0" applyFont="1" applyAlignment="1">
      <alignment horizontal="left" wrapText="1"/>
    </xf>
    <xf numFmtId="0" fontId="43" fillId="0" borderId="21" xfId="0" applyFont="1" applyBorder="1" applyAlignment="1">
      <alignment horizontal="left" wrapText="1"/>
    </xf>
    <xf numFmtId="0" fontId="43" fillId="0" borderId="48" xfId="0" applyFont="1" applyBorder="1" applyAlignment="1">
      <alignment horizontal="left" wrapText="1"/>
    </xf>
    <xf numFmtId="0" fontId="43" fillId="0" borderId="49" xfId="0" applyFont="1" applyBorder="1" applyAlignment="1">
      <alignment horizontal="left" wrapText="1"/>
    </xf>
    <xf numFmtId="0" fontId="43" fillId="0" borderId="30" xfId="0" applyFont="1" applyBorder="1" applyAlignment="1">
      <alignment horizontal="left" wrapText="1"/>
    </xf>
    <xf numFmtId="0" fontId="35" fillId="0" borderId="15" xfId="0" applyFont="1" applyBorder="1" applyAlignment="1">
      <alignment horizontal="left"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5" fillId="0" borderId="20" xfId="0" applyFont="1" applyBorder="1" applyAlignment="1">
      <alignment horizontal="left" vertical="center" wrapText="1"/>
    </xf>
    <xf numFmtId="0" fontId="35" fillId="0" borderId="0" xfId="0" applyFont="1" applyAlignment="1">
      <alignment horizontal="left" vertical="center" wrapText="1"/>
    </xf>
    <xf numFmtId="0" fontId="35" fillId="0" borderId="21" xfId="0" applyFont="1" applyBorder="1" applyAlignment="1">
      <alignment horizontal="left" vertical="center" wrapText="1"/>
    </xf>
    <xf numFmtId="0" fontId="35" fillId="0" borderId="48" xfId="0" applyFont="1" applyBorder="1" applyAlignment="1">
      <alignment horizontal="left" vertical="center" wrapText="1"/>
    </xf>
    <xf numFmtId="0" fontId="35" fillId="0" borderId="49" xfId="0" applyFont="1" applyBorder="1" applyAlignment="1">
      <alignment horizontal="left" vertical="center" wrapText="1"/>
    </xf>
    <xf numFmtId="0" fontId="35" fillId="0" borderId="30" xfId="0" applyFont="1" applyBorder="1" applyAlignment="1">
      <alignment horizontal="left" vertical="center" wrapText="1"/>
    </xf>
    <xf numFmtId="0" fontId="44" fillId="0" borderId="15" xfId="0" applyFont="1" applyBorder="1" applyAlignment="1">
      <alignment horizontal="left" vertical="center" wrapText="1"/>
    </xf>
    <xf numFmtId="0" fontId="39" fillId="0" borderId="16" xfId="0" applyFont="1" applyBorder="1" applyAlignment="1">
      <alignment horizontal="left" vertical="center" wrapText="1"/>
    </xf>
    <xf numFmtId="0" fontId="39" fillId="0" borderId="17" xfId="0" applyFont="1" applyBorder="1" applyAlignment="1">
      <alignment horizontal="left" vertical="center" wrapText="1"/>
    </xf>
    <xf numFmtId="0" fontId="39" fillId="0" borderId="20" xfId="0" applyFont="1" applyBorder="1" applyAlignment="1">
      <alignment horizontal="left" vertical="center" wrapText="1"/>
    </xf>
    <xf numFmtId="0" fontId="39" fillId="0" borderId="0" xfId="0" applyFont="1" applyAlignment="1">
      <alignment horizontal="left" vertical="center" wrapText="1"/>
    </xf>
    <xf numFmtId="0" fontId="39" fillId="0" borderId="21" xfId="0" applyFont="1" applyBorder="1" applyAlignment="1">
      <alignment horizontal="left" vertical="center" wrapText="1"/>
    </xf>
    <xf numFmtId="0" fontId="39" fillId="0" borderId="48" xfId="0" applyFont="1" applyBorder="1" applyAlignment="1">
      <alignment horizontal="left" vertical="center" wrapText="1"/>
    </xf>
    <xf numFmtId="0" fontId="39" fillId="0" borderId="49" xfId="0" applyFont="1" applyBorder="1" applyAlignment="1">
      <alignment horizontal="left" vertical="center" wrapText="1"/>
    </xf>
    <xf numFmtId="0" fontId="39" fillId="0" borderId="30" xfId="0" applyFont="1" applyBorder="1" applyAlignment="1">
      <alignment horizontal="left" vertical="center" wrapText="1"/>
    </xf>
    <xf numFmtId="0" fontId="35" fillId="0" borderId="11" xfId="0" applyFont="1" applyBorder="1" applyAlignment="1">
      <alignment horizontal="left" vertical="center" wrapText="1"/>
    </xf>
    <xf numFmtId="172" fontId="39" fillId="0" borderId="13" xfId="2" applyNumberFormat="1" applyFont="1" applyFill="1" applyBorder="1" applyAlignment="1">
      <alignment horizontal="right"/>
    </xf>
    <xf numFmtId="172" fontId="39" fillId="0" borderId="5" xfId="2" applyNumberFormat="1" applyFont="1" applyFill="1" applyBorder="1" applyAlignment="1">
      <alignment horizontal="right"/>
    </xf>
    <xf numFmtId="0" fontId="39" fillId="0" borderId="36" xfId="0" applyFont="1" applyBorder="1" applyAlignment="1">
      <alignment horizontal="left"/>
    </xf>
    <xf numFmtId="0" fontId="39" fillId="0" borderId="1" xfId="0" applyFont="1" applyBorder="1" applyAlignment="1">
      <alignment horizontal="left"/>
    </xf>
    <xf numFmtId="0" fontId="39" fillId="0" borderId="37" xfId="0" applyFont="1" applyBorder="1" applyAlignment="1">
      <alignment horizontal="left"/>
    </xf>
    <xf numFmtId="0" fontId="39" fillId="0" borderId="25" xfId="0" applyFont="1" applyBorder="1" applyAlignment="1">
      <alignment horizontal="left"/>
    </xf>
    <xf numFmtId="0" fontId="39" fillId="0" borderId="44" xfId="0" applyFont="1" applyBorder="1" applyAlignment="1">
      <alignment horizontal="right"/>
    </xf>
    <xf numFmtId="0" fontId="39" fillId="0" borderId="42" xfId="0" applyFont="1" applyBorder="1" applyAlignment="1">
      <alignment horizontal="right"/>
    </xf>
    <xf numFmtId="0" fontId="41" fillId="10" borderId="1" xfId="0" applyFont="1" applyFill="1" applyBorder="1" applyAlignment="1">
      <alignment horizontal="center"/>
    </xf>
    <xf numFmtId="0" fontId="41" fillId="0" borderId="13" xfId="0" applyFont="1" applyBorder="1" applyAlignment="1">
      <alignment horizontal="center"/>
    </xf>
    <xf numFmtId="0" fontId="41" fillId="0" borderId="5" xfId="0" applyFont="1" applyBorder="1" applyAlignment="1">
      <alignment horizontal="center"/>
    </xf>
    <xf numFmtId="0" fontId="41" fillId="0" borderId="18" xfId="0" applyFont="1" applyBorder="1" applyAlignment="1">
      <alignment horizontal="center"/>
    </xf>
    <xf numFmtId="0" fontId="41" fillId="0" borderId="43" xfId="0" applyFont="1" applyBorder="1" applyAlignment="1">
      <alignment horizontal="center"/>
    </xf>
    <xf numFmtId="10" fontId="39" fillId="10" borderId="13" xfId="3" applyNumberFormat="1" applyFont="1" applyFill="1" applyBorder="1" applyAlignment="1">
      <alignment horizontal="center"/>
    </xf>
    <xf numFmtId="10" fontId="39" fillId="10" borderId="18" xfId="3" applyNumberFormat="1" applyFont="1" applyFill="1" applyBorder="1" applyAlignment="1">
      <alignment horizontal="center"/>
    </xf>
    <xf numFmtId="0" fontId="83" fillId="0" borderId="10" xfId="0" applyFont="1" applyBorder="1" applyAlignment="1">
      <alignment horizontal="center"/>
    </xf>
    <xf numFmtId="0" fontId="83" fillId="0" borderId="7" xfId="0" applyFont="1" applyBorder="1" applyAlignment="1">
      <alignment horizontal="center"/>
    </xf>
    <xf numFmtId="0" fontId="83" fillId="0" borderId="6" xfId="0" applyFont="1" applyBorder="1" applyAlignment="1">
      <alignment horizontal="center"/>
    </xf>
    <xf numFmtId="0" fontId="85" fillId="10" borderId="1" xfId="0" applyFont="1" applyFill="1" applyBorder="1" applyAlignment="1">
      <alignment horizontal="left" vertical="top" wrapText="1"/>
    </xf>
    <xf numFmtId="0" fontId="83" fillId="0" borderId="51" xfId="0" applyFont="1" applyBorder="1" applyAlignment="1">
      <alignment horizontal="center"/>
    </xf>
    <xf numFmtId="0" fontId="83" fillId="0" borderId="52" xfId="0" applyFont="1" applyBorder="1" applyAlignment="1">
      <alignment horizontal="center"/>
    </xf>
    <xf numFmtId="0" fontId="83" fillId="0" borderId="53" xfId="0" applyFont="1" applyBorder="1" applyAlignment="1">
      <alignment horizontal="center"/>
    </xf>
    <xf numFmtId="17" fontId="83" fillId="0" borderId="44" xfId="0" applyNumberFormat="1" applyFont="1" applyBorder="1" applyAlignment="1">
      <alignment horizontal="center"/>
    </xf>
    <xf numFmtId="0" fontId="83" fillId="0" borderId="40" xfId="0" applyFont="1" applyBorder="1" applyAlignment="1">
      <alignment horizontal="center"/>
    </xf>
    <xf numFmtId="0" fontId="85" fillId="10" borderId="15" xfId="0" applyFont="1" applyFill="1" applyBorder="1" applyAlignment="1">
      <alignment horizontal="left" vertical="top" wrapText="1"/>
    </xf>
    <xf numFmtId="0" fontId="85" fillId="10" borderId="17" xfId="0" applyFont="1" applyFill="1" applyBorder="1" applyAlignment="1">
      <alignment horizontal="left" vertical="top" wrapText="1"/>
    </xf>
    <xf numFmtId="0" fontId="85" fillId="10" borderId="20" xfId="0" applyFont="1" applyFill="1" applyBorder="1" applyAlignment="1">
      <alignment horizontal="left" vertical="top" wrapText="1"/>
    </xf>
    <xf numFmtId="0" fontId="85" fillId="10" borderId="21" xfId="0" applyFont="1" applyFill="1" applyBorder="1" applyAlignment="1">
      <alignment horizontal="left" vertical="top" wrapText="1"/>
    </xf>
    <xf numFmtId="0" fontId="85" fillId="10" borderId="48" xfId="0" applyFont="1" applyFill="1" applyBorder="1" applyAlignment="1">
      <alignment horizontal="left" vertical="top" wrapText="1"/>
    </xf>
    <xf numFmtId="0" fontId="85" fillId="10" borderId="30" xfId="0" applyFont="1" applyFill="1" applyBorder="1" applyAlignment="1">
      <alignment horizontal="left" vertical="top" wrapText="1"/>
    </xf>
    <xf numFmtId="0" fontId="79" fillId="0" borderId="44" xfId="0" applyFont="1" applyBorder="1" applyAlignment="1">
      <alignment horizontal="center"/>
    </xf>
    <xf numFmtId="0" fontId="79" fillId="0" borderId="42" xfId="0" applyFont="1" applyBorder="1" applyAlignment="1">
      <alignment horizontal="center"/>
    </xf>
    <xf numFmtId="0" fontId="79" fillId="0" borderId="40" xfId="0" applyFont="1" applyBorder="1" applyAlignment="1">
      <alignment horizontal="center"/>
    </xf>
    <xf numFmtId="0" fontId="91" fillId="0" borderId="1" xfId="0" applyFont="1" applyBorder="1" applyAlignment="1">
      <alignment horizontal="center"/>
    </xf>
    <xf numFmtId="10" fontId="87" fillId="0" borderId="44" xfId="0" applyNumberFormat="1" applyFont="1" applyBorder="1" applyAlignment="1">
      <alignment horizontal="center"/>
    </xf>
    <xf numFmtId="10" fontId="87" fillId="0" borderId="40" xfId="0" applyNumberFormat="1" applyFont="1" applyBorder="1" applyAlignment="1">
      <alignment horizontal="center"/>
    </xf>
    <xf numFmtId="0" fontId="81" fillId="0" borderId="6" xfId="0" applyFont="1" applyBorder="1" applyAlignment="1">
      <alignment horizontal="center"/>
    </xf>
    <xf numFmtId="0" fontId="81" fillId="0" borderId="7" xfId="0" applyFont="1" applyBorder="1" applyAlignment="1">
      <alignment horizontal="center"/>
    </xf>
    <xf numFmtId="0" fontId="88" fillId="10" borderId="11" xfId="0" applyFont="1" applyFill="1" applyBorder="1" applyAlignment="1">
      <alignment horizontal="left" vertical="top" wrapText="1"/>
    </xf>
    <xf numFmtId="0" fontId="88" fillId="10" borderId="0" xfId="0" applyFont="1" applyFill="1" applyAlignment="1">
      <alignment horizontal="left" vertical="top" wrapText="1"/>
    </xf>
    <xf numFmtId="0" fontId="79" fillId="10" borderId="44" xfId="0" applyFont="1" applyFill="1" applyBorder="1" applyAlignment="1">
      <alignment horizontal="center"/>
    </xf>
    <xf numFmtId="0" fontId="79" fillId="10" borderId="42" xfId="0" applyFont="1" applyFill="1" applyBorder="1" applyAlignment="1">
      <alignment horizontal="center"/>
    </xf>
    <xf numFmtId="0" fontId="79" fillId="10" borderId="40" xfId="0" applyFont="1" applyFill="1" applyBorder="1" applyAlignment="1">
      <alignment horizontal="center"/>
    </xf>
    <xf numFmtId="0" fontId="65" fillId="10" borderId="10" xfId="0" applyFont="1" applyFill="1" applyBorder="1" applyAlignment="1">
      <alignment horizontal="left" wrapText="1"/>
    </xf>
    <xf numFmtId="0" fontId="65" fillId="10" borderId="6" xfId="0" applyFont="1" applyFill="1" applyBorder="1" applyAlignment="1">
      <alignment horizontal="left" wrapText="1"/>
    </xf>
    <xf numFmtId="0" fontId="65" fillId="10" borderId="7" xfId="0" applyFont="1" applyFill="1" applyBorder="1" applyAlignment="1">
      <alignment horizontal="left" wrapText="1"/>
    </xf>
    <xf numFmtId="0" fontId="65" fillId="10" borderId="8" xfId="0" applyFont="1" applyFill="1" applyBorder="1" applyAlignment="1">
      <alignment horizontal="left" wrapText="1"/>
    </xf>
    <xf numFmtId="0" fontId="65" fillId="10" borderId="9" xfId="0" applyFont="1" applyFill="1" applyBorder="1" applyAlignment="1">
      <alignment horizontal="left" wrapText="1"/>
    </xf>
    <xf numFmtId="0" fontId="65" fillId="10" borderId="29" xfId="0" applyFont="1" applyFill="1" applyBorder="1" applyAlignment="1">
      <alignment horizontal="left" wrapText="1"/>
    </xf>
    <xf numFmtId="0" fontId="59" fillId="10" borderId="10" xfId="0" applyFont="1" applyFill="1" applyBorder="1" applyAlignment="1">
      <alignment horizontal="left" vertical="top" wrapText="1"/>
    </xf>
    <xf numFmtId="0" fontId="59" fillId="10" borderId="6" xfId="0" applyFont="1" applyFill="1" applyBorder="1" applyAlignment="1">
      <alignment horizontal="left" vertical="top" wrapText="1"/>
    </xf>
    <xf numFmtId="0" fontId="59" fillId="10" borderId="7" xfId="0" applyFont="1" applyFill="1" applyBorder="1" applyAlignment="1">
      <alignment horizontal="left" vertical="top" wrapText="1"/>
    </xf>
    <xf numFmtId="0" fontId="59" fillId="10" borderId="11" xfId="0" applyFont="1" applyFill="1" applyBorder="1" applyAlignment="1">
      <alignment horizontal="left" vertical="top" wrapText="1"/>
    </xf>
    <xf numFmtId="0" fontId="59" fillId="10" borderId="0" xfId="0" applyFont="1" applyFill="1" applyAlignment="1">
      <alignment horizontal="left" vertical="top" wrapText="1"/>
    </xf>
    <xf numFmtId="0" fontId="59" fillId="10" borderId="12" xfId="0" applyFont="1" applyFill="1" applyBorder="1" applyAlignment="1">
      <alignment horizontal="left" vertical="top" wrapText="1"/>
    </xf>
    <xf numFmtId="0" fontId="59" fillId="10" borderId="8" xfId="0" applyFont="1" applyFill="1" applyBorder="1" applyAlignment="1">
      <alignment horizontal="left" vertical="top" wrapText="1"/>
    </xf>
    <xf numFmtId="0" fontId="59" fillId="10" borderId="9" xfId="0" applyFont="1" applyFill="1" applyBorder="1" applyAlignment="1">
      <alignment horizontal="left" vertical="top" wrapText="1"/>
    </xf>
    <xf numFmtId="0" fontId="59" fillId="10" borderId="29" xfId="0" applyFont="1"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60" fillId="6" borderId="10" xfId="0" applyFont="1" applyFill="1" applyBorder="1" applyAlignment="1">
      <alignment horizontal="left" vertical="top" wrapText="1"/>
    </xf>
    <xf numFmtId="0" fontId="60" fillId="6" borderId="6" xfId="0" applyFont="1" applyFill="1" applyBorder="1" applyAlignment="1">
      <alignment horizontal="left" vertical="top" wrapText="1"/>
    </xf>
    <xf numFmtId="0" fontId="60" fillId="6" borderId="7" xfId="0" applyFont="1" applyFill="1" applyBorder="1" applyAlignment="1">
      <alignment horizontal="left" vertical="top" wrapText="1"/>
    </xf>
    <xf numFmtId="0" fontId="60" fillId="6" borderId="11" xfId="0" applyFont="1" applyFill="1" applyBorder="1" applyAlignment="1">
      <alignment horizontal="left" vertical="top" wrapText="1"/>
    </xf>
    <xf numFmtId="0" fontId="60" fillId="6" borderId="0" xfId="0" applyFont="1" applyFill="1" applyAlignment="1">
      <alignment horizontal="left" vertical="top" wrapText="1"/>
    </xf>
    <xf numFmtId="0" fontId="60" fillId="6" borderId="12" xfId="0" applyFont="1" applyFill="1" applyBorder="1" applyAlignment="1">
      <alignment horizontal="left" vertical="top" wrapText="1"/>
    </xf>
    <xf numFmtId="0" fontId="60" fillId="6" borderId="8" xfId="0" applyFont="1" applyFill="1" applyBorder="1" applyAlignment="1">
      <alignment horizontal="left" vertical="top" wrapText="1"/>
    </xf>
    <xf numFmtId="0" fontId="60" fillId="6" borderId="9" xfId="0" applyFont="1" applyFill="1" applyBorder="1" applyAlignment="1">
      <alignment horizontal="left" vertical="top" wrapText="1"/>
    </xf>
    <xf numFmtId="0" fontId="60" fillId="6" borderId="29" xfId="0" applyFont="1" applyFill="1" applyBorder="1" applyAlignment="1">
      <alignment horizontal="left" vertical="top" wrapText="1"/>
    </xf>
    <xf numFmtId="0" fontId="0" fillId="10" borderId="1" xfId="0" applyFill="1" applyBorder="1" applyAlignment="1">
      <alignment horizontal="left" vertical="top" wrapText="1"/>
    </xf>
    <xf numFmtId="0" fontId="13" fillId="9" borderId="0" xfId="0" applyFont="1" applyFill="1" applyAlignment="1">
      <alignment horizontal="center" vertical="center" wrapText="1"/>
    </xf>
    <xf numFmtId="0" fontId="4" fillId="10" borderId="1" xfId="0" applyFont="1" applyFill="1" applyBorder="1" applyAlignment="1">
      <alignment horizontal="left" vertical="top" wrapText="1"/>
    </xf>
    <xf numFmtId="0" fontId="27" fillId="0" borderId="16" xfId="0" applyFont="1" applyBorder="1" applyAlignment="1">
      <alignment horizontal="center"/>
    </xf>
    <xf numFmtId="0" fontId="61" fillId="0" borderId="44" xfId="0" applyFont="1" applyBorder="1" applyAlignment="1">
      <alignment horizontal="center"/>
    </xf>
    <xf numFmtId="0" fontId="61" fillId="0" borderId="42" xfId="0" applyFont="1" applyBorder="1" applyAlignment="1">
      <alignment horizontal="center"/>
    </xf>
    <xf numFmtId="0" fontId="61" fillId="0" borderId="40" xfId="0" applyFont="1" applyBorder="1" applyAlignment="1">
      <alignment horizontal="center"/>
    </xf>
    <xf numFmtId="0" fontId="29" fillId="0" borderId="44" xfId="0" applyFont="1" applyBorder="1" applyAlignment="1">
      <alignment horizontal="center"/>
    </xf>
    <xf numFmtId="0" fontId="29" fillId="0" borderId="42" xfId="0" applyFont="1" applyBorder="1" applyAlignment="1">
      <alignment horizontal="center"/>
    </xf>
    <xf numFmtId="0" fontId="29" fillId="0" borderId="40" xfId="0" applyFont="1" applyBorder="1" applyAlignment="1">
      <alignment horizontal="center"/>
    </xf>
    <xf numFmtId="0" fontId="29" fillId="0" borderId="6" xfId="0" applyFont="1" applyBorder="1" applyAlignment="1">
      <alignment horizontal="center"/>
    </xf>
    <xf numFmtId="0" fontId="30" fillId="10" borderId="44" xfId="0" applyFont="1" applyFill="1" applyBorder="1" applyAlignment="1">
      <alignment horizontal="center"/>
    </xf>
    <xf numFmtId="0" fontId="30" fillId="10" borderId="42" xfId="0" applyFont="1" applyFill="1" applyBorder="1" applyAlignment="1">
      <alignment horizontal="center"/>
    </xf>
    <xf numFmtId="0" fontId="30" fillId="10" borderId="40" xfId="0" applyFont="1" applyFill="1" applyBorder="1" applyAlignment="1">
      <alignment horizontal="center"/>
    </xf>
    <xf numFmtId="0" fontId="80" fillId="0" borderId="3" xfId="0" applyFont="1" applyBorder="1" applyAlignment="1">
      <alignment horizontal="center" vertical="center" textRotation="90" wrapText="1"/>
    </xf>
    <xf numFmtId="0" fontId="80" fillId="0" borderId="43" xfId="0" applyFont="1" applyBorder="1" applyAlignment="1">
      <alignment horizontal="center" vertical="center" textRotation="90" wrapText="1"/>
    </xf>
    <xf numFmtId="0" fontId="80" fillId="0" borderId="14" xfId="0" applyFont="1" applyBorder="1" applyAlignment="1">
      <alignment horizontal="center" vertical="center" textRotation="90" wrapText="1"/>
    </xf>
    <xf numFmtId="0" fontId="0" fillId="0" borderId="0" xfId="0" applyAlignment="1">
      <alignment horizontal="center"/>
    </xf>
    <xf numFmtId="0" fontId="52" fillId="0" borderId="49" xfId="0" applyFont="1" applyBorder="1" applyAlignment="1">
      <alignment horizontal="center"/>
    </xf>
    <xf numFmtId="2" fontId="52" fillId="0" borderId="49" xfId="0" applyNumberFormat="1" applyFont="1" applyBorder="1" applyAlignment="1">
      <alignment horizontal="center"/>
    </xf>
    <xf numFmtId="168" fontId="0" fillId="0" borderId="20" xfId="0" applyNumberFormat="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166" fontId="13" fillId="6" borderId="1" xfId="2" applyNumberFormat="1" applyFont="1" applyFill="1" applyBorder="1"/>
    <xf numFmtId="174" fontId="13" fillId="0" borderId="0" xfId="0" applyNumberFormat="1" applyFont="1"/>
    <xf numFmtId="166" fontId="13" fillId="0" borderId="0" xfId="0" applyNumberFormat="1" applyFont="1"/>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1282700</xdr:colOff>
      <xdr:row>0</xdr:row>
      <xdr:rowOff>0</xdr:rowOff>
    </xdr:from>
    <xdr:to>
      <xdr:col>14</xdr:col>
      <xdr:colOff>632623</xdr:colOff>
      <xdr:row>16</xdr:row>
      <xdr:rowOff>165100</xdr:rowOff>
    </xdr:to>
    <xdr:pic>
      <xdr:nvPicPr>
        <xdr:cNvPr id="6" name="Picture 5">
          <a:extLst>
            <a:ext uri="{FF2B5EF4-FFF2-40B4-BE49-F238E27FC236}">
              <a16:creationId xmlns:a16="http://schemas.microsoft.com/office/drawing/2014/main" id="{D7F8577F-5851-CD97-A3B2-9F28F03E3BE1}"/>
            </a:ext>
          </a:extLst>
        </xdr:cNvPr>
        <xdr:cNvPicPr>
          <a:picLocks noChangeAspect="1"/>
        </xdr:cNvPicPr>
      </xdr:nvPicPr>
      <xdr:blipFill>
        <a:blip xmlns:r="http://schemas.openxmlformats.org/officeDocument/2006/relationships" r:embed="rId1"/>
        <a:stretch>
          <a:fillRect/>
        </a:stretch>
      </xdr:blipFill>
      <xdr:spPr>
        <a:xfrm>
          <a:off x="16967200" y="0"/>
          <a:ext cx="3159923" cy="344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1125025</xdr:colOff>
      <xdr:row>13</xdr:row>
      <xdr:rowOff>120431</xdr:rowOff>
    </xdr:from>
    <xdr:to>
      <xdr:col>5</xdr:col>
      <xdr:colOff>10948</xdr:colOff>
      <xdr:row>13</xdr:row>
      <xdr:rowOff>121407</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flipV="1">
          <a:off x="5515284" y="2999828"/>
          <a:ext cx="1601095" cy="97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persons/person.xml><?xml version="1.0" encoding="utf-8"?>
<personList xmlns="http://schemas.microsoft.com/office/spreadsheetml/2018/threadedcomments" xmlns:x="http://schemas.openxmlformats.org/spreadsheetml/2006/main">
  <person displayName="Aswath Damodaran" id="{399B3B34-9084-A749-9828-7191FAEFBE90}" userId="589fc2f8758a43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5" dT="2023-02-16T12:08:17.35" personId="{399B3B34-9084-A749-9828-7191FAEFBE90}" id="{7BAE0B7D-2A22-9646-AFBD-9CED059E2F7D}">
    <text>If you have R&amp;D or R&amp;D-like expenses (customer acquisitions, exploration costs, brand advertising), say yes, and input data into the R&amp;D page.</text>
  </threadedComment>
  <threadedComment ref="B16" dT="2023-02-16T12:06:35.35" personId="{399B3B34-9084-A749-9828-7191FAEFBE90}" id="{DF1B34C1-6F66-8E4E-B352-B5D7538E8B46}">
    <text>If accountants have already converted leases to debt, and you included that debt is cell B12, answer no to this question. Do not double count.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zoomScale="86" zoomScaleNormal="86" workbookViewId="0">
      <selection activeCell="B33" sqref="B33"/>
    </sheetView>
  </sheetViews>
  <sheetFormatPr defaultColWidth="10.796875" defaultRowHeight="13"/>
  <cols>
    <col min="1" max="1" width="73.69921875" style="4" customWidth="1"/>
    <col min="2" max="2" width="26.5" style="4" customWidth="1"/>
    <col min="3" max="3" width="23.19921875" style="4" customWidth="1"/>
    <col min="4" max="4" width="16.69921875" style="4" customWidth="1"/>
    <col min="5" max="7" width="10.796875" style="4"/>
    <col min="8" max="8" width="11" style="4" bestFit="1" customWidth="1"/>
    <col min="9" max="9" width="21.796875" style="4" customWidth="1"/>
    <col min="10" max="10" width="15" style="4" bestFit="1" customWidth="1"/>
    <col min="11" max="11" width="17.5" style="4" bestFit="1" customWidth="1"/>
    <col min="12" max="16384" width="10.796875" style="4"/>
  </cols>
  <sheetData>
    <row r="1" spans="1:10" s="230" customFormat="1" ht="15.5">
      <c r="B1" s="278"/>
      <c r="C1" s="230" t="s">
        <v>785</v>
      </c>
      <c r="D1" s="279"/>
      <c r="E1" s="230" t="s">
        <v>786</v>
      </c>
    </row>
    <row r="2" spans="1:10" s="231" customFormat="1" ht="15.5"/>
    <row r="3" spans="1:10" s="231" customFormat="1" ht="15.5">
      <c r="A3" s="232" t="s">
        <v>366</v>
      </c>
      <c r="B3" s="233">
        <v>43708</v>
      </c>
      <c r="C3" s="234" t="s">
        <v>787</v>
      </c>
      <c r="D3" s="235"/>
      <c r="E3" s="235"/>
      <c r="F3" s="235"/>
      <c r="G3" s="235"/>
      <c r="H3" s="235"/>
      <c r="I3" s="235"/>
      <c r="J3" s="236"/>
    </row>
    <row r="4" spans="1:10" s="231" customFormat="1" ht="16" thickBot="1">
      <c r="A4" s="232" t="s">
        <v>28</v>
      </c>
      <c r="B4" s="237" t="s">
        <v>914</v>
      </c>
      <c r="C4" s="238" t="s">
        <v>90</v>
      </c>
      <c r="J4" s="239"/>
    </row>
    <row r="5" spans="1:10" s="231" customFormat="1" ht="16" thickBot="1">
      <c r="A5" s="482" t="s">
        <v>409</v>
      </c>
      <c r="B5" s="483"/>
      <c r="C5" s="484"/>
      <c r="D5" s="484"/>
      <c r="E5" s="485"/>
      <c r="F5" s="485"/>
      <c r="G5" s="485"/>
      <c r="H5" s="485"/>
      <c r="I5" s="485"/>
      <c r="J5" s="486"/>
    </row>
    <row r="6" spans="1:10" s="231" customFormat="1" ht="15.5">
      <c r="A6" s="232"/>
      <c r="B6" s="232" t="s">
        <v>163</v>
      </c>
      <c r="C6" s="232" t="s">
        <v>164</v>
      </c>
      <c r="E6" s="280" t="s">
        <v>788</v>
      </c>
      <c r="F6" s="240"/>
      <c r="G6" s="240"/>
      <c r="H6" s="240"/>
      <c r="I6" s="240"/>
      <c r="J6" s="240"/>
    </row>
    <row r="7" spans="1:10" s="231" customFormat="1" ht="15.5">
      <c r="A7" s="231" t="s">
        <v>423</v>
      </c>
      <c r="B7" s="241" t="s">
        <v>329</v>
      </c>
      <c r="C7" s="232"/>
    </row>
    <row r="8" spans="1:10" s="231" customFormat="1" ht="15.5">
      <c r="A8" s="231" t="s">
        <v>414</v>
      </c>
      <c r="B8" s="241" t="s">
        <v>670</v>
      </c>
    </row>
    <row r="9" spans="1:10" s="231" customFormat="1" ht="15.5">
      <c r="A9" s="231" t="s">
        <v>415</v>
      </c>
      <c r="B9" s="241" t="s">
        <v>670</v>
      </c>
      <c r="C9" s="242" t="s">
        <v>375</v>
      </c>
      <c r="D9" s="242" t="s">
        <v>503</v>
      </c>
    </row>
    <row r="10" spans="1:10" s="231" customFormat="1" ht="15.5">
      <c r="A10" s="243" t="s">
        <v>5</v>
      </c>
      <c r="B10" s="244">
        <v>67393</v>
      </c>
      <c r="C10" s="244">
        <v>65984</v>
      </c>
      <c r="D10" s="241">
        <v>0.5</v>
      </c>
    </row>
    <row r="11" spans="1:10" s="231" customFormat="1" ht="15.5">
      <c r="A11" s="243" t="s">
        <v>23</v>
      </c>
      <c r="B11" s="244">
        <v>8624</v>
      </c>
      <c r="C11" s="244">
        <v>8348</v>
      </c>
      <c r="D11" s="241">
        <v>0.5</v>
      </c>
    </row>
    <row r="12" spans="1:10" s="231" customFormat="1" ht="15.5">
      <c r="A12" s="243" t="s">
        <v>416</v>
      </c>
      <c r="B12" s="244">
        <v>772</v>
      </c>
      <c r="C12" s="244">
        <v>623</v>
      </c>
      <c r="D12" s="245"/>
    </row>
    <row r="13" spans="1:10" s="231" customFormat="1" ht="15.5">
      <c r="A13" s="243" t="s">
        <v>24</v>
      </c>
      <c r="B13" s="244">
        <v>9240</v>
      </c>
      <c r="C13" s="244">
        <v>9266</v>
      </c>
      <c r="D13" s="245"/>
    </row>
    <row r="14" spans="1:10" s="231" customFormat="1" ht="15.5">
      <c r="A14" s="243" t="s">
        <v>25</v>
      </c>
      <c r="B14" s="244">
        <v>17545</v>
      </c>
      <c r="C14" s="244">
        <v>15429</v>
      </c>
      <c r="D14" s="245"/>
    </row>
    <row r="15" spans="1:10" s="231" customFormat="1" ht="15.5">
      <c r="A15" s="243" t="s">
        <v>405</v>
      </c>
      <c r="B15" s="246" t="s">
        <v>49</v>
      </c>
      <c r="C15" s="447" t="s">
        <v>882</v>
      </c>
      <c r="D15" s="245"/>
    </row>
    <row r="16" spans="1:10" s="231" customFormat="1" ht="15.5">
      <c r="A16" s="243" t="s">
        <v>227</v>
      </c>
      <c r="B16" s="244" t="s">
        <v>49</v>
      </c>
      <c r="C16" s="245" t="s">
        <v>883</v>
      </c>
      <c r="D16" s="245"/>
    </row>
    <row r="17" spans="1:14" s="231" customFormat="1" ht="15.5">
      <c r="A17" s="243" t="s">
        <v>489</v>
      </c>
      <c r="B17" s="244">
        <v>3673</v>
      </c>
      <c r="C17" s="244">
        <v>2547</v>
      </c>
      <c r="D17" s="245"/>
    </row>
    <row r="18" spans="1:14" s="231" customFormat="1" ht="15.5">
      <c r="A18" s="243" t="s">
        <v>490</v>
      </c>
      <c r="B18" s="247">
        <f>587*4</f>
        <v>2348</v>
      </c>
      <c r="C18" s="244">
        <f>4*589</f>
        <v>2356</v>
      </c>
      <c r="D18" s="245"/>
    </row>
    <row r="19" spans="1:14" s="231" customFormat="1" ht="15.5">
      <c r="A19" s="243" t="s">
        <v>371</v>
      </c>
      <c r="B19" s="247">
        <v>0</v>
      </c>
      <c r="C19" s="244">
        <v>0</v>
      </c>
      <c r="D19" s="245"/>
    </row>
    <row r="20" spans="1:14" s="231" customFormat="1" ht="15.5">
      <c r="A20" s="243" t="s">
        <v>26</v>
      </c>
      <c r="B20" s="248">
        <v>251.83068399999999</v>
      </c>
      <c r="C20" s="245"/>
    </row>
    <row r="21" spans="1:14" s="231" customFormat="1" ht="15.5">
      <c r="A21" s="243" t="s">
        <v>27</v>
      </c>
      <c r="B21" s="244">
        <v>448.18</v>
      </c>
      <c r="C21" s="245"/>
      <c r="E21" s="493" t="s">
        <v>226</v>
      </c>
      <c r="F21" s="493"/>
      <c r="G21" s="493"/>
      <c r="H21" s="493"/>
      <c r="I21" s="493"/>
      <c r="J21" s="493"/>
      <c r="K21" s="493"/>
      <c r="L21" s="493"/>
      <c r="M21" s="493"/>
      <c r="N21" s="493"/>
    </row>
    <row r="22" spans="1:14" s="231" customFormat="1" ht="15.5">
      <c r="A22" s="231" t="s">
        <v>94</v>
      </c>
      <c r="B22" s="249">
        <f>0.1586</f>
        <v>0.15859999999999999</v>
      </c>
      <c r="C22" s="245"/>
      <c r="E22" s="268" t="s">
        <v>408</v>
      </c>
    </row>
    <row r="23" spans="1:14" s="231" customFormat="1" ht="15.5">
      <c r="A23" s="231" t="s">
        <v>95</v>
      </c>
      <c r="B23" s="249">
        <v>0.21</v>
      </c>
      <c r="C23" s="245"/>
      <c r="E23" s="232"/>
      <c r="J23" s="242" t="s">
        <v>414</v>
      </c>
      <c r="K23" s="242" t="s">
        <v>415</v>
      </c>
      <c r="L23" s="492" t="s">
        <v>870</v>
      </c>
      <c r="M23" s="492"/>
      <c r="N23" s="492"/>
    </row>
    <row r="24" spans="1:14" s="231" customFormat="1" ht="15.5">
      <c r="A24" s="232" t="s">
        <v>29</v>
      </c>
      <c r="B24" s="250"/>
      <c r="C24" s="245"/>
      <c r="E24" s="232"/>
      <c r="I24" s="243" t="s">
        <v>223</v>
      </c>
      <c r="J24" s="435" t="s">
        <v>869</v>
      </c>
      <c r="K24" s="435" t="s">
        <v>869</v>
      </c>
      <c r="L24" s="435" t="s">
        <v>871</v>
      </c>
      <c r="M24" s="435" t="s">
        <v>774</v>
      </c>
      <c r="N24" s="435" t="s">
        <v>872</v>
      </c>
    </row>
    <row r="25" spans="1:14" s="231" customFormat="1" ht="15.5">
      <c r="A25" s="253" t="s">
        <v>625</v>
      </c>
      <c r="B25" s="257">
        <v>5.9799999999999999E-2</v>
      </c>
      <c r="C25" s="245" t="s">
        <v>904</v>
      </c>
      <c r="E25" s="231" t="s">
        <v>159</v>
      </c>
      <c r="I25" s="252">
        <f>IF(C10&gt;0,(B10/C10)^(1/D10)-1, "NA")</f>
        <v>4.3163301846578017E-2</v>
      </c>
      <c r="J25" s="438">
        <f>VLOOKUP(B8,'Industry Averages(US)'!A2:S95,3)</f>
        <v>3.9922558139534867E-2</v>
      </c>
      <c r="K25" s="437">
        <f>VLOOKUP(B9,'Industry Average Beta (Global)'!A2:N95,3)</f>
        <v>7.3714201183431957E-2</v>
      </c>
      <c r="L25" s="436">
        <f>VLOOKUP($B$9,'Input Stat Distributioons'!$A$3:$R$96,3,FALSE)</f>
        <v>-6.0100000000000001E-2</v>
      </c>
      <c r="M25" s="436">
        <f>VLOOKUP($B$9,'Input Stat Distributioons'!$A$3:$R$96,4,FALSE)</f>
        <v>3.0499999999999999E-2</v>
      </c>
      <c r="N25" s="436">
        <f>VLOOKUP($B$9,'Input Stat Distributioons'!$A$3:$R$96,5,FALSE)</f>
        <v>0.109</v>
      </c>
    </row>
    <row r="26" spans="1:14" s="231" customFormat="1" ht="15.5">
      <c r="A26" s="253" t="s">
        <v>627</v>
      </c>
      <c r="B26" s="254">
        <v>0.1396</v>
      </c>
      <c r="C26" s="245" t="s">
        <v>907</v>
      </c>
      <c r="E26" s="231" t="s">
        <v>160</v>
      </c>
      <c r="I26" s="252">
        <f ca="1">'Valuation output'!B4</f>
        <v>0.13960374310331589</v>
      </c>
      <c r="J26" s="437">
        <f>VLOOKUP(B8,'Industry Averages(US)'!A2:AA95,4)</f>
        <v>8.6354038327109944E-2</v>
      </c>
      <c r="K26" s="437">
        <f>VLOOKUP(B9,'Industry Average Beta (Global)'!A2:N95,4)</f>
        <v>8.0244040953254395E-2</v>
      </c>
      <c r="L26" s="437">
        <f>VLOOKUP($B$9,'Input Stat Distributioons'!$A$3:$R$96,6,FALSE)</f>
        <v>5.6099999999999997E-2</v>
      </c>
      <c r="M26" s="437">
        <f>VLOOKUP($B$9,'Input Stat Distributioons'!$A$3:$R$96,7,FALSE)</f>
        <v>9.0200000000000002E-2</v>
      </c>
      <c r="N26" s="437">
        <f>VLOOKUP($B$9,'Input Stat Distributioons'!$A$3:$R$96,8,FALSE)</f>
        <v>0.1711</v>
      </c>
    </row>
    <row r="27" spans="1:14" s="231" customFormat="1" ht="15.5">
      <c r="A27" s="243" t="s">
        <v>626</v>
      </c>
      <c r="B27" s="257">
        <v>5.9799999999999999E-2</v>
      </c>
      <c r="C27" s="245" t="s">
        <v>905</v>
      </c>
      <c r="E27" s="231" t="s">
        <v>161</v>
      </c>
      <c r="I27" s="256">
        <f ca="1">B10/'Valuation output'!B39</f>
        <v>2.1292211613593151</v>
      </c>
      <c r="J27" s="439">
        <f>VLOOKUP(B8,'Industry Averages(US)'!A2:S95,14)</f>
        <v>1.8653814845726677</v>
      </c>
      <c r="K27" s="439">
        <f>VLOOKUP(B9,'Industry Average Beta (Global)'!A2:N95,14)</f>
        <v>1.6921275153858071</v>
      </c>
      <c r="L27" s="439">
        <f>VLOOKUP($B$9,'Input Stat Distributioons'!$A$3:$R$96,9,FALSE)</f>
        <v>0.62</v>
      </c>
      <c r="M27" s="439">
        <f>VLOOKUP($B$9,'Input Stat Distributioons'!$A$3:$R$96,10,FALSE)</f>
        <v>1.22</v>
      </c>
      <c r="N27" s="439">
        <f>VLOOKUP($B$9,'Input Stat Distributioons'!$A$3:$R$96,11,FALSE)</f>
        <v>1.89</v>
      </c>
    </row>
    <row r="28" spans="1:14" s="231" customFormat="1" ht="15.5">
      <c r="A28" s="243" t="s">
        <v>881</v>
      </c>
      <c r="B28" s="257">
        <v>8.6400000000000005E-2</v>
      </c>
      <c r="C28" s="245" t="s">
        <v>906</v>
      </c>
      <c r="E28" s="231" t="s">
        <v>874</v>
      </c>
      <c r="I28" s="256">
        <f>IF(('Input sheet'!B10-'Input sheet'!C10)/(('Input sheet'!B13+'Input sheet'!B14-'Input sheet'!B17)-('Input sheet'!C13+'Input sheet'!C14-'Input sheet'!C17))&gt;0,('Input sheet'!B10-'Input sheet'!C10)/(('Input sheet'!B13+'Input sheet'!B14-'Input sheet'!B17)-('Input sheet'!C13+'Input sheet'!C14-'Input sheet'!C17)),"NA")</f>
        <v>1.4616182572614107</v>
      </c>
      <c r="J28" s="439"/>
      <c r="K28" s="439"/>
      <c r="L28" s="442"/>
      <c r="M28" s="442"/>
      <c r="N28" s="442"/>
    </row>
    <row r="29" spans="1:14" s="231" customFormat="1" ht="15.5">
      <c r="A29" s="243" t="s">
        <v>756</v>
      </c>
      <c r="B29" s="259">
        <v>30</v>
      </c>
      <c r="C29" s="245" t="s">
        <v>557</v>
      </c>
      <c r="E29" s="231" t="s">
        <v>162</v>
      </c>
      <c r="I29" s="255">
        <f ca="1">'Valuation output'!B7/'Valuation output'!B39</f>
        <v>0.25010383111889051</v>
      </c>
      <c r="J29" s="437">
        <f>VLOOKUP(B8,'Industry Averages(US)'!A2:S95,5)</f>
        <v>0.15249479884885908</v>
      </c>
      <c r="K29" s="437">
        <f>VLOOKUP(B9,'Industry Average Beta (Global)'!A2:N95,5)</f>
        <v>0.12143702063274998</v>
      </c>
      <c r="L29"/>
      <c r="M29"/>
      <c r="N29"/>
    </row>
    <row r="30" spans="1:14" s="231" customFormat="1" ht="15.5">
      <c r="A30" s="243" t="s">
        <v>873</v>
      </c>
      <c r="B30" s="259">
        <v>2.13</v>
      </c>
      <c r="C30" s="245" t="s">
        <v>902</v>
      </c>
      <c r="E30" s="231" t="s">
        <v>365</v>
      </c>
      <c r="I30" s="258"/>
      <c r="J30" s="437">
        <f>VLOOKUP(B8,'Industry Averages(US)'!A2:S95,10)</f>
        <v>0.3755554495377183</v>
      </c>
      <c r="K30" s="437">
        <f>VLOOKUP(B8,'Industry Average Beta (Global)'!A2:Z95,10)</f>
        <v>0.36229340257411924</v>
      </c>
      <c r="L30"/>
      <c r="M30"/>
      <c r="N30"/>
    </row>
    <row r="31" spans="1:14" s="231" customFormat="1" ht="15.5">
      <c r="A31" s="243" t="s">
        <v>647</v>
      </c>
      <c r="B31" s="259">
        <v>1.89</v>
      </c>
      <c r="C31" s="245" t="s">
        <v>903</v>
      </c>
      <c r="E31" s="231" t="s">
        <v>364</v>
      </c>
      <c r="J31" s="437">
        <f>VLOOKUP(B8,'Industry Averages(US)'!A2:S95,13)</f>
        <v>0.10594482009093814</v>
      </c>
      <c r="K31" s="437">
        <f>VLOOKUP(B8,'Industry Average Beta (Global)'!A2:Z95,13)</f>
        <v>0.11634379756383052</v>
      </c>
      <c r="L31" s="437">
        <f>VLOOKUP($B$9,'Input Stat Distributioons'!$A$3:$R$96,12,FALSE)</f>
        <v>0.1011</v>
      </c>
      <c r="M31" s="437">
        <f>VLOOKUP($B$9,'Input Stat Distributioons'!$A$3:$R$96,13,FALSE)</f>
        <v>0.10929999999999999</v>
      </c>
      <c r="N31" s="437">
        <f>VLOOKUP($B$9,'Input Stat Distributioons'!$A$3:$R$96,14,FALSE)</f>
        <v>0.1145</v>
      </c>
    </row>
    <row r="32" spans="1:14" s="231" customFormat="1" ht="16" thickBot="1">
      <c r="A32" s="232" t="s">
        <v>30</v>
      </c>
      <c r="B32" s="262"/>
      <c r="C32" s="245"/>
    </row>
    <row r="33" spans="1:14" s="231" customFormat="1" ht="15.5">
      <c r="A33" s="243" t="s">
        <v>21</v>
      </c>
      <c r="B33" s="257">
        <v>4.1099999999999998E-2</v>
      </c>
      <c r="C33" s="245"/>
      <c r="E33" s="487" t="s">
        <v>491</v>
      </c>
      <c r="F33" s="488"/>
      <c r="G33" s="488"/>
      <c r="H33" s="488"/>
      <c r="I33" s="488"/>
      <c r="J33" s="489"/>
    </row>
    <row r="34" spans="1:14" s="231" customFormat="1" ht="15.5">
      <c r="A34" s="425" t="s">
        <v>32</v>
      </c>
      <c r="B34" s="426">
        <f ca="1">'Cost of capital worksheet'!B13</f>
        <v>9.9503321400523079E-2</v>
      </c>
      <c r="C34" s="490" t="s">
        <v>782</v>
      </c>
      <c r="D34" s="491"/>
      <c r="E34" s="251" t="s">
        <v>492</v>
      </c>
      <c r="J34" s="261">
        <f>'Valuation output'!M3</f>
        <v>118906.89445404211</v>
      </c>
    </row>
    <row r="35" spans="1:14" s="231" customFormat="1" ht="25" customHeight="1">
      <c r="A35" s="232" t="s">
        <v>80</v>
      </c>
      <c r="B35" s="264"/>
      <c r="C35" s="264"/>
      <c r="D35" s="245"/>
      <c r="E35" s="251" t="s">
        <v>494</v>
      </c>
      <c r="J35" s="261">
        <f>'Valuation output'!M5</f>
        <v>14490.786870799264</v>
      </c>
    </row>
    <row r="36" spans="1:14" s="231" customFormat="1" ht="15.5">
      <c r="A36" s="231" t="s">
        <v>229</v>
      </c>
      <c r="B36" s="257" t="s">
        <v>44</v>
      </c>
      <c r="C36" s="219"/>
      <c r="D36" s="245"/>
      <c r="E36" s="251" t="s">
        <v>493</v>
      </c>
      <c r="J36" s="252">
        <f ca="1">'Valuation output'!L40</f>
        <v>0.20677365729741029</v>
      </c>
    </row>
    <row r="37" spans="1:14" s="231" customFormat="1" ht="16" thickBot="1">
      <c r="A37" s="231" t="s">
        <v>81</v>
      </c>
      <c r="B37" s="259">
        <v>7.72</v>
      </c>
      <c r="C37" s="265"/>
      <c r="D37" s="245"/>
      <c r="E37" s="405" t="s">
        <v>495</v>
      </c>
      <c r="F37" s="260"/>
      <c r="G37" s="260"/>
      <c r="H37" s="260"/>
      <c r="I37" s="260"/>
      <c r="J37" s="263"/>
    </row>
    <row r="38" spans="1:14" s="231" customFormat="1" ht="15.5">
      <c r="A38" s="231" t="s">
        <v>82</v>
      </c>
      <c r="B38" s="266">
        <v>1.29</v>
      </c>
      <c r="C38" s="267"/>
      <c r="D38" s="245"/>
    </row>
    <row r="39" spans="1:14" s="268" customFormat="1" ht="15.5">
      <c r="A39" s="231" t="s">
        <v>83</v>
      </c>
      <c r="B39" s="259">
        <v>7</v>
      </c>
      <c r="C39" s="265"/>
      <c r="D39" s="245"/>
      <c r="E39" s="231"/>
      <c r="F39" s="231"/>
      <c r="G39" s="231"/>
      <c r="H39" s="231"/>
      <c r="I39" s="231"/>
      <c r="J39" s="231"/>
      <c r="K39" s="231"/>
      <c r="L39" s="231"/>
      <c r="M39" s="231"/>
      <c r="N39" s="231"/>
    </row>
    <row r="40" spans="1:14" s="231" customFormat="1" ht="15.5">
      <c r="A40" s="231" t="s">
        <v>84</v>
      </c>
      <c r="B40" s="257">
        <v>0.45</v>
      </c>
      <c r="C40" s="245"/>
    </row>
    <row r="41" spans="1:14" s="231" customFormat="1" ht="15.5">
      <c r="B41" s="269"/>
      <c r="C41" s="264"/>
      <c r="D41" s="245"/>
      <c r="E41" s="268"/>
      <c r="F41" s="268"/>
      <c r="G41" s="268"/>
    </row>
    <row r="42" spans="1:14" s="268" customFormat="1" ht="15.5">
      <c r="A42" s="481" t="s">
        <v>96</v>
      </c>
      <c r="B42" s="481"/>
      <c r="C42" s="270"/>
      <c r="D42" s="245"/>
      <c r="E42" s="231"/>
      <c r="F42" s="231"/>
      <c r="G42" s="231"/>
      <c r="H42" s="231"/>
      <c r="I42" s="231"/>
      <c r="J42" s="231"/>
      <c r="K42" s="231"/>
      <c r="L42" s="231"/>
      <c r="M42" s="231"/>
      <c r="N42" s="231"/>
    </row>
    <row r="43" spans="1:14" s="231" customFormat="1" ht="15.5">
      <c r="A43" s="268" t="s">
        <v>97</v>
      </c>
      <c r="B43" s="268"/>
      <c r="C43" s="271"/>
      <c r="D43" s="245"/>
      <c r="N43" s="268"/>
    </row>
    <row r="44" spans="1:14" s="231" customFormat="1" ht="15.5">
      <c r="A44" s="231" t="s">
        <v>33</v>
      </c>
      <c r="B44" s="272" t="s">
        <v>44</v>
      </c>
      <c r="C44" s="245" t="s">
        <v>47</v>
      </c>
      <c r="E44" s="268"/>
      <c r="F44" s="268"/>
      <c r="G44" s="268"/>
      <c r="H44" s="268"/>
      <c r="I44" s="268"/>
      <c r="J44" s="268"/>
      <c r="K44" s="268"/>
      <c r="L44" s="268"/>
      <c r="M44" s="268"/>
    </row>
    <row r="45" spans="1:14" s="231" customFormat="1" ht="15.5">
      <c r="A45" s="231" t="s">
        <v>35</v>
      </c>
      <c r="B45" s="257">
        <v>0.08</v>
      </c>
      <c r="C45" s="245" t="s">
        <v>648</v>
      </c>
    </row>
    <row r="46" spans="1:14" s="231" customFormat="1" ht="15.5">
      <c r="A46" s="268" t="s">
        <v>98</v>
      </c>
      <c r="B46" s="268"/>
      <c r="C46" s="245"/>
      <c r="D46" s="268"/>
      <c r="N46" s="268"/>
    </row>
    <row r="47" spans="1:14" s="231" customFormat="1" ht="15.5">
      <c r="A47" s="231" t="s">
        <v>33</v>
      </c>
      <c r="B47" s="272" t="s">
        <v>49</v>
      </c>
      <c r="C47" s="245" t="s">
        <v>46</v>
      </c>
      <c r="H47" s="268"/>
      <c r="I47" s="268"/>
      <c r="J47" s="268"/>
      <c r="K47" s="268"/>
      <c r="L47" s="268"/>
      <c r="M47" s="268"/>
    </row>
    <row r="48" spans="1:14" s="231" customFormat="1" ht="15.5">
      <c r="A48" s="231" t="s">
        <v>34</v>
      </c>
      <c r="B48" s="257">
        <f>0.095+0.05</f>
        <v>0.14500000000000002</v>
      </c>
      <c r="C48" s="245" t="s">
        <v>133</v>
      </c>
    </row>
    <row r="49" spans="1:14" s="231" customFormat="1" ht="15.5">
      <c r="A49" s="268" t="s">
        <v>129</v>
      </c>
      <c r="C49" s="245"/>
    </row>
    <row r="50" spans="1:14" s="231" customFormat="1" ht="15.5">
      <c r="A50" s="231" t="s">
        <v>33</v>
      </c>
      <c r="B50" s="272" t="s">
        <v>44</v>
      </c>
      <c r="C50" s="245" t="s">
        <v>104</v>
      </c>
    </row>
    <row r="51" spans="1:14" s="231" customFormat="1" ht="15.5">
      <c r="A51" s="231" t="s">
        <v>99</v>
      </c>
      <c r="B51" s="273">
        <v>0.12</v>
      </c>
      <c r="C51" s="245" t="s">
        <v>789</v>
      </c>
    </row>
    <row r="52" spans="1:14" s="231" customFormat="1" ht="15.5">
      <c r="A52" s="231" t="s">
        <v>102</v>
      </c>
      <c r="B52" s="273" t="s">
        <v>221</v>
      </c>
      <c r="C52" s="245" t="s">
        <v>93</v>
      </c>
    </row>
    <row r="53" spans="1:14" s="231" customFormat="1" ht="15.5">
      <c r="A53" s="231" t="s">
        <v>222</v>
      </c>
      <c r="B53" s="273">
        <v>0.5</v>
      </c>
      <c r="C53" s="245" t="s">
        <v>103</v>
      </c>
    </row>
    <row r="54" spans="1:14" s="231" customFormat="1" ht="15.5">
      <c r="A54" s="231" t="s">
        <v>877</v>
      </c>
      <c r="B54" s="443"/>
      <c r="C54" s="245"/>
    </row>
    <row r="55" spans="1:14" s="231" customFormat="1" ht="15.5">
      <c r="A55" s="231" t="s">
        <v>878</v>
      </c>
      <c r="B55" s="272" t="s">
        <v>44</v>
      </c>
      <c r="C55" s="245"/>
    </row>
    <row r="56" spans="1:14" s="231" customFormat="1" ht="15.5">
      <c r="A56" s="231" t="s">
        <v>879</v>
      </c>
      <c r="B56" s="444">
        <v>1</v>
      </c>
      <c r="C56" s="245"/>
    </row>
    <row r="57" spans="1:14" s="231" customFormat="1" ht="15.5">
      <c r="A57" s="268" t="s">
        <v>131</v>
      </c>
      <c r="B57" s="274"/>
      <c r="C57" s="245"/>
    </row>
    <row r="58" spans="1:14" s="231" customFormat="1" ht="15.5">
      <c r="A58" s="231" t="s">
        <v>33</v>
      </c>
      <c r="B58" s="273" t="s">
        <v>44</v>
      </c>
      <c r="C58" s="245"/>
    </row>
    <row r="59" spans="1:14" s="231" customFormat="1" ht="15.5">
      <c r="A59" s="268" t="s">
        <v>128</v>
      </c>
      <c r="C59" s="245"/>
    </row>
    <row r="60" spans="1:14" s="231" customFormat="1" ht="15.5">
      <c r="A60" s="231" t="s">
        <v>33</v>
      </c>
      <c r="B60" s="272" t="s">
        <v>44</v>
      </c>
      <c r="C60" s="245" t="s">
        <v>48</v>
      </c>
    </row>
    <row r="61" spans="1:14" s="231" customFormat="1" ht="15.5">
      <c r="A61" s="231" t="s">
        <v>42</v>
      </c>
      <c r="B61" s="266">
        <f>474.8+256.6</f>
        <v>731.40000000000009</v>
      </c>
      <c r="C61" s="245" t="s">
        <v>134</v>
      </c>
    </row>
    <row r="62" spans="1:14" s="231" customFormat="1" ht="15.5">
      <c r="A62" s="231" t="s">
        <v>620</v>
      </c>
      <c r="B62" s="275"/>
      <c r="C62" s="245"/>
    </row>
    <row r="63" spans="1:14" s="231" customFormat="1" ht="15.5">
      <c r="A63" s="231" t="s">
        <v>33</v>
      </c>
      <c r="B63" s="266" t="s">
        <v>44</v>
      </c>
      <c r="C63" s="245" t="s">
        <v>622</v>
      </c>
    </row>
    <row r="64" spans="1:14" s="268" customFormat="1" ht="15.5">
      <c r="A64" s="231" t="s">
        <v>621</v>
      </c>
      <c r="B64" s="276">
        <v>0.02</v>
      </c>
      <c r="C64" s="245" t="s">
        <v>623</v>
      </c>
      <c r="D64" s="231"/>
      <c r="E64" s="231"/>
      <c r="F64" s="231"/>
      <c r="G64" s="231"/>
      <c r="H64" s="231"/>
      <c r="I64" s="231"/>
      <c r="J64" s="231"/>
      <c r="K64" s="231"/>
      <c r="L64" s="231"/>
      <c r="M64" s="231"/>
      <c r="N64" s="231"/>
    </row>
    <row r="65" spans="1:14" s="231" customFormat="1" ht="15.5">
      <c r="A65" s="231" t="s">
        <v>499</v>
      </c>
      <c r="B65" s="267"/>
      <c r="C65" s="245"/>
    </row>
    <row r="66" spans="1:14" s="231" customFormat="1" ht="15.5">
      <c r="A66" s="231" t="s">
        <v>33</v>
      </c>
      <c r="B66" s="266" t="s">
        <v>44</v>
      </c>
      <c r="C66" s="245" t="s">
        <v>624</v>
      </c>
      <c r="E66" s="268"/>
      <c r="F66" s="268"/>
      <c r="G66" s="268"/>
      <c r="H66" s="268"/>
      <c r="I66" s="268"/>
      <c r="J66" s="268"/>
      <c r="K66" s="268"/>
      <c r="L66" s="268"/>
      <c r="M66" s="268"/>
      <c r="N66" s="268"/>
    </row>
    <row r="67" spans="1:14" s="231" customFormat="1" ht="15.5">
      <c r="A67" s="231" t="s">
        <v>500</v>
      </c>
      <c r="B67" s="276">
        <v>-0.05</v>
      </c>
      <c r="C67" s="245" t="s">
        <v>501</v>
      </c>
    </row>
    <row r="68" spans="1:14" s="231" customFormat="1" ht="15.5">
      <c r="A68" s="268" t="s">
        <v>504</v>
      </c>
      <c r="B68" s="268"/>
      <c r="C68" s="268"/>
      <c r="D68" s="268"/>
    </row>
    <row r="69" spans="1:14" s="231" customFormat="1" ht="15.5">
      <c r="A69" s="231" t="s">
        <v>496</v>
      </c>
      <c r="B69" s="272" t="s">
        <v>44</v>
      </c>
    </row>
    <row r="70" spans="1:14" s="231" customFormat="1" ht="15.5">
      <c r="A70" s="231" t="s">
        <v>507</v>
      </c>
      <c r="B70" s="277">
        <v>140000</v>
      </c>
      <c r="C70" s="245" t="s">
        <v>505</v>
      </c>
    </row>
    <row r="71" spans="1:14" s="231" customFormat="1" ht="15.5">
      <c r="A71" s="243" t="s">
        <v>497</v>
      </c>
      <c r="B71" s="273">
        <v>0.15</v>
      </c>
      <c r="C71" s="245" t="s">
        <v>506</v>
      </c>
    </row>
    <row r="72" spans="1:14" s="231" customFormat="1" ht="15.5">
      <c r="A72" s="78"/>
      <c r="B72" s="4"/>
      <c r="C72" s="4"/>
      <c r="D72" s="4"/>
    </row>
    <row r="73" spans="1:14" ht="15.5">
      <c r="E73" s="231"/>
      <c r="F73" s="231"/>
      <c r="G73" s="231"/>
      <c r="H73" s="231"/>
      <c r="I73" s="231"/>
      <c r="J73" s="231"/>
      <c r="K73" s="231"/>
      <c r="L73" s="231"/>
      <c r="M73" s="231"/>
      <c r="N73" s="231"/>
    </row>
    <row r="74" spans="1:14" ht="15.5">
      <c r="E74" s="231"/>
      <c r="F74" s="231"/>
      <c r="G74" s="231"/>
      <c r="H74" s="231"/>
      <c r="I74" s="231"/>
      <c r="J74" s="231"/>
      <c r="K74" s="231"/>
      <c r="L74" s="231"/>
      <c r="M74" s="231"/>
      <c r="N74" s="231"/>
    </row>
  </sheetData>
  <mergeCells count="6">
    <mergeCell ref="A42:B42"/>
    <mergeCell ref="A5:J5"/>
    <mergeCell ref="E33:J33"/>
    <mergeCell ref="C34:D34"/>
    <mergeCell ref="L23:N23"/>
    <mergeCell ref="E21:N2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2" xr:uid="{8CB89D6B-6512-6147-996A-22116969CDC5}">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4" xr:uid="{3BCCB279-45D9-E648-9CD2-0C470C13F11C}"/>
  </dataValidations>
  <pageMargins left="0.75" right="0.75" top="1" bottom="1" header="0.5" footer="0.5"/>
  <pageSetup orientation="portrait" horizontalDpi="4294967292" verticalDpi="4294967292"/>
  <headerFooter alignWithMargins="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2000000}">
          <x14:formula1>
            <xm:f>'Industry Averages(US)'!$A$2:$A$95</xm:f>
          </x14:formula1>
          <xm:sqref>B8</xm:sqref>
        </x14:dataValidation>
        <x14:dataValidation type="list" allowBlank="1" showInputMessage="1" showErrorMessage="1" xr:uid="{00000000-0002-0000-0000-000003000000}">
          <x14:formula1>
            <xm:f>'Industry Average Beta (Global)'!$A$2:$A$95</xm:f>
          </x14:formula1>
          <xm:sqref>B9</xm:sqref>
        </x14:dataValidation>
        <x14:dataValidation type="list" allowBlank="1" showInputMessage="1" showErrorMessage="1" xr:uid="{00000000-0002-0000-0000-000004000000}">
          <x14:formula1>
            <xm:f>'Answer keys'!$A$2:$A$3</xm:f>
          </x14:formula1>
          <xm:sqref>B15:B16 B36 B44 B47 B50 B58 B60 B66 B69 B63 B55</xm:sqref>
        </x14:dataValidation>
        <x14:dataValidation type="list" allowBlank="1" showInputMessage="1" showErrorMessage="1" xr:uid="{00000000-0002-0000-0000-000005000000}">
          <x14:formula1>
            <xm:f>'Answer keys'!$B$2:$B$3</xm:f>
          </x14:formula1>
          <xm:sqref>B52</xm:sqref>
        </x14:dataValidation>
        <x14:dataValidation type="list" allowBlank="1" showInputMessage="1" showErrorMessage="1" xr:uid="{00000000-0002-0000-0000-000001000000}">
          <x14:formula1>
            <xm:f>'Country equity risk premiums'!$A$5:$A$181</xm:f>
          </x14:formula1>
          <xm:sqref>B7</xm:sqref>
        </x14:dataValidation>
        <x14:dataValidation type="list" allowBlank="1" showInputMessage="1" showErrorMessage="1" xr:uid="{D54CE166-FBA5-B24A-A91B-F467D8D4B472}">
          <x14:formula1>
            <xm:f>'Answer keys'!$J$2:$J$5</xm:f>
          </x14:formula1>
          <xm:sqref>B56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topLeftCell="A13" zoomScale="125" zoomScaleNormal="125" workbookViewId="0">
      <selection activeCell="F32" sqref="F32"/>
    </sheetView>
  </sheetViews>
  <sheetFormatPr defaultColWidth="11.19921875" defaultRowHeight="11.5"/>
  <sheetData>
    <row r="1" spans="1:12" s="6" customFormat="1" ht="17.5">
      <c r="A1" s="16" t="s">
        <v>105</v>
      </c>
      <c r="B1" s="16"/>
      <c r="C1" s="16"/>
      <c r="D1" s="16"/>
      <c r="E1" s="16"/>
      <c r="F1" s="16"/>
      <c r="G1" s="16"/>
      <c r="H1" s="16"/>
      <c r="I1" s="16"/>
      <c r="J1" s="16"/>
      <c r="K1" s="16"/>
    </row>
    <row r="2" spans="1:12" s="6" customFormat="1" ht="18" thickBot="1">
      <c r="A2" s="16" t="s">
        <v>145</v>
      </c>
      <c r="B2" s="16"/>
      <c r="C2" s="16"/>
      <c r="D2" s="16"/>
      <c r="E2" s="16"/>
      <c r="F2" s="16"/>
      <c r="G2" s="16"/>
      <c r="H2" s="16"/>
      <c r="I2" s="16"/>
      <c r="J2" s="16"/>
      <c r="K2" s="16"/>
    </row>
    <row r="3" spans="1:12" s="12" customFormat="1" ht="13" customHeight="1">
      <c r="A3" s="12" t="s">
        <v>4</v>
      </c>
      <c r="H3" s="589" t="s">
        <v>755</v>
      </c>
      <c r="I3" s="590"/>
      <c r="J3" s="590"/>
      <c r="K3" s="590"/>
      <c r="L3" s="591"/>
    </row>
    <row r="4" spans="1:12" s="7" customFormat="1" ht="13">
      <c r="A4" s="7" t="s">
        <v>106</v>
      </c>
      <c r="E4" s="20">
        <v>295</v>
      </c>
      <c r="H4" s="592"/>
      <c r="I4" s="593"/>
      <c r="J4" s="593"/>
      <c r="K4" s="593"/>
      <c r="L4" s="594"/>
    </row>
    <row r="5" spans="1:12" s="10" customFormat="1" ht="13">
      <c r="A5" s="10" t="s">
        <v>107</v>
      </c>
      <c r="H5" s="592"/>
      <c r="I5" s="593"/>
      <c r="J5" s="593"/>
      <c r="K5" s="593"/>
      <c r="L5" s="594"/>
    </row>
    <row r="6" spans="1:12" s="7" customFormat="1" ht="13">
      <c r="A6" s="17" t="s">
        <v>108</v>
      </c>
      <c r="B6" s="17" t="s">
        <v>109</v>
      </c>
      <c r="C6" s="7" t="s">
        <v>110</v>
      </c>
      <c r="H6" s="592"/>
      <c r="I6" s="593"/>
      <c r="J6" s="593"/>
      <c r="K6" s="593"/>
      <c r="L6" s="594"/>
    </row>
    <row r="7" spans="1:12" s="7" customFormat="1" ht="13">
      <c r="A7" s="17">
        <v>1</v>
      </c>
      <c r="B7" s="183">
        <v>287</v>
      </c>
      <c r="H7" s="592"/>
      <c r="I7" s="593"/>
      <c r="J7" s="593"/>
      <c r="K7" s="593"/>
      <c r="L7" s="594"/>
    </row>
    <row r="8" spans="1:12" s="7" customFormat="1" ht="13">
      <c r="A8" s="17">
        <v>2</v>
      </c>
      <c r="B8" s="183">
        <v>235</v>
      </c>
      <c r="H8" s="592"/>
      <c r="I8" s="593"/>
      <c r="J8" s="593"/>
      <c r="K8" s="593"/>
      <c r="L8" s="594"/>
    </row>
    <row r="9" spans="1:12" s="7" customFormat="1" ht="13">
      <c r="A9" s="17">
        <v>3</v>
      </c>
      <c r="B9" s="183">
        <v>194</v>
      </c>
      <c r="H9" s="592"/>
      <c r="I9" s="593"/>
      <c r="J9" s="593"/>
      <c r="K9" s="593"/>
      <c r="L9" s="594"/>
    </row>
    <row r="10" spans="1:12" s="7" customFormat="1" ht="13">
      <c r="A10" s="17">
        <v>4</v>
      </c>
      <c r="B10" s="183">
        <v>151</v>
      </c>
      <c r="H10" s="592"/>
      <c r="I10" s="593"/>
      <c r="J10" s="593"/>
      <c r="K10" s="593"/>
      <c r="L10" s="594"/>
    </row>
    <row r="11" spans="1:12" s="7" customFormat="1" ht="13.5" thickBot="1">
      <c r="A11" s="17">
        <v>5</v>
      </c>
      <c r="B11" s="183">
        <v>98</v>
      </c>
      <c r="H11" s="595"/>
      <c r="I11" s="596"/>
      <c r="J11" s="596"/>
      <c r="K11" s="596"/>
      <c r="L11" s="597"/>
    </row>
    <row r="12" spans="1:12" s="7" customFormat="1" ht="13">
      <c r="A12" s="17" t="s">
        <v>111</v>
      </c>
      <c r="B12" s="146">
        <v>605</v>
      </c>
      <c r="C12" s="633">
        <f>AVERAGE(B7:B11)</f>
        <v>193</v>
      </c>
    </row>
    <row r="13" spans="1:12" s="7" customFormat="1" ht="13"/>
    <row r="14" spans="1:12" s="18" customFormat="1" ht="15.5" thickBot="1">
      <c r="A14" s="18" t="s">
        <v>112</v>
      </c>
    </row>
    <row r="15" spans="1:12" s="7" customFormat="1" ht="13.5" thickBot="1">
      <c r="A15" s="7" t="s">
        <v>113</v>
      </c>
      <c r="C15" s="39">
        <f ca="1">'Cost of capital worksheet'!B37</f>
        <v>4.8500000000000001E-2</v>
      </c>
      <c r="D15" s="7" t="s">
        <v>220</v>
      </c>
    </row>
    <row r="16" spans="1:12" s="7" customFormat="1" ht="13"/>
    <row r="17" spans="1:7" s="7" customFormat="1" ht="13">
      <c r="D17" s="21"/>
    </row>
    <row r="18" spans="1:7" s="7" customFormat="1" ht="13">
      <c r="A18" s="7" t="s">
        <v>114</v>
      </c>
      <c r="D18" s="22">
        <f>IF(B12&gt;0,ROUND(B12/AVERAGE(B7:B11),0),0)</f>
        <v>3</v>
      </c>
      <c r="E18" s="7" t="s">
        <v>115</v>
      </c>
    </row>
    <row r="19" spans="1:7" s="12" customFormat="1" ht="13">
      <c r="E19" s="7" t="s">
        <v>116</v>
      </c>
    </row>
    <row r="20" spans="1:7" s="10" customFormat="1" ht="13">
      <c r="A20" s="10" t="s">
        <v>117</v>
      </c>
    </row>
    <row r="21" spans="1:7" s="7" customFormat="1" ht="13">
      <c r="A21" s="17" t="s">
        <v>108</v>
      </c>
      <c r="B21" s="17" t="s">
        <v>109</v>
      </c>
      <c r="C21" s="17" t="s">
        <v>118</v>
      </c>
    </row>
    <row r="22" spans="1:7" s="7" customFormat="1" ht="13">
      <c r="A22" s="13">
        <f>A7</f>
        <v>1</v>
      </c>
      <c r="B22" s="15">
        <f>B7</f>
        <v>287</v>
      </c>
      <c r="C22" s="8">
        <f ca="1">B22/(1+$C$15)^A22</f>
        <v>273.72436814496899</v>
      </c>
      <c r="E22" s="634">
        <f ca="1">SUM(C22:C26)</f>
        <v>858.06826091414177</v>
      </c>
    </row>
    <row r="23" spans="1:7" s="7" customFormat="1" ht="13">
      <c r="A23" s="13">
        <f t="shared" ref="A23:B26" si="0">A8</f>
        <v>2</v>
      </c>
      <c r="B23" s="15">
        <f t="shared" si="0"/>
        <v>235</v>
      </c>
      <c r="C23" s="8">
        <f ca="1">B23/(1+$C$15)^A23</f>
        <v>213.76224044659028</v>
      </c>
    </row>
    <row r="24" spans="1:7" s="7" customFormat="1" ht="13">
      <c r="A24" s="13">
        <f t="shared" si="0"/>
        <v>3</v>
      </c>
      <c r="B24" s="15">
        <f t="shared" si="0"/>
        <v>194</v>
      </c>
      <c r="C24" s="8">
        <f ca="1">B24/(1+$C$15)^A24</f>
        <v>168.30477032696564</v>
      </c>
    </row>
    <row r="25" spans="1:7" s="7" customFormat="1" ht="13">
      <c r="A25" s="13">
        <f t="shared" si="0"/>
        <v>4</v>
      </c>
      <c r="B25" s="15">
        <f t="shared" si="0"/>
        <v>151</v>
      </c>
      <c r="C25" s="8">
        <f ca="1">B25/(1+$C$15)^A25</f>
        <v>124.94049092897468</v>
      </c>
    </row>
    <row r="26" spans="1:7" s="7" customFormat="1" ht="13">
      <c r="A26" s="13">
        <f t="shared" si="0"/>
        <v>5</v>
      </c>
      <c r="B26" s="15">
        <f t="shared" si="0"/>
        <v>98</v>
      </c>
      <c r="C26" s="8">
        <f ca="1">B26/(1+$C$15)^A26</f>
        <v>77.336391066642165</v>
      </c>
    </row>
    <row r="27" spans="1:7" s="7" customFormat="1" ht="13.5" thickBot="1">
      <c r="A27" s="23" t="str">
        <f>A12</f>
        <v>6 and beyond</v>
      </c>
      <c r="B27" s="24">
        <f>IF(B12&gt;0,IF(D18&gt;0,B12/D18,B12),0)</f>
        <v>201.66666666666666</v>
      </c>
      <c r="C27" s="25">
        <f ca="1">IF(D18&gt;0,(B27*(1-(1+C15)^(-D18))/C15)/(1+$C$15)^5,B27/(1+C15)^6)</f>
        <v>434.61126739172454</v>
      </c>
      <c r="D27" s="7" t="s">
        <v>119</v>
      </c>
    </row>
    <row r="28" spans="1:7" s="7" customFormat="1" ht="13.5" thickBot="1">
      <c r="A28" s="19" t="s">
        <v>120</v>
      </c>
      <c r="B28" s="26"/>
      <c r="C28" s="27">
        <f ca="1">SUM(C22:C27)</f>
        <v>1292.6795283058664</v>
      </c>
    </row>
    <row r="29" spans="1:7" s="7" customFormat="1" ht="13"/>
    <row r="30" spans="1:7" s="7" customFormat="1" ht="13">
      <c r="A30" s="10" t="s">
        <v>121</v>
      </c>
    </row>
    <row r="31" spans="1:7" s="7" customFormat="1" ht="13.5" thickBot="1">
      <c r="A31" s="7" t="s">
        <v>122</v>
      </c>
      <c r="F31" s="25">
        <f ca="1">C28/(5+D18)</f>
        <v>161.5849410382333</v>
      </c>
      <c r="G31" s="7" t="s">
        <v>123</v>
      </c>
    </row>
    <row r="32" spans="1:7" s="7" customFormat="1" ht="13.5" thickBot="1">
      <c r="A32" s="7" t="s">
        <v>124</v>
      </c>
      <c r="F32" s="40">
        <f ca="1">E4-F31</f>
        <v>133.4150589617667</v>
      </c>
      <c r="G32" s="7" t="s">
        <v>126</v>
      </c>
    </row>
    <row r="33" spans="1:7" s="7" customFormat="1" ht="13.5" thickBot="1">
      <c r="A33" s="7" t="s">
        <v>125</v>
      </c>
      <c r="F33" s="28">
        <f ca="1">C28</f>
        <v>1292.6795283058664</v>
      </c>
      <c r="G33" s="7" t="s">
        <v>127</v>
      </c>
    </row>
    <row r="34" spans="1:7" ht="13">
      <c r="A34" s="7" t="s">
        <v>473</v>
      </c>
      <c r="F34" s="112">
        <f ca="1">C28/(5+D18)</f>
        <v>161.5849410382333</v>
      </c>
    </row>
  </sheetData>
  <mergeCells count="1">
    <mergeCell ref="H3:L11"/>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81"/>
  <sheetViews>
    <sheetView topLeftCell="A40" workbookViewId="0">
      <selection activeCell="C53" sqref="C53"/>
    </sheetView>
  </sheetViews>
  <sheetFormatPr defaultColWidth="11.19921875" defaultRowHeight="11.5"/>
  <cols>
    <col min="1" max="1" width="40.19921875" bestFit="1" customWidth="1"/>
    <col min="2" max="2" width="20.09765625" customWidth="1"/>
    <col min="3" max="3" width="12.796875" bestFit="1" customWidth="1"/>
    <col min="4" max="4" width="13.69921875" customWidth="1"/>
    <col min="5" max="5" width="12" customWidth="1"/>
    <col min="7" max="7" width="19.5" bestFit="1" customWidth="1"/>
    <col min="8" max="8" width="16.296875" customWidth="1"/>
    <col min="11" max="11" width="18.19921875" bestFit="1" customWidth="1"/>
    <col min="12" max="12" width="17.5" customWidth="1"/>
  </cols>
  <sheetData>
    <row r="1" spans="1:17">
      <c r="A1" s="611" t="s">
        <v>606</v>
      </c>
      <c r="B1" s="611"/>
      <c r="C1" s="611"/>
      <c r="D1" s="611"/>
      <c r="E1" s="611"/>
      <c r="F1" s="611"/>
      <c r="G1" s="611"/>
      <c r="H1" s="611"/>
      <c r="I1" s="611"/>
      <c r="J1" s="611"/>
      <c r="K1" s="611"/>
    </row>
    <row r="2" spans="1:17">
      <c r="A2" s="611"/>
      <c r="B2" s="611"/>
      <c r="C2" s="611"/>
      <c r="D2" s="611"/>
      <c r="E2" s="611"/>
      <c r="F2" s="611"/>
      <c r="G2" s="611"/>
      <c r="H2" s="611"/>
      <c r="I2" s="611"/>
      <c r="J2" s="611"/>
      <c r="K2" s="611"/>
    </row>
    <row r="3" spans="1:17" s="60" customFormat="1" ht="18" thickBot="1">
      <c r="A3" s="612" t="s">
        <v>166</v>
      </c>
      <c r="B3" s="612"/>
      <c r="C3" s="612"/>
      <c r="D3" s="612"/>
      <c r="E3" s="612"/>
      <c r="G3" s="73" t="s">
        <v>488</v>
      </c>
    </row>
    <row r="4" spans="1:17" s="9" customFormat="1" ht="15" customHeight="1">
      <c r="A4" s="600" t="s">
        <v>901</v>
      </c>
      <c r="B4" s="601"/>
      <c r="C4" s="601"/>
      <c r="D4" s="601"/>
      <c r="E4" s="602"/>
      <c r="F4" s="60"/>
      <c r="G4" s="84" t="s">
        <v>334</v>
      </c>
      <c r="H4" s="84" t="s">
        <v>5</v>
      </c>
      <c r="I4" s="84" t="s">
        <v>360</v>
      </c>
      <c r="J4" s="84" t="s">
        <v>362</v>
      </c>
      <c r="K4" s="84" t="s">
        <v>361</v>
      </c>
    </row>
    <row r="5" spans="1:17" s="7" customFormat="1" ht="15" customHeight="1">
      <c r="A5" s="603"/>
      <c r="B5" s="604"/>
      <c r="C5" s="604"/>
      <c r="D5" s="604"/>
      <c r="E5" s="605"/>
      <c r="F5" s="60"/>
      <c r="G5" s="82" t="s">
        <v>329</v>
      </c>
      <c r="H5" s="82">
        <v>193636</v>
      </c>
      <c r="I5" s="67">
        <f>IF(H5=0,0,VLOOKUP(G5,'Country equity risk premiums'!$A$5:$D$181,4))</f>
        <v>4.9099999999999998E-2</v>
      </c>
      <c r="J5" s="67">
        <f t="shared" ref="J5:J12" si="0">IF(H5&gt;0,H5/$H$18,)</f>
        <v>0.68975392901414867</v>
      </c>
      <c r="K5" s="67">
        <f t="shared" ref="K5:K12" si="1">IF(J5=0,0,I5*J5)</f>
        <v>3.3866917914594695E-2</v>
      </c>
      <c r="M5" s="610" t="s">
        <v>535</v>
      </c>
      <c r="N5" s="610"/>
      <c r="O5" s="610"/>
      <c r="P5" s="610"/>
      <c r="Q5" s="610"/>
    </row>
    <row r="6" spans="1:17" s="7" customFormat="1" ht="15" customHeight="1">
      <c r="A6" s="603"/>
      <c r="B6" s="604"/>
      <c r="C6" s="604"/>
      <c r="D6" s="604"/>
      <c r="E6" s="605"/>
      <c r="F6" s="60"/>
      <c r="G6" s="82" t="s">
        <v>267</v>
      </c>
      <c r="H6" s="82">
        <v>22232</v>
      </c>
      <c r="I6" s="67">
        <f>IF(H6=0,0,VLOOKUP(G6,'Country equity risk premiums'!$A$5:$D$181,4))</f>
        <v>4.9099999999999998E-2</v>
      </c>
      <c r="J6" s="67">
        <f t="shared" si="0"/>
        <v>7.9192966957810293E-2</v>
      </c>
      <c r="K6" s="67">
        <f t="shared" si="1"/>
        <v>3.888374677628485E-3</v>
      </c>
      <c r="M6" s="610"/>
      <c r="N6" s="610"/>
      <c r="O6" s="610"/>
      <c r="P6" s="610"/>
      <c r="Q6" s="610"/>
    </row>
    <row r="7" spans="1:17" s="7" customFormat="1" ht="15" customHeight="1">
      <c r="A7" s="603"/>
      <c r="B7" s="604"/>
      <c r="C7" s="604"/>
      <c r="D7" s="604"/>
      <c r="E7" s="605"/>
      <c r="F7" s="60"/>
      <c r="G7" s="82" t="s">
        <v>328</v>
      </c>
      <c r="H7" s="82">
        <v>17527</v>
      </c>
      <c r="I7" s="67">
        <f>IF(H7=0,0,VLOOKUP(G7,'Country equity risk premiums'!$A$5:$D$181,4))</f>
        <v>5.8194468150508771E-2</v>
      </c>
      <c r="J7" s="67">
        <f t="shared" si="0"/>
        <v>6.243321032158785E-2</v>
      </c>
      <c r="K7" s="67">
        <f t="shared" si="1"/>
        <v>3.6332674695936595E-3</v>
      </c>
      <c r="M7" s="610"/>
      <c r="N7" s="610"/>
      <c r="O7" s="610"/>
      <c r="P7" s="610"/>
      <c r="Q7" s="610"/>
    </row>
    <row r="8" spans="1:17" s="7" customFormat="1" ht="15" customHeight="1">
      <c r="A8" s="603"/>
      <c r="B8" s="604"/>
      <c r="C8" s="604"/>
      <c r="D8" s="604"/>
      <c r="E8" s="605"/>
      <c r="F8" s="60"/>
      <c r="G8" s="82" t="s">
        <v>281</v>
      </c>
      <c r="H8" s="82">
        <v>16002</v>
      </c>
      <c r="I8" s="67">
        <f>IF(H8=0,0,VLOOKUP(G8,'Country equity risk premiums'!$A$5:$D$181,4))</f>
        <v>5.9799374294716205E-2</v>
      </c>
      <c r="J8" s="67">
        <f t="shared" si="0"/>
        <v>5.7000983144066229E-2</v>
      </c>
      <c r="K8" s="67">
        <f t="shared" si="1"/>
        <v>3.4086231261988256E-3</v>
      </c>
      <c r="M8" s="610"/>
      <c r="N8" s="610"/>
      <c r="O8" s="610"/>
      <c r="P8" s="610"/>
      <c r="Q8" s="610"/>
    </row>
    <row r="9" spans="1:17" s="7" customFormat="1" ht="15" customHeight="1" thickBot="1">
      <c r="A9" s="606"/>
      <c r="B9" s="607"/>
      <c r="C9" s="607"/>
      <c r="D9" s="607"/>
      <c r="E9" s="608"/>
      <c r="F9" s="60"/>
      <c r="G9" s="201"/>
      <c r="H9" s="82"/>
      <c r="I9" s="67">
        <f>IF(H9=0,0,VLOOKUP(G9,'Country equity risk premiums'!$A$5:$D$181,4))</f>
        <v>0</v>
      </c>
      <c r="J9" s="67">
        <f t="shared" si="0"/>
        <v>0</v>
      </c>
      <c r="K9" s="67">
        <f t="shared" si="1"/>
        <v>0</v>
      </c>
      <c r="M9" s="610"/>
      <c r="N9" s="610"/>
      <c r="O9" s="610"/>
      <c r="P9" s="610"/>
      <c r="Q9" s="610"/>
    </row>
    <row r="10" spans="1:17" s="7" customFormat="1" ht="15" customHeight="1">
      <c r="A10" s="209"/>
      <c r="B10" s="209"/>
      <c r="C10" s="209"/>
      <c r="D10" s="209"/>
      <c r="E10" s="209"/>
      <c r="F10" s="60"/>
      <c r="G10" s="82"/>
      <c r="H10" s="82"/>
      <c r="I10" s="67">
        <f>IF(H10=0,0,VLOOKUP(G10,'Country equity risk premiums'!$A$5:$D$181,4))</f>
        <v>0</v>
      </c>
      <c r="J10" s="67">
        <f t="shared" si="0"/>
        <v>0</v>
      </c>
      <c r="K10" s="67">
        <f t="shared" si="1"/>
        <v>0</v>
      </c>
      <c r="M10" s="610"/>
      <c r="N10" s="610"/>
      <c r="O10" s="610"/>
      <c r="P10" s="610"/>
      <c r="Q10" s="610"/>
    </row>
    <row r="11" spans="1:17" s="7" customFormat="1" ht="15" customHeight="1">
      <c r="A11" s="209" t="s">
        <v>767</v>
      </c>
      <c r="B11" s="210" t="s">
        <v>769</v>
      </c>
      <c r="C11" s="209"/>
      <c r="D11" s="209"/>
      <c r="E11" s="209"/>
      <c r="F11" s="60"/>
      <c r="G11" s="82"/>
      <c r="H11" s="82"/>
      <c r="I11" s="67">
        <f>IF(H11=0,0,VLOOKUP(G11,'Country equity risk premiums'!$A$5:$D$181,4))</f>
        <v>0</v>
      </c>
      <c r="J11" s="67">
        <f t="shared" si="0"/>
        <v>0</v>
      </c>
      <c r="K11" s="67">
        <f t="shared" si="1"/>
        <v>0</v>
      </c>
      <c r="M11" s="610"/>
      <c r="N11" s="610"/>
      <c r="O11" s="610"/>
      <c r="P11" s="610"/>
      <c r="Q11" s="610"/>
    </row>
    <row r="12" spans="1:17" s="7" customFormat="1" ht="15" customHeight="1">
      <c r="A12" s="209" t="s">
        <v>771</v>
      </c>
      <c r="B12" s="211">
        <v>0.09</v>
      </c>
      <c r="C12" s="209"/>
      <c r="D12" s="209"/>
      <c r="E12" s="209"/>
      <c r="F12" s="60"/>
      <c r="G12" s="82"/>
      <c r="H12" s="82"/>
      <c r="I12" s="67">
        <f>IF(H12=0,0,VLOOKUP(G12,'Country equity risk premiums'!$A$5:$D$181,4))</f>
        <v>0</v>
      </c>
      <c r="J12" s="67">
        <f t="shared" si="0"/>
        <v>0</v>
      </c>
      <c r="K12" s="67">
        <f t="shared" si="1"/>
        <v>0</v>
      </c>
      <c r="M12" s="610"/>
      <c r="N12" s="610"/>
      <c r="O12" s="610"/>
      <c r="P12" s="610"/>
      <c r="Q12" s="610"/>
    </row>
    <row r="13" spans="1:17" s="7" customFormat="1" ht="15" customHeight="1">
      <c r="A13" s="209" t="s">
        <v>770</v>
      </c>
      <c r="B13" s="212">
        <f ca="1">IF(B11="I will input",B12,IF(B11="Detailed",E62,IF(B11="Industry Average",B67,B72)))</f>
        <v>9.9503321400523079E-2</v>
      </c>
      <c r="C13" s="209"/>
      <c r="D13" s="209"/>
      <c r="E13" s="209"/>
      <c r="F13" s="60"/>
      <c r="G13" s="82"/>
      <c r="H13" s="82"/>
      <c r="I13" s="67">
        <f>IF(H13=0,0,VLOOKUP(G13,'Country equity risk premiums'!$A$5:$D$181,4))</f>
        <v>0</v>
      </c>
      <c r="J13" s="67">
        <f>IF(H13&gt;0,H13/$H$18,)</f>
        <v>0</v>
      </c>
      <c r="K13" s="67">
        <f>IF(J13=0,0,I13*J13)</f>
        <v>0</v>
      </c>
      <c r="M13" s="610"/>
      <c r="N13" s="610"/>
      <c r="O13" s="610"/>
      <c r="P13" s="610"/>
      <c r="Q13" s="610"/>
    </row>
    <row r="14" spans="1:17" s="7" customFormat="1" ht="15" customHeight="1" thickBot="1">
      <c r="A14" s="209"/>
      <c r="B14" s="209"/>
      <c r="C14" s="209"/>
      <c r="D14" s="209"/>
      <c r="E14" s="209"/>
      <c r="F14" s="60"/>
      <c r="G14" s="82"/>
      <c r="H14" s="82"/>
      <c r="I14" s="67">
        <f>IF(H14=0,0,VLOOKUP(G14,'Country equity risk premiums'!$A$5:$D$181,4))</f>
        <v>0</v>
      </c>
      <c r="J14" s="67">
        <f>IF(H14&gt;0,H14/$H$18,)</f>
        <v>0</v>
      </c>
      <c r="K14" s="67">
        <f>IF(J14=0,0,I14*J14)</f>
        <v>0</v>
      </c>
      <c r="M14" s="610"/>
      <c r="N14" s="610"/>
      <c r="O14" s="610"/>
      <c r="P14" s="610"/>
      <c r="Q14" s="610"/>
    </row>
    <row r="15" spans="1:17" s="7" customFormat="1" ht="15" customHeight="1" thickBot="1">
      <c r="A15" s="613" t="s">
        <v>757</v>
      </c>
      <c r="B15" s="614"/>
      <c r="C15" s="614"/>
      <c r="D15" s="614"/>
      <c r="E15" s="614"/>
      <c r="F15" s="615"/>
      <c r="G15" s="82"/>
      <c r="H15" s="82"/>
      <c r="I15" s="67">
        <f>IF(H15=0,0,VLOOKUP(G15,'Country equity risk premiums'!$A$5:$D$181,4))</f>
        <v>0</v>
      </c>
      <c r="J15" s="67">
        <f>IF(H15&gt;0,H15/$H$18,)</f>
        <v>0</v>
      </c>
      <c r="K15" s="67">
        <f>IF(J15=0,0,I15*J15)</f>
        <v>0</v>
      </c>
      <c r="M15" s="610"/>
      <c r="N15" s="610"/>
      <c r="O15" s="610"/>
      <c r="P15" s="610"/>
      <c r="Q15" s="610"/>
    </row>
    <row r="16" spans="1:17" s="7" customFormat="1" ht="15" customHeight="1">
      <c r="A16" s="9" t="s">
        <v>4</v>
      </c>
      <c r="B16" s="199"/>
      <c r="C16" s="109"/>
      <c r="D16" s="9"/>
      <c r="E16" s="9"/>
      <c r="F16" s="9"/>
      <c r="G16" s="143" t="s">
        <v>612</v>
      </c>
      <c r="H16" s="82">
        <v>31335</v>
      </c>
      <c r="I16" s="150">
        <v>7.1300000000000002E-2</v>
      </c>
      <c r="J16" s="67">
        <f>IF(H16&gt;0,H16/$H$18,)</f>
        <v>0.1116189105623869</v>
      </c>
      <c r="K16" s="67">
        <f>IF(J16=0,0,I16*J16)</f>
        <v>7.9584283230981871E-3</v>
      </c>
      <c r="M16" s="610"/>
      <c r="N16" s="610"/>
      <c r="O16" s="610"/>
      <c r="P16" s="610"/>
      <c r="Q16" s="610"/>
    </row>
    <row r="17" spans="1:17" s="7" customFormat="1" ht="15" customHeight="1">
      <c r="A17" s="12" t="s">
        <v>167</v>
      </c>
      <c r="B17" s="200"/>
      <c r="G17" s="143"/>
      <c r="H17" s="82"/>
      <c r="I17" s="143"/>
      <c r="J17" s="67">
        <f>IF(H17&gt;0,H17/$H$18,)</f>
        <v>0</v>
      </c>
      <c r="K17" s="67">
        <f>IF(J17=0,0,I17*J17)</f>
        <v>0</v>
      </c>
      <c r="M17" s="610"/>
      <c r="N17" s="610"/>
      <c r="O17" s="610"/>
      <c r="P17" s="610"/>
      <c r="Q17" s="610"/>
    </row>
    <row r="18" spans="1:17" s="7" customFormat="1" ht="15" customHeight="1">
      <c r="A18" s="7" t="s">
        <v>168</v>
      </c>
      <c r="B18" s="64">
        <f>'Input sheet'!B20</f>
        <v>251.83068399999999</v>
      </c>
      <c r="G18" s="83" t="s">
        <v>363</v>
      </c>
      <c r="H18" s="83">
        <f>SUM(H5:H17)</f>
        <v>280732</v>
      </c>
      <c r="I18" s="83"/>
      <c r="J18" s="67">
        <f>SUM(J5:J17)</f>
        <v>1</v>
      </c>
      <c r="K18" s="67">
        <f>SUM(K5:K17)</f>
        <v>5.2755611511113853E-2</v>
      </c>
      <c r="M18" s="610"/>
      <c r="N18" s="610"/>
      <c r="O18" s="610"/>
      <c r="P18" s="610"/>
      <c r="Q18" s="610"/>
    </row>
    <row r="19" spans="1:17" s="7" customFormat="1" ht="15" customHeight="1">
      <c r="A19" s="7" t="s">
        <v>169</v>
      </c>
      <c r="B19" s="65">
        <f>'Input sheet'!B21</f>
        <v>448.18</v>
      </c>
      <c r="G19" s="73" t="s">
        <v>426</v>
      </c>
      <c r="M19" s="610"/>
      <c r="N19" s="610"/>
      <c r="O19" s="610"/>
      <c r="P19" s="610"/>
      <c r="Q19" s="610"/>
    </row>
    <row r="20" spans="1:17" s="7" customFormat="1" ht="15" customHeight="1">
      <c r="G20" s="13" t="s">
        <v>337</v>
      </c>
      <c r="H20" s="13" t="s">
        <v>5</v>
      </c>
      <c r="I20" s="13" t="s">
        <v>360</v>
      </c>
      <c r="J20" s="13" t="s">
        <v>362</v>
      </c>
      <c r="K20" s="13" t="s">
        <v>361</v>
      </c>
    </row>
    <row r="21" spans="1:17" s="7" customFormat="1" ht="15" customHeight="1">
      <c r="A21" s="7" t="s">
        <v>452</v>
      </c>
      <c r="B21" s="82" t="s">
        <v>458</v>
      </c>
      <c r="G21" s="13" t="str">
        <f>'Country equity risk premiums'!A185</f>
        <v>Africa</v>
      </c>
      <c r="H21" s="82"/>
      <c r="I21" s="14">
        <f>'Country equity risk premiums'!B185</f>
        <v>0.14169600557641204</v>
      </c>
      <c r="J21" s="67">
        <f t="shared" ref="J21:J29" si="2">H21/$H$32</f>
        <v>0</v>
      </c>
      <c r="K21" s="85">
        <f>I21*J21</f>
        <v>0</v>
      </c>
    </row>
    <row r="22" spans="1:17" s="7" customFormat="1" ht="15" customHeight="1">
      <c r="A22" s="7" t="s">
        <v>454</v>
      </c>
      <c r="B22" s="110">
        <v>1.2</v>
      </c>
      <c r="G22" s="13" t="str">
        <f>'Country equity risk premiums'!A186</f>
        <v>Asia</v>
      </c>
      <c r="H22" s="82">
        <v>27899</v>
      </c>
      <c r="I22" s="14">
        <f>'Country equity risk premiums'!B186</f>
        <v>6.6528836782221754E-2</v>
      </c>
      <c r="J22" s="67">
        <f t="shared" si="2"/>
        <v>0.26808948167509083</v>
      </c>
      <c r="K22" s="85">
        <f t="shared" ref="K22:K29" si="3">I22*J22</f>
        <v>1.7835681369392547E-2</v>
      </c>
    </row>
    <row r="23" spans="1:17" s="7" customFormat="1" ht="15" customHeight="1">
      <c r="A23" s="7" t="s">
        <v>194</v>
      </c>
      <c r="B23" s="87">
        <f>IF(B21="Single Business(US)",VLOOKUP('Input sheet'!B8,'Industry Averages(US)'!A2:G95,7),IF(B21="Multibusiness(US)",K48,IF(B21="Single Business(Global)",VLOOKUP('Input sheet'!B9,'Industry Average Beta (Global)'!A2:G95,7),'Cost of capital worksheet'!K64)))</f>
        <v>1.2292962090923658</v>
      </c>
      <c r="G23" s="13" t="str">
        <f>'Country equity risk premiums'!A187</f>
        <v>Australia &amp; New Zealand</v>
      </c>
      <c r="H23" s="82"/>
      <c r="I23" s="14">
        <f>'Country equity risk premiums'!B187</f>
        <v>4.9161331313419571E-2</v>
      </c>
      <c r="J23" s="67">
        <f t="shared" si="2"/>
        <v>0</v>
      </c>
      <c r="K23" s="85">
        <f t="shared" si="3"/>
        <v>0</v>
      </c>
    </row>
    <row r="24" spans="1:17" s="7" customFormat="1" ht="15" customHeight="1">
      <c r="A24" s="7" t="s">
        <v>170</v>
      </c>
      <c r="B24" s="69">
        <f>'Input sheet'!B33</f>
        <v>4.1099999999999998E-2</v>
      </c>
      <c r="G24" s="13" t="str">
        <f>'Country equity risk premiums'!A188</f>
        <v>Caribbean</v>
      </c>
      <c r="H24" s="82"/>
      <c r="I24" s="14">
        <f>'Country equity risk premiums'!B188</f>
        <v>0.19291053699644561</v>
      </c>
      <c r="J24" s="67">
        <f t="shared" si="2"/>
        <v>0</v>
      </c>
      <c r="K24" s="85">
        <f t="shared" si="3"/>
        <v>0</v>
      </c>
    </row>
    <row r="25" spans="1:17" s="7" customFormat="1" ht="15" customHeight="1">
      <c r="A25" s="7" t="s">
        <v>418</v>
      </c>
      <c r="B25" s="105" t="s">
        <v>420</v>
      </c>
      <c r="G25" s="13" t="str">
        <f>'Country equity risk premiums'!A189</f>
        <v>Central and South America</v>
      </c>
      <c r="H25" s="82"/>
      <c r="I25" s="14">
        <f>'Country equity risk premiums'!B189</f>
        <v>0.10944370488072078</v>
      </c>
      <c r="J25" s="67">
        <f t="shared" si="2"/>
        <v>0</v>
      </c>
      <c r="K25" s="85">
        <f t="shared" si="3"/>
        <v>0</v>
      </c>
    </row>
    <row r="26" spans="1:17" s="7" customFormat="1" ht="15" customHeight="1">
      <c r="A26" s="7" t="s">
        <v>424</v>
      </c>
      <c r="B26" s="105">
        <v>4.9099999999999998E-2</v>
      </c>
      <c r="G26" s="13" t="str">
        <f>'Country equity risk premiums'!A190</f>
        <v>Eastern Europe &amp; Russia</v>
      </c>
      <c r="H26" s="82"/>
      <c r="I26" s="14">
        <f>'Country equity risk premiums'!B190</f>
        <v>0.1525710614075026</v>
      </c>
      <c r="J26" s="67">
        <f t="shared" si="2"/>
        <v>0</v>
      </c>
      <c r="K26" s="85">
        <f t="shared" si="3"/>
        <v>0</v>
      </c>
    </row>
    <row r="27" spans="1:17" s="7" customFormat="1" ht="15" customHeight="1">
      <c r="A27" s="7" t="s">
        <v>425</v>
      </c>
      <c r="B27" s="106">
        <f>IF(B25="Will Input",B26,IF(B25="Country of Incorporation",VLOOKUP('Input sheet'!B7,'Country equity risk premiums'!A5:E181,4),IF(B25="Operating regions",'Cost of capital worksheet'!K32,'Cost of capital worksheet'!K18)))</f>
        <v>4.9099999999999998E-2</v>
      </c>
      <c r="G27" s="13" t="str">
        <f>'Country equity risk premiums'!A191</f>
        <v>Middle East</v>
      </c>
      <c r="H27" s="82"/>
      <c r="I27" s="14">
        <f>'Country equity risk premiums'!B191</f>
        <v>7.1745484983581534E-2</v>
      </c>
      <c r="J27" s="67">
        <f t="shared" si="2"/>
        <v>0</v>
      </c>
      <c r="K27" s="85">
        <f t="shared" si="3"/>
        <v>0</v>
      </c>
    </row>
    <row r="28" spans="1:17" s="7" customFormat="1" ht="15" customHeight="1">
      <c r="G28" s="13" t="str">
        <f>'Country equity risk premiums'!A192</f>
        <v>North America</v>
      </c>
      <c r="H28" s="82">
        <v>4355</v>
      </c>
      <c r="I28" s="14">
        <f>'Country equity risk premiums'!B192</f>
        <v>4.9099999999999998E-2</v>
      </c>
      <c r="J28" s="67">
        <f t="shared" si="2"/>
        <v>4.1848442334672227E-2</v>
      </c>
      <c r="K28" s="85">
        <f t="shared" si="3"/>
        <v>2.0547585186324064E-3</v>
      </c>
    </row>
    <row r="29" spans="1:17" s="7" customFormat="1" ht="15" customHeight="1">
      <c r="A29" s="12" t="s">
        <v>171</v>
      </c>
      <c r="G29" s="13" t="str">
        <f>'Country equity risk premiums'!A193</f>
        <v>Western Europe</v>
      </c>
      <c r="H29" s="82">
        <v>5389</v>
      </c>
      <c r="I29" s="14">
        <f>'Country equity risk premiums'!B193</f>
        <v>6.2763665119567019E-2</v>
      </c>
      <c r="J29" s="67">
        <f t="shared" si="2"/>
        <v>5.1784444487152387E-2</v>
      </c>
      <c r="K29" s="85">
        <f t="shared" si="3"/>
        <v>3.2501815321944409E-3</v>
      </c>
    </row>
    <row r="30" spans="1:17" s="7" customFormat="1" ht="15" customHeight="1">
      <c r="A30" s="7" t="s">
        <v>172</v>
      </c>
      <c r="B30" s="65">
        <f>'Input sheet'!B14</f>
        <v>17545</v>
      </c>
      <c r="G30" s="82"/>
      <c r="H30" s="82"/>
      <c r="I30" s="144"/>
      <c r="J30" s="67">
        <f>H30/$H$32</f>
        <v>0</v>
      </c>
      <c r="K30" s="85">
        <f>I30*J30</f>
        <v>0</v>
      </c>
    </row>
    <row r="31" spans="1:17" s="7" customFormat="1" ht="15" customHeight="1">
      <c r="A31" s="7" t="s">
        <v>173</v>
      </c>
      <c r="B31" s="65">
        <v>639.71</v>
      </c>
      <c r="G31" s="82" t="s">
        <v>631</v>
      </c>
      <c r="H31" s="82">
        <v>66423</v>
      </c>
      <c r="I31" s="144">
        <v>5.1999999999999998E-2</v>
      </c>
      <c r="J31" s="67">
        <f>H31/$H$32</f>
        <v>0.63827763150308459</v>
      </c>
      <c r="K31" s="85">
        <f>I31*J31</f>
        <v>3.3190436838160399E-2</v>
      </c>
    </row>
    <row r="32" spans="1:17" s="7" customFormat="1" ht="15" customHeight="1">
      <c r="A32" s="7" t="s">
        <v>174</v>
      </c>
      <c r="B32" s="61">
        <v>18</v>
      </c>
      <c r="G32" s="83" t="s">
        <v>363</v>
      </c>
      <c r="H32" s="83">
        <f>SUM(H21:H31)</f>
        <v>104066</v>
      </c>
      <c r="I32" s="69"/>
      <c r="J32" s="67">
        <f>SUM(J21:J31)</f>
        <v>1</v>
      </c>
      <c r="K32" s="86">
        <f>SUM(K21:K31)</f>
        <v>5.6331058258379793E-2</v>
      </c>
    </row>
    <row r="33" spans="1:15" s="7" customFormat="1" ht="15" customHeight="1">
      <c r="A33" s="7" t="s">
        <v>431</v>
      </c>
      <c r="B33" s="76" t="s">
        <v>429</v>
      </c>
    </row>
    <row r="34" spans="1:15" s="7" customFormat="1" ht="15" customHeight="1">
      <c r="A34" s="7" t="s">
        <v>433</v>
      </c>
      <c r="B34" s="107">
        <v>0.04</v>
      </c>
      <c r="G34" s="60" t="s">
        <v>455</v>
      </c>
    </row>
    <row r="35" spans="1:15" s="7" customFormat="1" ht="15" customHeight="1">
      <c r="A35" s="7" t="s">
        <v>432</v>
      </c>
      <c r="B35" s="76" t="s">
        <v>445</v>
      </c>
      <c r="G35" s="13" t="s">
        <v>373</v>
      </c>
      <c r="H35" s="13" t="s">
        <v>5</v>
      </c>
      <c r="I35" s="13" t="s">
        <v>153</v>
      </c>
      <c r="J35" s="13" t="s">
        <v>374</v>
      </c>
      <c r="K35" s="13" t="s">
        <v>195</v>
      </c>
      <c r="L35" s="13" t="s">
        <v>135</v>
      </c>
    </row>
    <row r="36" spans="1:15" s="7" customFormat="1" ht="15" customHeight="1">
      <c r="A36" s="7" t="s">
        <v>449</v>
      </c>
      <c r="B36" s="76">
        <v>1</v>
      </c>
      <c r="G36" s="82" t="s">
        <v>659</v>
      </c>
      <c r="H36" s="88">
        <v>195010</v>
      </c>
      <c r="I36" s="89">
        <f>IF(G36=0,,VLOOKUP(G36,'Industry Averages(US)'!$A$2:$S$95,15))</f>
        <v>0.81313449985441677</v>
      </c>
      <c r="J36" s="90">
        <f>H36*I36</f>
        <v>158569.35881660981</v>
      </c>
      <c r="K36" s="202">
        <f>IF(I36=0,0,VLOOKUP(G36,'Industry Averages(US)'!$A$2:$S$95,7))</f>
        <v>1.2201002971574864</v>
      </c>
      <c r="L36" s="204">
        <f>IF(I36=0,0,VLOOKUP(G36,'Industry Averages(US)'!$A$2:$S$95,13))</f>
        <v>0.10670396701953999</v>
      </c>
    </row>
    <row r="37" spans="1:15" s="7" customFormat="1" ht="15" customHeight="1">
      <c r="A37" s="7" t="s">
        <v>113</v>
      </c>
      <c r="B37" s="106">
        <f ca="1">IF(B33="Direct Input",B34,IF(B33="Synthetic Rating",'Synthetic rating'!D16,B24+VLOOKUP('Cost of capital worksheet'!B35,'Synthetic rating'!G42:H56,2)))</f>
        <v>4.8500000000000001E-2</v>
      </c>
      <c r="G37" s="82" t="s">
        <v>487</v>
      </c>
      <c r="H37" s="88">
        <v>19210</v>
      </c>
      <c r="I37" s="89">
        <f>IF(G37=0,,VLOOKUP(G37,'Industry Averages(US)'!$A$2:$S$95,15))</f>
        <v>3.0598123732084623</v>
      </c>
      <c r="J37" s="90">
        <f>H37*I37</f>
        <v>58778.995689334559</v>
      </c>
      <c r="K37" s="202">
        <f>IF(I37=0,0,VLOOKUP(G37,'Industry Averages(US)'!$A$2:$S$95,7))</f>
        <v>1.2462224080092748</v>
      </c>
      <c r="L37" s="204">
        <f>IF(I37=0,0,VLOOKUP(G37,'Industry Averages(US)'!$A$2:$S$95,13))</f>
        <v>0.10473739552267081</v>
      </c>
    </row>
    <row r="38" spans="1:15" s="7" customFormat="1" ht="15" customHeight="1">
      <c r="A38" s="7" t="s">
        <v>175</v>
      </c>
      <c r="B38" s="108">
        <f>'Input sheet'!B23</f>
        <v>0.21</v>
      </c>
      <c r="G38" s="82" t="s">
        <v>486</v>
      </c>
      <c r="H38" s="88">
        <v>35026</v>
      </c>
      <c r="I38" s="89">
        <f>IF(G38=0,,VLOOKUP(G38,'Industry Averages(US)'!$A$2:$S$95,15))</f>
        <v>1.1705516509622818</v>
      </c>
      <c r="J38" s="90">
        <f t="shared" ref="J38:J47" si="4">H38*I38</f>
        <v>40999.742126604884</v>
      </c>
      <c r="K38" s="202">
        <f>IF(I38=0,0,VLOOKUP(G38,'Industry Averages(US)'!$A$2:$S$95,7))</f>
        <v>0.99322179503265406</v>
      </c>
      <c r="L38" s="204">
        <f>IF(I38=0,0,VLOOKUP(G38,'Industry Averages(US)'!$A$2:$S$95,13))</f>
        <v>9.1890342607912456E-2</v>
      </c>
    </row>
    <row r="39" spans="1:15" s="7" customFormat="1" ht="15" customHeight="1">
      <c r="G39" s="82" t="s">
        <v>87</v>
      </c>
      <c r="H39" s="88">
        <v>14100</v>
      </c>
      <c r="I39" s="89">
        <f>IF(G39=0,,VLOOKUP(G39,'Industry Averages(US)'!$A$2:$S$95,15))</f>
        <v>1.9623441180972629</v>
      </c>
      <c r="J39" s="90">
        <f t="shared" si="4"/>
        <v>27669.052065171407</v>
      </c>
      <c r="K39" s="202">
        <f>IF(I39=0,0,VLOOKUP(G39,'Industry Averages(US)'!$A$2:$S$95,7))</f>
        <v>1.3458926691301203</v>
      </c>
      <c r="L39" s="204">
        <f>IF(I39=0,0,VLOOKUP(G39,'Industry Averages(US)'!$A$2:$S$95,13))</f>
        <v>0.10729463931854823</v>
      </c>
    </row>
    <row r="40" spans="1:15" s="62" customFormat="1" ht="15" customHeight="1">
      <c r="A40" s="7" t="s">
        <v>176</v>
      </c>
      <c r="B40" s="61">
        <v>0</v>
      </c>
      <c r="C40" s="7"/>
      <c r="D40" s="7"/>
      <c r="E40" s="7"/>
      <c r="F40" s="7"/>
      <c r="G40" s="82"/>
      <c r="H40" s="88"/>
      <c r="I40" s="89">
        <f>IF(G40=0,,VLOOKUP(G40,'Industry Averages(US)'!$A$2:$S$95,15))</f>
        <v>0</v>
      </c>
      <c r="J40" s="90">
        <f t="shared" si="4"/>
        <v>0</v>
      </c>
      <c r="K40" s="202">
        <f>IF(I40=0,0,VLOOKUP(G40,'Industry Averages(US)'!$A$2:$S$95,7))</f>
        <v>0</v>
      </c>
      <c r="L40" s="204">
        <f>IF(I40=0,0,VLOOKUP(G40,'Industry Averages(US)'!$A$2:$S$95,13))</f>
        <v>0</v>
      </c>
    </row>
    <row r="41" spans="1:15" s="7" customFormat="1" ht="15" customHeight="1">
      <c r="A41" s="7" t="s">
        <v>177</v>
      </c>
      <c r="B41" s="61">
        <v>0</v>
      </c>
      <c r="G41" s="82"/>
      <c r="H41" s="88"/>
      <c r="I41" s="89">
        <f>IF(G41=0,,VLOOKUP(G41,'Industry Averages(US)'!$A$2:$S$95,15))</f>
        <v>0</v>
      </c>
      <c r="J41" s="90">
        <f t="shared" si="4"/>
        <v>0</v>
      </c>
      <c r="K41" s="202">
        <f>IF(I41=0,0,VLOOKUP(G41,'Industry Averages(US)'!$A$2:$S$95,7))</f>
        <v>0</v>
      </c>
      <c r="L41" s="204">
        <f>IF(I41=0,0,VLOOKUP(G41,'Industry Averages(US)'!$A$2:$S$95,13))</f>
        <v>0</v>
      </c>
    </row>
    <row r="42" spans="1:15" s="7" customFormat="1" ht="15" customHeight="1">
      <c r="A42" s="7" t="s">
        <v>178</v>
      </c>
      <c r="B42" s="61">
        <v>0</v>
      </c>
      <c r="G42" s="82"/>
      <c r="H42" s="88"/>
      <c r="I42" s="89">
        <f>IF(G42=0,,VLOOKUP(G42,'Industry Averages(US)'!$A$2:$S$95,15))</f>
        <v>0</v>
      </c>
      <c r="J42" s="90">
        <f t="shared" si="4"/>
        <v>0</v>
      </c>
      <c r="K42" s="202">
        <f>IF(I42=0,0,VLOOKUP(G42,'Industry Averages(US)'!$A$2:$S$95,7))</f>
        <v>0</v>
      </c>
      <c r="L42" s="204">
        <f>IF(I42=0,0,VLOOKUP(G42,'Industry Averages(US)'!$A$2:$S$95,13))</f>
        <v>0</v>
      </c>
    </row>
    <row r="43" spans="1:15" s="7" customFormat="1" ht="15" customHeight="1">
      <c r="A43" s="7" t="s">
        <v>179</v>
      </c>
      <c r="B43" s="61">
        <v>0</v>
      </c>
      <c r="G43" s="82"/>
      <c r="H43" s="88"/>
      <c r="I43" s="89">
        <f>IF(G43=0,,VLOOKUP(G43,'Industry Averages(US)'!$A$2:$S$95,15))</f>
        <v>0</v>
      </c>
      <c r="J43" s="90">
        <f t="shared" si="4"/>
        <v>0</v>
      </c>
      <c r="K43" s="202">
        <f>IF(I43=0,0,VLOOKUP(G43,'Industry Averages(US)'!$A$2:$S$95,7))</f>
        <v>0</v>
      </c>
      <c r="L43" s="204">
        <f>IF(I43=0,0,VLOOKUP(G43,'Industry Averages(US)'!$A$2:$S$95,13))</f>
        <v>0</v>
      </c>
    </row>
    <row r="44" spans="1:15" ht="13">
      <c r="A44" s="7"/>
      <c r="B44" s="7"/>
      <c r="C44" s="7"/>
      <c r="D44" s="7"/>
      <c r="E44" s="7"/>
      <c r="F44" s="7"/>
      <c r="G44" s="82"/>
      <c r="H44" s="88"/>
      <c r="I44" s="89">
        <f>IF(G44=0,,VLOOKUP(G44,'Industry Averages(US)'!$A$2:$S$95,15))</f>
        <v>0</v>
      </c>
      <c r="J44" s="90">
        <f t="shared" si="4"/>
        <v>0</v>
      </c>
      <c r="K44" s="202">
        <f>IF(I44=0,0,VLOOKUP(G44,'Industry Averages(US)'!$A$2:$S$95,7))</f>
        <v>0</v>
      </c>
      <c r="L44" s="204">
        <f>IF(I44=0,0,VLOOKUP(G44,'Industry Averages(US)'!$A$2:$S$95,13))</f>
        <v>0</v>
      </c>
      <c r="M44" s="609" t="s">
        <v>784</v>
      </c>
      <c r="N44" s="609"/>
      <c r="O44" s="609"/>
    </row>
    <row r="45" spans="1:15" ht="13">
      <c r="A45" s="7" t="s">
        <v>180</v>
      </c>
      <c r="B45" s="65">
        <f ca="1">IF('Input sheet'!B16="Yes",'Operating lease converter'!F33,0)</f>
        <v>1292.6795283058664</v>
      </c>
      <c r="C45" s="7"/>
      <c r="D45" s="7"/>
      <c r="E45" s="7"/>
      <c r="F45" s="7"/>
      <c r="G45" s="82"/>
      <c r="H45" s="88"/>
      <c r="I45" s="89">
        <f>IF(G45=0,,VLOOKUP(G45,'Industry Averages(US)'!$A$2:$S$95,15))</f>
        <v>0</v>
      </c>
      <c r="J45" s="90">
        <f t="shared" si="4"/>
        <v>0</v>
      </c>
      <c r="K45" s="202">
        <f>IF(I45=0,0,VLOOKUP(G45,'Industry Averages(US)'!$A$2:$S$95,7))</f>
        <v>0</v>
      </c>
      <c r="L45" s="204">
        <f>IF(I45=0,0,VLOOKUP(G45,'Industry Averages(US)'!$A$2:$S$95,13))</f>
        <v>0</v>
      </c>
      <c r="M45" s="609"/>
      <c r="N45" s="609"/>
      <c r="O45" s="609"/>
    </row>
    <row r="46" spans="1:15" ht="13">
      <c r="A46" s="7"/>
      <c r="B46" s="7"/>
      <c r="C46" s="7"/>
      <c r="D46" s="7"/>
      <c r="E46" s="7"/>
      <c r="F46" s="7"/>
      <c r="G46" s="82"/>
      <c r="H46" s="88"/>
      <c r="I46" s="89">
        <f>IF(G46=0,,VLOOKUP(G46,'Industry Averages(US)'!$A$2:$S$95,15))</f>
        <v>0</v>
      </c>
      <c r="J46" s="90">
        <f t="shared" si="4"/>
        <v>0</v>
      </c>
      <c r="K46" s="202">
        <f>IF(I46=0,0,VLOOKUP(G46,'Industry Averages(US)'!$A$2:$S$95,7))</f>
        <v>0</v>
      </c>
      <c r="L46" s="204">
        <f>IF(I46=0,0,VLOOKUP(G46,'Industry Averages(US)'!$A$2:$S$95,13))</f>
        <v>0</v>
      </c>
      <c r="M46" s="609"/>
      <c r="N46" s="609"/>
      <c r="O46" s="609"/>
    </row>
    <row r="47" spans="1:15" ht="13">
      <c r="A47" s="12" t="s">
        <v>181</v>
      </c>
      <c r="B47" s="7"/>
      <c r="C47" s="7"/>
      <c r="D47" s="7"/>
      <c r="E47" s="7"/>
      <c r="F47" s="7"/>
      <c r="G47" s="82"/>
      <c r="H47" s="88"/>
      <c r="I47" s="89">
        <f>IF(G47=0,,VLOOKUP(G47,'Industry Averages(US)'!$A$2:$S$95,15))</f>
        <v>0</v>
      </c>
      <c r="J47" s="90">
        <f t="shared" si="4"/>
        <v>0</v>
      </c>
      <c r="K47" s="202">
        <f>IF(I47=0,0,VLOOKUP(G47,'Industry Averages(US)'!$A$2:$S$95,7))</f>
        <v>0</v>
      </c>
      <c r="L47" s="204">
        <f>IF(I47=0,0,VLOOKUP(G47,'Industry Averages(US)'!$A$2:$S$95,13))</f>
        <v>0</v>
      </c>
      <c r="M47" s="609"/>
      <c r="N47" s="609"/>
      <c r="O47" s="609"/>
    </row>
    <row r="48" spans="1:15" ht="13">
      <c r="A48" s="7" t="s">
        <v>182</v>
      </c>
      <c r="B48" s="61">
        <v>0</v>
      </c>
      <c r="C48" s="7"/>
      <c r="D48" s="7"/>
      <c r="E48" s="7"/>
      <c r="F48" s="7"/>
      <c r="G48" s="91" t="s">
        <v>223</v>
      </c>
      <c r="H48" s="92">
        <f>SUM(H36:H47)</f>
        <v>263346</v>
      </c>
      <c r="I48" s="93"/>
      <c r="J48" s="90">
        <f>SUM(J36:J47)</f>
        <v>286017.14869772067</v>
      </c>
      <c r="K48" s="203">
        <f>K36*(J36/J48)+K37*J37/J48+K38*J38/J48+K39*J39/J48+K40*J40/J48+K41*J41/J48+K42*J42/J48+K43*J43/J48+K44*J44/J48+K45*J45/J48+K46*J46/J48+K47*J47/J48</f>
        <v>1.2051152762591333</v>
      </c>
      <c r="L48" s="205">
        <f>L36*(J36/J48)+L37*J37/J48+L38*J38/J48+L39*J39/J48+L40*J40/J48+L41*J41/J48+L42*J42/J48+L43*J43/J48+L44*J44/J48+L45*J45/J48+L46*J46/J48+L47*J47/J48</f>
        <v>0.10423346992173689</v>
      </c>
      <c r="M48" s="609"/>
      <c r="N48" s="609"/>
      <c r="O48" s="609"/>
    </row>
    <row r="49" spans="1:15" ht="13">
      <c r="A49" s="7" t="s">
        <v>183</v>
      </c>
      <c r="B49" s="61">
        <v>70</v>
      </c>
      <c r="C49" s="7"/>
      <c r="D49" s="7"/>
      <c r="E49" s="7"/>
      <c r="F49" s="7"/>
    </row>
    <row r="50" spans="1:15" ht="17.5">
      <c r="A50" s="7" t="s">
        <v>184</v>
      </c>
      <c r="B50" s="61">
        <v>5</v>
      </c>
      <c r="C50" s="7"/>
      <c r="D50" s="7"/>
      <c r="E50" s="7"/>
      <c r="F50" s="7"/>
      <c r="G50" s="111" t="s">
        <v>456</v>
      </c>
    </row>
    <row r="51" spans="1:15" ht="13">
      <c r="A51" s="7"/>
      <c r="B51" s="7"/>
      <c r="C51" s="7"/>
      <c r="D51" s="7"/>
      <c r="E51" s="7"/>
      <c r="F51" s="7"/>
      <c r="G51" s="13" t="s">
        <v>373</v>
      </c>
      <c r="H51" s="13" t="s">
        <v>5</v>
      </c>
      <c r="I51" s="13" t="s">
        <v>153</v>
      </c>
      <c r="J51" s="13" t="s">
        <v>374</v>
      </c>
      <c r="K51" s="13" t="s">
        <v>195</v>
      </c>
      <c r="L51" s="13" t="s">
        <v>135</v>
      </c>
    </row>
    <row r="52" spans="1:15" ht="13.5">
      <c r="A52" s="9" t="s">
        <v>112</v>
      </c>
      <c r="B52" s="7"/>
      <c r="C52" s="7"/>
      <c r="D52" s="7"/>
      <c r="E52" s="7"/>
      <c r="F52" s="7"/>
      <c r="G52" s="82" t="s">
        <v>636</v>
      </c>
      <c r="H52" s="88">
        <v>81363</v>
      </c>
      <c r="I52" s="89">
        <f>IF(G52=0,,VLOOKUP(G52,'Industry Average Beta (Global)'!$A$2:$O$95,15))</f>
        <v>2.0731720837297396</v>
      </c>
      <c r="J52" s="90">
        <f>H52*I52</f>
        <v>168679.50024850279</v>
      </c>
      <c r="K52" s="89">
        <f>IF(G52=0,,VLOOKUP(G52,'Industry Average Beta (Global)'!$A$2:$O$95,7))</f>
        <v>1.1719532510287904</v>
      </c>
      <c r="L52" s="204">
        <f>IF(I52=0,0,VLOOKUP(G52,'Industry Average Beta (Global)'!$A$2:$M$95,13))</f>
        <v>0.12481207563597795</v>
      </c>
    </row>
    <row r="53" spans="1:15" ht="13">
      <c r="A53" s="13" t="s">
        <v>185</v>
      </c>
      <c r="B53" s="13"/>
      <c r="C53" s="66">
        <f ca="1">B31*(1-(1+B37)^(-B32))/B37+B30/(1+B37)^B32</f>
        <v>15046.703260918555</v>
      </c>
      <c r="D53" s="7"/>
      <c r="E53" s="7"/>
      <c r="F53" s="7"/>
      <c r="G53" s="82" t="s">
        <v>632</v>
      </c>
      <c r="H53" s="88">
        <v>14862</v>
      </c>
      <c r="I53" s="89">
        <f>IF(G53=0,,VLOOKUP(G53,'Industry Average Beta (Global)'!$A$2:$O$95,15))</f>
        <v>1.2364855715506904</v>
      </c>
      <c r="J53" s="90">
        <f>H53*I53</f>
        <v>18376.64856438636</v>
      </c>
      <c r="K53" s="89">
        <f>IF(G53=0,,VLOOKUP(G53,'Industry Average Beta (Global)'!$A$2:$O$95,7))</f>
        <v>0.98778658397913077</v>
      </c>
      <c r="L53" s="204">
        <f>IF(I53=0,0,VLOOKUP(G53,'Industry Average Beta (Global)'!$A$2:$M$95,13))</f>
        <v>0.10882394490616107</v>
      </c>
    </row>
    <row r="54" spans="1:15" ht="13">
      <c r="A54" s="13" t="s">
        <v>186</v>
      </c>
      <c r="B54" s="13"/>
      <c r="C54" s="66">
        <f ca="1">B41*(1-(1+B37)^(-B42))/B37+B40/(1+B37)^B42</f>
        <v>0</v>
      </c>
      <c r="D54" s="7"/>
      <c r="E54" s="7"/>
      <c r="F54" s="7"/>
      <c r="G54" s="82" t="s">
        <v>633</v>
      </c>
      <c r="H54" s="88">
        <v>4608</v>
      </c>
      <c r="I54" s="89">
        <f>IF(G54=0,,VLOOKUP(G54,'Industry Average Beta (Global)'!$A$2:$O$95,15))</f>
        <v>2.0157117635380177</v>
      </c>
      <c r="J54" s="90">
        <f t="shared" ref="J54:J63" si="5">H54*I54</f>
        <v>9288.3998063831859</v>
      </c>
      <c r="K54" s="89">
        <f>IF(G54=0,,VLOOKUP(G54,'Industry Average Beta (Global)'!$A$2:$O$95,7))</f>
        <v>1.0212013193407876</v>
      </c>
      <c r="L54" s="204">
        <f>IF(I54=0,0,VLOOKUP(G54,'Industry Average Beta (Global)'!$A$2:$M$95,13))</f>
        <v>0.11407292254822643</v>
      </c>
    </row>
    <row r="55" spans="1:15" ht="13">
      <c r="A55" s="13" t="s">
        <v>187</v>
      </c>
      <c r="B55" s="13"/>
      <c r="C55" s="66">
        <f ca="1">B45</f>
        <v>1292.6795283058664</v>
      </c>
      <c r="D55" s="7"/>
      <c r="E55" s="7"/>
      <c r="F55" s="7"/>
      <c r="G55" s="82" t="s">
        <v>634</v>
      </c>
      <c r="H55" s="88">
        <v>2010</v>
      </c>
      <c r="I55" s="89">
        <f>IF(G55=0,,VLOOKUP(G55,'Industry Average Beta (Global)'!$A$2:$O$95,15))</f>
        <v>1.3776033874896974</v>
      </c>
      <c r="J55" s="90">
        <f t="shared" si="5"/>
        <v>2768.9828088542918</v>
      </c>
      <c r="K55" s="89">
        <f>IF(G55=0,,VLOOKUP(G55,'Industry Average Beta (Global)'!$A$2:$O$95,7))</f>
        <v>1.2905124151341338</v>
      </c>
      <c r="L55" s="204">
        <f>IF(I55=0,0,VLOOKUP(G55,'Industry Average Beta (Global)'!$A$2:$M$95,13))</f>
        <v>0.12750292313104281</v>
      </c>
    </row>
    <row r="56" spans="1:15" ht="13">
      <c r="A56" s="13" t="s">
        <v>188</v>
      </c>
      <c r="B56" s="13"/>
      <c r="C56" s="66">
        <f ca="1">B43-C54</f>
        <v>0</v>
      </c>
      <c r="D56" s="7"/>
      <c r="E56" s="7"/>
      <c r="F56" s="7"/>
      <c r="G56" s="82" t="s">
        <v>635</v>
      </c>
      <c r="H56" s="88">
        <v>59269</v>
      </c>
      <c r="I56" s="89">
        <f>IF(G56=0,,VLOOKUP(G56,'Industry Average Beta (Global)'!$A$2:$O$95,15))</f>
        <v>1.1859212203390777</v>
      </c>
      <c r="J56" s="90">
        <f t="shared" si="5"/>
        <v>70288.36480827679</v>
      </c>
      <c r="K56" s="89">
        <f>IF(G56=0,,VLOOKUP(G56,'Industry Average Beta (Global)'!$A$2:$O$95,7))</f>
        <v>1.109674282355319</v>
      </c>
      <c r="L56" s="204">
        <f>IF(I56=0,0,VLOOKUP(G56,'Industry Average Beta (Global)'!$A$2:$M$95,13))</f>
        <v>0.11776866430269403</v>
      </c>
    </row>
    <row r="57" spans="1:15" ht="13">
      <c r="A57" s="13" t="s">
        <v>196</v>
      </c>
      <c r="B57" s="13"/>
      <c r="C57" s="72">
        <f ca="1">IF(B21="Direct Input",B22,B23*(1+(1-B38)*(C60/B60)))</f>
        <v>1.3698874174301112</v>
      </c>
      <c r="D57" s="7"/>
      <c r="E57" s="7"/>
      <c r="F57" s="7"/>
      <c r="G57" s="82"/>
      <c r="H57" s="88"/>
      <c r="I57" s="89">
        <f>IF(G57=0,,VLOOKUP(G57,'Industry Average Beta (Global)'!$A$2:$O$95,15))</f>
        <v>0</v>
      </c>
      <c r="J57" s="90">
        <f t="shared" si="5"/>
        <v>0</v>
      </c>
      <c r="K57" s="89">
        <f>IF(G57=0,,VLOOKUP(G57,'Industry Average Beta (Global)'!$A$2:$O$95,7))</f>
        <v>0</v>
      </c>
      <c r="L57" s="204">
        <f>IF(I57=0,0,VLOOKUP(G57,'Industry Average Beta (Global)'!$A$2:$M$95,13))</f>
        <v>0</v>
      </c>
    </row>
    <row r="58" spans="1:15" ht="13">
      <c r="A58" s="7"/>
      <c r="B58" s="7"/>
      <c r="C58" s="72"/>
      <c r="D58" s="7"/>
      <c r="E58" s="7"/>
      <c r="F58" s="7"/>
      <c r="G58" s="82"/>
      <c r="H58" s="88"/>
      <c r="I58" s="89">
        <f>IF(G58=0,,VLOOKUP(G58,'Industry Average Beta (Global)'!$A$2:$O$95,15))</f>
        <v>0</v>
      </c>
      <c r="J58" s="90">
        <f t="shared" si="5"/>
        <v>0</v>
      </c>
      <c r="K58" s="89">
        <f>IF(G58=0,,VLOOKUP(G58,'Industry Average Beta (Global)'!$A$2:$O$95,7))</f>
        <v>0</v>
      </c>
      <c r="L58" s="204">
        <f>IF(I58=0,0,VLOOKUP(G58,'Industry Average Beta (Global)'!$A$2:$M$95,13))</f>
        <v>0</v>
      </c>
    </row>
    <row r="59" spans="1:15" ht="13">
      <c r="A59" s="62"/>
      <c r="B59" s="63" t="s">
        <v>167</v>
      </c>
      <c r="C59" s="63" t="s">
        <v>189</v>
      </c>
      <c r="D59" s="63" t="s">
        <v>181</v>
      </c>
      <c r="E59" s="63" t="s">
        <v>190</v>
      </c>
      <c r="F59" s="62"/>
      <c r="G59" s="201"/>
      <c r="H59" s="88"/>
      <c r="I59" s="89">
        <f>IF(G59=0,,VLOOKUP(G59,'Industry Average Beta (Global)'!$A$2:$O$95,15))</f>
        <v>0</v>
      </c>
      <c r="J59" s="90">
        <f t="shared" si="5"/>
        <v>0</v>
      </c>
      <c r="K59" s="89">
        <f>IF(G59=0,,VLOOKUP(G59,'Industry Average Beta (Global)'!$A$2:$O$95,7))</f>
        <v>0</v>
      </c>
      <c r="L59" s="204">
        <f>IF(I59=0,0,VLOOKUP(G59,'Industry Average Beta (Global)'!$A$2:$M$95,13))</f>
        <v>0</v>
      </c>
    </row>
    <row r="60" spans="1:15" ht="13">
      <c r="A60" s="13" t="s">
        <v>191</v>
      </c>
      <c r="B60" s="66">
        <f>B18*B19</f>
        <v>112865.47595512</v>
      </c>
      <c r="C60" s="632">
        <f ca="1">C53+C54+C55</f>
        <v>16339.382789224423</v>
      </c>
      <c r="D60" s="66">
        <f>B48*B49</f>
        <v>0</v>
      </c>
      <c r="E60" s="182">
        <f ca="1">SUM(B60:D60)</f>
        <v>129204.85874434441</v>
      </c>
      <c r="F60" s="7"/>
      <c r="G60" s="82"/>
      <c r="H60" s="88"/>
      <c r="I60" s="89">
        <f>IF(G60=0,,VLOOKUP(G60,'Industry Average Beta (Global)'!$A$2:$O$95,15))</f>
        <v>0</v>
      </c>
      <c r="J60" s="90">
        <f t="shared" si="5"/>
        <v>0</v>
      </c>
      <c r="K60" s="89">
        <f>IF(G60=0,,VLOOKUP(G60,'Industry Average Beta (Global)'!$A$2:$O$95,7))</f>
        <v>0</v>
      </c>
      <c r="L60" s="204">
        <f>IF(I60=0,0,VLOOKUP(G60,'Industry Average Beta (Global)'!$A$2:$M$95,13))</f>
        <v>0</v>
      </c>
      <c r="M60" s="609" t="s">
        <v>900</v>
      </c>
      <c r="N60" s="609"/>
      <c r="O60" s="609"/>
    </row>
    <row r="61" spans="1:15" ht="13.5" thickBot="1">
      <c r="A61" s="13" t="s">
        <v>192</v>
      </c>
      <c r="B61" s="67">
        <f ca="1">B60/$E$60</f>
        <v>0.87353894468044047</v>
      </c>
      <c r="C61" s="67">
        <f ca="1">C60/$E$60</f>
        <v>0.12646105531955959</v>
      </c>
      <c r="D61" s="67">
        <f ca="1">D60/$E$60</f>
        <v>0</v>
      </c>
      <c r="E61" s="68">
        <f ca="1">SUM(B61:D61)</f>
        <v>1</v>
      </c>
      <c r="F61" s="7"/>
      <c r="G61" s="82"/>
      <c r="H61" s="88"/>
      <c r="I61" s="89">
        <f>IF(G61=0,,VLOOKUP(G61,'Industry Average Beta (Global)'!$A$2:$O$95,15))</f>
        <v>0</v>
      </c>
      <c r="J61" s="90">
        <f t="shared" si="5"/>
        <v>0</v>
      </c>
      <c r="K61" s="89">
        <f>IF(G61=0,,VLOOKUP(G61,'Industry Average Beta (Global)'!$A$2:$O$95,7))</f>
        <v>0</v>
      </c>
      <c r="L61" s="204">
        <f>IF(I61=0,0,VLOOKUP(G61,'Industry Average Beta (Global)'!$A$2:$M$95,13))</f>
        <v>0</v>
      </c>
      <c r="M61" s="609"/>
      <c r="N61" s="609"/>
      <c r="O61" s="609"/>
    </row>
    <row r="62" spans="1:15" ht="13.5" thickBot="1">
      <c r="A62" s="13" t="s">
        <v>193</v>
      </c>
      <c r="B62" s="69">
        <f ca="1">B24+C57*B27</f>
        <v>0.10836147219581846</v>
      </c>
      <c r="C62" s="67">
        <f ca="1">B37*(1-B38)</f>
        <v>3.8315000000000002E-2</v>
      </c>
      <c r="D62" s="70">
        <f>B50/B49</f>
        <v>7.1428571428571425E-2</v>
      </c>
      <c r="E62" s="71">
        <f ca="1">B61*B62+C61*C62+D61*D62</f>
        <v>9.9503321400523079E-2</v>
      </c>
      <c r="F62" s="7"/>
      <c r="G62" s="82"/>
      <c r="H62" s="88"/>
      <c r="I62" s="89">
        <f>IF(G62=0,,VLOOKUP(G62,'Industry Average Beta (Global)'!$A$2:$O$95,15))</f>
        <v>0</v>
      </c>
      <c r="J62" s="90">
        <f t="shared" si="5"/>
        <v>0</v>
      </c>
      <c r="K62" s="89">
        <f>IF(G62=0,,VLOOKUP(G62,'Industry Average Beta (Global)'!$A$2:$O$95,7))</f>
        <v>0</v>
      </c>
      <c r="L62" s="204">
        <f>IF(I62=0,0,VLOOKUP(G62,'Industry Average Beta (Global)'!$A$2:$M$95,13))</f>
        <v>0</v>
      </c>
      <c r="M62" s="609"/>
      <c r="N62" s="609"/>
      <c r="O62" s="609"/>
    </row>
    <row r="63" spans="1:15" ht="13">
      <c r="G63" s="82"/>
      <c r="H63" s="88"/>
      <c r="I63" s="89">
        <f>IF(G63=0,,VLOOKUP(G63,'Industry Average Beta (Global)'!$A$2:$O$95,15))</f>
        <v>0</v>
      </c>
      <c r="J63" s="90">
        <f t="shared" si="5"/>
        <v>0</v>
      </c>
      <c r="K63" s="89">
        <f>IF(G63=0,,VLOOKUP(G63,'Industry Average Beta (Global)'!$A$2:$O$95,7))</f>
        <v>0</v>
      </c>
      <c r="L63" s="204">
        <f>IF(I63=0,0,VLOOKUP(G63,'Industry Average Beta (Global)'!$A$2:$M$95,13))</f>
        <v>0</v>
      </c>
      <c r="M63" s="609"/>
      <c r="N63" s="609"/>
      <c r="O63" s="609"/>
    </row>
    <row r="64" spans="1:15" ht="13.5" thickBot="1">
      <c r="G64" s="91" t="s">
        <v>223</v>
      </c>
      <c r="H64" s="92">
        <f>SUM(H52:H63)</f>
        <v>162112</v>
      </c>
      <c r="I64" s="93"/>
      <c r="J64" s="90">
        <f>SUM(J52:J63)</f>
        <v>269401.89623640338</v>
      </c>
      <c r="K64" s="93">
        <f>K52*(J52/J64)+K53*J53/J64+K54*J54/J64+K55*J55/J64+K56*J56/J64+K57*J57/J64+K58*J58/J64+K59*J59/J64+K60*J60/J64+K61*J61/J64+K62*J62/J64+K63*J63/J64</f>
        <v>1.1391628028659415</v>
      </c>
      <c r="L64" s="205">
        <f>L52*(J52/J64)+L53*J53/J64+L54*J54/J64+L55*J55/J64+L56*J56/J64+L57*J57/J64+L58*J58/J64+L59*J59/J64+L60*J60/J64+L61*J61/J64+L62*J62/J64+L63*J63/J64</f>
        <v>0.12154121238583743</v>
      </c>
      <c r="M64" s="609"/>
      <c r="N64" s="609"/>
      <c r="O64" s="609"/>
    </row>
    <row r="65" spans="1:6" ht="16" thickBot="1">
      <c r="A65" s="616" t="s">
        <v>758</v>
      </c>
      <c r="B65" s="617"/>
      <c r="C65" s="617"/>
      <c r="D65" s="617"/>
      <c r="E65" s="617"/>
      <c r="F65" s="618"/>
    </row>
    <row r="66" spans="1:6" ht="13.5" thickBot="1">
      <c r="A66" s="7" t="s">
        <v>759</v>
      </c>
      <c r="B66" s="206" t="s">
        <v>458</v>
      </c>
    </row>
    <row r="67" spans="1:6" ht="12" thickBot="1">
      <c r="A67" t="s">
        <v>760</v>
      </c>
      <c r="B67" s="207">
        <f>IF(B66="Single Business(US)",(VLOOKUP('Input sheet'!B8,'Industry Averages(US)'!A2:M95,13)+('Input sheet'!B33-3.88%)),IF(B66="Multibusiness(US)",L48+('Input sheet'!B33-3.88%),IF(B66="Single Business(Global)",(VLOOKUP('Input sheet'!B8,'Industry Average Beta (Global)'!A2:M95,13)+('Input sheet'!B33-3.88%)),L64+('Input sheet'!B33-3.88%))))</f>
        <v>0.10824482009093814</v>
      </c>
    </row>
    <row r="68" spans="1:6" ht="12" thickBot="1"/>
    <row r="69" spans="1:6" ht="16" thickBot="1">
      <c r="A69" s="616" t="s">
        <v>761</v>
      </c>
      <c r="B69" s="619"/>
      <c r="C69" s="617"/>
      <c r="D69" s="617"/>
      <c r="E69" s="617"/>
      <c r="F69" s="618"/>
    </row>
    <row r="70" spans="1:6">
      <c r="A70" t="s">
        <v>762</v>
      </c>
      <c r="B70" s="214" t="s">
        <v>774</v>
      </c>
    </row>
    <row r="71" spans="1:6">
      <c r="A71" t="s">
        <v>763</v>
      </c>
      <c r="B71" s="214" t="s">
        <v>764</v>
      </c>
    </row>
    <row r="72" spans="1:6">
      <c r="A72" t="s">
        <v>772</v>
      </c>
      <c r="B72" s="205">
        <f>IF(B71="US",VLOOKUP(B70,A75:D79,2),IF(B71="Emerging Markets",VLOOKUP(B70,A75:D79,3),VLOOKUP(B70,A75:D79,4)))+('Input sheet'!B33-3.88%)</f>
        <v>9.8599999999999993E-2</v>
      </c>
    </row>
    <row r="74" spans="1:6">
      <c r="A74" s="81" t="s">
        <v>776</v>
      </c>
      <c r="B74" s="208" t="s">
        <v>764</v>
      </c>
      <c r="C74" s="208" t="s">
        <v>765</v>
      </c>
      <c r="D74" s="208" t="s">
        <v>777</v>
      </c>
      <c r="E74" s="208" t="s">
        <v>281</v>
      </c>
      <c r="F74" s="208" t="s">
        <v>472</v>
      </c>
    </row>
    <row r="75" spans="1:6">
      <c r="A75" s="479" t="s">
        <v>909</v>
      </c>
      <c r="B75" s="213">
        <v>6.0100000000000001E-2</v>
      </c>
      <c r="C75" s="213">
        <v>8.0799999999999997E-2</v>
      </c>
      <c r="D75" s="213">
        <v>7.2599999999999998E-2</v>
      </c>
      <c r="E75" s="213">
        <v>7.7100000000000002E-2</v>
      </c>
      <c r="F75" s="213">
        <v>7.3899999999999993E-2</v>
      </c>
    </row>
    <row r="76" spans="1:6">
      <c r="A76" s="480" t="s">
        <v>908</v>
      </c>
      <c r="B76" s="213">
        <v>0.1163</v>
      </c>
      <c r="C76" s="213">
        <v>0.15310000000000001</v>
      </c>
      <c r="D76" s="213">
        <v>0.14249999999999999</v>
      </c>
      <c r="E76" s="213">
        <v>0.13100000000000001</v>
      </c>
      <c r="F76" s="213">
        <v>0.1404</v>
      </c>
    </row>
    <row r="77" spans="1:6">
      <c r="A77" s="480" t="s">
        <v>773</v>
      </c>
      <c r="B77" s="213">
        <v>7.2599999999999998E-2</v>
      </c>
      <c r="C77" s="213">
        <v>9.5600000000000004E-2</v>
      </c>
      <c r="D77" s="213">
        <v>8.6400000000000005E-2</v>
      </c>
      <c r="E77" s="213">
        <v>9.0700000000000003E-2</v>
      </c>
      <c r="F77" s="213">
        <v>9.0800000000000006E-2</v>
      </c>
    </row>
    <row r="78" spans="1:6">
      <c r="A78" s="480" t="s">
        <v>774</v>
      </c>
      <c r="B78" s="213">
        <v>9.6299999999999997E-2</v>
      </c>
      <c r="C78" s="213">
        <v>0.1119</v>
      </c>
      <c r="D78" s="213">
        <v>0.1041</v>
      </c>
      <c r="E78" s="213">
        <v>0.1072</v>
      </c>
      <c r="F78" s="213">
        <v>0.106</v>
      </c>
    </row>
    <row r="79" spans="1:6">
      <c r="A79" s="480" t="s">
        <v>775</v>
      </c>
      <c r="B79" s="213">
        <v>0.10879999999999999</v>
      </c>
      <c r="C79" s="213">
        <v>0.12970000000000001</v>
      </c>
      <c r="D79" s="213">
        <v>0.1202</v>
      </c>
      <c r="E79" s="213">
        <v>0.115</v>
      </c>
      <c r="F79" s="213">
        <v>0.1207</v>
      </c>
    </row>
    <row r="80" spans="1:6">
      <c r="A80" s="598" t="s">
        <v>778</v>
      </c>
      <c r="B80" s="598"/>
      <c r="C80" s="598"/>
      <c r="D80" s="598"/>
      <c r="E80" s="598"/>
      <c r="F80" s="598"/>
    </row>
    <row r="81" spans="1:6">
      <c r="A81" s="599"/>
      <c r="B81" s="599"/>
      <c r="C81" s="599"/>
      <c r="D81" s="599"/>
      <c r="E81" s="599"/>
      <c r="F81" s="599"/>
    </row>
  </sheetData>
  <sortState xmlns:xlrd2="http://schemas.microsoft.com/office/spreadsheetml/2017/richdata2" ref="A75:F79">
    <sortCondition ref="A75:A79"/>
  </sortState>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4503C602-A1DB-C341-A569-5EC151DB9A29}">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0000000}">
          <x14:formula1>
            <xm:f>'Answer keys'!$F$2:$F$6</xm:f>
          </x14:formula1>
          <xm:sqref>B21</xm:sqref>
        </x14:dataValidation>
        <x14:dataValidation type="list" allowBlank="1" showInputMessage="1" showErrorMessage="1" xr:uid="{00000000-0002-0000-0800-000001000000}">
          <x14:formula1>
            <xm:f>'Answer keys'!$C$2:$C$5</xm:f>
          </x14:formula1>
          <xm:sqref>B25</xm:sqref>
        </x14:dataValidation>
        <x14:dataValidation type="list" allowBlank="1" showInputMessage="1" showErrorMessage="1" xr:uid="{00000000-0002-0000-0800-000002000000}">
          <x14:formula1>
            <xm:f>'Answer keys'!$D$2:$D$4</xm:f>
          </x14:formula1>
          <xm:sqref>B33</xm:sqref>
        </x14:dataValidation>
        <x14:dataValidation type="list" allowBlank="1" showInputMessage="1" showErrorMessage="1" xr:uid="{00000000-0002-0000-0800-000003000000}">
          <x14:formula1>
            <xm:f>'Answer keys'!$E$2:$E$3</xm:f>
          </x14:formula1>
          <xm:sqref>B36</xm:sqref>
        </x14:dataValidation>
        <x14:dataValidation type="list" allowBlank="1" showInputMessage="1" showErrorMessage="1" xr:uid="{00000000-0002-0000-0800-000005000000}">
          <x14:formula1>
            <xm:f>'Industry Averages(US)'!$A$2:$A$95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B35</xm:sqref>
        </x14:dataValidation>
        <x14:dataValidation type="list" allowBlank="1" showInputMessage="1" showErrorMessage="1" xr:uid="{D1CF3BBB-EEC3-F149-B56B-8213DBD42B6F}">
          <x14:formula1>
            <xm:f>'Country equity risk premiums'!$A$5:$A$181</xm:f>
          </x14:formula1>
          <xm:sqref>G5:G15</xm:sqref>
        </x14:dataValidation>
        <x14:dataValidation type="list" allowBlank="1" showInputMessage="1" showErrorMessage="1" xr:uid="{A424897F-C054-F34D-A780-CA478E1BF983}">
          <x14:formula1>
            <xm:f>'Answer keys'!$F$3:$F$6</xm:f>
          </x14:formula1>
          <xm:sqref>B66</xm:sqref>
        </x14:dataValidation>
        <x14:dataValidation type="list" allowBlank="1" showInputMessage="1" showErrorMessage="1" xr:uid="{437200C9-8622-3C41-8C0C-5519F276D9E7}">
          <x14:formula1>
            <xm:f>'Answer keys'!$I$2:$I$5</xm:f>
          </x14:formula1>
          <xm:sqref>B11</xm:sqref>
        </x14:dataValidation>
        <x14:dataValidation type="list" allowBlank="1" showInputMessage="1" showErrorMessage="1" xr:uid="{0440E8FE-0853-2C4F-A7BF-574D1F3D6ED9}">
          <x14:formula1>
            <xm:f>'Answer keys'!$H$2:$H$4</xm:f>
          </x14:formula1>
          <xm:sqref>B71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CBEC-14D0-B841-BFA4-D2DDA89B9968}">
  <dimension ref="A1:X37"/>
  <sheetViews>
    <sheetView workbookViewId="0">
      <selection activeCell="A34" sqref="A34:A37"/>
    </sheetView>
  </sheetViews>
  <sheetFormatPr defaultColWidth="11.19921875" defaultRowHeight="11.5"/>
  <sheetData>
    <row r="1" spans="1:11" s="283" customFormat="1" ht="22.5">
      <c r="A1" s="283" t="s">
        <v>790</v>
      </c>
    </row>
    <row r="2" spans="1:11" s="281" customFormat="1" ht="17.5">
      <c r="A2" s="281" t="s">
        <v>791</v>
      </c>
    </row>
    <row r="3" spans="1:11" ht="12" thickBot="1"/>
    <row r="4" spans="1:11" ht="13.5" thickBot="1">
      <c r="A4" s="620" t="s">
        <v>645</v>
      </c>
      <c r="B4" s="621"/>
      <c r="C4" s="621"/>
      <c r="D4" s="621"/>
      <c r="E4" s="621"/>
      <c r="F4" s="621"/>
      <c r="G4" s="621"/>
      <c r="H4" s="621"/>
      <c r="I4" s="621"/>
      <c r="J4" s="621"/>
      <c r="K4" s="622"/>
    </row>
    <row r="5" spans="1:11" ht="15.5">
      <c r="A5" s="171" t="s">
        <v>637</v>
      </c>
      <c r="B5" s="172">
        <v>1</v>
      </c>
      <c r="C5" s="172">
        <v>2</v>
      </c>
      <c r="D5" s="172">
        <v>3</v>
      </c>
      <c r="E5" s="172">
        <v>4</v>
      </c>
      <c r="F5" s="172">
        <v>5</v>
      </c>
      <c r="G5" s="172">
        <v>6</v>
      </c>
      <c r="H5" s="172">
        <v>7</v>
      </c>
      <c r="I5" s="172">
        <v>8</v>
      </c>
      <c r="J5" s="172">
        <v>9</v>
      </c>
      <c r="K5" s="172">
        <v>10</v>
      </c>
    </row>
    <row r="6" spans="1:11" ht="15.5">
      <c r="A6" s="173" t="s">
        <v>638</v>
      </c>
      <c r="B6" s="174">
        <v>0</v>
      </c>
      <c r="C6" s="174">
        <v>2.9999999999999997E-4</v>
      </c>
      <c r="D6" s="174">
        <v>1.2999999999999999E-3</v>
      </c>
      <c r="E6" s="174">
        <v>2.3999999999999998E-3</v>
      </c>
      <c r="F6" s="174">
        <v>3.4999999999999996E-3</v>
      </c>
      <c r="G6" s="174">
        <v>4.5000000000000005E-3</v>
      </c>
      <c r="H6" s="174">
        <v>5.1000000000000004E-3</v>
      </c>
      <c r="I6" s="174">
        <v>5.8999999999999999E-3</v>
      </c>
      <c r="J6" s="174">
        <v>6.4000000000000003E-3</v>
      </c>
      <c r="K6" s="174">
        <v>6.9999999999999993E-3</v>
      </c>
    </row>
    <row r="7" spans="1:11" ht="15.5">
      <c r="A7" s="173" t="s">
        <v>639</v>
      </c>
      <c r="B7" s="174">
        <v>2.0000000000000001E-4</v>
      </c>
      <c r="C7" s="174">
        <v>5.9999999999999995E-4</v>
      </c>
      <c r="D7" s="174">
        <v>1.1999999999999999E-3</v>
      </c>
      <c r="E7" s="174">
        <v>2.0999999999999999E-3</v>
      </c>
      <c r="F7" s="174">
        <v>3.0999999999999999E-3</v>
      </c>
      <c r="G7" s="174">
        <v>4.1999999999999997E-3</v>
      </c>
      <c r="H7" s="174">
        <v>5.0000000000000001E-3</v>
      </c>
      <c r="I7" s="174">
        <v>5.7999999999999996E-3</v>
      </c>
      <c r="J7" s="174">
        <v>6.5000000000000006E-3</v>
      </c>
      <c r="K7" s="174">
        <v>7.1999999999999998E-3</v>
      </c>
    </row>
    <row r="8" spans="1:11" ht="15.5">
      <c r="A8" s="173" t="s">
        <v>640</v>
      </c>
      <c r="B8" s="174">
        <v>5.0000000000000001E-4</v>
      </c>
      <c r="C8" s="174">
        <v>1.4000000000000002E-3</v>
      </c>
      <c r="D8" s="174">
        <v>2.3E-3</v>
      </c>
      <c r="E8" s="174">
        <v>3.4999999999999996E-3</v>
      </c>
      <c r="F8" s="174">
        <v>4.6999999999999993E-3</v>
      </c>
      <c r="G8" s="174">
        <v>6.1999999999999998E-3</v>
      </c>
      <c r="H8" s="174">
        <v>7.9000000000000008E-3</v>
      </c>
      <c r="I8" s="174">
        <v>9.300000000000001E-3</v>
      </c>
      <c r="J8" s="174">
        <v>1.0800000000000001E-2</v>
      </c>
      <c r="K8" s="174">
        <v>1.24E-2</v>
      </c>
    </row>
    <row r="9" spans="1:11" ht="15.5">
      <c r="A9" s="173" t="s">
        <v>641</v>
      </c>
      <c r="B9" s="174">
        <v>1.6000000000000001E-3</v>
      </c>
      <c r="C9" s="174">
        <v>4.5000000000000005E-3</v>
      </c>
      <c r="D9" s="174">
        <v>7.8000000000000005E-3</v>
      </c>
      <c r="E9" s="174">
        <v>1.1699999999999999E-2</v>
      </c>
      <c r="F9" s="174">
        <v>1.5800000000000002E-2</v>
      </c>
      <c r="G9" s="174">
        <v>1.9799999999999998E-2</v>
      </c>
      <c r="H9" s="174">
        <v>2.3300000000000001E-2</v>
      </c>
      <c r="I9" s="174">
        <v>2.6699999999999998E-2</v>
      </c>
      <c r="J9" s="174">
        <v>0.03</v>
      </c>
      <c r="K9" s="174">
        <v>3.32E-2</v>
      </c>
    </row>
    <row r="10" spans="1:11" ht="15.5">
      <c r="A10" s="173" t="s">
        <v>642</v>
      </c>
      <c r="B10" s="174">
        <v>6.0999999999999995E-3</v>
      </c>
      <c r="C10" s="174">
        <v>1.9199999999999998E-2</v>
      </c>
      <c r="D10" s="174">
        <v>3.4799999999999998E-2</v>
      </c>
      <c r="E10" s="174">
        <v>5.0499999999999996E-2</v>
      </c>
      <c r="F10" s="174">
        <v>6.5199999999999994E-2</v>
      </c>
      <c r="G10" s="174">
        <v>7.85E-2</v>
      </c>
      <c r="H10" s="174">
        <v>9.01E-2</v>
      </c>
      <c r="I10" s="174">
        <v>0.10039999999999999</v>
      </c>
      <c r="J10" s="174">
        <v>0.10970000000000001</v>
      </c>
      <c r="K10" s="174">
        <v>0.11779999999999999</v>
      </c>
    </row>
    <row r="11" spans="1:11" ht="15.5">
      <c r="A11" s="173" t="s">
        <v>92</v>
      </c>
      <c r="B11" s="174">
        <v>3.3300000000000003E-2</v>
      </c>
      <c r="C11" s="174">
        <v>7.7100000000000002E-2</v>
      </c>
      <c r="D11" s="174">
        <v>0.11550000000000001</v>
      </c>
      <c r="E11" s="174">
        <v>0.14580000000000001</v>
      </c>
      <c r="F11" s="174">
        <v>0.16930000000000001</v>
      </c>
      <c r="G11" s="174">
        <v>0.1883</v>
      </c>
      <c r="H11" s="174">
        <v>0.2036</v>
      </c>
      <c r="I11" s="174">
        <v>0.21600000000000003</v>
      </c>
      <c r="J11" s="174">
        <v>0.22699999999999998</v>
      </c>
      <c r="K11" s="174">
        <v>0.23739999999999997</v>
      </c>
    </row>
    <row r="12" spans="1:11" ht="15.5">
      <c r="A12" s="173" t="s">
        <v>643</v>
      </c>
      <c r="B12" s="174">
        <v>0.27079999999999999</v>
      </c>
      <c r="C12" s="174">
        <v>0.3664</v>
      </c>
      <c r="D12" s="174">
        <v>0.41409999999999997</v>
      </c>
      <c r="E12" s="174">
        <v>0.441</v>
      </c>
      <c r="F12" s="174">
        <v>0.46189999999999998</v>
      </c>
      <c r="G12" s="174">
        <v>0.47090000000000004</v>
      </c>
      <c r="H12" s="174">
        <v>0.48259999999999997</v>
      </c>
      <c r="I12" s="174">
        <v>0.49049999999999999</v>
      </c>
      <c r="J12" s="174">
        <v>0.49759999999999999</v>
      </c>
      <c r="K12" s="174">
        <v>0.50380000000000003</v>
      </c>
    </row>
    <row r="14" spans="1:11" ht="15.5">
      <c r="A14" s="282" t="s">
        <v>792</v>
      </c>
    </row>
    <row r="16" spans="1:11" s="281" customFormat="1" ht="17.5">
      <c r="A16" s="281" t="s">
        <v>803</v>
      </c>
    </row>
    <row r="17" spans="1:24">
      <c r="O17" s="626" t="s">
        <v>809</v>
      </c>
      <c r="P17" s="626"/>
      <c r="Q17" s="626"/>
      <c r="R17" s="626"/>
      <c r="S17" s="626"/>
      <c r="T17" s="626"/>
      <c r="U17" s="626"/>
      <c r="V17" s="626"/>
      <c r="W17" s="626"/>
      <c r="X17" s="626"/>
    </row>
    <row r="18" spans="1:24" ht="15.5">
      <c r="A18" s="284"/>
      <c r="B18" s="285"/>
      <c r="C18" s="286" t="s">
        <v>793</v>
      </c>
      <c r="D18" s="286" t="s">
        <v>794</v>
      </c>
      <c r="E18" s="286" t="s">
        <v>795</v>
      </c>
      <c r="F18" s="286" t="s">
        <v>796</v>
      </c>
      <c r="G18" s="286" t="s">
        <v>797</v>
      </c>
      <c r="H18" s="286" t="s">
        <v>798</v>
      </c>
      <c r="I18" s="286" t="s">
        <v>750</v>
      </c>
      <c r="J18" s="286" t="s">
        <v>799</v>
      </c>
      <c r="K18" s="286" t="s">
        <v>800</v>
      </c>
      <c r="L18" s="286" t="s">
        <v>801</v>
      </c>
      <c r="O18" s="286" t="s">
        <v>793</v>
      </c>
      <c r="P18" s="286" t="s">
        <v>794</v>
      </c>
      <c r="Q18" s="286" t="s">
        <v>795</v>
      </c>
      <c r="R18" s="286" t="s">
        <v>796</v>
      </c>
      <c r="S18" s="286" t="s">
        <v>797</v>
      </c>
      <c r="T18" s="286" t="s">
        <v>798</v>
      </c>
      <c r="U18" s="286" t="s">
        <v>750</v>
      </c>
      <c r="V18" s="286" t="s">
        <v>799</v>
      </c>
      <c r="W18" s="286" t="s">
        <v>800</v>
      </c>
      <c r="X18" s="286" t="s">
        <v>801</v>
      </c>
    </row>
    <row r="19" spans="1:24" ht="16" customHeight="1">
      <c r="A19" s="623" t="s">
        <v>802</v>
      </c>
      <c r="B19" s="289">
        <v>0</v>
      </c>
      <c r="C19" s="287">
        <f>1-O28</f>
        <v>0.55099999999999993</v>
      </c>
      <c r="D19" s="287">
        <f t="shared" ref="D19:L19" si="0">1-P28</f>
        <v>0.67700000000000005</v>
      </c>
      <c r="E19" s="287">
        <f t="shared" si="0"/>
        <v>0.55099999999999993</v>
      </c>
      <c r="F19" s="287">
        <f t="shared" si="0"/>
        <v>0.753</v>
      </c>
      <c r="G19" s="287">
        <f t="shared" si="0"/>
        <v>0.61899999999999999</v>
      </c>
      <c r="H19" s="287">
        <f t="shared" si="0"/>
        <v>0.61</v>
      </c>
      <c r="I19" s="287">
        <f t="shared" si="0"/>
        <v>0.71599999999999997</v>
      </c>
      <c r="J19" s="287">
        <f t="shared" si="0"/>
        <v>0.745</v>
      </c>
      <c r="K19" s="287">
        <f t="shared" si="0"/>
        <v>0.57499999999999996</v>
      </c>
      <c r="L19" s="287">
        <f t="shared" si="0"/>
        <v>0.67200000000000004</v>
      </c>
      <c r="N19">
        <v>1</v>
      </c>
      <c r="O19" s="288">
        <v>0.82299999999999995</v>
      </c>
      <c r="P19" s="288">
        <v>0.81799999999999995</v>
      </c>
      <c r="Q19" s="288">
        <v>0.84</v>
      </c>
      <c r="R19" s="288">
        <v>0.74299999999999999</v>
      </c>
      <c r="S19" s="288">
        <v>0.82799999999999996</v>
      </c>
      <c r="T19" s="288">
        <v>0.83099999999999996</v>
      </c>
      <c r="U19" s="288">
        <v>0.76900000000000002</v>
      </c>
      <c r="V19" s="288">
        <v>0.752</v>
      </c>
      <c r="W19" s="288">
        <v>0.81400000000000006</v>
      </c>
      <c r="X19" s="288">
        <v>0.78299999999999992</v>
      </c>
    </row>
    <row r="20" spans="1:24" ht="15.5">
      <c r="A20" s="624"/>
      <c r="B20" s="289">
        <v>1</v>
      </c>
      <c r="C20" s="287">
        <f>O19-O$28</f>
        <v>0.37399999999999994</v>
      </c>
      <c r="D20" s="287">
        <f t="shared" ref="D20:D29" si="1">P19-P$28</f>
        <v>0.495</v>
      </c>
      <c r="E20" s="287">
        <f t="shared" ref="E20:E29" si="2">Q19-Q$28</f>
        <v>0.39099999999999996</v>
      </c>
      <c r="F20" s="287">
        <f t="shared" ref="F20:F29" si="3">R19-R$28</f>
        <v>0.496</v>
      </c>
      <c r="G20" s="287">
        <f t="shared" ref="G20:G29" si="4">S19-S$28</f>
        <v>0.44699999999999995</v>
      </c>
      <c r="H20" s="287">
        <f t="shared" ref="H20:H29" si="5">T19-T$28</f>
        <v>0.44099999999999995</v>
      </c>
      <c r="I20" s="287">
        <f t="shared" ref="I20:I29" si="6">U19-U$28</f>
        <v>0.48500000000000004</v>
      </c>
      <c r="J20" s="287">
        <f t="shared" ref="J20:J29" si="7">V19-V$28</f>
        <v>0.497</v>
      </c>
      <c r="K20" s="287">
        <f t="shared" ref="K20:K29" si="8">W19-W$28</f>
        <v>0.38900000000000007</v>
      </c>
      <c r="L20" s="287">
        <f t="shared" ref="L20:L29" si="9">X19-X$28</f>
        <v>0.45499999999999996</v>
      </c>
      <c r="N20">
        <v>2</v>
      </c>
      <c r="O20" s="288">
        <v>0.748</v>
      </c>
      <c r="P20" s="288">
        <v>0.71200000000000008</v>
      </c>
      <c r="Q20" s="288">
        <v>0.73499999999999999</v>
      </c>
      <c r="R20" s="288">
        <v>0.59799999999999998</v>
      </c>
      <c r="S20" s="288">
        <v>0.72400000000000009</v>
      </c>
      <c r="T20" s="288">
        <v>0.72400000000000009</v>
      </c>
      <c r="U20" s="288">
        <v>0.63600000000000001</v>
      </c>
      <c r="V20" s="288">
        <v>0.627</v>
      </c>
      <c r="W20" s="288">
        <v>0.72199999999999998</v>
      </c>
      <c r="X20" s="288">
        <v>0.66200000000000003</v>
      </c>
    </row>
    <row r="21" spans="1:24" ht="15.5">
      <c r="A21" s="624"/>
      <c r="B21" s="289">
        <v>2</v>
      </c>
      <c r="C21" s="287">
        <f t="shared" ref="C21:C29" si="10">O20-O$28</f>
        <v>0.29899999999999999</v>
      </c>
      <c r="D21" s="287">
        <f t="shared" si="1"/>
        <v>0.38900000000000012</v>
      </c>
      <c r="E21" s="287">
        <f t="shared" si="2"/>
        <v>0.28599999999999998</v>
      </c>
      <c r="F21" s="287">
        <f t="shared" si="3"/>
        <v>0.35099999999999998</v>
      </c>
      <c r="G21" s="287">
        <f t="shared" si="4"/>
        <v>0.34300000000000008</v>
      </c>
      <c r="H21" s="287">
        <f t="shared" si="5"/>
        <v>0.33400000000000007</v>
      </c>
      <c r="I21" s="287">
        <f t="shared" si="6"/>
        <v>0.35200000000000004</v>
      </c>
      <c r="J21" s="287">
        <f t="shared" si="7"/>
        <v>0.372</v>
      </c>
      <c r="K21" s="287">
        <f t="shared" si="8"/>
        <v>0.29699999999999999</v>
      </c>
      <c r="L21" s="287">
        <f t="shared" si="9"/>
        <v>0.33400000000000007</v>
      </c>
      <c r="N21">
        <v>3</v>
      </c>
      <c r="O21" s="288">
        <v>0.66099999999999992</v>
      </c>
      <c r="P21" s="288">
        <v>0.629</v>
      </c>
      <c r="Q21" s="288">
        <v>0.67</v>
      </c>
      <c r="R21" s="288">
        <v>0.45600000000000002</v>
      </c>
      <c r="S21" s="288">
        <v>0.622</v>
      </c>
      <c r="T21" s="288">
        <v>0.63100000000000001</v>
      </c>
      <c r="U21" s="288">
        <v>0.52300000000000002</v>
      </c>
      <c r="V21" s="288">
        <v>0.53299999999999992</v>
      </c>
      <c r="W21" s="288">
        <v>0.67400000000000004</v>
      </c>
      <c r="X21" s="288">
        <v>0.56600000000000006</v>
      </c>
    </row>
    <row r="22" spans="1:24" ht="15.5">
      <c r="A22" s="624"/>
      <c r="B22" s="289">
        <v>3</v>
      </c>
      <c r="C22" s="287">
        <f t="shared" si="10"/>
        <v>0.21199999999999991</v>
      </c>
      <c r="D22" s="287">
        <f t="shared" si="1"/>
        <v>0.30600000000000005</v>
      </c>
      <c r="E22" s="287">
        <f t="shared" si="2"/>
        <v>0.22100000000000003</v>
      </c>
      <c r="F22" s="287">
        <f t="shared" si="3"/>
        <v>0.20900000000000002</v>
      </c>
      <c r="G22" s="287">
        <f t="shared" si="4"/>
        <v>0.24099999999999999</v>
      </c>
      <c r="H22" s="287">
        <f t="shared" si="5"/>
        <v>0.24099999999999999</v>
      </c>
      <c r="I22" s="287">
        <f t="shared" si="6"/>
        <v>0.23900000000000005</v>
      </c>
      <c r="J22" s="287">
        <f t="shared" si="7"/>
        <v>0.27799999999999991</v>
      </c>
      <c r="K22" s="287">
        <f t="shared" si="8"/>
        <v>0.24900000000000005</v>
      </c>
      <c r="L22" s="287">
        <f t="shared" si="9"/>
        <v>0.2380000000000001</v>
      </c>
      <c r="N22">
        <v>4</v>
      </c>
      <c r="O22" s="288">
        <v>0.61199999999999999</v>
      </c>
      <c r="P22" s="288">
        <v>0.53799999999999992</v>
      </c>
      <c r="Q22" s="288">
        <v>0.629</v>
      </c>
      <c r="R22" s="288">
        <v>0.371</v>
      </c>
      <c r="S22" s="288">
        <v>0.54100000000000004</v>
      </c>
      <c r="T22" s="288">
        <v>0.56499999999999995</v>
      </c>
      <c r="U22" s="288">
        <v>0.45</v>
      </c>
      <c r="V22" s="288">
        <v>0.46399999999999997</v>
      </c>
      <c r="W22" s="288">
        <v>0.61299999999999999</v>
      </c>
      <c r="X22" s="288">
        <v>0.498</v>
      </c>
    </row>
    <row r="23" spans="1:24" ht="15.5">
      <c r="A23" s="624"/>
      <c r="B23" s="289">
        <v>4</v>
      </c>
      <c r="C23" s="287">
        <f t="shared" si="10"/>
        <v>0.16299999999999998</v>
      </c>
      <c r="D23" s="287">
        <f t="shared" si="1"/>
        <v>0.21499999999999997</v>
      </c>
      <c r="E23" s="287">
        <f t="shared" si="2"/>
        <v>0.18</v>
      </c>
      <c r="F23" s="287">
        <f t="shared" si="3"/>
        <v>0.124</v>
      </c>
      <c r="G23" s="287">
        <f t="shared" si="4"/>
        <v>0.16000000000000003</v>
      </c>
      <c r="H23" s="287">
        <f t="shared" si="5"/>
        <v>0.17499999999999993</v>
      </c>
      <c r="I23" s="287">
        <f t="shared" si="6"/>
        <v>0.16600000000000004</v>
      </c>
      <c r="J23" s="287">
        <f t="shared" si="7"/>
        <v>0.20899999999999996</v>
      </c>
      <c r="K23" s="287">
        <f t="shared" si="8"/>
        <v>0.188</v>
      </c>
      <c r="L23" s="287">
        <f t="shared" si="9"/>
        <v>0.17000000000000004</v>
      </c>
      <c r="N23">
        <v>5</v>
      </c>
      <c r="O23" s="288">
        <v>0.57399999999999995</v>
      </c>
      <c r="P23" s="288">
        <v>0.51200000000000001</v>
      </c>
      <c r="Q23" s="288">
        <v>0.56499999999999995</v>
      </c>
      <c r="R23" s="288">
        <v>0.33200000000000002</v>
      </c>
      <c r="S23" s="288">
        <v>0.49399999999999999</v>
      </c>
      <c r="T23" s="288">
        <v>0.52100000000000002</v>
      </c>
      <c r="U23" s="288">
        <v>0.41100000000000003</v>
      </c>
      <c r="V23" s="288">
        <v>0.41899999999999998</v>
      </c>
      <c r="W23" s="288">
        <v>0.55899999999999994</v>
      </c>
      <c r="X23" s="288">
        <v>0.45399999999999996</v>
      </c>
    </row>
    <row r="24" spans="1:24" ht="15.5">
      <c r="A24" s="624"/>
      <c r="B24" s="289">
        <v>5</v>
      </c>
      <c r="C24" s="287">
        <f t="shared" si="10"/>
        <v>0.12499999999999994</v>
      </c>
      <c r="D24" s="287">
        <f t="shared" si="1"/>
        <v>0.18900000000000006</v>
      </c>
      <c r="E24" s="287">
        <f t="shared" si="2"/>
        <v>0.11599999999999994</v>
      </c>
      <c r="F24" s="287">
        <f t="shared" si="3"/>
        <v>8.500000000000002E-2</v>
      </c>
      <c r="G24" s="287">
        <f t="shared" si="4"/>
        <v>0.11299999999999999</v>
      </c>
      <c r="H24" s="287">
        <f t="shared" si="5"/>
        <v>0.13100000000000001</v>
      </c>
      <c r="I24" s="287">
        <f t="shared" si="6"/>
        <v>0.12700000000000006</v>
      </c>
      <c r="J24" s="287">
        <f t="shared" si="7"/>
        <v>0.16399999999999998</v>
      </c>
      <c r="K24" s="287">
        <f t="shared" si="8"/>
        <v>0.13399999999999995</v>
      </c>
      <c r="L24" s="287">
        <f t="shared" si="9"/>
        <v>0.126</v>
      </c>
      <c r="N24">
        <v>6</v>
      </c>
      <c r="O24" s="288">
        <v>0.54100000000000004</v>
      </c>
      <c r="P24" s="288">
        <v>0.47200000000000003</v>
      </c>
      <c r="Q24" s="288">
        <v>0.55600000000000005</v>
      </c>
      <c r="R24" s="288">
        <v>0.30599999999999999</v>
      </c>
      <c r="S24" s="288">
        <v>0.46299999999999997</v>
      </c>
      <c r="T24" s="288">
        <v>0.48499999999999999</v>
      </c>
      <c r="U24" s="288">
        <v>0.377</v>
      </c>
      <c r="V24" s="288">
        <v>0.37200000000000005</v>
      </c>
      <c r="W24" s="288">
        <v>0.54799999999999993</v>
      </c>
      <c r="X24" s="288">
        <v>0.42299999999999999</v>
      </c>
    </row>
    <row r="25" spans="1:24" ht="15.5">
      <c r="A25" s="624"/>
      <c r="B25" s="289">
        <v>6</v>
      </c>
      <c r="C25" s="287">
        <f t="shared" si="10"/>
        <v>9.2000000000000026E-2</v>
      </c>
      <c r="D25" s="287">
        <f t="shared" si="1"/>
        <v>0.14900000000000008</v>
      </c>
      <c r="E25" s="287">
        <f t="shared" si="2"/>
        <v>0.10700000000000004</v>
      </c>
      <c r="F25" s="287">
        <f t="shared" si="3"/>
        <v>5.8999999999999997E-2</v>
      </c>
      <c r="G25" s="287">
        <f t="shared" si="4"/>
        <v>8.1999999999999962E-2</v>
      </c>
      <c r="H25" s="287">
        <f t="shared" si="5"/>
        <v>9.4999999999999973E-2</v>
      </c>
      <c r="I25" s="287">
        <f t="shared" si="6"/>
        <v>9.3000000000000027E-2</v>
      </c>
      <c r="J25" s="287">
        <f t="shared" si="7"/>
        <v>0.11700000000000005</v>
      </c>
      <c r="K25" s="287">
        <f t="shared" si="8"/>
        <v>0.12299999999999994</v>
      </c>
      <c r="L25" s="287">
        <f t="shared" si="9"/>
        <v>9.5000000000000029E-2</v>
      </c>
      <c r="N25">
        <v>7</v>
      </c>
      <c r="O25" s="288">
        <v>0.51600000000000001</v>
      </c>
      <c r="P25" s="288">
        <v>0.42899999999999999</v>
      </c>
      <c r="Q25" s="288">
        <v>0.51600000000000001</v>
      </c>
      <c r="R25" s="288">
        <v>0.28399999999999997</v>
      </c>
      <c r="S25" s="288">
        <v>0.43799999999999994</v>
      </c>
      <c r="T25" s="288">
        <v>0.45700000000000002</v>
      </c>
      <c r="U25" s="288">
        <v>0.34899999999999998</v>
      </c>
      <c r="V25" s="288">
        <v>0.34</v>
      </c>
      <c r="W25" s="288">
        <v>0.52900000000000003</v>
      </c>
      <c r="X25" s="288">
        <v>0.39600000000000002</v>
      </c>
    </row>
    <row r="26" spans="1:24" ht="15.5">
      <c r="A26" s="624"/>
      <c r="B26" s="289">
        <v>7</v>
      </c>
      <c r="C26" s="287">
        <f t="shared" si="10"/>
        <v>6.7000000000000004E-2</v>
      </c>
      <c r="D26" s="287">
        <f t="shared" si="1"/>
        <v>0.10600000000000004</v>
      </c>
      <c r="E26" s="287">
        <f t="shared" si="2"/>
        <v>6.7000000000000004E-2</v>
      </c>
      <c r="F26" s="287">
        <f t="shared" si="3"/>
        <v>3.6999999999999977E-2</v>
      </c>
      <c r="G26" s="287">
        <f t="shared" si="4"/>
        <v>5.699999999999994E-2</v>
      </c>
      <c r="H26" s="287">
        <f t="shared" si="5"/>
        <v>6.7000000000000004E-2</v>
      </c>
      <c r="I26" s="287">
        <f t="shared" si="6"/>
        <v>6.5000000000000002E-2</v>
      </c>
      <c r="J26" s="287">
        <f t="shared" si="7"/>
        <v>8.500000000000002E-2</v>
      </c>
      <c r="K26" s="287">
        <f t="shared" si="8"/>
        <v>0.10400000000000004</v>
      </c>
      <c r="L26" s="287">
        <f t="shared" si="9"/>
        <v>6.800000000000006E-2</v>
      </c>
      <c r="N26">
        <v>8</v>
      </c>
      <c r="O26" s="288">
        <v>0.495</v>
      </c>
      <c r="P26" s="288">
        <v>0.40500000000000003</v>
      </c>
      <c r="Q26" s="288">
        <v>0.503</v>
      </c>
      <c r="R26" s="288">
        <v>0.27100000000000002</v>
      </c>
      <c r="S26" s="288">
        <v>0.41499999999999998</v>
      </c>
      <c r="T26" s="288">
        <v>0.433</v>
      </c>
      <c r="U26" s="288">
        <v>0.32400000000000001</v>
      </c>
      <c r="V26" s="288">
        <v>0.314</v>
      </c>
      <c r="W26" s="288">
        <v>0.48399999999999999</v>
      </c>
      <c r="X26" s="288">
        <v>0.371</v>
      </c>
    </row>
    <row r="27" spans="1:24" ht="15.5">
      <c r="A27" s="624"/>
      <c r="B27" s="289">
        <v>8</v>
      </c>
      <c r="C27" s="287">
        <f t="shared" si="10"/>
        <v>4.5999999999999985E-2</v>
      </c>
      <c r="D27" s="287">
        <f t="shared" si="1"/>
        <v>8.2000000000000073E-2</v>
      </c>
      <c r="E27" s="287">
        <f t="shared" si="2"/>
        <v>5.3999999999999992E-2</v>
      </c>
      <c r="F27" s="287">
        <f t="shared" si="3"/>
        <v>2.4000000000000021E-2</v>
      </c>
      <c r="G27" s="287">
        <f t="shared" si="4"/>
        <v>3.3999999999999975E-2</v>
      </c>
      <c r="H27" s="287">
        <f t="shared" si="5"/>
        <v>4.2999999999999983E-2</v>
      </c>
      <c r="I27" s="287">
        <f t="shared" si="6"/>
        <v>4.0000000000000036E-2</v>
      </c>
      <c r="J27" s="287">
        <f t="shared" si="7"/>
        <v>5.8999999999999997E-2</v>
      </c>
      <c r="K27" s="287">
        <f t="shared" si="8"/>
        <v>5.8999999999999997E-2</v>
      </c>
      <c r="L27" s="287">
        <f t="shared" si="9"/>
        <v>4.3000000000000038E-2</v>
      </c>
      <c r="N27">
        <v>9</v>
      </c>
      <c r="O27" s="288">
        <v>0.46500000000000002</v>
      </c>
      <c r="P27" s="288">
        <v>0.371</v>
      </c>
      <c r="Q27" s="288">
        <v>0.47600000000000003</v>
      </c>
      <c r="R27" s="288">
        <v>0.25800000000000001</v>
      </c>
      <c r="S27" s="288">
        <v>0.4</v>
      </c>
      <c r="T27" s="288">
        <v>0.41</v>
      </c>
      <c r="U27" s="288">
        <v>0.30499999999999999</v>
      </c>
      <c r="V27" s="288">
        <v>0.27399999999999997</v>
      </c>
      <c r="W27" s="288">
        <v>0.45500000000000002</v>
      </c>
      <c r="X27" s="288">
        <v>0.34799999999999998</v>
      </c>
    </row>
    <row r="28" spans="1:24" ht="15.5">
      <c r="A28" s="625"/>
      <c r="B28" s="289">
        <v>9</v>
      </c>
      <c r="C28" s="287">
        <f t="shared" si="10"/>
        <v>1.6000000000000014E-2</v>
      </c>
      <c r="D28" s="287">
        <f t="shared" si="1"/>
        <v>4.8000000000000043E-2</v>
      </c>
      <c r="E28" s="287">
        <f t="shared" si="2"/>
        <v>2.7000000000000024E-2</v>
      </c>
      <c r="F28" s="287">
        <f t="shared" si="3"/>
        <v>1.100000000000001E-2</v>
      </c>
      <c r="G28" s="287">
        <f t="shared" si="4"/>
        <v>1.9000000000000017E-2</v>
      </c>
      <c r="H28" s="287">
        <f t="shared" si="5"/>
        <v>1.9999999999999962E-2</v>
      </c>
      <c r="I28" s="287">
        <f t="shared" si="6"/>
        <v>2.1000000000000019E-2</v>
      </c>
      <c r="J28" s="287">
        <f t="shared" si="7"/>
        <v>1.8999999999999961E-2</v>
      </c>
      <c r="K28" s="287">
        <f t="shared" si="8"/>
        <v>3.0000000000000027E-2</v>
      </c>
      <c r="L28" s="287">
        <f t="shared" si="9"/>
        <v>2.0000000000000018E-2</v>
      </c>
      <c r="N28">
        <v>10</v>
      </c>
      <c r="O28" s="288">
        <v>0.44900000000000001</v>
      </c>
      <c r="P28" s="288">
        <v>0.32299999999999995</v>
      </c>
      <c r="Q28" s="288">
        <v>0.44900000000000001</v>
      </c>
      <c r="R28" s="288">
        <v>0.247</v>
      </c>
      <c r="S28" s="288">
        <v>0.38100000000000001</v>
      </c>
      <c r="T28" s="288">
        <v>0.39</v>
      </c>
      <c r="U28" s="288">
        <v>0.28399999999999997</v>
      </c>
      <c r="V28" s="288">
        <v>0.255</v>
      </c>
      <c r="W28" s="288">
        <v>0.42499999999999999</v>
      </c>
      <c r="X28" s="288">
        <v>0.32799999999999996</v>
      </c>
    </row>
    <row r="29" spans="1:24" ht="15.5">
      <c r="B29" s="289">
        <v>10</v>
      </c>
      <c r="C29" s="287">
        <f t="shared" si="10"/>
        <v>0</v>
      </c>
      <c r="D29" s="287">
        <f t="shared" si="1"/>
        <v>0</v>
      </c>
      <c r="E29" s="287">
        <f t="shared" si="2"/>
        <v>0</v>
      </c>
      <c r="F29" s="287">
        <f t="shared" si="3"/>
        <v>0</v>
      </c>
      <c r="G29" s="287">
        <f t="shared" si="4"/>
        <v>0</v>
      </c>
      <c r="H29" s="287">
        <f t="shared" si="5"/>
        <v>0</v>
      </c>
      <c r="I29" s="287">
        <f t="shared" si="6"/>
        <v>0</v>
      </c>
      <c r="J29" s="287">
        <f t="shared" si="7"/>
        <v>0</v>
      </c>
      <c r="K29" s="287">
        <f t="shared" si="8"/>
        <v>0</v>
      </c>
      <c r="L29" s="287">
        <f t="shared" si="9"/>
        <v>0</v>
      </c>
    </row>
    <row r="30" spans="1:24" ht="15.5">
      <c r="A30" t="s">
        <v>808</v>
      </c>
      <c r="B30" s="291"/>
      <c r="C30" s="292"/>
      <c r="D30" s="292"/>
      <c r="E30" s="292"/>
      <c r="F30" s="292"/>
      <c r="G30" s="292"/>
      <c r="H30" s="292"/>
      <c r="I30" s="292"/>
      <c r="J30" s="292"/>
      <c r="K30" s="292"/>
      <c r="L30" s="292"/>
    </row>
    <row r="31" spans="1:24" s="230" customFormat="1" ht="15.5">
      <c r="A31" s="230" t="s">
        <v>807</v>
      </c>
      <c r="B31"/>
      <c r="C31"/>
      <c r="D31"/>
      <c r="E31"/>
      <c r="F31"/>
      <c r="G31"/>
      <c r="H31"/>
      <c r="I31"/>
      <c r="J31"/>
      <c r="K31"/>
      <c r="L31"/>
    </row>
    <row r="32" spans="1:24" ht="15.5">
      <c r="B32" s="230"/>
      <c r="C32" s="230"/>
      <c r="D32" s="230"/>
      <c r="E32" s="230"/>
      <c r="F32" s="230"/>
      <c r="G32" s="230"/>
      <c r="H32" s="230"/>
      <c r="I32" s="230"/>
      <c r="J32" s="230"/>
      <c r="K32" s="230"/>
      <c r="L32" s="230"/>
    </row>
    <row r="33" spans="1:1" ht="15.5">
      <c r="A33" s="290" t="s">
        <v>804</v>
      </c>
    </row>
    <row r="34" spans="1:1" ht="15.5">
      <c r="A34" s="230" t="s">
        <v>805</v>
      </c>
    </row>
    <row r="35" spans="1:1" ht="15.5">
      <c r="A35" s="230" t="s">
        <v>810</v>
      </c>
    </row>
    <row r="36" spans="1:1" ht="15.5">
      <c r="A36" s="230" t="s">
        <v>811</v>
      </c>
    </row>
    <row r="37" spans="1:1" ht="15.5">
      <c r="A37" s="230" t="s">
        <v>806</v>
      </c>
    </row>
  </sheetData>
  <mergeCells count="3">
    <mergeCell ref="A4:K4"/>
    <mergeCell ref="A19:A28"/>
    <mergeCell ref="O17:X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0" workbookViewId="0">
      <selection activeCell="F50" sqref="F50"/>
    </sheetView>
  </sheetViews>
  <sheetFormatPr defaultColWidth="11.19921875" defaultRowHeight="15.5"/>
  <cols>
    <col min="1" max="1" width="28.5" style="219" bestFit="1" customWidth="1"/>
    <col min="2" max="2" width="14" style="219" bestFit="1" customWidth="1"/>
    <col min="3" max="3" width="12.5" style="219" bestFit="1" customWidth="1"/>
    <col min="4" max="4" width="16.296875" style="219" bestFit="1" customWidth="1"/>
    <col min="5" max="5" width="18.296875" style="219" bestFit="1" customWidth="1"/>
    <col min="6" max="6" width="16.296875" style="219" bestFit="1" customWidth="1"/>
    <col min="7" max="8" width="12.5" style="219" bestFit="1" customWidth="1"/>
  </cols>
  <sheetData>
    <row r="1" spans="1:8" s="148" customFormat="1" ht="47" thickBot="1">
      <c r="A1" s="215" t="s">
        <v>108</v>
      </c>
      <c r="B1" s="215" t="s">
        <v>5</v>
      </c>
      <c r="C1" s="215" t="s">
        <v>538</v>
      </c>
      <c r="D1" s="215" t="s">
        <v>554</v>
      </c>
      <c r="E1" s="215" t="s">
        <v>539</v>
      </c>
      <c r="F1" s="215" t="s">
        <v>41</v>
      </c>
      <c r="G1" s="215" t="s">
        <v>540</v>
      </c>
      <c r="H1" s="215" t="s">
        <v>541</v>
      </c>
    </row>
    <row r="2" spans="1:8" s="148" customFormat="1">
      <c r="A2" s="133" t="s">
        <v>553</v>
      </c>
      <c r="B2" s="216">
        <f>'Valuation output'!B3</f>
        <v>67393</v>
      </c>
      <c r="C2" s="133"/>
      <c r="D2" s="217">
        <f ca="1">'Valuation output'!B4</f>
        <v>0.13960374310331589</v>
      </c>
      <c r="E2" s="216">
        <f ca="1">B2*D2</f>
        <v>9408.3150589617671</v>
      </c>
      <c r="F2" s="216">
        <f>'Valuation output'!B10</f>
        <v>0</v>
      </c>
      <c r="G2" s="216">
        <f ca="1">E2-H2</f>
        <v>1492.1587683513362</v>
      </c>
      <c r="H2" s="216">
        <f ca="1">'Valuation output'!B7</f>
        <v>7916.1562906104309</v>
      </c>
    </row>
    <row r="3" spans="1:8" s="148" customFormat="1">
      <c r="A3" s="133">
        <v>1</v>
      </c>
      <c r="B3" s="216">
        <f>'Valuation output'!C3</f>
        <v>71423.1014</v>
      </c>
      <c r="C3" s="217">
        <f>'Valuation output'!C2</f>
        <v>5.9799999999999999E-2</v>
      </c>
      <c r="D3" s="217">
        <f>'Valuation output'!C4</f>
        <v>0.1396</v>
      </c>
      <c r="E3" s="216">
        <f>B3*D3</f>
        <v>9970.6649554399992</v>
      </c>
      <c r="F3" s="216">
        <f>'Valuation output'!C10</f>
        <v>0</v>
      </c>
      <c r="G3" s="216">
        <f t="shared" ref="G3:G12" si="0">E3-H3</f>
        <v>1581.3474619327844</v>
      </c>
      <c r="H3" s="216">
        <f>'Valuation output'!C7</f>
        <v>8389.3174935072147</v>
      </c>
    </row>
    <row r="4" spans="1:8" s="148" customFormat="1">
      <c r="A4" s="133">
        <v>2</v>
      </c>
      <c r="B4" s="218">
        <f>'Valuation output'!D3</f>
        <v>75694.202863719998</v>
      </c>
      <c r="C4" s="217">
        <f>B4/B3-1</f>
        <v>5.9800000000000075E-2</v>
      </c>
      <c r="D4" s="217">
        <f>'Valuation output'!D4</f>
        <v>0.13605333333333333</v>
      </c>
      <c r="E4" s="216">
        <f t="shared" ref="E4:E12" si="1">B4*D4</f>
        <v>10298.448613618652</v>
      </c>
      <c r="F4" s="216">
        <f>'Valuation output'!D10</f>
        <v>0</v>
      </c>
      <c r="G4" s="216">
        <f t="shared" si="0"/>
        <v>1633.3339501199171</v>
      </c>
      <c r="H4" s="216">
        <f>'Valuation output'!D7</f>
        <v>8665.1146634987344</v>
      </c>
    </row>
    <row r="5" spans="1:8" s="148" customFormat="1">
      <c r="A5" s="133">
        <v>3</v>
      </c>
      <c r="B5" s="216">
        <f>'Valuation output'!E3</f>
        <v>80220.71619497046</v>
      </c>
      <c r="C5" s="217">
        <f t="shared" ref="C5:C12" si="2">B5/B4-1</f>
        <v>5.9800000000000075E-2</v>
      </c>
      <c r="D5" s="217">
        <f>'Valuation output'!E4</f>
        <v>0.13428000000000001</v>
      </c>
      <c r="E5" s="216">
        <f t="shared" si="1"/>
        <v>10772.037770660634</v>
      </c>
      <c r="F5" s="216">
        <f>'Valuation output'!E10</f>
        <v>0</v>
      </c>
      <c r="G5" s="216">
        <f t="shared" si="0"/>
        <v>1708.4451904267771</v>
      </c>
      <c r="H5" s="216">
        <f>'Valuation output'!E7</f>
        <v>9063.592580233857</v>
      </c>
    </row>
    <row r="6" spans="1:8" s="148" customFormat="1">
      <c r="A6" s="133">
        <v>4</v>
      </c>
      <c r="B6" s="216">
        <f>'Valuation output'!F3</f>
        <v>85017.915023429698</v>
      </c>
      <c r="C6" s="217">
        <f t="shared" si="2"/>
        <v>5.9800000000000075E-2</v>
      </c>
      <c r="D6" s="217">
        <f>'Valuation output'!F4</f>
        <v>0.13250666666666666</v>
      </c>
      <c r="E6" s="216">
        <f t="shared" si="1"/>
        <v>11265.440526704591</v>
      </c>
      <c r="F6" s="216">
        <f>'Valuation output'!F10</f>
        <v>0</v>
      </c>
      <c r="G6" s="216">
        <f t="shared" si="0"/>
        <v>1786.6988675353477</v>
      </c>
      <c r="H6" s="216">
        <f>'Valuation output'!F7</f>
        <v>9478.7416591692436</v>
      </c>
    </row>
    <row r="7" spans="1:8" s="148" customFormat="1">
      <c r="A7" s="133">
        <v>5</v>
      </c>
      <c r="B7" s="216">
        <f>'Valuation output'!G3</f>
        <v>90101.986341830794</v>
      </c>
      <c r="C7" s="217">
        <f t="shared" si="2"/>
        <v>5.9800000000000075E-2</v>
      </c>
      <c r="D7" s="217">
        <f>'Valuation output'!G4</f>
        <v>0.13073333333333334</v>
      </c>
      <c r="E7" s="216">
        <f t="shared" si="1"/>
        <v>11779.333014422013</v>
      </c>
      <c r="F7" s="216">
        <f>'Valuation output'!G10</f>
        <v>0</v>
      </c>
      <c r="G7" s="216">
        <f t="shared" si="0"/>
        <v>1868.2022160873312</v>
      </c>
      <c r="H7" s="216">
        <f>'Valuation output'!G7</f>
        <v>9911.1307983346815</v>
      </c>
    </row>
    <row r="8" spans="1:8" s="148" customFormat="1">
      <c r="A8" s="133">
        <v>6</v>
      </c>
      <c r="B8" s="216">
        <f>'Valuation output'!H3</f>
        <v>95153.103696153834</v>
      </c>
      <c r="C8" s="217">
        <f t="shared" si="2"/>
        <v>5.6059999999999999E-2</v>
      </c>
      <c r="D8" s="217">
        <f>'Valuation output'!H4</f>
        <v>0.12895999999999999</v>
      </c>
      <c r="E8" s="216">
        <f t="shared" si="1"/>
        <v>12270.944252655998</v>
      </c>
      <c r="F8" s="216">
        <f>'Valuation output'!H10</f>
        <v>0</v>
      </c>
      <c r="G8" s="216">
        <f t="shared" si="0"/>
        <v>2072.3170653885445</v>
      </c>
      <c r="H8" s="216">
        <f>'Valuation output'!H7</f>
        <v>10198.627187267453</v>
      </c>
    </row>
    <row r="9" spans="1:8" s="148" customFormat="1">
      <c r="A9" s="133">
        <v>7</v>
      </c>
      <c r="B9" s="216">
        <f>'Valuation output'!I3</f>
        <v>100131.51408153659</v>
      </c>
      <c r="C9" s="217">
        <f t="shared" si="2"/>
        <v>5.2319999999999922E-2</v>
      </c>
      <c r="D9" s="217">
        <f>'Valuation output'!I4</f>
        <v>0.12718666666666667</v>
      </c>
      <c r="E9" s="216">
        <f t="shared" si="1"/>
        <v>12735.393504317033</v>
      </c>
      <c r="F9" s="216">
        <f>'Valuation output'!I10</f>
        <v>0</v>
      </c>
      <c r="G9" s="216">
        <f t="shared" si="0"/>
        <v>2281.67310023344</v>
      </c>
      <c r="H9" s="216">
        <f>'Valuation output'!I7</f>
        <v>10453.720404083593</v>
      </c>
    </row>
    <row r="10" spans="1:8" s="148" customFormat="1">
      <c r="A10" s="133">
        <v>8</v>
      </c>
      <c r="B10" s="216">
        <f>'Valuation output'!J3</f>
        <v>104995.90303561764</v>
      </c>
      <c r="C10" s="217">
        <f t="shared" si="2"/>
        <v>4.8580000000000068E-2</v>
      </c>
      <c r="D10" s="217">
        <f>'Valuation output'!J4</f>
        <v>0.12541333333333332</v>
      </c>
      <c r="E10" s="216">
        <f t="shared" si="1"/>
        <v>13167.886186040259</v>
      </c>
      <c r="F10" s="216">
        <f>'Valuation output'!J10</f>
        <v>0</v>
      </c>
      <c r="G10" s="216">
        <f t="shared" si="0"/>
        <v>2494.5243590834671</v>
      </c>
      <c r="H10" s="216">
        <f>'Valuation output'!J7</f>
        <v>10673.361826956792</v>
      </c>
    </row>
    <row r="11" spans="1:8" s="148" customFormat="1">
      <c r="A11" s="133">
        <v>9</v>
      </c>
      <c r="B11" s="216">
        <f>'Valuation output'!K3</f>
        <v>109703.91932773474</v>
      </c>
      <c r="C11" s="217">
        <f t="shared" si="2"/>
        <v>4.4839999999999991E-2</v>
      </c>
      <c r="D11" s="217">
        <f>'Valuation output'!K4</f>
        <v>0.12364</v>
      </c>
      <c r="E11" s="216">
        <f t="shared" si="1"/>
        <v>13563.792585681123</v>
      </c>
      <c r="F11" s="216">
        <f>'Valuation output'!K10</f>
        <v>0</v>
      </c>
      <c r="G11" s="216">
        <f t="shared" si="0"/>
        <v>2708.960655212235</v>
      </c>
      <c r="H11" s="216">
        <f>'Valuation output'!K7</f>
        <v>10854.831930468888</v>
      </c>
    </row>
    <row r="12" spans="1:8" s="148" customFormat="1">
      <c r="A12" s="133">
        <v>10</v>
      </c>
      <c r="B12" s="216">
        <f>'Valuation output'!L3</f>
        <v>114212.75041210462</v>
      </c>
      <c r="C12" s="217">
        <f t="shared" si="2"/>
        <v>4.1099999999999914E-2</v>
      </c>
      <c r="D12" s="217">
        <f>'Valuation output'!L4</f>
        <v>0.12186666666666666</v>
      </c>
      <c r="E12" s="216">
        <f t="shared" si="1"/>
        <v>13918.727183555149</v>
      </c>
      <c r="F12" s="216">
        <f>'Valuation output'!L10</f>
        <v>0</v>
      </c>
      <c r="G12" s="216">
        <f t="shared" si="0"/>
        <v>2922.9327085465829</v>
      </c>
      <c r="H12" s="216">
        <f>'Valuation output'!L7</f>
        <v>10995.794475008566</v>
      </c>
    </row>
    <row r="13" spans="1:8" s="148" customFormat="1">
      <c r="A13" s="133"/>
      <c r="B13" s="133"/>
      <c r="C13" s="133"/>
      <c r="D13" s="133"/>
      <c r="E13" s="133"/>
      <c r="F13" s="133"/>
      <c r="G13" s="133"/>
      <c r="H13" s="133"/>
    </row>
    <row r="14" spans="1:8" s="148" customFormat="1" ht="46.5">
      <c r="A14" s="221" t="s">
        <v>108</v>
      </c>
      <c r="B14" s="221" t="s">
        <v>541</v>
      </c>
      <c r="C14" s="221" t="s">
        <v>542</v>
      </c>
      <c r="D14" s="221" t="s">
        <v>543</v>
      </c>
      <c r="E14" s="221" t="s">
        <v>544</v>
      </c>
      <c r="F14" s="221" t="s">
        <v>10</v>
      </c>
      <c r="G14" s="221" t="s">
        <v>545</v>
      </c>
      <c r="H14" s="221" t="s">
        <v>546</v>
      </c>
    </row>
    <row r="15" spans="1:8" s="148" customFormat="1">
      <c r="A15" s="121" t="str">
        <f>A2</f>
        <v>Traling 12 month</v>
      </c>
      <c r="B15" s="223">
        <f ca="1">H2</f>
        <v>7916.1562906104309</v>
      </c>
      <c r="C15" s="121"/>
      <c r="D15" s="121"/>
      <c r="E15" s="121"/>
      <c r="F15" s="121"/>
      <c r="G15" s="224">
        <f ca="1">'Valuation output'!B39</f>
        <v>31651.479528305867</v>
      </c>
      <c r="H15" s="126">
        <f ca="1">B15/G15</f>
        <v>0.25010383111889051</v>
      </c>
    </row>
    <row r="16" spans="1:8" s="148" customFormat="1">
      <c r="A16" s="121">
        <f t="shared" ref="A16:A24" si="3">A3</f>
        <v>1</v>
      </c>
      <c r="B16" s="223">
        <f t="shared" ref="B16:B25" si="4">H3</f>
        <v>8389.3174935072147</v>
      </c>
      <c r="C16" s="223">
        <f>B3-B2</f>
        <v>4030.1013999999996</v>
      </c>
      <c r="D16" s="225">
        <f>'Valuation output'!C38</f>
        <v>2.13</v>
      </c>
      <c r="E16" s="223">
        <f>C16/D16</f>
        <v>1892.0663849765258</v>
      </c>
      <c r="F16" s="223">
        <f>B16-E16</f>
        <v>6497.2511085306887</v>
      </c>
      <c r="G16" s="223">
        <f ca="1">G15+E16</f>
        <v>33543.545913282389</v>
      </c>
      <c r="H16" s="126">
        <f t="shared" ref="H16:H25" ca="1" si="5">B16/G16</f>
        <v>0.25010228540523077</v>
      </c>
    </row>
    <row r="17" spans="1:8" s="148" customFormat="1">
      <c r="A17" s="121">
        <f t="shared" si="3"/>
        <v>2</v>
      </c>
      <c r="B17" s="223">
        <f t="shared" si="4"/>
        <v>8665.1146634987344</v>
      </c>
      <c r="C17" s="223">
        <f t="shared" ref="C17:C25" si="6">B4-B3</f>
        <v>4271.1014637199987</v>
      </c>
      <c r="D17" s="225">
        <f>'Valuation output'!D38</f>
        <v>2.13</v>
      </c>
      <c r="E17" s="223">
        <f t="shared" ref="E17:E25" si="7">C17/D17</f>
        <v>2005.2119547981215</v>
      </c>
      <c r="F17" s="223">
        <f t="shared" ref="F17:F25" si="8">B17-E17</f>
        <v>6659.9027087006125</v>
      </c>
      <c r="G17" s="223">
        <f t="shared" ref="G17:G25" ca="1" si="9">G16+E17</f>
        <v>35548.757868080509</v>
      </c>
      <c r="H17" s="126">
        <f t="shared" ca="1" si="5"/>
        <v>0.2437529518093009</v>
      </c>
    </row>
    <row r="18" spans="1:8" s="148" customFormat="1">
      <c r="A18" s="121">
        <f t="shared" si="3"/>
        <v>3</v>
      </c>
      <c r="B18" s="223">
        <f t="shared" si="4"/>
        <v>9063.592580233857</v>
      </c>
      <c r="C18" s="223">
        <f t="shared" si="6"/>
        <v>4526.5133312504622</v>
      </c>
      <c r="D18" s="225">
        <f>'Valuation output'!E38</f>
        <v>2.13</v>
      </c>
      <c r="E18" s="223">
        <f t="shared" si="7"/>
        <v>2125.1236296950528</v>
      </c>
      <c r="F18" s="223">
        <f t="shared" si="8"/>
        <v>6938.4689505388042</v>
      </c>
      <c r="G18" s="223">
        <f t="shared" ca="1" si="9"/>
        <v>37673.881497775561</v>
      </c>
      <c r="H18" s="126">
        <f t="shared" ca="1" si="5"/>
        <v>0.24058026993499496</v>
      </c>
    </row>
    <row r="19" spans="1:8" s="148" customFormat="1">
      <c r="A19" s="121">
        <f t="shared" si="3"/>
        <v>4</v>
      </c>
      <c r="B19" s="223">
        <f t="shared" si="4"/>
        <v>9478.7416591692436</v>
      </c>
      <c r="C19" s="223">
        <f t="shared" si="6"/>
        <v>4797.1988284592371</v>
      </c>
      <c r="D19" s="225">
        <f>'Valuation output'!F38</f>
        <v>2.13</v>
      </c>
      <c r="E19" s="223">
        <f t="shared" si="7"/>
        <v>2252.2060227508155</v>
      </c>
      <c r="F19" s="223">
        <f t="shared" si="8"/>
        <v>7226.5356364184281</v>
      </c>
      <c r="G19" s="223">
        <f t="shared" ca="1" si="9"/>
        <v>39926.087520526373</v>
      </c>
      <c r="H19" s="126">
        <f t="shared" ca="1" si="5"/>
        <v>0.23740722539608056</v>
      </c>
    </row>
    <row r="20" spans="1:8" s="148" customFormat="1">
      <c r="A20" s="121">
        <f t="shared" si="3"/>
        <v>5</v>
      </c>
      <c r="B20" s="223">
        <f t="shared" si="4"/>
        <v>9911.1307983346815</v>
      </c>
      <c r="C20" s="223">
        <f t="shared" si="6"/>
        <v>5084.0713184010965</v>
      </c>
      <c r="D20" s="225">
        <f>'Valuation output'!G38</f>
        <v>1.89</v>
      </c>
      <c r="E20" s="223">
        <f t="shared" si="7"/>
        <v>2689.9848245508447</v>
      </c>
      <c r="F20" s="223">
        <f t="shared" si="8"/>
        <v>7221.1459737838368</v>
      </c>
      <c r="G20" s="223">
        <f t="shared" ca="1" si="9"/>
        <v>42616.07234507722</v>
      </c>
      <c r="H20" s="126">
        <f t="shared" ca="1" si="5"/>
        <v>0.23256790813758701</v>
      </c>
    </row>
    <row r="21" spans="1:8" s="148" customFormat="1">
      <c r="A21" s="121">
        <f t="shared" si="3"/>
        <v>6</v>
      </c>
      <c r="B21" s="223">
        <f t="shared" si="4"/>
        <v>10198.627187267453</v>
      </c>
      <c r="C21" s="223">
        <f t="shared" si="6"/>
        <v>5051.1173543230398</v>
      </c>
      <c r="D21" s="225">
        <f>'Valuation output'!H38</f>
        <v>1.89</v>
      </c>
      <c r="E21" s="223">
        <f t="shared" si="7"/>
        <v>2672.5488647211851</v>
      </c>
      <c r="F21" s="223">
        <f t="shared" si="8"/>
        <v>7526.0783225462683</v>
      </c>
      <c r="G21" s="223">
        <f t="shared" ca="1" si="9"/>
        <v>45288.621209798403</v>
      </c>
      <c r="H21" s="126">
        <f t="shared" ca="1" si="5"/>
        <v>0.22519182335056234</v>
      </c>
    </row>
    <row r="22" spans="1:8" s="148" customFormat="1">
      <c r="A22" s="121">
        <f t="shared" si="3"/>
        <v>7</v>
      </c>
      <c r="B22" s="223">
        <f t="shared" si="4"/>
        <v>10453.720404083593</v>
      </c>
      <c r="C22" s="223">
        <f t="shared" si="6"/>
        <v>4978.4103853827546</v>
      </c>
      <c r="D22" s="225">
        <f>'Valuation output'!I38</f>
        <v>1.89</v>
      </c>
      <c r="E22" s="223">
        <f t="shared" si="7"/>
        <v>2634.0795689855845</v>
      </c>
      <c r="F22" s="223">
        <f t="shared" si="8"/>
        <v>7819.6408350980091</v>
      </c>
      <c r="G22" s="223">
        <f t="shared" ca="1" si="9"/>
        <v>47922.70077878399</v>
      </c>
      <c r="H22" s="126">
        <f t="shared" ca="1" si="5"/>
        <v>0.21813712988212033</v>
      </c>
    </row>
    <row r="23" spans="1:8" s="148" customFormat="1">
      <c r="A23" s="121">
        <f t="shared" si="3"/>
        <v>8</v>
      </c>
      <c r="B23" s="223">
        <f t="shared" si="4"/>
        <v>10673.361826956792</v>
      </c>
      <c r="C23" s="223">
        <f t="shared" si="6"/>
        <v>4864.3889540810487</v>
      </c>
      <c r="D23" s="225">
        <f>'Valuation output'!J38</f>
        <v>1.89</v>
      </c>
      <c r="E23" s="223">
        <f t="shared" si="7"/>
        <v>2573.7507693550524</v>
      </c>
      <c r="F23" s="223">
        <f t="shared" si="8"/>
        <v>8099.61105760174</v>
      </c>
      <c r="G23" s="223">
        <f t="shared" ca="1" si="9"/>
        <v>50496.451548139041</v>
      </c>
      <c r="H23" s="126">
        <f t="shared" ca="1" si="5"/>
        <v>0.21136855164529161</v>
      </c>
    </row>
    <row r="24" spans="1:8" s="148" customFormat="1">
      <c r="A24" s="121">
        <f t="shared" si="3"/>
        <v>9</v>
      </c>
      <c r="B24" s="223">
        <f t="shared" si="4"/>
        <v>10854.831930468888</v>
      </c>
      <c r="C24" s="223">
        <f t="shared" si="6"/>
        <v>4708.0162921170995</v>
      </c>
      <c r="D24" s="225">
        <f>'Valuation output'!K38</f>
        <v>1.89</v>
      </c>
      <c r="E24" s="223">
        <f t="shared" si="7"/>
        <v>2491.0139111730687</v>
      </c>
      <c r="F24" s="223">
        <f t="shared" si="8"/>
        <v>8363.8180192958207</v>
      </c>
      <c r="G24" s="223">
        <f t="shared" ca="1" si="9"/>
        <v>52987.465459312109</v>
      </c>
      <c r="H24" s="126">
        <f t="shared" ca="1" si="5"/>
        <v>0.20485659837427159</v>
      </c>
    </row>
    <row r="25" spans="1:8" s="148" customFormat="1">
      <c r="A25" s="121">
        <f>A12</f>
        <v>10</v>
      </c>
      <c r="B25" s="223">
        <f t="shared" si="4"/>
        <v>10995.794475008566</v>
      </c>
      <c r="C25" s="223">
        <f t="shared" si="6"/>
        <v>4508.8310843698855</v>
      </c>
      <c r="D25" s="225">
        <f>'Valuation output'!L38</f>
        <v>1.89</v>
      </c>
      <c r="E25" s="223">
        <f t="shared" si="7"/>
        <v>2385.6249123650191</v>
      </c>
      <c r="F25" s="223">
        <f t="shared" si="8"/>
        <v>8610.1695626435467</v>
      </c>
      <c r="G25" s="223">
        <f t="shared" ca="1" si="9"/>
        <v>55373.090371677128</v>
      </c>
      <c r="H25" s="126">
        <f t="shared" ca="1" si="5"/>
        <v>0.19857649990640261</v>
      </c>
    </row>
    <row r="26" spans="1:8" s="148" customFormat="1" ht="16" thickBot="1">
      <c r="A26" s="133"/>
      <c r="B26" s="133"/>
      <c r="C26" s="133"/>
      <c r="D26" s="133"/>
      <c r="E26" s="133"/>
      <c r="F26" s="133"/>
      <c r="G26" s="133"/>
      <c r="H26" s="133"/>
    </row>
    <row r="27" spans="1:8" s="148" customFormat="1" ht="31.5" thickBot="1">
      <c r="A27" s="215" t="s">
        <v>108</v>
      </c>
      <c r="B27" s="215" t="s">
        <v>453</v>
      </c>
      <c r="C27" s="215" t="s">
        <v>547</v>
      </c>
      <c r="D27" s="215" t="s">
        <v>548</v>
      </c>
      <c r="E27" s="215" t="s">
        <v>549</v>
      </c>
      <c r="F27" s="215" t="s">
        <v>550</v>
      </c>
      <c r="G27" s="215" t="s">
        <v>551</v>
      </c>
      <c r="H27" s="215" t="s">
        <v>552</v>
      </c>
    </row>
    <row r="28" spans="1:8">
      <c r="A28" s="219">
        <f>A16</f>
        <v>1</v>
      </c>
      <c r="H28" s="220">
        <f ca="1">'Valuation output'!C12</f>
        <v>9.9503321400523079E-2</v>
      </c>
    </row>
    <row r="29" spans="1:8">
      <c r="A29" s="219">
        <f t="shared" ref="A29:A37" si="10">A17</f>
        <v>2</v>
      </c>
      <c r="H29" s="220">
        <f ca="1">'Valuation output'!D12</f>
        <v>9.9503321400523079E-2</v>
      </c>
    </row>
    <row r="30" spans="1:8">
      <c r="A30" s="219">
        <f t="shared" si="10"/>
        <v>3</v>
      </c>
      <c r="H30" s="220">
        <f ca="1">'Valuation output'!E12</f>
        <v>9.9503321400523079E-2</v>
      </c>
    </row>
    <row r="31" spans="1:8">
      <c r="A31" s="219">
        <f t="shared" si="10"/>
        <v>4</v>
      </c>
      <c r="H31" s="220">
        <f ca="1">'Valuation output'!F12</f>
        <v>9.9503321400523079E-2</v>
      </c>
    </row>
    <row r="32" spans="1:8">
      <c r="A32" s="219">
        <f t="shared" si="10"/>
        <v>5</v>
      </c>
      <c r="H32" s="220">
        <f ca="1">'Valuation output'!G12</f>
        <v>9.9503321400523079E-2</v>
      </c>
    </row>
    <row r="33" spans="1:8">
      <c r="A33" s="219">
        <f t="shared" si="10"/>
        <v>6</v>
      </c>
      <c r="H33" s="220">
        <f ca="1">'Valuation output'!H12</f>
        <v>9.7642657120418461E-2</v>
      </c>
    </row>
    <row r="34" spans="1:8">
      <c r="A34" s="219">
        <f t="shared" si="10"/>
        <v>7</v>
      </c>
      <c r="H34" s="220">
        <f ca="1">'Valuation output'!I12</f>
        <v>9.5781992840313843E-2</v>
      </c>
    </row>
    <row r="35" spans="1:8">
      <c r="A35" s="219">
        <f t="shared" si="10"/>
        <v>8</v>
      </c>
      <c r="H35" s="220">
        <f ca="1">'Valuation output'!J12</f>
        <v>9.3921328560209225E-2</v>
      </c>
    </row>
    <row r="36" spans="1:8">
      <c r="A36" s="219">
        <f t="shared" si="10"/>
        <v>9</v>
      </c>
      <c r="H36" s="220">
        <f ca="1">'Valuation output'!K12</f>
        <v>9.2060664280104607E-2</v>
      </c>
    </row>
    <row r="37" spans="1:8">
      <c r="A37" s="219">
        <f t="shared" si="10"/>
        <v>10</v>
      </c>
      <c r="H37" s="220">
        <f ca="1">'Valuation output'!L12</f>
        <v>9.0199999999999989E-2</v>
      </c>
    </row>
    <row r="39" spans="1:8" ht="46.5">
      <c r="A39" s="222" t="s">
        <v>108</v>
      </c>
      <c r="B39" s="222" t="s">
        <v>552</v>
      </c>
      <c r="C39" s="222" t="s">
        <v>555</v>
      </c>
      <c r="D39" s="222" t="s">
        <v>10</v>
      </c>
      <c r="E39" s="222" t="s">
        <v>556</v>
      </c>
      <c r="F39" s="222" t="s">
        <v>118</v>
      </c>
    </row>
    <row r="40" spans="1:8">
      <c r="A40" s="226">
        <f t="shared" ref="A40:A49" si="11">A28</f>
        <v>1</v>
      </c>
      <c r="B40" s="227">
        <f t="shared" ref="B40:B49" ca="1" si="12">H28</f>
        <v>9.9503321400523079E-2</v>
      </c>
      <c r="C40" s="228">
        <f ca="1">(1+'Summary Sheet'!B40)</f>
        <v>1.099503321400523</v>
      </c>
      <c r="D40" s="229">
        <f t="shared" ref="D40:D49" si="13">F16</f>
        <v>6497.2511085306887</v>
      </c>
      <c r="E40" s="226"/>
      <c r="F40" s="229">
        <f ca="1">D40/C40</f>
        <v>5909.2601014198244</v>
      </c>
    </row>
    <row r="41" spans="1:8">
      <c r="A41" s="226">
        <f t="shared" si="11"/>
        <v>2</v>
      </c>
      <c r="B41" s="227">
        <f t="shared" ca="1" si="12"/>
        <v>9.9503321400523079E-2</v>
      </c>
      <c r="C41" s="228">
        <f ca="1">C40*(1+B41)</f>
        <v>1.2089075537707816</v>
      </c>
      <c r="D41" s="229">
        <f t="shared" si="13"/>
        <v>6659.9027087006125</v>
      </c>
      <c r="E41" s="226"/>
      <c r="F41" s="229">
        <f t="shared" ref="F41:F48" ca="1" si="14">D41/C41</f>
        <v>5509.025638831753</v>
      </c>
    </row>
    <row r="42" spans="1:8">
      <c r="A42" s="226">
        <f t="shared" si="11"/>
        <v>3</v>
      </c>
      <c r="B42" s="227">
        <f t="shared" ca="1" si="12"/>
        <v>9.9503321400523079E-2</v>
      </c>
      <c r="C42" s="228">
        <f t="shared" ref="C42:C49" ca="1" si="15">C41*(1+B42)</f>
        <v>1.3291978706371557</v>
      </c>
      <c r="D42" s="229">
        <f t="shared" si="13"/>
        <v>6938.4689505388042</v>
      </c>
      <c r="E42" s="226"/>
      <c r="F42" s="229">
        <f t="shared" ca="1" si="14"/>
        <v>5220.0421801855764</v>
      </c>
    </row>
    <row r="43" spans="1:8">
      <c r="A43" s="226">
        <f t="shared" si="11"/>
        <v>4</v>
      </c>
      <c r="B43" s="227">
        <f t="shared" ca="1" si="12"/>
        <v>9.9503321400523079E-2</v>
      </c>
      <c r="C43" s="228">
        <f t="shared" ca="1" si="15"/>
        <v>1.4614574735640553</v>
      </c>
      <c r="D43" s="229">
        <f t="shared" si="13"/>
        <v>7226.5356364184281</v>
      </c>
      <c r="E43" s="226"/>
      <c r="F43" s="229">
        <f t="shared" ca="1" si="14"/>
        <v>4944.7457535627645</v>
      </c>
    </row>
    <row r="44" spans="1:8">
      <c r="A44" s="226">
        <f t="shared" si="11"/>
        <v>5</v>
      </c>
      <c r="B44" s="227">
        <f t="shared" ca="1" si="12"/>
        <v>9.9503321400523079E-2</v>
      </c>
      <c r="C44" s="228">
        <f t="shared" ca="1" si="15"/>
        <v>1.6068773462692958</v>
      </c>
      <c r="D44" s="229">
        <f t="shared" si="13"/>
        <v>7221.1459737838368</v>
      </c>
      <c r="E44" s="226"/>
      <c r="F44" s="229">
        <f t="shared" ca="1" si="14"/>
        <v>4493.8999174698974</v>
      </c>
    </row>
    <row r="45" spans="1:8">
      <c r="A45" s="226">
        <f t="shared" si="11"/>
        <v>6</v>
      </c>
      <c r="B45" s="227">
        <f t="shared" ca="1" si="12"/>
        <v>9.7642657120418461E-2</v>
      </c>
      <c r="C45" s="228">
        <f t="shared" ca="1" si="15"/>
        <v>1.7637771200256367</v>
      </c>
      <c r="D45" s="229">
        <f t="shared" si="13"/>
        <v>7526.0783225462683</v>
      </c>
      <c r="E45" s="226"/>
      <c r="F45" s="229">
        <f t="shared" ca="1" si="14"/>
        <v>4267.0234447971952</v>
      </c>
    </row>
    <row r="46" spans="1:8">
      <c r="A46" s="226">
        <f t="shared" si="11"/>
        <v>7</v>
      </c>
      <c r="B46" s="227">
        <f t="shared" ca="1" si="12"/>
        <v>9.5781992840313843E-2</v>
      </c>
      <c r="C46" s="228">
        <f t="shared" ca="1" si="15"/>
        <v>1.9327152075078415</v>
      </c>
      <c r="D46" s="229">
        <f t="shared" si="13"/>
        <v>7819.6408350980091</v>
      </c>
      <c r="E46" s="226"/>
      <c r="F46" s="229">
        <f t="shared" ca="1" si="14"/>
        <v>4045.9353787468362</v>
      </c>
    </row>
    <row r="47" spans="1:8">
      <c r="A47" s="226">
        <f t="shared" si="11"/>
        <v>8</v>
      </c>
      <c r="B47" s="227">
        <f t="shared" ca="1" si="12"/>
        <v>9.3921328560209225E-2</v>
      </c>
      <c r="C47" s="228">
        <f t="shared" ca="1" si="15"/>
        <v>2.1142383875254982</v>
      </c>
      <c r="D47" s="229">
        <f t="shared" si="13"/>
        <v>8099.61105760174</v>
      </c>
      <c r="E47" s="226"/>
      <c r="F47" s="229">
        <f t="shared" ca="1" si="14"/>
        <v>3830.9828756262032</v>
      </c>
    </row>
    <row r="48" spans="1:8">
      <c r="A48" s="226">
        <f t="shared" si="11"/>
        <v>9</v>
      </c>
      <c r="B48" s="227">
        <f t="shared" ca="1" si="12"/>
        <v>9.2060664280104607E-2</v>
      </c>
      <c r="C48" s="228">
        <f t="shared" ca="1" si="15"/>
        <v>2.3088765779275926</v>
      </c>
      <c r="D48" s="229">
        <f t="shared" si="13"/>
        <v>8363.8180192958207</v>
      </c>
      <c r="E48" s="226"/>
      <c r="F48" s="229">
        <f t="shared" ca="1" si="14"/>
        <v>3622.4621529155265</v>
      </c>
    </row>
    <row r="49" spans="1:6">
      <c r="A49" s="226">
        <f t="shared" si="11"/>
        <v>10</v>
      </c>
      <c r="B49" s="227">
        <f t="shared" ca="1" si="12"/>
        <v>9.0199999999999989E-2</v>
      </c>
      <c r="C49" s="228">
        <f t="shared" ca="1" si="15"/>
        <v>2.5171372452566616</v>
      </c>
      <c r="D49" s="229">
        <f t="shared" si="13"/>
        <v>8610.1695626435467</v>
      </c>
      <c r="E49" s="229">
        <f>'Valuation output'!B18</f>
        <v>167064.86089501713</v>
      </c>
      <c r="F49" s="229">
        <f ca="1">(D49+E49)/C49</f>
        <v>69791.597891098645</v>
      </c>
    </row>
    <row r="50" spans="1:6">
      <c r="A50" s="219" t="s">
        <v>37</v>
      </c>
      <c r="F50" s="229">
        <f ca="1">SUM(F40:F49)</f>
        <v>111634.97533465423</v>
      </c>
    </row>
  </sheetData>
  <pageMargins left="0.75" right="0.75" top="1" bottom="1" header="0.3" footer="0.3"/>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4"/>
  <sheetViews>
    <sheetView workbookViewId="0">
      <selection activeCell="B2" sqref="B2"/>
    </sheetView>
  </sheetViews>
  <sheetFormatPr defaultColWidth="11.19921875" defaultRowHeight="11.5"/>
  <cols>
    <col min="1" max="1" width="27.5" bestFit="1" customWidth="1"/>
    <col min="2" max="2" width="15" bestFit="1" customWidth="1"/>
    <col min="3" max="3" width="18.5" bestFit="1" customWidth="1"/>
    <col min="4" max="4" width="21" bestFit="1" customWidth="1"/>
    <col min="5" max="5" width="20" bestFit="1" customWidth="1"/>
    <col min="6" max="6" width="17.69921875" bestFit="1" customWidth="1"/>
  </cols>
  <sheetData>
    <row r="1" spans="1:6">
      <c r="A1" t="s">
        <v>605</v>
      </c>
      <c r="B1" s="150">
        <v>4.9099999999999998E-2</v>
      </c>
      <c r="C1" t="s">
        <v>913</v>
      </c>
    </row>
    <row r="2" spans="1:6" s="11" customFormat="1" ht="13">
      <c r="A2" s="184" t="s">
        <v>658</v>
      </c>
      <c r="B2" s="184"/>
      <c r="C2" s="184"/>
      <c r="D2" s="184"/>
      <c r="E2" s="184"/>
      <c r="F2" s="184"/>
    </row>
    <row r="4" spans="1:6" ht="15.5">
      <c r="A4" s="152" t="s">
        <v>334</v>
      </c>
      <c r="B4" s="34" t="s">
        <v>558</v>
      </c>
      <c r="C4" s="30" t="s">
        <v>335</v>
      </c>
      <c r="D4" s="30" t="s">
        <v>559</v>
      </c>
      <c r="E4" s="164" t="s">
        <v>336</v>
      </c>
      <c r="F4" s="164" t="s">
        <v>498</v>
      </c>
    </row>
    <row r="5" spans="1:6" ht="15.5">
      <c r="A5" s="31" t="s">
        <v>462</v>
      </c>
      <c r="B5" s="34" t="s">
        <v>560</v>
      </c>
      <c r="C5" s="153">
        <v>5.2806055045871558E-3</v>
      </c>
      <c r="D5" s="153">
        <f t="shared" ref="D5:D36" si="0">$B$1+E5</f>
        <v>5.6589562006301344E-2</v>
      </c>
      <c r="E5" s="165">
        <v>7.4895620063013448E-3</v>
      </c>
      <c r="F5" s="165">
        <v>0.15</v>
      </c>
    </row>
    <row r="6" spans="1:6" ht="15.5">
      <c r="A6" s="31" t="s">
        <v>230</v>
      </c>
      <c r="B6" s="34" t="s">
        <v>561</v>
      </c>
      <c r="C6" s="153">
        <v>4.8154093053735247E-2</v>
      </c>
      <c r="D6" s="153">
        <f t="shared" si="0"/>
        <v>0.11739767258127176</v>
      </c>
      <c r="E6" s="165">
        <v>6.8297672581271771E-2</v>
      </c>
      <c r="F6" s="165">
        <v>0.15</v>
      </c>
    </row>
    <row r="7" spans="1:6" ht="15.5">
      <c r="A7" s="31" t="s">
        <v>562</v>
      </c>
      <c r="B7" s="34" t="s">
        <v>666</v>
      </c>
      <c r="C7" s="153">
        <v>3.8472982961992135E-2</v>
      </c>
      <c r="D7" s="153">
        <f t="shared" si="0"/>
        <v>0.10366680890305266</v>
      </c>
      <c r="E7" s="165">
        <v>5.4566808903052655E-2</v>
      </c>
      <c r="F7" s="165">
        <v>0.26</v>
      </c>
    </row>
    <row r="8" spans="1:6" ht="15.5">
      <c r="A8" s="31" t="s">
        <v>480</v>
      </c>
      <c r="B8" s="34" t="s">
        <v>563</v>
      </c>
      <c r="C8" s="153">
        <v>2.03680498034076E-2</v>
      </c>
      <c r="D8" s="153">
        <f t="shared" si="0"/>
        <v>7.7988310595733759E-2</v>
      </c>
      <c r="E8" s="165">
        <v>2.8888310595733758E-2</v>
      </c>
      <c r="F8" s="165">
        <v>0.1898</v>
      </c>
    </row>
    <row r="9" spans="1:6" ht="15.5">
      <c r="A9" s="31" t="s">
        <v>231</v>
      </c>
      <c r="B9" s="34" t="s">
        <v>573</v>
      </c>
      <c r="C9" s="153">
        <v>6.9527972477064229E-2</v>
      </c>
      <c r="D9" s="153">
        <f t="shared" si="0"/>
        <v>0.14771256641630104</v>
      </c>
      <c r="E9" s="165">
        <v>9.8612566416301048E-2</v>
      </c>
      <c r="F9" s="165">
        <v>0.25</v>
      </c>
    </row>
    <row r="10" spans="1:6" ht="15.5">
      <c r="A10" s="31" t="s">
        <v>232</v>
      </c>
      <c r="B10" s="34" t="s">
        <v>628</v>
      </c>
      <c r="C10" s="153">
        <v>0.12836900524246395</v>
      </c>
      <c r="D10" s="153">
        <f t="shared" si="0"/>
        <v>0.23116768591508743</v>
      </c>
      <c r="E10" s="165">
        <v>0.18206768591508743</v>
      </c>
      <c r="F10" s="165">
        <v>0.35</v>
      </c>
    </row>
    <row r="11" spans="1:6" ht="15.5">
      <c r="A11" s="31" t="s">
        <v>233</v>
      </c>
      <c r="B11" s="34" t="s">
        <v>570</v>
      </c>
      <c r="C11" s="153">
        <v>3.8472982961992135E-2</v>
      </c>
      <c r="D11" s="153">
        <f t="shared" si="0"/>
        <v>0.10366680890305266</v>
      </c>
      <c r="E11" s="165">
        <v>5.4566808903052655E-2</v>
      </c>
      <c r="F11" s="165">
        <v>0.18</v>
      </c>
    </row>
    <row r="12" spans="1:6" ht="15.5">
      <c r="A12" s="293" t="s">
        <v>234</v>
      </c>
      <c r="B12" s="81" t="s">
        <v>563</v>
      </c>
      <c r="C12" s="294">
        <v>2.03680498034076E-2</v>
      </c>
      <c r="D12" s="153">
        <f t="shared" si="0"/>
        <v>7.7988310595733759E-2</v>
      </c>
      <c r="E12" s="297">
        <v>2.8888310595733758E-2</v>
      </c>
      <c r="F12" s="185">
        <v>0.25</v>
      </c>
    </row>
    <row r="13" spans="1:6" ht="15.5">
      <c r="A13" s="31" t="s">
        <v>235</v>
      </c>
      <c r="B13" s="34" t="s">
        <v>566</v>
      </c>
      <c r="C13" s="153">
        <v>0</v>
      </c>
      <c r="D13" s="153">
        <f t="shared" si="0"/>
        <v>4.9099999999999998E-2</v>
      </c>
      <c r="E13" s="165">
        <v>0</v>
      </c>
      <c r="F13" s="165">
        <v>0.3</v>
      </c>
    </row>
    <row r="14" spans="1:6" ht="15.5">
      <c r="A14" s="31" t="s">
        <v>236</v>
      </c>
      <c r="B14" s="34" t="s">
        <v>567</v>
      </c>
      <c r="C14" s="153">
        <v>4.2747758846657926E-3</v>
      </c>
      <c r="D14" s="153">
        <f t="shared" si="0"/>
        <v>5.5162978767005849E-2</v>
      </c>
      <c r="E14" s="165">
        <v>6.0629787670058504E-3</v>
      </c>
      <c r="F14" s="165">
        <v>0.24</v>
      </c>
    </row>
    <row r="15" spans="1:6" ht="15.5">
      <c r="A15" s="31" t="s">
        <v>343</v>
      </c>
      <c r="B15" s="34" t="s">
        <v>581</v>
      </c>
      <c r="C15" s="153">
        <v>2.678021363040629E-2</v>
      </c>
      <c r="D15" s="153">
        <f t="shared" si="0"/>
        <v>8.708277874624254E-2</v>
      </c>
      <c r="E15" s="165">
        <v>3.7982778746242535E-2</v>
      </c>
      <c r="F15" s="165">
        <v>0.2</v>
      </c>
    </row>
    <row r="16" spans="1:6" ht="15.5">
      <c r="A16" s="31" t="s">
        <v>237</v>
      </c>
      <c r="B16" s="34" t="s">
        <v>561</v>
      </c>
      <c r="C16" s="153">
        <v>4.8154093053735247E-2</v>
      </c>
      <c r="D16" s="153">
        <f t="shared" si="0"/>
        <v>0.11739767258127176</v>
      </c>
      <c r="E16" s="165">
        <v>6.8297672581271771E-2</v>
      </c>
      <c r="F16" s="165">
        <v>0</v>
      </c>
    </row>
    <row r="17" spans="1:6" ht="15.5">
      <c r="A17" s="31" t="s">
        <v>238</v>
      </c>
      <c r="B17" s="34" t="s">
        <v>564</v>
      </c>
      <c r="C17" s="153">
        <v>5.8841032765399745E-2</v>
      </c>
      <c r="D17" s="153">
        <f t="shared" si="0"/>
        <v>0.13255511949878643</v>
      </c>
      <c r="E17" s="165">
        <v>8.3455119498786423E-2</v>
      </c>
      <c r="F17" s="165">
        <v>0</v>
      </c>
    </row>
    <row r="18" spans="1:6" ht="15.5">
      <c r="A18" s="31" t="s">
        <v>239</v>
      </c>
      <c r="B18" s="34" t="s">
        <v>561</v>
      </c>
      <c r="C18" s="153">
        <v>4.8154093053735247E-2</v>
      </c>
      <c r="D18" s="153">
        <f t="shared" si="0"/>
        <v>0.11739767258127176</v>
      </c>
      <c r="E18" s="165">
        <v>6.8297672581271771E-2</v>
      </c>
      <c r="F18" s="165">
        <v>0.32500000000000001</v>
      </c>
    </row>
    <row r="19" spans="1:6" ht="15.5">
      <c r="A19" s="31" t="s">
        <v>240</v>
      </c>
      <c r="B19" s="34" t="s">
        <v>571</v>
      </c>
      <c r="C19" s="153">
        <v>8.0214912188728699E-2</v>
      </c>
      <c r="D19" s="153">
        <f t="shared" si="0"/>
        <v>0.16287001333381565</v>
      </c>
      <c r="E19" s="165">
        <v>0.11377001333381566</v>
      </c>
      <c r="F19" s="165">
        <v>5.5E-2</v>
      </c>
    </row>
    <row r="20" spans="1:6" ht="15.5">
      <c r="A20" s="296" t="s">
        <v>241</v>
      </c>
      <c r="B20" s="81" t="s">
        <v>610</v>
      </c>
      <c r="C20" s="295">
        <v>0.17499999999999999</v>
      </c>
      <c r="D20" s="153">
        <f t="shared" si="0"/>
        <v>0.29730512533348297</v>
      </c>
      <c r="E20" s="297">
        <v>0.24820512533348299</v>
      </c>
      <c r="F20" s="185">
        <v>0.18</v>
      </c>
    </row>
    <row r="21" spans="1:6" ht="15.5">
      <c r="A21" s="31" t="s">
        <v>242</v>
      </c>
      <c r="B21" s="34" t="s">
        <v>572</v>
      </c>
      <c r="C21" s="153">
        <v>6.4121638269986885E-3</v>
      </c>
      <c r="D21" s="153">
        <f t="shared" si="0"/>
        <v>5.8194468150508771E-2</v>
      </c>
      <c r="E21" s="165">
        <v>9.0944681505087752E-3</v>
      </c>
      <c r="F21" s="165">
        <v>0.25</v>
      </c>
    </row>
    <row r="22" spans="1:6" ht="15.5">
      <c r="A22" s="31" t="s">
        <v>346</v>
      </c>
      <c r="B22" s="34" t="s">
        <v>578</v>
      </c>
      <c r="C22" s="153">
        <v>9.6308186107470495E-2</v>
      </c>
      <c r="D22" s="153">
        <f t="shared" si="0"/>
        <v>0.18569534516254355</v>
      </c>
      <c r="E22" s="165">
        <v>0.13659534516254354</v>
      </c>
      <c r="F22" s="165">
        <v>0.27179999999999999</v>
      </c>
    </row>
    <row r="23" spans="1:6" ht="15.5">
      <c r="A23" s="31" t="s">
        <v>574</v>
      </c>
      <c r="B23" s="34" t="s">
        <v>561</v>
      </c>
      <c r="C23" s="153">
        <v>4.8154093053735247E-2</v>
      </c>
      <c r="D23" s="153">
        <f t="shared" si="0"/>
        <v>0.11739767258127176</v>
      </c>
      <c r="E23" s="165">
        <v>6.8297672581271771E-2</v>
      </c>
      <c r="F23" s="165">
        <v>0.3</v>
      </c>
    </row>
    <row r="24" spans="1:6" ht="15.5">
      <c r="A24" s="31" t="s">
        <v>243</v>
      </c>
      <c r="B24" s="34" t="s">
        <v>575</v>
      </c>
      <c r="C24" s="153">
        <v>9.0524665792922673E-3</v>
      </c>
      <c r="D24" s="153">
        <f t="shared" si="0"/>
        <v>6.1939249153659448E-2</v>
      </c>
      <c r="E24" s="165">
        <v>1.2839249153659449E-2</v>
      </c>
      <c r="F24" s="165">
        <v>0</v>
      </c>
    </row>
    <row r="25" spans="1:6" ht="15.5">
      <c r="A25" s="31" t="s">
        <v>244</v>
      </c>
      <c r="B25" s="34" t="s">
        <v>571</v>
      </c>
      <c r="C25" s="153">
        <v>8.0214912188728699E-2</v>
      </c>
      <c r="D25" s="153">
        <f t="shared" si="0"/>
        <v>0.16287001333381565</v>
      </c>
      <c r="E25" s="165">
        <v>0.11377001333381566</v>
      </c>
      <c r="F25" s="165">
        <v>0.25</v>
      </c>
    </row>
    <row r="26" spans="1:6" ht="15.5">
      <c r="A26" s="293" t="s">
        <v>245</v>
      </c>
      <c r="B26" s="81" t="s">
        <v>573</v>
      </c>
      <c r="C26" s="294">
        <v>6.9527972477064229E-2</v>
      </c>
      <c r="D26" s="153">
        <f t="shared" si="0"/>
        <v>0.14771256641630104</v>
      </c>
      <c r="E26" s="297">
        <v>9.8612566416301048E-2</v>
      </c>
      <c r="F26" s="298">
        <v>0.1</v>
      </c>
    </row>
    <row r="27" spans="1:6" ht="15.5">
      <c r="A27" s="293" t="s">
        <v>246</v>
      </c>
      <c r="B27" s="81" t="s">
        <v>579</v>
      </c>
      <c r="C27" s="294">
        <v>1.2824327653997377E-2</v>
      </c>
      <c r="D27" s="153">
        <f t="shared" si="0"/>
        <v>6.7288936301017552E-2</v>
      </c>
      <c r="E27" s="297">
        <v>1.818893630101755E-2</v>
      </c>
      <c r="F27" s="298">
        <v>0.22</v>
      </c>
    </row>
    <row r="28" spans="1:6" ht="15.5">
      <c r="A28" s="296" t="s">
        <v>247</v>
      </c>
      <c r="B28" s="81" t="s">
        <v>568</v>
      </c>
      <c r="C28" s="295">
        <v>3.218654783748362E-2</v>
      </c>
      <c r="D28" s="153">
        <f t="shared" si="0"/>
        <v>9.4750663657455825E-2</v>
      </c>
      <c r="E28" s="297">
        <v>4.565066365745582E-2</v>
      </c>
      <c r="F28" s="185">
        <v>0.34</v>
      </c>
    </row>
    <row r="29" spans="1:6" ht="15.5">
      <c r="A29" s="31" t="s">
        <v>576</v>
      </c>
      <c r="B29" s="34" t="s">
        <v>666</v>
      </c>
      <c r="C29" s="153">
        <v>6.4121638269986877E-3</v>
      </c>
      <c r="D29" s="153">
        <f t="shared" si="0"/>
        <v>5.8194468150508771E-2</v>
      </c>
      <c r="E29" s="165">
        <v>9.0944681505087735E-3</v>
      </c>
      <c r="F29" s="165">
        <v>0.185</v>
      </c>
    </row>
    <row r="30" spans="1:6" ht="15.5">
      <c r="A30" s="31" t="s">
        <v>248</v>
      </c>
      <c r="B30" s="34" t="s">
        <v>565</v>
      </c>
      <c r="C30" s="153">
        <v>1.7099103538663171E-2</v>
      </c>
      <c r="D30" s="153">
        <f t="shared" si="0"/>
        <v>7.3351915068023396E-2</v>
      </c>
      <c r="E30" s="165">
        <v>2.4251915068023402E-2</v>
      </c>
      <c r="F30" s="165">
        <v>0.1</v>
      </c>
    </row>
    <row r="31" spans="1:6" ht="15.5">
      <c r="A31" s="31" t="s">
        <v>463</v>
      </c>
      <c r="B31" s="34" t="s">
        <v>571</v>
      </c>
      <c r="C31" s="153">
        <v>8.0214912188728699E-2</v>
      </c>
      <c r="D31" s="153">
        <f t="shared" si="0"/>
        <v>0.16287001333381565</v>
      </c>
      <c r="E31" s="165">
        <v>0.11377001333381566</v>
      </c>
      <c r="F31" s="165">
        <v>0.28000000000000003</v>
      </c>
    </row>
    <row r="32" spans="1:6" ht="15.5">
      <c r="A32" s="31" t="s">
        <v>249</v>
      </c>
      <c r="B32" s="34" t="s">
        <v>564</v>
      </c>
      <c r="C32" s="153">
        <v>5.8841032765399745E-2</v>
      </c>
      <c r="D32" s="153">
        <f t="shared" si="0"/>
        <v>0.13255511949878643</v>
      </c>
      <c r="E32" s="165">
        <v>8.3455119498786423E-2</v>
      </c>
      <c r="F32" s="165">
        <v>0.2</v>
      </c>
    </row>
    <row r="33" spans="1:6" ht="15.5">
      <c r="A33" s="31" t="s">
        <v>464</v>
      </c>
      <c r="B33" s="34" t="s">
        <v>564</v>
      </c>
      <c r="C33" s="153">
        <v>5.8841032765399745E-2</v>
      </c>
      <c r="D33" s="153">
        <f t="shared" si="0"/>
        <v>0.13255511949878643</v>
      </c>
      <c r="E33" s="165">
        <v>8.3455119498786423E-2</v>
      </c>
      <c r="F33" s="165">
        <v>0.33</v>
      </c>
    </row>
    <row r="34" spans="1:6" ht="15.5">
      <c r="A34" s="31" t="s">
        <v>250</v>
      </c>
      <c r="B34" s="34" t="s">
        <v>566</v>
      </c>
      <c r="C34" s="153">
        <v>0</v>
      </c>
      <c r="D34" s="153">
        <f t="shared" si="0"/>
        <v>4.9099999999999998E-2</v>
      </c>
      <c r="E34" s="165">
        <v>0</v>
      </c>
      <c r="F34" s="165">
        <v>0.25</v>
      </c>
    </row>
    <row r="35" spans="1:6" ht="15.5">
      <c r="A35" s="31" t="s">
        <v>465</v>
      </c>
      <c r="B35" s="34" t="s">
        <v>573</v>
      </c>
      <c r="C35" s="153">
        <v>6.9527972477064229E-2</v>
      </c>
      <c r="D35" s="153">
        <f t="shared" si="0"/>
        <v>0.14771256641630104</v>
      </c>
      <c r="E35" s="165">
        <v>9.8612566416301048E-2</v>
      </c>
      <c r="F35" s="165">
        <v>0</v>
      </c>
    </row>
    <row r="36" spans="1:6" ht="15.5">
      <c r="A36" s="31" t="s">
        <v>251</v>
      </c>
      <c r="B36" s="34" t="s">
        <v>572</v>
      </c>
      <c r="C36" s="153">
        <v>6.4121638269986885E-3</v>
      </c>
      <c r="D36" s="153">
        <f t="shared" si="0"/>
        <v>5.8194468150508771E-2</v>
      </c>
      <c r="E36" s="165">
        <v>9.0944681505087752E-3</v>
      </c>
      <c r="F36" s="165">
        <v>0</v>
      </c>
    </row>
    <row r="37" spans="1:6" ht="15.5">
      <c r="A37" s="31" t="s">
        <v>252</v>
      </c>
      <c r="B37" s="34" t="s">
        <v>575</v>
      </c>
      <c r="C37" s="153">
        <v>9.0524665792922673E-3</v>
      </c>
      <c r="D37" s="153">
        <f t="shared" ref="D37:D68" si="1">$B$1+E37</f>
        <v>6.1939249153659448E-2</v>
      </c>
      <c r="E37" s="165">
        <v>1.2839249153659449E-2</v>
      </c>
      <c r="F37" s="165">
        <v>0.27</v>
      </c>
    </row>
    <row r="38" spans="1:6" ht="15.5">
      <c r="A38" s="31" t="s">
        <v>253</v>
      </c>
      <c r="B38" s="34" t="s">
        <v>577</v>
      </c>
      <c r="C38" s="153">
        <v>7.543722149410223E-3</v>
      </c>
      <c r="D38" s="153">
        <f t="shared" si="1"/>
        <v>5.9799374294716205E-2</v>
      </c>
      <c r="E38" s="165">
        <v>1.0699374294716207E-2</v>
      </c>
      <c r="F38" s="165">
        <v>0.25</v>
      </c>
    </row>
    <row r="39" spans="1:6" ht="15.5">
      <c r="A39" s="31" t="s">
        <v>254</v>
      </c>
      <c r="B39" s="34" t="s">
        <v>563</v>
      </c>
      <c r="C39" s="153">
        <v>2.03680498034076E-2</v>
      </c>
      <c r="D39" s="153">
        <f t="shared" si="1"/>
        <v>7.7988310595733759E-2</v>
      </c>
      <c r="E39" s="165">
        <v>2.8888310595733758E-2</v>
      </c>
      <c r="F39" s="165">
        <v>0.35</v>
      </c>
    </row>
    <row r="40" spans="1:6" ht="15.5">
      <c r="A40" s="31" t="s">
        <v>481</v>
      </c>
      <c r="B40" s="34" t="s">
        <v>573</v>
      </c>
      <c r="C40" s="153">
        <v>6.9527972477064229E-2</v>
      </c>
      <c r="D40" s="153">
        <f t="shared" si="1"/>
        <v>0.14771256641630104</v>
      </c>
      <c r="E40" s="165">
        <v>9.8612566416301048E-2</v>
      </c>
      <c r="F40" s="165">
        <v>0.3</v>
      </c>
    </row>
    <row r="41" spans="1:6" ht="15.5">
      <c r="A41" s="31" t="s">
        <v>482</v>
      </c>
      <c r="B41" s="34" t="s">
        <v>578</v>
      </c>
      <c r="C41" s="153">
        <v>9.6308186107470495E-2</v>
      </c>
      <c r="D41" s="153">
        <f t="shared" si="1"/>
        <v>0.18569534516254355</v>
      </c>
      <c r="E41" s="165">
        <v>0.13659534516254354</v>
      </c>
      <c r="F41" s="165">
        <v>0.28000000000000003</v>
      </c>
    </row>
    <row r="42" spans="1:6" ht="15.5">
      <c r="A42" s="31" t="s">
        <v>466</v>
      </c>
      <c r="B42" s="34" t="s">
        <v>564</v>
      </c>
      <c r="C42" s="153">
        <v>5.8841032765399745E-2</v>
      </c>
      <c r="D42" s="153">
        <f t="shared" si="1"/>
        <v>0.13255511949878643</v>
      </c>
      <c r="E42" s="165">
        <v>8.3455119498786423E-2</v>
      </c>
      <c r="F42" s="165">
        <v>0.2843</v>
      </c>
    </row>
    <row r="43" spans="1:6" ht="15.5">
      <c r="A43" s="31" t="s">
        <v>255</v>
      </c>
      <c r="B43" s="34" t="s">
        <v>564</v>
      </c>
      <c r="C43" s="153">
        <v>5.8841032765399745E-2</v>
      </c>
      <c r="D43" s="153">
        <f t="shared" si="1"/>
        <v>0.13255511949878643</v>
      </c>
      <c r="E43" s="165">
        <v>8.3455119498786423E-2</v>
      </c>
      <c r="F43" s="165">
        <v>0.3</v>
      </c>
    </row>
    <row r="44" spans="1:6" ht="15.5">
      <c r="A44" s="31" t="s">
        <v>649</v>
      </c>
      <c r="B44" s="34" t="s">
        <v>570</v>
      </c>
      <c r="C44" s="153">
        <v>3.8472982961992135E-2</v>
      </c>
      <c r="D44" s="153">
        <f t="shared" si="1"/>
        <v>0.10366680890305266</v>
      </c>
      <c r="E44" s="165">
        <v>5.4566808903052655E-2</v>
      </c>
      <c r="F44" s="165">
        <v>0.25</v>
      </c>
    </row>
    <row r="45" spans="1:6" ht="15.5">
      <c r="A45" s="31" t="s">
        <v>256</v>
      </c>
      <c r="B45" s="34" t="s">
        <v>563</v>
      </c>
      <c r="C45" s="153">
        <v>2.03680498034076E-2</v>
      </c>
      <c r="D45" s="153">
        <f t="shared" si="1"/>
        <v>7.7988310595733759E-2</v>
      </c>
      <c r="E45" s="165">
        <v>2.8888310595733758E-2</v>
      </c>
      <c r="F45" s="165">
        <v>0.18</v>
      </c>
    </row>
    <row r="46" spans="1:6" ht="15.5">
      <c r="A46" s="31" t="s">
        <v>348</v>
      </c>
      <c r="B46" s="34" t="s">
        <v>628</v>
      </c>
      <c r="C46" s="153">
        <v>0.12836900524246395</v>
      </c>
      <c r="D46" s="153">
        <f t="shared" si="1"/>
        <v>0.23116768591508743</v>
      </c>
      <c r="E46" s="165">
        <v>0.18206768591508743</v>
      </c>
      <c r="F46" s="165">
        <v>0.27179999999999999</v>
      </c>
    </row>
    <row r="47" spans="1:6" ht="15.5">
      <c r="A47" s="31" t="s">
        <v>650</v>
      </c>
      <c r="B47" s="34" t="s">
        <v>563</v>
      </c>
      <c r="C47" s="153">
        <v>2.03680498034076E-2</v>
      </c>
      <c r="D47" s="153">
        <f t="shared" si="1"/>
        <v>7.7988310595733759E-2</v>
      </c>
      <c r="E47" s="165">
        <v>2.8888310595733758E-2</v>
      </c>
      <c r="F47" s="165">
        <v>0.22</v>
      </c>
    </row>
    <row r="48" spans="1:6" ht="15.5">
      <c r="A48" s="31" t="s">
        <v>257</v>
      </c>
      <c r="B48" s="34" t="s">
        <v>581</v>
      </c>
      <c r="C48" s="153">
        <v>2.678021363040629E-2</v>
      </c>
      <c r="D48" s="153">
        <f t="shared" si="1"/>
        <v>8.708277874624254E-2</v>
      </c>
      <c r="E48" s="165">
        <v>3.7982778746242535E-2</v>
      </c>
      <c r="F48" s="165">
        <v>0.125</v>
      </c>
    </row>
    <row r="49" spans="1:6" ht="15.5">
      <c r="A49" s="31" t="s">
        <v>258</v>
      </c>
      <c r="B49" s="34" t="s">
        <v>572</v>
      </c>
      <c r="C49" s="153">
        <v>6.4121638269986885E-3</v>
      </c>
      <c r="D49" s="153">
        <f t="shared" si="1"/>
        <v>5.8194468150508771E-2</v>
      </c>
      <c r="E49" s="165">
        <v>9.0944681505087752E-3</v>
      </c>
      <c r="F49" s="165">
        <v>0.19</v>
      </c>
    </row>
    <row r="50" spans="1:6" ht="15.5">
      <c r="A50" s="31" t="s">
        <v>259</v>
      </c>
      <c r="B50" s="34" t="s">
        <v>566</v>
      </c>
      <c r="C50" s="153">
        <v>0</v>
      </c>
      <c r="D50" s="153">
        <f t="shared" si="1"/>
        <v>4.9099999999999998E-2</v>
      </c>
      <c r="E50" s="165">
        <v>0</v>
      </c>
      <c r="F50" s="165">
        <v>0.22</v>
      </c>
    </row>
    <row r="51" spans="1:6" ht="15.5">
      <c r="A51" s="296" t="s">
        <v>260</v>
      </c>
      <c r="B51" s="81" t="s">
        <v>570</v>
      </c>
      <c r="C51" s="295">
        <v>3.8472982961992135E-2</v>
      </c>
      <c r="D51" s="153">
        <f t="shared" si="1"/>
        <v>0.10366680890305266</v>
      </c>
      <c r="E51" s="297">
        <v>5.4566808903052655E-2</v>
      </c>
      <c r="F51" s="185">
        <v>0.27</v>
      </c>
    </row>
    <row r="52" spans="1:6" ht="15.5">
      <c r="A52" s="31" t="s">
        <v>261</v>
      </c>
      <c r="B52" s="34" t="s">
        <v>629</v>
      </c>
      <c r="C52" s="153">
        <v>0.10699512581913501</v>
      </c>
      <c r="D52" s="153">
        <f t="shared" si="1"/>
        <v>0.20085279208005821</v>
      </c>
      <c r="E52" s="165">
        <v>0.15175279208005821</v>
      </c>
      <c r="F52" s="165">
        <v>0.25</v>
      </c>
    </row>
    <row r="53" spans="1:6" ht="15.5">
      <c r="A53" s="31" t="s">
        <v>262</v>
      </c>
      <c r="B53" s="34" t="s">
        <v>573</v>
      </c>
      <c r="C53" s="153">
        <v>6.9527972477064229E-2</v>
      </c>
      <c r="D53" s="153">
        <f t="shared" si="1"/>
        <v>0.14771256641630104</v>
      </c>
      <c r="E53" s="165">
        <v>9.8612566416301048E-2</v>
      </c>
      <c r="F53" s="165">
        <v>0.22500000000000001</v>
      </c>
    </row>
    <row r="54" spans="1:6" ht="15.5">
      <c r="A54" s="31" t="s">
        <v>349</v>
      </c>
      <c r="B54" s="34" t="s">
        <v>629</v>
      </c>
      <c r="C54" s="153">
        <v>0.10699512581913501</v>
      </c>
      <c r="D54" s="153">
        <f t="shared" si="1"/>
        <v>0.20085279208005821</v>
      </c>
      <c r="E54" s="165">
        <v>0.15175279208005821</v>
      </c>
      <c r="F54" s="165">
        <v>0.3</v>
      </c>
    </row>
    <row r="55" spans="1:6" ht="15.5">
      <c r="A55" s="31" t="s">
        <v>263</v>
      </c>
      <c r="B55" s="34" t="s">
        <v>577</v>
      </c>
      <c r="C55" s="153">
        <v>7.543722149410223E-3</v>
      </c>
      <c r="D55" s="153">
        <f t="shared" si="1"/>
        <v>5.9799374294716205E-2</v>
      </c>
      <c r="E55" s="165">
        <v>1.0699374294716207E-2</v>
      </c>
      <c r="F55" s="165">
        <v>0.2</v>
      </c>
    </row>
    <row r="56" spans="1:6" ht="15.5">
      <c r="A56" s="31" t="s">
        <v>483</v>
      </c>
      <c r="B56" s="34" t="s">
        <v>578</v>
      </c>
      <c r="C56" s="153">
        <v>9.6308186107470495E-2</v>
      </c>
      <c r="D56" s="153">
        <f t="shared" si="1"/>
        <v>0.18569534516254355</v>
      </c>
      <c r="E56" s="165">
        <v>0.13659534516254354</v>
      </c>
      <c r="F56" s="165">
        <v>0.3</v>
      </c>
    </row>
    <row r="57" spans="1:6" ht="15.5">
      <c r="A57" s="31" t="s">
        <v>264</v>
      </c>
      <c r="B57" s="34" t="s">
        <v>561</v>
      </c>
      <c r="C57" s="153">
        <v>4.8154093053735247E-2</v>
      </c>
      <c r="D57" s="153">
        <f t="shared" si="1"/>
        <v>0.11739767258127176</v>
      </c>
      <c r="E57" s="165">
        <v>6.8297672581271771E-2</v>
      </c>
      <c r="F57" s="165">
        <v>0.2</v>
      </c>
    </row>
    <row r="58" spans="1:6" ht="15.5">
      <c r="A58" s="31" t="s">
        <v>265</v>
      </c>
      <c r="B58" s="34" t="s">
        <v>567</v>
      </c>
      <c r="C58" s="153">
        <v>4.2747758846657926E-3</v>
      </c>
      <c r="D58" s="153">
        <f t="shared" si="1"/>
        <v>5.5162978767005849E-2</v>
      </c>
      <c r="E58" s="165">
        <v>6.0629787670058504E-3</v>
      </c>
      <c r="F58" s="165">
        <v>0.2</v>
      </c>
    </row>
    <row r="59" spans="1:6" ht="15.5">
      <c r="A59" s="31" t="s">
        <v>266</v>
      </c>
      <c r="B59" s="34" t="s">
        <v>560</v>
      </c>
      <c r="C59" s="153">
        <v>5.2806055045871558E-3</v>
      </c>
      <c r="D59" s="153">
        <f t="shared" si="1"/>
        <v>5.6589562006301344E-2</v>
      </c>
      <c r="E59" s="165">
        <v>7.4895620063013448E-3</v>
      </c>
      <c r="F59" s="165">
        <v>0.25</v>
      </c>
    </row>
    <row r="60" spans="1:6" ht="15.5">
      <c r="A60" s="31" t="s">
        <v>467</v>
      </c>
      <c r="B60" s="34" t="s">
        <v>571</v>
      </c>
      <c r="C60" s="153">
        <v>8.0214912188728699E-2</v>
      </c>
      <c r="D60" s="153">
        <f t="shared" si="1"/>
        <v>0.16287001333381565</v>
      </c>
      <c r="E60" s="165">
        <v>0.11377001333381566</v>
      </c>
      <c r="F60" s="165">
        <v>0.3</v>
      </c>
    </row>
    <row r="61" spans="1:6" ht="15.5">
      <c r="A61" s="31" t="s">
        <v>580</v>
      </c>
      <c r="B61" s="34" t="s">
        <v>666</v>
      </c>
      <c r="C61" s="153">
        <v>5.8841032765399731E-2</v>
      </c>
      <c r="D61" s="153">
        <f t="shared" si="1"/>
        <v>0.1325551194987864</v>
      </c>
      <c r="E61" s="165">
        <v>8.3455119498786409E-2</v>
      </c>
      <c r="F61" s="165">
        <v>0.31</v>
      </c>
    </row>
    <row r="62" spans="1:6" ht="15.5">
      <c r="A62" s="31" t="s">
        <v>350</v>
      </c>
      <c r="B62" s="34" t="s">
        <v>568</v>
      </c>
      <c r="C62" s="153">
        <v>3.218654783748362E-2</v>
      </c>
      <c r="D62" s="153">
        <f t="shared" si="1"/>
        <v>9.4750663657455825E-2</v>
      </c>
      <c r="E62" s="165">
        <v>4.565066365745582E-2</v>
      </c>
      <c r="F62" s="165">
        <v>0.15</v>
      </c>
    </row>
    <row r="63" spans="1:6" ht="15.5">
      <c r="A63" s="31" t="s">
        <v>267</v>
      </c>
      <c r="B63" s="34" t="s">
        <v>566</v>
      </c>
      <c r="C63" s="153">
        <v>0</v>
      </c>
      <c r="D63" s="153">
        <f t="shared" si="1"/>
        <v>4.9099999999999998E-2</v>
      </c>
      <c r="E63" s="165">
        <v>0</v>
      </c>
      <c r="F63" s="165">
        <v>0.3</v>
      </c>
    </row>
    <row r="64" spans="1:6" ht="15.5">
      <c r="A64" s="31" t="s">
        <v>468</v>
      </c>
      <c r="B64" s="34" t="s">
        <v>628</v>
      </c>
      <c r="C64" s="153">
        <v>0.12836900524246395</v>
      </c>
      <c r="D64" s="153">
        <f t="shared" si="1"/>
        <v>0.23116768591508743</v>
      </c>
      <c r="E64" s="165">
        <v>0.18206768591508743</v>
      </c>
      <c r="F64" s="165">
        <v>0.25</v>
      </c>
    </row>
    <row r="65" spans="1:6" ht="15.5">
      <c r="A65" s="293" t="s">
        <v>268</v>
      </c>
      <c r="B65" s="81" t="s">
        <v>570</v>
      </c>
      <c r="C65" s="294">
        <v>3.8472982961992135E-2</v>
      </c>
      <c r="D65" s="153">
        <f t="shared" si="1"/>
        <v>0.10366680890305266</v>
      </c>
      <c r="E65" s="297">
        <v>5.4566808903052655E-2</v>
      </c>
      <c r="F65" s="185">
        <v>0.22</v>
      </c>
    </row>
    <row r="66" spans="1:6" ht="15.5">
      <c r="A66" s="31" t="s">
        <v>269</v>
      </c>
      <c r="B66" s="34" t="s">
        <v>581</v>
      </c>
      <c r="C66" s="153">
        <v>2.678021363040629E-2</v>
      </c>
      <c r="D66" s="153">
        <f t="shared" si="1"/>
        <v>8.708277874624254E-2</v>
      </c>
      <c r="E66" s="165">
        <v>3.7982778746242535E-2</v>
      </c>
      <c r="F66" s="165">
        <v>0.25</v>
      </c>
    </row>
    <row r="67" spans="1:6" ht="15.5">
      <c r="A67" s="31" t="s">
        <v>651</v>
      </c>
      <c r="B67" s="34" t="s">
        <v>560</v>
      </c>
      <c r="C67" s="153">
        <v>5.2806055045871558E-3</v>
      </c>
      <c r="D67" s="153">
        <f t="shared" si="1"/>
        <v>5.6589562006301344E-2</v>
      </c>
      <c r="E67" s="165">
        <v>7.4895620063013448E-3</v>
      </c>
      <c r="F67" s="165">
        <v>0</v>
      </c>
    </row>
    <row r="68" spans="1:6" ht="15.5">
      <c r="A68" s="31" t="s">
        <v>582</v>
      </c>
      <c r="B68" s="34" t="s">
        <v>666</v>
      </c>
      <c r="C68" s="153">
        <v>9.6308186107470509E-2</v>
      </c>
      <c r="D68" s="153">
        <f t="shared" si="1"/>
        <v>0.18569534516254357</v>
      </c>
      <c r="E68" s="165">
        <v>0.13659534516254357</v>
      </c>
      <c r="F68" s="165">
        <v>0.29149999999999998</v>
      </c>
    </row>
    <row r="69" spans="1:6" ht="15.5">
      <c r="A69" s="31" t="s">
        <v>583</v>
      </c>
      <c r="B69" s="34" t="s">
        <v>666</v>
      </c>
      <c r="C69" s="153">
        <v>5.8841032765399731E-2</v>
      </c>
      <c r="D69" s="153">
        <f t="shared" ref="D69:D100" si="2">$B$1+E69</f>
        <v>0.1325551194987864</v>
      </c>
      <c r="E69" s="165">
        <v>8.3455119498786409E-2</v>
      </c>
      <c r="F69" s="165">
        <v>0.29149999999999998</v>
      </c>
    </row>
    <row r="70" spans="1:6" ht="15.5">
      <c r="A70" s="31" t="s">
        <v>584</v>
      </c>
      <c r="B70" s="34" t="s">
        <v>666</v>
      </c>
      <c r="C70" s="153">
        <v>1.7099103538663174E-2</v>
      </c>
      <c r="D70" s="153">
        <f t="shared" si="2"/>
        <v>7.335191506802341E-2</v>
      </c>
      <c r="E70" s="165">
        <v>2.4251915068023405E-2</v>
      </c>
      <c r="F70" s="165">
        <v>0.18640000000000001</v>
      </c>
    </row>
    <row r="71" spans="1:6" ht="15.5">
      <c r="A71" s="31" t="s">
        <v>585</v>
      </c>
      <c r="B71" s="34" t="s">
        <v>666</v>
      </c>
      <c r="C71" s="153">
        <v>0.12836900524246395</v>
      </c>
      <c r="D71" s="153">
        <f t="shared" si="2"/>
        <v>0.23116768591508743</v>
      </c>
      <c r="E71" s="165">
        <v>0.18206768591508743</v>
      </c>
      <c r="F71" s="165">
        <v>0.18640000000000001</v>
      </c>
    </row>
    <row r="72" spans="1:6" ht="15.5">
      <c r="A72" s="31" t="s">
        <v>270</v>
      </c>
      <c r="B72" s="34" t="s">
        <v>561</v>
      </c>
      <c r="C72" s="153">
        <v>4.8154093053735247E-2</v>
      </c>
      <c r="D72" s="153">
        <f t="shared" si="2"/>
        <v>0.11739767258127176</v>
      </c>
      <c r="E72" s="165">
        <v>6.8297672581271771E-2</v>
      </c>
      <c r="F72" s="165">
        <v>0.25</v>
      </c>
    </row>
    <row r="73" spans="1:6" ht="15.5">
      <c r="A73" s="31" t="s">
        <v>271</v>
      </c>
      <c r="B73" s="34" t="s">
        <v>572</v>
      </c>
      <c r="C73" s="153">
        <v>6.4121638269986885E-3</v>
      </c>
      <c r="D73" s="153">
        <f t="shared" si="2"/>
        <v>5.8194468150508771E-2</v>
      </c>
      <c r="E73" s="165">
        <v>9.0944681505087752E-3</v>
      </c>
      <c r="F73" s="165">
        <v>0.16500000000000001</v>
      </c>
    </row>
    <row r="74" spans="1:6" ht="15.5">
      <c r="A74" s="296" t="s">
        <v>272</v>
      </c>
      <c r="B74" s="81" t="s">
        <v>563</v>
      </c>
      <c r="C74" s="295">
        <v>2.03680498034076E-2</v>
      </c>
      <c r="D74" s="153">
        <f t="shared" si="2"/>
        <v>7.7988310595733759E-2</v>
      </c>
      <c r="E74" s="297">
        <v>2.8888310595733758E-2</v>
      </c>
      <c r="F74" s="185">
        <v>0.09</v>
      </c>
    </row>
    <row r="75" spans="1:6" ht="15.5">
      <c r="A75" s="31" t="s">
        <v>273</v>
      </c>
      <c r="B75" s="34" t="s">
        <v>575</v>
      </c>
      <c r="C75" s="153">
        <v>9.0524665792922673E-3</v>
      </c>
      <c r="D75" s="153">
        <f t="shared" si="2"/>
        <v>6.1939249153659448E-2</v>
      </c>
      <c r="E75" s="165">
        <v>1.2839249153659449E-2</v>
      </c>
      <c r="F75" s="165">
        <v>0.2</v>
      </c>
    </row>
    <row r="76" spans="1:6" ht="15.5">
      <c r="A76" s="31" t="s">
        <v>274</v>
      </c>
      <c r="B76" s="34" t="s">
        <v>569</v>
      </c>
      <c r="C76" s="153">
        <v>2.3511267365661864E-2</v>
      </c>
      <c r="D76" s="153">
        <f t="shared" si="2"/>
        <v>8.2446383218532177E-2</v>
      </c>
      <c r="E76" s="165">
        <v>3.3346383218532186E-2</v>
      </c>
      <c r="F76" s="165">
        <v>0.3</v>
      </c>
    </row>
    <row r="77" spans="1:6" ht="15.5">
      <c r="A77" s="31" t="s">
        <v>275</v>
      </c>
      <c r="B77" s="34" t="s">
        <v>563</v>
      </c>
      <c r="C77" s="153">
        <v>2.03680498034076E-2</v>
      </c>
      <c r="D77" s="153">
        <f t="shared" si="2"/>
        <v>7.7988310595733759E-2</v>
      </c>
      <c r="E77" s="165">
        <v>2.8888310595733758E-2</v>
      </c>
      <c r="F77" s="165">
        <v>0.22</v>
      </c>
    </row>
    <row r="78" spans="1:6" ht="15.5">
      <c r="A78" s="31" t="s">
        <v>586</v>
      </c>
      <c r="B78" s="34" t="s">
        <v>666</v>
      </c>
      <c r="C78" s="153">
        <v>6.9527972477064229E-2</v>
      </c>
      <c r="D78" s="153">
        <f t="shared" si="2"/>
        <v>0.14771256641630104</v>
      </c>
      <c r="E78" s="165">
        <v>9.8612566416301048E-2</v>
      </c>
      <c r="F78" s="165">
        <v>0.20230000000000001</v>
      </c>
    </row>
    <row r="79" spans="1:6" ht="15.5">
      <c r="A79" s="31" t="s">
        <v>534</v>
      </c>
      <c r="B79" s="34" t="s">
        <v>571</v>
      </c>
      <c r="C79" s="153">
        <v>8.0214912188728699E-2</v>
      </c>
      <c r="D79" s="153">
        <f t="shared" si="2"/>
        <v>0.16287001333381565</v>
      </c>
      <c r="E79" s="165">
        <v>0.11377001333381566</v>
      </c>
      <c r="F79" s="165">
        <v>0.15</v>
      </c>
    </row>
    <row r="80" spans="1:6" ht="15.5">
      <c r="A80" s="31" t="s">
        <v>276</v>
      </c>
      <c r="B80" s="34" t="s">
        <v>572</v>
      </c>
      <c r="C80" s="153">
        <v>6.4121638269986885E-3</v>
      </c>
      <c r="D80" s="153">
        <f t="shared" si="2"/>
        <v>5.8194468150508771E-2</v>
      </c>
      <c r="E80" s="165">
        <v>9.0944681505087752E-3</v>
      </c>
      <c r="F80" s="165">
        <v>0.125</v>
      </c>
    </row>
    <row r="81" spans="1:6" ht="15.5">
      <c r="A81" s="31" t="s">
        <v>277</v>
      </c>
      <c r="B81" s="34" t="s">
        <v>572</v>
      </c>
      <c r="C81" s="153">
        <v>6.4121638269986885E-3</v>
      </c>
      <c r="D81" s="153">
        <f t="shared" si="2"/>
        <v>5.8194468150508771E-2</v>
      </c>
      <c r="E81" s="165">
        <v>9.0944681505087752E-3</v>
      </c>
      <c r="F81" s="165">
        <v>0</v>
      </c>
    </row>
    <row r="82" spans="1:6" ht="15.5">
      <c r="A82" s="31" t="s">
        <v>278</v>
      </c>
      <c r="B82" s="34" t="s">
        <v>577</v>
      </c>
      <c r="C82" s="153">
        <v>7.543722149410223E-3</v>
      </c>
      <c r="D82" s="153">
        <f t="shared" si="2"/>
        <v>5.9799374294716205E-2</v>
      </c>
      <c r="E82" s="165">
        <v>1.0699374294716207E-2</v>
      </c>
      <c r="F82" s="165">
        <v>0.23</v>
      </c>
    </row>
    <row r="83" spans="1:6" ht="15.5">
      <c r="A83" s="296" t="s">
        <v>279</v>
      </c>
      <c r="B83" s="81" t="s">
        <v>569</v>
      </c>
      <c r="C83" s="295">
        <v>2.3511267365661864E-2</v>
      </c>
      <c r="D83" s="153">
        <f t="shared" si="2"/>
        <v>8.2446383218532177E-2</v>
      </c>
      <c r="E83" s="297">
        <v>3.3346383218532186E-2</v>
      </c>
      <c r="F83" s="185">
        <v>0.24</v>
      </c>
    </row>
    <row r="84" spans="1:6" ht="15.5">
      <c r="A84" s="293" t="s">
        <v>280</v>
      </c>
      <c r="B84" s="81" t="s">
        <v>564</v>
      </c>
      <c r="C84" s="294">
        <v>5.8841032765399745E-2</v>
      </c>
      <c r="D84" s="153">
        <f t="shared" si="2"/>
        <v>0.13255511949878643</v>
      </c>
      <c r="E84" s="297">
        <v>8.3455119498786423E-2</v>
      </c>
      <c r="F84" s="185">
        <v>0.25</v>
      </c>
    </row>
    <row r="85" spans="1:6" ht="15.5">
      <c r="A85" s="31" t="s">
        <v>281</v>
      </c>
      <c r="B85" s="34" t="s">
        <v>577</v>
      </c>
      <c r="C85" s="153">
        <v>7.543722149410223E-3</v>
      </c>
      <c r="D85" s="153">
        <f t="shared" si="2"/>
        <v>5.9799374294716205E-2</v>
      </c>
      <c r="E85" s="165">
        <v>1.0699374294716207E-2</v>
      </c>
      <c r="F85" s="165">
        <v>0.23200000000000001</v>
      </c>
    </row>
    <row r="86" spans="1:6" ht="15.5">
      <c r="A86" s="31" t="s">
        <v>652</v>
      </c>
      <c r="B86" s="34" t="s">
        <v>572</v>
      </c>
      <c r="C86" s="153">
        <v>6.4121638269986885E-3</v>
      </c>
      <c r="D86" s="153">
        <f t="shared" si="2"/>
        <v>5.8194468150508771E-2</v>
      </c>
      <c r="E86" s="165">
        <v>9.0944681505087752E-3</v>
      </c>
      <c r="F86" s="165">
        <v>0</v>
      </c>
    </row>
    <row r="87" spans="1:6" ht="15.5">
      <c r="A87" s="31" t="s">
        <v>282</v>
      </c>
      <c r="B87" s="34" t="s">
        <v>561</v>
      </c>
      <c r="C87" s="153">
        <v>4.8154093053735247E-2</v>
      </c>
      <c r="D87" s="153">
        <f t="shared" si="2"/>
        <v>0.11739767258127176</v>
      </c>
      <c r="E87" s="165">
        <v>6.8297672581271771E-2</v>
      </c>
      <c r="F87" s="165">
        <v>0.2</v>
      </c>
    </row>
    <row r="88" spans="1:6" ht="15.5">
      <c r="A88" s="293" t="s">
        <v>283</v>
      </c>
      <c r="B88" s="81" t="s">
        <v>563</v>
      </c>
      <c r="C88" s="294">
        <v>2.03680498034076E-2</v>
      </c>
      <c r="D88" s="153">
        <f t="shared" si="2"/>
        <v>7.7988310595733759E-2</v>
      </c>
      <c r="E88" s="297">
        <v>2.8888310595733758E-2</v>
      </c>
      <c r="F88" s="185">
        <v>0.2</v>
      </c>
    </row>
    <row r="89" spans="1:6" ht="15.5">
      <c r="A89" s="31" t="s">
        <v>411</v>
      </c>
      <c r="B89" s="34" t="s">
        <v>573</v>
      </c>
      <c r="C89" s="153">
        <v>6.9527972477064229E-2</v>
      </c>
      <c r="D89" s="153">
        <f t="shared" si="2"/>
        <v>0.14771256641630104</v>
      </c>
      <c r="E89" s="165">
        <v>9.8612566416301048E-2</v>
      </c>
      <c r="F89" s="165">
        <v>0.3</v>
      </c>
    </row>
    <row r="90" spans="1:6" ht="15.5">
      <c r="A90" s="31" t="s">
        <v>653</v>
      </c>
      <c r="B90" s="34" t="s">
        <v>560</v>
      </c>
      <c r="C90" s="153">
        <v>5.2806055045871558E-3</v>
      </c>
      <c r="D90" s="153">
        <f t="shared" si="2"/>
        <v>5.6589562006301344E-2</v>
      </c>
      <c r="E90" s="165">
        <v>7.4895620063013448E-3</v>
      </c>
      <c r="F90" s="165">
        <v>0.25</v>
      </c>
    </row>
    <row r="91" spans="1:6" ht="15.5">
      <c r="A91" s="31" t="s">
        <v>587</v>
      </c>
      <c r="B91" s="34" t="s">
        <v>666</v>
      </c>
      <c r="C91" s="153">
        <v>0.12836900524246395</v>
      </c>
      <c r="D91" s="153">
        <f t="shared" si="2"/>
        <v>0.23116768591508743</v>
      </c>
      <c r="E91" s="165">
        <v>0.18206768591508743</v>
      </c>
      <c r="F91" s="165">
        <v>0.23100000000000001</v>
      </c>
    </row>
    <row r="92" spans="1:6" ht="15.5">
      <c r="A92" s="31" t="s">
        <v>284</v>
      </c>
      <c r="B92" s="34" t="s">
        <v>577</v>
      </c>
      <c r="C92" s="153">
        <v>7.543722149410223E-3</v>
      </c>
      <c r="D92" s="153">
        <f t="shared" si="2"/>
        <v>5.9799374294716205E-2</v>
      </c>
      <c r="E92" s="165">
        <v>1.0699374294716207E-2</v>
      </c>
      <c r="F92" s="165">
        <v>0.15</v>
      </c>
    </row>
    <row r="93" spans="1:6" ht="15.5">
      <c r="A93" s="31" t="s">
        <v>469</v>
      </c>
      <c r="B93" s="34" t="s">
        <v>573</v>
      </c>
      <c r="C93" s="153">
        <v>6.9527972477064229E-2</v>
      </c>
      <c r="D93" s="153">
        <f t="shared" si="2"/>
        <v>0.14771256641630104</v>
      </c>
      <c r="E93" s="165">
        <v>9.8612566416301048E-2</v>
      </c>
      <c r="F93" s="165">
        <v>0.1</v>
      </c>
    </row>
    <row r="94" spans="1:6" ht="15.5">
      <c r="A94" s="31" t="s">
        <v>618</v>
      </c>
      <c r="B94" s="34" t="s">
        <v>629</v>
      </c>
      <c r="C94" s="153">
        <v>0.10699512581913501</v>
      </c>
      <c r="D94" s="153">
        <f t="shared" si="2"/>
        <v>0.20085279208005821</v>
      </c>
      <c r="E94" s="165">
        <v>0.15175279208005821</v>
      </c>
      <c r="F94" s="165">
        <v>0.2281</v>
      </c>
    </row>
    <row r="95" spans="1:6" ht="15.5">
      <c r="A95" s="31" t="s">
        <v>285</v>
      </c>
      <c r="B95" s="34" t="s">
        <v>579</v>
      </c>
      <c r="C95" s="153">
        <v>1.2824327653997377E-2</v>
      </c>
      <c r="D95" s="153">
        <f t="shared" si="2"/>
        <v>6.7288936301017552E-2</v>
      </c>
      <c r="E95" s="165">
        <v>1.818893630101755E-2</v>
      </c>
      <c r="F95" s="165">
        <v>0.2</v>
      </c>
    </row>
    <row r="96" spans="1:6" ht="15.5">
      <c r="A96" s="31" t="s">
        <v>351</v>
      </c>
      <c r="B96" s="34" t="s">
        <v>610</v>
      </c>
      <c r="C96" s="153">
        <v>0.17499999999999999</v>
      </c>
      <c r="D96" s="153">
        <f t="shared" si="2"/>
        <v>0.29730512533348297</v>
      </c>
      <c r="E96" s="165">
        <v>0.24820512533348299</v>
      </c>
      <c r="F96" s="165">
        <v>0.17</v>
      </c>
    </row>
    <row r="97" spans="1:6" ht="15.5">
      <c r="A97" s="31" t="s">
        <v>588</v>
      </c>
      <c r="B97" s="34" t="s">
        <v>666</v>
      </c>
      <c r="C97" s="153">
        <v>0.10699512581913499</v>
      </c>
      <c r="D97" s="153">
        <f t="shared" si="2"/>
        <v>0.20085279208005821</v>
      </c>
      <c r="E97" s="165">
        <v>0.15175279208005821</v>
      </c>
      <c r="F97" s="165">
        <v>0.29149999999999998</v>
      </c>
    </row>
    <row r="98" spans="1:6" ht="15.5">
      <c r="A98" s="31" t="s">
        <v>589</v>
      </c>
      <c r="B98" s="34" t="s">
        <v>666</v>
      </c>
      <c r="C98" s="153">
        <v>2.03680498034076E-2</v>
      </c>
      <c r="D98" s="153">
        <f t="shared" si="2"/>
        <v>7.7988310595733745E-2</v>
      </c>
      <c r="E98" s="165">
        <v>2.8888310595733754E-2</v>
      </c>
      <c r="F98" s="165">
        <v>0.2</v>
      </c>
    </row>
    <row r="99" spans="1:6" ht="15.5">
      <c r="A99" s="31" t="s">
        <v>286</v>
      </c>
      <c r="B99" s="34" t="s">
        <v>566</v>
      </c>
      <c r="C99" s="153">
        <v>0</v>
      </c>
      <c r="D99" s="153">
        <f t="shared" si="2"/>
        <v>4.9099999999999998E-2</v>
      </c>
      <c r="E99" s="165">
        <v>0</v>
      </c>
      <c r="F99" s="165">
        <v>0.125</v>
      </c>
    </row>
    <row r="100" spans="1:6" ht="15.5">
      <c r="A100" s="31" t="s">
        <v>287</v>
      </c>
      <c r="B100" s="34" t="s">
        <v>575</v>
      </c>
      <c r="C100" s="153">
        <v>9.0524665792922673E-3</v>
      </c>
      <c r="D100" s="153">
        <f t="shared" si="2"/>
        <v>6.1939249153659448E-2</v>
      </c>
      <c r="E100" s="165">
        <v>1.2839249153659449E-2</v>
      </c>
      <c r="F100" s="165">
        <v>0.15</v>
      </c>
    </row>
    <row r="101" spans="1:6" ht="15.5">
      <c r="A101" s="31" t="s">
        <v>288</v>
      </c>
      <c r="B101" s="34" t="s">
        <v>566</v>
      </c>
      <c r="C101" s="153">
        <v>0</v>
      </c>
      <c r="D101" s="153">
        <f t="shared" ref="D101:D132" si="3">$B$1+E101</f>
        <v>4.9099999999999998E-2</v>
      </c>
      <c r="E101" s="165">
        <v>0</v>
      </c>
      <c r="F101" s="165">
        <v>0.24940000000000001</v>
      </c>
    </row>
    <row r="102" spans="1:6" ht="15.5">
      <c r="A102" s="31" t="s">
        <v>607</v>
      </c>
      <c r="B102" s="34" t="s">
        <v>572</v>
      </c>
      <c r="C102" s="153">
        <v>6.4121638269986885E-3</v>
      </c>
      <c r="D102" s="153">
        <f t="shared" si="3"/>
        <v>5.8194468150508771E-2</v>
      </c>
      <c r="E102" s="165">
        <v>9.0944681505087752E-3</v>
      </c>
      <c r="F102" s="165">
        <v>0.2281</v>
      </c>
    </row>
    <row r="103" spans="1:6" ht="15.5">
      <c r="A103" s="31" t="s">
        <v>289</v>
      </c>
      <c r="B103" s="34" t="s">
        <v>570</v>
      </c>
      <c r="C103" s="153">
        <v>3.8472982961992135E-2</v>
      </c>
      <c r="D103" s="153">
        <f t="shared" si="3"/>
        <v>0.10366680890305266</v>
      </c>
      <c r="E103" s="165">
        <v>5.4566808903052655E-2</v>
      </c>
      <c r="F103" s="165">
        <v>0.1</v>
      </c>
    </row>
    <row r="104" spans="1:6" ht="15.5">
      <c r="A104" s="31" t="s">
        <v>590</v>
      </c>
      <c r="B104" s="34" t="s">
        <v>666</v>
      </c>
      <c r="C104" s="153">
        <v>6.9527972477064229E-2</v>
      </c>
      <c r="D104" s="153">
        <f t="shared" si="3"/>
        <v>0.14771256641630104</v>
      </c>
      <c r="E104" s="165">
        <v>9.8612566416301048E-2</v>
      </c>
      <c r="F104" s="165">
        <v>0.2</v>
      </c>
    </row>
    <row r="105" spans="1:6" ht="15.5">
      <c r="A105" s="31" t="s">
        <v>591</v>
      </c>
      <c r="B105" s="34" t="s">
        <v>666</v>
      </c>
      <c r="C105" s="153">
        <v>0.12836900524246395</v>
      </c>
      <c r="D105" s="153">
        <f t="shared" si="3"/>
        <v>0.23116768591508743</v>
      </c>
      <c r="E105" s="165">
        <v>0.18206768591508743</v>
      </c>
      <c r="F105" s="165">
        <v>0.3</v>
      </c>
    </row>
    <row r="106" spans="1:6" ht="15.5">
      <c r="A106" s="31" t="s">
        <v>290</v>
      </c>
      <c r="B106" s="34" t="s">
        <v>579</v>
      </c>
      <c r="C106" s="153">
        <v>1.2824327653997377E-2</v>
      </c>
      <c r="D106" s="153">
        <f t="shared" si="3"/>
        <v>6.7288936301017552E-2</v>
      </c>
      <c r="E106" s="165">
        <v>1.818893630101755E-2</v>
      </c>
      <c r="F106" s="165">
        <v>0.24</v>
      </c>
    </row>
    <row r="107" spans="1:6" ht="15.5">
      <c r="A107" s="31" t="s">
        <v>654</v>
      </c>
      <c r="B107" s="34" t="s">
        <v>571</v>
      </c>
      <c r="C107" s="153">
        <v>8.0214912188728699E-2</v>
      </c>
      <c r="D107" s="153">
        <f t="shared" si="3"/>
        <v>0.16287001333381565</v>
      </c>
      <c r="E107" s="165">
        <v>0.11377001333381566</v>
      </c>
      <c r="F107" s="165">
        <v>0.2281</v>
      </c>
    </row>
    <row r="108" spans="1:6" ht="15.5">
      <c r="A108" s="31" t="s">
        <v>592</v>
      </c>
      <c r="B108" s="34" t="s">
        <v>578</v>
      </c>
      <c r="C108" s="153">
        <v>9.6308186107470495E-2</v>
      </c>
      <c r="D108" s="153">
        <f t="shared" si="3"/>
        <v>0.18569534516254355</v>
      </c>
      <c r="E108" s="165">
        <v>0.13659534516254354</v>
      </c>
      <c r="F108" s="165">
        <v>0.2281</v>
      </c>
    </row>
    <row r="109" spans="1:6" ht="15.5">
      <c r="A109" s="31" t="s">
        <v>291</v>
      </c>
      <c r="B109" s="34" t="s">
        <v>575</v>
      </c>
      <c r="C109" s="153">
        <v>9.0524665792922673E-3</v>
      </c>
      <c r="D109" s="153">
        <f t="shared" si="3"/>
        <v>6.1939249153659448E-2</v>
      </c>
      <c r="E109" s="165">
        <v>1.2839249153659449E-2</v>
      </c>
      <c r="F109" s="165">
        <v>0.35</v>
      </c>
    </row>
    <row r="110" spans="1:6" ht="15.5">
      <c r="A110" s="31" t="s">
        <v>292</v>
      </c>
      <c r="B110" s="34" t="s">
        <v>569</v>
      </c>
      <c r="C110" s="153">
        <v>2.3511267365661864E-2</v>
      </c>
      <c r="D110" s="153">
        <f t="shared" si="3"/>
        <v>8.2446383218532177E-2</v>
      </c>
      <c r="E110" s="165">
        <v>3.3346383218532186E-2</v>
      </c>
      <c r="F110" s="165">
        <v>0.15</v>
      </c>
    </row>
    <row r="111" spans="1:6" ht="15.5">
      <c r="A111" s="31" t="s">
        <v>293</v>
      </c>
      <c r="B111" s="34" t="s">
        <v>563</v>
      </c>
      <c r="C111" s="153">
        <v>2.03680498034076E-2</v>
      </c>
      <c r="D111" s="153">
        <f t="shared" si="3"/>
        <v>7.7988310595733759E-2</v>
      </c>
      <c r="E111" s="165">
        <v>2.8888310595733758E-2</v>
      </c>
      <c r="F111" s="165">
        <v>0.3</v>
      </c>
    </row>
    <row r="112" spans="1:6" ht="15.5">
      <c r="A112" s="31" t="s">
        <v>352</v>
      </c>
      <c r="B112" s="34" t="s">
        <v>573</v>
      </c>
      <c r="C112" s="153">
        <v>6.9527972477064229E-2</v>
      </c>
      <c r="D112" s="153">
        <f t="shared" si="3"/>
        <v>0.14771256641630104</v>
      </c>
      <c r="E112" s="165">
        <v>9.8612566416301048E-2</v>
      </c>
      <c r="F112" s="165">
        <v>0.12</v>
      </c>
    </row>
    <row r="113" spans="1:6" ht="15.5">
      <c r="A113" s="31" t="s">
        <v>353</v>
      </c>
      <c r="B113" s="34" t="s">
        <v>573</v>
      </c>
      <c r="C113" s="153">
        <v>6.9527972477064229E-2</v>
      </c>
      <c r="D113" s="153">
        <f t="shared" si="3"/>
        <v>0.14771256641630104</v>
      </c>
      <c r="E113" s="165">
        <v>9.8612566416301048E-2</v>
      </c>
      <c r="F113" s="165">
        <v>0.25</v>
      </c>
    </row>
    <row r="114" spans="1:6" ht="15.5">
      <c r="A114" s="31" t="s">
        <v>294</v>
      </c>
      <c r="B114" s="34" t="s">
        <v>561</v>
      </c>
      <c r="C114" s="153">
        <v>4.8154093053735247E-2</v>
      </c>
      <c r="D114" s="153">
        <f t="shared" si="3"/>
        <v>0.11739767258127176</v>
      </c>
      <c r="E114" s="165">
        <v>6.8297672581271771E-2</v>
      </c>
      <c r="F114" s="165">
        <v>0.15</v>
      </c>
    </row>
    <row r="115" spans="1:6" ht="15.5">
      <c r="A115" s="296" t="s">
        <v>470</v>
      </c>
      <c r="B115" s="81" t="s">
        <v>569</v>
      </c>
      <c r="C115" s="295">
        <v>2.3511267365661864E-2</v>
      </c>
      <c r="D115" s="153">
        <f t="shared" si="3"/>
        <v>8.2446383218532177E-2</v>
      </c>
      <c r="E115" s="297">
        <v>3.3346383218532186E-2</v>
      </c>
      <c r="F115" s="185">
        <v>0.27179999999999999</v>
      </c>
    </row>
    <row r="116" spans="1:6" ht="15.5">
      <c r="A116" s="31" t="s">
        <v>354</v>
      </c>
      <c r="B116" s="34" t="s">
        <v>581</v>
      </c>
      <c r="C116" s="153">
        <v>2.678021363040629E-2</v>
      </c>
      <c r="D116" s="153">
        <f t="shared" si="3"/>
        <v>8.708277874624254E-2</v>
      </c>
      <c r="E116" s="165">
        <v>3.7982778746242535E-2</v>
      </c>
      <c r="F116" s="165">
        <v>0.31</v>
      </c>
    </row>
    <row r="117" spans="1:6" ht="15.5">
      <c r="A117" s="31" t="s">
        <v>295</v>
      </c>
      <c r="B117" s="34" t="s">
        <v>578</v>
      </c>
      <c r="C117" s="153">
        <v>9.6308186107470495E-2</v>
      </c>
      <c r="D117" s="153">
        <f t="shared" si="3"/>
        <v>0.18569534516254355</v>
      </c>
      <c r="E117" s="165">
        <v>0.13659534516254354</v>
      </c>
      <c r="F117" s="165">
        <v>0.32</v>
      </c>
    </row>
    <row r="118" spans="1:6" ht="15.5">
      <c r="A118" s="31" t="s">
        <v>593</v>
      </c>
      <c r="B118" s="34" t="s">
        <v>666</v>
      </c>
      <c r="C118" s="153">
        <v>0.10699512581913499</v>
      </c>
      <c r="D118" s="153">
        <f t="shared" si="3"/>
        <v>0.20085279208005821</v>
      </c>
      <c r="E118" s="165">
        <v>0.15175279208005821</v>
      </c>
      <c r="F118" s="165">
        <v>0.25</v>
      </c>
    </row>
    <row r="119" spans="1:6" ht="15.5">
      <c r="A119" s="31" t="s">
        <v>296</v>
      </c>
      <c r="B119" s="34" t="s">
        <v>561</v>
      </c>
      <c r="C119" s="153">
        <v>4.8154093053735247E-2</v>
      </c>
      <c r="D119" s="153">
        <f t="shared" si="3"/>
        <v>0.11739767258127176</v>
      </c>
      <c r="E119" s="165">
        <v>6.8297672581271771E-2</v>
      </c>
      <c r="F119" s="165">
        <v>0.32</v>
      </c>
    </row>
    <row r="120" spans="1:6" ht="15.5">
      <c r="A120" s="31" t="s">
        <v>297</v>
      </c>
      <c r="B120" s="34" t="s">
        <v>566</v>
      </c>
      <c r="C120" s="153">
        <v>0</v>
      </c>
      <c r="D120" s="153">
        <f t="shared" si="3"/>
        <v>4.9099999999999998E-2</v>
      </c>
      <c r="E120" s="165">
        <v>0</v>
      </c>
      <c r="F120" s="165">
        <v>0.25800000000000001</v>
      </c>
    </row>
    <row r="121" spans="1:6" ht="15.5">
      <c r="A121" s="31" t="s">
        <v>298</v>
      </c>
      <c r="B121" s="34" t="s">
        <v>566</v>
      </c>
      <c r="C121" s="153">
        <v>0</v>
      </c>
      <c r="D121" s="153">
        <f t="shared" si="3"/>
        <v>4.9099999999999998E-2</v>
      </c>
      <c r="E121" s="165">
        <v>0</v>
      </c>
      <c r="F121" s="165">
        <v>0.28000000000000003</v>
      </c>
    </row>
    <row r="122" spans="1:6" ht="15.5">
      <c r="A122" s="31" t="s">
        <v>355</v>
      </c>
      <c r="B122" s="34" t="s">
        <v>573</v>
      </c>
      <c r="C122" s="153">
        <v>6.9527972477064229E-2</v>
      </c>
      <c r="D122" s="153">
        <f t="shared" si="3"/>
        <v>0.14771256641630104</v>
      </c>
      <c r="E122" s="165">
        <v>9.8612566416301048E-2</v>
      </c>
      <c r="F122" s="165">
        <v>0.3</v>
      </c>
    </row>
    <row r="123" spans="1:6" ht="15.5">
      <c r="A123" s="31" t="s">
        <v>594</v>
      </c>
      <c r="B123" s="34" t="s">
        <v>573</v>
      </c>
      <c r="C123" s="153">
        <v>6.9527972477064229E-2</v>
      </c>
      <c r="D123" s="153">
        <f t="shared" si="3"/>
        <v>0.14771256641630104</v>
      </c>
      <c r="E123" s="165">
        <v>9.8612566416301048E-2</v>
      </c>
      <c r="F123" s="165">
        <v>0.2281</v>
      </c>
    </row>
    <row r="124" spans="1:6" ht="15.5">
      <c r="A124" s="31" t="s">
        <v>299</v>
      </c>
      <c r="B124" s="34" t="s">
        <v>571</v>
      </c>
      <c r="C124" s="153">
        <v>8.0214912188728699E-2</v>
      </c>
      <c r="D124" s="153">
        <f t="shared" si="3"/>
        <v>0.16287001333381565</v>
      </c>
      <c r="E124" s="165">
        <v>0.11377001333381566</v>
      </c>
      <c r="F124" s="165">
        <v>0.3</v>
      </c>
    </row>
    <row r="125" spans="1:6" ht="15.5">
      <c r="A125" s="293" t="s">
        <v>300</v>
      </c>
      <c r="B125" s="81" t="s">
        <v>566</v>
      </c>
      <c r="C125" s="294">
        <v>0</v>
      </c>
      <c r="D125" s="153">
        <f t="shared" si="3"/>
        <v>4.9099999999999998E-2</v>
      </c>
      <c r="E125" s="297">
        <v>0</v>
      </c>
      <c r="F125" s="185">
        <v>0.22</v>
      </c>
    </row>
    <row r="126" spans="1:6" ht="15.5">
      <c r="A126" s="31" t="s">
        <v>301</v>
      </c>
      <c r="B126" s="34" t="s">
        <v>568</v>
      </c>
      <c r="C126" s="153">
        <v>3.218654783748362E-2</v>
      </c>
      <c r="D126" s="153">
        <f t="shared" si="3"/>
        <v>9.4750663657455825E-2</v>
      </c>
      <c r="E126" s="165">
        <v>4.565066365745582E-2</v>
      </c>
      <c r="F126" s="165">
        <v>0.15</v>
      </c>
    </row>
    <row r="127" spans="1:6" ht="15.5">
      <c r="A127" s="31" t="s">
        <v>302</v>
      </c>
      <c r="B127" s="34" t="s">
        <v>629</v>
      </c>
      <c r="C127" s="153">
        <v>0.10699512581913501</v>
      </c>
      <c r="D127" s="153">
        <f t="shared" si="3"/>
        <v>0.20085279208005821</v>
      </c>
      <c r="E127" s="165">
        <v>0.15175279208005821</v>
      </c>
      <c r="F127" s="165">
        <v>0.28999999999999998</v>
      </c>
    </row>
    <row r="128" spans="1:6" ht="15.5">
      <c r="A128" s="31" t="s">
        <v>303</v>
      </c>
      <c r="B128" s="34" t="s">
        <v>563</v>
      </c>
      <c r="C128" s="153">
        <v>2.03680498034076E-2</v>
      </c>
      <c r="D128" s="153">
        <f t="shared" si="3"/>
        <v>7.7988310595733759E-2</v>
      </c>
      <c r="E128" s="165">
        <v>2.8888310595733758E-2</v>
      </c>
      <c r="F128" s="165">
        <v>0.25</v>
      </c>
    </row>
    <row r="129" spans="1:6" ht="15.5">
      <c r="A129" s="31" t="s">
        <v>304</v>
      </c>
      <c r="B129" s="34" t="s">
        <v>564</v>
      </c>
      <c r="C129" s="153">
        <v>5.8841032765399745E-2</v>
      </c>
      <c r="D129" s="153">
        <f t="shared" si="3"/>
        <v>0.13255511949878643</v>
      </c>
      <c r="E129" s="165">
        <v>8.3455119498786423E-2</v>
      </c>
      <c r="F129" s="165">
        <v>0.3</v>
      </c>
    </row>
    <row r="130" spans="1:6" ht="15.5">
      <c r="A130" s="31" t="s">
        <v>305</v>
      </c>
      <c r="B130" s="34" t="s">
        <v>581</v>
      </c>
      <c r="C130" s="153">
        <v>2.678021363040629E-2</v>
      </c>
      <c r="D130" s="153">
        <f t="shared" si="3"/>
        <v>8.708277874624254E-2</v>
      </c>
      <c r="E130" s="165">
        <v>3.7982778746242535E-2</v>
      </c>
      <c r="F130" s="165">
        <v>0.1</v>
      </c>
    </row>
    <row r="131" spans="1:6" ht="15.5">
      <c r="A131" s="31" t="s">
        <v>306</v>
      </c>
      <c r="B131" s="34" t="s">
        <v>565</v>
      </c>
      <c r="C131" s="153">
        <v>1.7099103538663171E-2</v>
      </c>
      <c r="D131" s="153">
        <f t="shared" si="3"/>
        <v>7.3351915068023396E-2</v>
      </c>
      <c r="E131" s="165">
        <v>2.4251915068023402E-2</v>
      </c>
      <c r="F131" s="165">
        <v>0.29499999999999998</v>
      </c>
    </row>
    <row r="132" spans="1:6" ht="15.5">
      <c r="A132" s="31" t="s">
        <v>307</v>
      </c>
      <c r="B132" s="34" t="s">
        <v>563</v>
      </c>
      <c r="C132" s="153">
        <v>2.03680498034076E-2</v>
      </c>
      <c r="D132" s="153">
        <f t="shared" si="3"/>
        <v>7.7988310595733759E-2</v>
      </c>
      <c r="E132" s="165">
        <v>2.8888310595733758E-2</v>
      </c>
      <c r="F132" s="165">
        <v>0.25</v>
      </c>
    </row>
    <row r="133" spans="1:6" ht="15.5">
      <c r="A133" s="31" t="s">
        <v>308</v>
      </c>
      <c r="B133" s="34" t="s">
        <v>575</v>
      </c>
      <c r="C133" s="153">
        <v>9.0524665792922673E-3</v>
      </c>
      <c r="D133" s="153">
        <f t="shared" ref="D133:D164" si="4">$B$1+E133</f>
        <v>6.1939249153659448E-2</v>
      </c>
      <c r="E133" s="165">
        <v>1.2839249153659449E-2</v>
      </c>
      <c r="F133" s="165">
        <v>0.19</v>
      </c>
    </row>
    <row r="134" spans="1:6" ht="15.5">
      <c r="A134" s="31" t="s">
        <v>309</v>
      </c>
      <c r="B134" s="34" t="s">
        <v>563</v>
      </c>
      <c r="C134" s="153">
        <v>2.03680498034076E-2</v>
      </c>
      <c r="D134" s="153">
        <f t="shared" si="4"/>
        <v>7.7988310595733759E-2</v>
      </c>
      <c r="E134" s="165">
        <v>2.8888310595733758E-2</v>
      </c>
      <c r="F134" s="165">
        <v>0.21</v>
      </c>
    </row>
    <row r="135" spans="1:6" ht="15.5">
      <c r="A135" s="31" t="s">
        <v>310</v>
      </c>
      <c r="B135" s="34" t="s">
        <v>572</v>
      </c>
      <c r="C135" s="153">
        <v>6.4121638269986885E-3</v>
      </c>
      <c r="D135" s="153">
        <f t="shared" si="4"/>
        <v>5.8194468150508771E-2</v>
      </c>
      <c r="E135" s="165">
        <v>9.0944681505087752E-3</v>
      </c>
      <c r="F135" s="165">
        <v>0.1</v>
      </c>
    </row>
    <row r="136" spans="1:6" ht="15.5">
      <c r="A136" s="31" t="s">
        <v>484</v>
      </c>
      <c r="B136" s="34" t="s">
        <v>579</v>
      </c>
      <c r="C136" s="153">
        <v>1.2824327653997377E-2</v>
      </c>
      <c r="D136" s="153">
        <f t="shared" si="4"/>
        <v>6.7288936301017552E-2</v>
      </c>
      <c r="E136" s="165">
        <v>1.818893630101755E-2</v>
      </c>
      <c r="F136" s="165">
        <v>0</v>
      </c>
    </row>
    <row r="137" spans="1:6" ht="15.5">
      <c r="A137" s="31" t="s">
        <v>311</v>
      </c>
      <c r="B137" s="34" t="s">
        <v>569</v>
      </c>
      <c r="C137" s="153">
        <v>2.3511267365661864E-2</v>
      </c>
      <c r="D137" s="153">
        <f t="shared" si="4"/>
        <v>8.2446383218532177E-2</v>
      </c>
      <c r="E137" s="165">
        <v>3.3346383218532186E-2</v>
      </c>
      <c r="F137" s="165">
        <v>0.16</v>
      </c>
    </row>
    <row r="138" spans="1:6" ht="15.5">
      <c r="A138" s="31" t="s">
        <v>312</v>
      </c>
      <c r="B138" s="34" t="s">
        <v>628</v>
      </c>
      <c r="C138" s="153">
        <v>0.12836900524246395</v>
      </c>
      <c r="D138" s="153">
        <f t="shared" si="4"/>
        <v>0.23116768591508743</v>
      </c>
      <c r="E138" s="165">
        <v>0.18206768591508743</v>
      </c>
      <c r="F138" s="165">
        <v>0.2</v>
      </c>
    </row>
    <row r="139" spans="1:6" ht="15.5">
      <c r="A139" s="31" t="s">
        <v>471</v>
      </c>
      <c r="B139" s="34" t="s">
        <v>564</v>
      </c>
      <c r="C139" s="153">
        <v>5.8841032765399745E-2</v>
      </c>
      <c r="D139" s="153">
        <f t="shared" si="4"/>
        <v>0.13255511949878643</v>
      </c>
      <c r="E139" s="165">
        <v>8.3455119498786423E-2</v>
      </c>
      <c r="F139" s="165">
        <v>0.3</v>
      </c>
    </row>
    <row r="140" spans="1:6" ht="15.5">
      <c r="A140" s="31" t="s">
        <v>313</v>
      </c>
      <c r="B140" s="34" t="s">
        <v>577</v>
      </c>
      <c r="C140" s="153">
        <v>7.543722149410223E-3</v>
      </c>
      <c r="D140" s="153">
        <f t="shared" si="4"/>
        <v>5.9799374294716205E-2</v>
      </c>
      <c r="E140" s="165">
        <v>1.0699374294716207E-2</v>
      </c>
      <c r="F140" s="165">
        <v>0.2</v>
      </c>
    </row>
    <row r="141" spans="1:6" ht="15.5">
      <c r="A141" s="31" t="s">
        <v>356</v>
      </c>
      <c r="B141" s="34" t="s">
        <v>570</v>
      </c>
      <c r="C141" s="153">
        <v>3.8472982961992135E-2</v>
      </c>
      <c r="D141" s="153">
        <f t="shared" si="4"/>
        <v>0.10366680890305266</v>
      </c>
      <c r="E141" s="165">
        <v>5.4566808903052655E-2</v>
      </c>
      <c r="F141" s="165">
        <v>0.3</v>
      </c>
    </row>
    <row r="142" spans="1:6" ht="15.5">
      <c r="A142" s="31" t="s">
        <v>314</v>
      </c>
      <c r="B142" s="34" t="s">
        <v>568</v>
      </c>
      <c r="C142" s="153">
        <v>3.218654783748362E-2</v>
      </c>
      <c r="D142" s="153">
        <f t="shared" si="4"/>
        <v>9.4750663657455825E-2</v>
      </c>
      <c r="E142" s="165">
        <v>4.565066365745582E-2</v>
      </c>
      <c r="F142" s="165">
        <v>0.15</v>
      </c>
    </row>
    <row r="143" spans="1:6" ht="15.5">
      <c r="A143" s="31" t="s">
        <v>485</v>
      </c>
      <c r="B143" s="34" t="s">
        <v>581</v>
      </c>
      <c r="C143" s="153">
        <v>2.678021363040629E-2</v>
      </c>
      <c r="D143" s="153">
        <f t="shared" si="4"/>
        <v>8.708277874624254E-2</v>
      </c>
      <c r="E143" s="165">
        <v>3.7982778746242535E-2</v>
      </c>
      <c r="F143" s="165">
        <v>0</v>
      </c>
    </row>
    <row r="144" spans="1:6" ht="15.5">
      <c r="A144" s="31" t="s">
        <v>595</v>
      </c>
      <c r="B144" s="34" t="s">
        <v>666</v>
      </c>
      <c r="C144" s="153">
        <v>0.12836900524246395</v>
      </c>
      <c r="D144" s="153">
        <f t="shared" si="4"/>
        <v>0.23116768591508743</v>
      </c>
      <c r="E144" s="165">
        <v>0.18206768591508743</v>
      </c>
      <c r="F144" s="165">
        <v>0.3</v>
      </c>
    </row>
    <row r="145" spans="1:6" ht="15.5">
      <c r="A145" s="31" t="s">
        <v>315</v>
      </c>
      <c r="B145" s="34" t="s">
        <v>566</v>
      </c>
      <c r="C145" s="153">
        <v>0</v>
      </c>
      <c r="D145" s="153">
        <f t="shared" si="4"/>
        <v>4.9099999999999998E-2</v>
      </c>
      <c r="E145" s="165">
        <v>0</v>
      </c>
      <c r="F145" s="165">
        <v>0.17</v>
      </c>
    </row>
    <row r="146" spans="1:6" ht="15.5">
      <c r="A146" s="31" t="s">
        <v>357</v>
      </c>
      <c r="B146" s="34" t="s">
        <v>575</v>
      </c>
      <c r="C146" s="153">
        <v>9.0524665792922673E-3</v>
      </c>
      <c r="D146" s="153">
        <f t="shared" si="4"/>
        <v>6.1939249153659448E-2</v>
      </c>
      <c r="E146" s="165">
        <v>1.2839249153659449E-2</v>
      </c>
      <c r="F146" s="165">
        <v>0.21</v>
      </c>
    </row>
    <row r="147" spans="1:6" ht="15.5">
      <c r="A147" s="31" t="s">
        <v>316</v>
      </c>
      <c r="B147" s="34" t="s">
        <v>579</v>
      </c>
      <c r="C147" s="153">
        <v>1.2824327653997377E-2</v>
      </c>
      <c r="D147" s="153">
        <f t="shared" si="4"/>
        <v>6.7288936301017552E-2</v>
      </c>
      <c r="E147" s="165">
        <v>1.818893630101755E-2</v>
      </c>
      <c r="F147" s="165">
        <v>0.19</v>
      </c>
    </row>
    <row r="148" spans="1:6" ht="15.5">
      <c r="A148" s="31" t="s">
        <v>596</v>
      </c>
      <c r="B148" s="34" t="s">
        <v>571</v>
      </c>
      <c r="C148" s="153">
        <v>8.0214912188728699E-2</v>
      </c>
      <c r="D148" s="153">
        <f t="shared" si="4"/>
        <v>0.16287001333381565</v>
      </c>
      <c r="E148" s="165">
        <v>0.11377001333381566</v>
      </c>
      <c r="F148" s="165">
        <v>0.3</v>
      </c>
    </row>
    <row r="149" spans="1:6" ht="15.5">
      <c r="A149" s="31" t="s">
        <v>597</v>
      </c>
      <c r="B149" s="34" t="s">
        <v>666</v>
      </c>
      <c r="C149" s="153">
        <v>0.12836900524246395</v>
      </c>
      <c r="D149" s="153">
        <f t="shared" si="4"/>
        <v>0.23116768591508743</v>
      </c>
      <c r="E149" s="165">
        <v>0.18206768591508743</v>
      </c>
      <c r="F149" s="165">
        <v>0.29149999999999998</v>
      </c>
    </row>
    <row r="150" spans="1:6" ht="15.5">
      <c r="A150" s="31" t="s">
        <v>317</v>
      </c>
      <c r="B150" s="34" t="s">
        <v>568</v>
      </c>
      <c r="C150" s="153">
        <v>3.218654783748362E-2</v>
      </c>
      <c r="D150" s="153">
        <f t="shared" si="4"/>
        <v>9.4750663657455825E-2</v>
      </c>
      <c r="E150" s="165">
        <v>4.565066365745582E-2</v>
      </c>
      <c r="F150" s="165">
        <v>0.27</v>
      </c>
    </row>
    <row r="151" spans="1:6" ht="15.5">
      <c r="A151" s="31" t="s">
        <v>318</v>
      </c>
      <c r="B151" s="34" t="s">
        <v>565</v>
      </c>
      <c r="C151" s="153">
        <v>1.7099103538663171E-2</v>
      </c>
      <c r="D151" s="153">
        <f t="shared" si="4"/>
        <v>7.3351915068023396E-2</v>
      </c>
      <c r="E151" s="165">
        <v>2.4251915068023402E-2</v>
      </c>
      <c r="F151" s="165">
        <v>0.25</v>
      </c>
    </row>
    <row r="152" spans="1:6" ht="15.5">
      <c r="A152" s="31" t="s">
        <v>319</v>
      </c>
      <c r="B152" s="34" t="s">
        <v>628</v>
      </c>
      <c r="C152" s="153">
        <v>0.12836900524246395</v>
      </c>
      <c r="D152" s="153">
        <f t="shared" si="4"/>
        <v>0.23116768591508743</v>
      </c>
      <c r="E152" s="165">
        <v>0.18206768591508743</v>
      </c>
      <c r="F152" s="165">
        <v>0.24</v>
      </c>
    </row>
    <row r="153" spans="1:6" ht="15.5">
      <c r="A153" s="293" t="s">
        <v>412</v>
      </c>
      <c r="B153" s="81" t="s">
        <v>568</v>
      </c>
      <c r="C153" s="294">
        <v>3.218654783748362E-2</v>
      </c>
      <c r="D153" s="153">
        <f t="shared" si="4"/>
        <v>9.4750663657455825E-2</v>
      </c>
      <c r="E153" s="297">
        <v>4.565066365745582E-2</v>
      </c>
      <c r="F153" s="185">
        <v>0.27179999999999999</v>
      </c>
    </row>
    <row r="154" spans="1:6" ht="15.5">
      <c r="A154" s="31" t="s">
        <v>358</v>
      </c>
      <c r="B154" s="34" t="s">
        <v>573</v>
      </c>
      <c r="C154" s="153">
        <v>6.9527972477064229E-2</v>
      </c>
      <c r="D154" s="153">
        <f t="shared" si="4"/>
        <v>0.14771256641630104</v>
      </c>
      <c r="E154" s="165">
        <v>9.8612566416301048E-2</v>
      </c>
      <c r="F154" s="165">
        <v>0.27179999999999999</v>
      </c>
    </row>
    <row r="155" spans="1:6" ht="15.5">
      <c r="A155" s="31" t="s">
        <v>598</v>
      </c>
      <c r="B155" s="34" t="s">
        <v>666</v>
      </c>
      <c r="C155" s="153">
        <v>0.17499999999999999</v>
      </c>
      <c r="D155" s="153">
        <f t="shared" si="4"/>
        <v>0.29730512533348297</v>
      </c>
      <c r="E155" s="165">
        <v>0.24820512533348299</v>
      </c>
      <c r="F155" s="165">
        <v>0.35</v>
      </c>
    </row>
    <row r="156" spans="1:6" ht="15.5">
      <c r="A156" s="293" t="s">
        <v>359</v>
      </c>
      <c r="B156" s="81" t="s">
        <v>629</v>
      </c>
      <c r="C156" s="294">
        <v>0.10699512581913501</v>
      </c>
      <c r="D156" s="153">
        <f t="shared" si="4"/>
        <v>0.20085279208005821</v>
      </c>
      <c r="E156" s="297">
        <v>0.15175279208005821</v>
      </c>
      <c r="F156" s="185">
        <v>0.36</v>
      </c>
    </row>
    <row r="157" spans="1:6" ht="15.5">
      <c r="A157" s="296" t="s">
        <v>599</v>
      </c>
      <c r="B157" s="81" t="s">
        <v>573</v>
      </c>
      <c r="C157" s="295">
        <v>6.9527972477064229E-2</v>
      </c>
      <c r="D157" s="153">
        <f t="shared" si="4"/>
        <v>0.14771256641630104</v>
      </c>
      <c r="E157" s="297">
        <v>9.8612566416301048E-2</v>
      </c>
      <c r="F157" s="185">
        <v>0.27500000000000002</v>
      </c>
    </row>
    <row r="158" spans="1:6" ht="15.5">
      <c r="A158" s="31" t="s">
        <v>320</v>
      </c>
      <c r="B158" s="34" t="s">
        <v>566</v>
      </c>
      <c r="C158" s="153">
        <v>0</v>
      </c>
      <c r="D158" s="153">
        <f t="shared" si="4"/>
        <v>4.9099999999999998E-2</v>
      </c>
      <c r="E158" s="165">
        <v>0</v>
      </c>
      <c r="F158" s="165">
        <v>0.20600000000000002</v>
      </c>
    </row>
    <row r="159" spans="1:6" ht="15.5">
      <c r="A159" s="31" t="s">
        <v>321</v>
      </c>
      <c r="B159" s="34" t="s">
        <v>566</v>
      </c>
      <c r="C159" s="153">
        <v>0</v>
      </c>
      <c r="D159" s="153">
        <f t="shared" si="4"/>
        <v>4.9099999999999998E-2</v>
      </c>
      <c r="E159" s="165">
        <v>0</v>
      </c>
      <c r="F159" s="165">
        <v>0.18</v>
      </c>
    </row>
    <row r="160" spans="1:6" ht="15.5">
      <c r="A160" s="293" t="s">
        <v>600</v>
      </c>
      <c r="B160" s="81" t="s">
        <v>666</v>
      </c>
      <c r="C160" s="294">
        <v>0.17499999999999999</v>
      </c>
      <c r="D160" s="153">
        <f t="shared" si="4"/>
        <v>0.29730512533348297</v>
      </c>
      <c r="E160" s="297">
        <v>0.24820512533348299</v>
      </c>
      <c r="F160" s="185">
        <v>0.28000000000000003</v>
      </c>
    </row>
    <row r="161" spans="1:6" ht="15.5">
      <c r="A161" s="31" t="s">
        <v>322</v>
      </c>
      <c r="B161" s="34" t="s">
        <v>572</v>
      </c>
      <c r="C161" s="153">
        <v>6.4121638269986885E-3</v>
      </c>
      <c r="D161" s="153">
        <f t="shared" si="4"/>
        <v>5.8194468150508771E-2</v>
      </c>
      <c r="E161" s="165">
        <v>9.0944681505087752E-3</v>
      </c>
      <c r="F161" s="165">
        <v>0.2</v>
      </c>
    </row>
    <row r="162" spans="1:6" ht="15.5">
      <c r="A162" s="296" t="s">
        <v>601</v>
      </c>
      <c r="B162" s="94" t="s">
        <v>573</v>
      </c>
      <c r="C162" s="295">
        <v>6.9527972477064229E-2</v>
      </c>
      <c r="D162" s="153">
        <f t="shared" si="4"/>
        <v>0.14771256641630104</v>
      </c>
      <c r="E162" s="181">
        <v>9.8612566416301048E-2</v>
      </c>
      <c r="F162" s="126">
        <v>0.18</v>
      </c>
    </row>
    <row r="163" spans="1:6" ht="15.5">
      <c r="A163" s="31" t="s">
        <v>602</v>
      </c>
      <c r="B163" s="35" t="s">
        <v>564</v>
      </c>
      <c r="C163" s="153">
        <v>5.8841032765399745E-2</v>
      </c>
      <c r="D163" s="153">
        <f t="shared" si="4"/>
        <v>0.13255511949878643</v>
      </c>
      <c r="E163" s="299">
        <v>8.3455119498786423E-2</v>
      </c>
      <c r="F163" s="154">
        <v>0.3</v>
      </c>
    </row>
    <row r="164" spans="1:6" ht="15.5">
      <c r="A164" s="31" t="s">
        <v>323</v>
      </c>
      <c r="B164" s="35" t="s">
        <v>565</v>
      </c>
      <c r="C164" s="153">
        <v>1.7099103538663171E-2</v>
      </c>
      <c r="D164" s="153">
        <f t="shared" si="4"/>
        <v>7.3351915068023396E-2</v>
      </c>
      <c r="E164" s="299">
        <v>2.4251915068023402E-2</v>
      </c>
      <c r="F164" s="154">
        <v>0.2</v>
      </c>
    </row>
    <row r="165" spans="1:6" ht="15.5">
      <c r="A165" s="31" t="s">
        <v>603</v>
      </c>
      <c r="B165" s="35" t="s">
        <v>573</v>
      </c>
      <c r="C165" s="153">
        <v>6.9527972477064229E-2</v>
      </c>
      <c r="D165" s="153">
        <f t="shared" ref="D165:D181" si="5">$B$1+E165</f>
        <v>0.14771256641630104</v>
      </c>
      <c r="E165" s="299">
        <v>9.8612566416301048E-2</v>
      </c>
      <c r="F165" s="154">
        <v>0.2281</v>
      </c>
    </row>
    <row r="166" spans="1:6" ht="15.5">
      <c r="A166" s="31" t="s">
        <v>608</v>
      </c>
      <c r="B166" s="35" t="s">
        <v>568</v>
      </c>
      <c r="C166" s="153">
        <v>3.218654783748362E-2</v>
      </c>
      <c r="D166" s="153">
        <f t="shared" si="5"/>
        <v>9.4750663657455825E-2</v>
      </c>
      <c r="E166" s="299">
        <v>4.565066365745582E-2</v>
      </c>
      <c r="F166" s="154">
        <v>0.3</v>
      </c>
    </row>
    <row r="167" spans="1:6" ht="15.5">
      <c r="A167" s="31" t="s">
        <v>324</v>
      </c>
      <c r="B167" s="35" t="s">
        <v>578</v>
      </c>
      <c r="C167" s="153">
        <v>9.6308186107470495E-2</v>
      </c>
      <c r="D167" s="153">
        <f t="shared" si="5"/>
        <v>0.18569534516254355</v>
      </c>
      <c r="E167" s="299">
        <v>0.13659534516254354</v>
      </c>
      <c r="F167" s="154">
        <v>0.15</v>
      </c>
    </row>
    <row r="168" spans="1:6" ht="15.5">
      <c r="A168" s="296" t="s">
        <v>325</v>
      </c>
      <c r="B168" s="94" t="s">
        <v>573</v>
      </c>
      <c r="C168" s="295">
        <v>6.9527972477064229E-2</v>
      </c>
      <c r="D168" s="153">
        <f t="shared" si="5"/>
        <v>0.14771256641630104</v>
      </c>
      <c r="E168" s="181">
        <v>9.8612566416301048E-2</v>
      </c>
      <c r="F168" s="126">
        <v>0.23</v>
      </c>
    </row>
    <row r="169" spans="1:6" ht="15.5">
      <c r="A169" s="31" t="s">
        <v>609</v>
      </c>
      <c r="B169" s="35" t="s">
        <v>565</v>
      </c>
      <c r="C169" s="153">
        <v>1.7099103538663171E-2</v>
      </c>
      <c r="D169" s="153">
        <f t="shared" si="5"/>
        <v>7.3351915068023396E-2</v>
      </c>
      <c r="E169" s="299">
        <v>2.4251915068023402E-2</v>
      </c>
      <c r="F169" s="154">
        <v>0</v>
      </c>
    </row>
    <row r="170" spans="1:6" ht="15.5">
      <c r="A170" s="31" t="s">
        <v>413</v>
      </c>
      <c r="B170" s="35" t="s">
        <v>564</v>
      </c>
      <c r="C170" s="153">
        <v>5.8841032765399745E-2</v>
      </c>
      <c r="D170" s="153">
        <f t="shared" si="5"/>
        <v>0.13255511949878643</v>
      </c>
      <c r="E170" s="299">
        <v>8.3455119498786423E-2</v>
      </c>
      <c r="F170" s="154">
        <v>0.3</v>
      </c>
    </row>
    <row r="171" spans="1:6" ht="15.5">
      <c r="A171" s="31" t="s">
        <v>326</v>
      </c>
      <c r="B171" s="35" t="s">
        <v>628</v>
      </c>
      <c r="C171" s="153">
        <v>0.12836900524246395</v>
      </c>
      <c r="D171" s="153">
        <f t="shared" si="5"/>
        <v>0.23116768591508743</v>
      </c>
      <c r="E171" s="299">
        <v>0.18206768591508743</v>
      </c>
      <c r="F171" s="154">
        <v>0.18</v>
      </c>
    </row>
    <row r="172" spans="1:6" ht="15.5">
      <c r="A172" s="31" t="s">
        <v>327</v>
      </c>
      <c r="B172" s="35" t="s">
        <v>560</v>
      </c>
      <c r="C172" s="153">
        <v>5.2806055045871558E-3</v>
      </c>
      <c r="D172" s="153">
        <f t="shared" si="5"/>
        <v>5.6589562006301344E-2</v>
      </c>
      <c r="E172" s="299">
        <v>7.4895620063013448E-3</v>
      </c>
      <c r="F172" s="154">
        <v>0</v>
      </c>
    </row>
    <row r="173" spans="1:6" ht="15.5">
      <c r="A173" s="31" t="s">
        <v>328</v>
      </c>
      <c r="B173" s="35" t="s">
        <v>572</v>
      </c>
      <c r="C173" s="153">
        <v>6.4121638269986885E-3</v>
      </c>
      <c r="D173" s="153">
        <f t="shared" si="5"/>
        <v>5.8194468150508771E-2</v>
      </c>
      <c r="E173" s="299">
        <v>9.0944681505087752E-3</v>
      </c>
      <c r="F173" s="154">
        <v>0.25</v>
      </c>
    </row>
    <row r="174" spans="1:6" ht="15.5">
      <c r="A174" s="31" t="s">
        <v>329</v>
      </c>
      <c r="B174" s="35" t="s">
        <v>566</v>
      </c>
      <c r="C174" s="153">
        <v>0</v>
      </c>
      <c r="D174" s="153">
        <f t="shared" si="5"/>
        <v>4.9099999999999998E-2</v>
      </c>
      <c r="E174" s="299">
        <v>0</v>
      </c>
      <c r="F174" s="154">
        <v>0.25</v>
      </c>
    </row>
    <row r="175" spans="1:6" ht="15.5">
      <c r="A175" s="31" t="s">
        <v>330</v>
      </c>
      <c r="B175" s="35" t="s">
        <v>563</v>
      </c>
      <c r="C175" s="153">
        <v>2.03680498034076E-2</v>
      </c>
      <c r="D175" s="153">
        <f t="shared" si="5"/>
        <v>7.7988310595733759E-2</v>
      </c>
      <c r="E175" s="299">
        <v>2.8888310595733758E-2</v>
      </c>
      <c r="F175" s="154">
        <v>0.25</v>
      </c>
    </row>
    <row r="176" spans="1:6" ht="15.5">
      <c r="A176" s="31" t="s">
        <v>655</v>
      </c>
      <c r="B176" s="35" t="s">
        <v>570</v>
      </c>
      <c r="C176" s="153">
        <v>3.8472982961992135E-2</v>
      </c>
      <c r="D176" s="153">
        <f t="shared" si="5"/>
        <v>0.10366680890305266</v>
      </c>
      <c r="E176" s="299">
        <v>5.4566808903052655E-2</v>
      </c>
      <c r="F176" s="154">
        <v>0.15</v>
      </c>
    </row>
    <row r="177" spans="1:6" ht="15.5">
      <c r="A177" s="31" t="s">
        <v>331</v>
      </c>
      <c r="B177" s="35" t="s">
        <v>610</v>
      </c>
      <c r="C177" s="153">
        <v>0.17499999999999999</v>
      </c>
      <c r="D177" s="153">
        <f t="shared" si="5"/>
        <v>0.29730512533348297</v>
      </c>
      <c r="E177" s="299">
        <v>0.24820512533348299</v>
      </c>
      <c r="F177" s="154">
        <v>0.34</v>
      </c>
    </row>
    <row r="178" spans="1:6" ht="15.5">
      <c r="A178" s="31" t="s">
        <v>332</v>
      </c>
      <c r="B178" s="35" t="s">
        <v>568</v>
      </c>
      <c r="C178" s="153">
        <v>3.218654783748362E-2</v>
      </c>
      <c r="D178" s="153">
        <f t="shared" si="5"/>
        <v>9.4750663657455825E-2</v>
      </c>
      <c r="E178" s="299">
        <v>4.565066365745582E-2</v>
      </c>
      <c r="F178" s="154">
        <v>0.2</v>
      </c>
    </row>
    <row r="179" spans="1:6" ht="15.5">
      <c r="A179" s="31" t="s">
        <v>656</v>
      </c>
      <c r="B179" s="35" t="s">
        <v>666</v>
      </c>
      <c r="C179" s="153">
        <v>0.10699512581913499</v>
      </c>
      <c r="D179" s="153">
        <f t="shared" si="5"/>
        <v>0.20085279208005821</v>
      </c>
      <c r="E179" s="299">
        <v>0.15175279208005821</v>
      </c>
      <c r="F179" s="154">
        <v>0.2</v>
      </c>
    </row>
    <row r="180" spans="1:6" ht="15.5">
      <c r="A180" s="31" t="s">
        <v>333</v>
      </c>
      <c r="B180" s="35" t="s">
        <v>628</v>
      </c>
      <c r="C180" s="153">
        <v>0.12836900524246395</v>
      </c>
      <c r="D180" s="153">
        <f t="shared" si="5"/>
        <v>0.23116768591508743</v>
      </c>
      <c r="E180" s="299">
        <v>0.18206768591508743</v>
      </c>
      <c r="F180" s="154">
        <v>0.35</v>
      </c>
    </row>
    <row r="181" spans="1:6" ht="15.5">
      <c r="A181" s="296" t="s">
        <v>604</v>
      </c>
      <c r="B181" s="94" t="s">
        <v>666</v>
      </c>
      <c r="C181" s="295">
        <v>8.0214912188728699E-2</v>
      </c>
      <c r="D181" s="153">
        <f t="shared" si="5"/>
        <v>0.16287001333381565</v>
      </c>
      <c r="E181" s="181">
        <v>0.11377001333381566</v>
      </c>
      <c r="F181" s="126">
        <v>0.25</v>
      </c>
    </row>
    <row r="184" spans="1:6" ht="12">
      <c r="A184" s="186" t="s">
        <v>337</v>
      </c>
      <c r="B184" s="187" t="s">
        <v>657</v>
      </c>
      <c r="C184" s="187" t="s">
        <v>667</v>
      </c>
      <c r="D184" s="187" t="s">
        <v>668</v>
      </c>
      <c r="E184" s="187" t="s">
        <v>669</v>
      </c>
    </row>
    <row r="185" spans="1:6">
      <c r="A185" s="1" t="s">
        <v>340</v>
      </c>
      <c r="B185" s="3">
        <f>$B$1+E185</f>
        <v>0.14169600557641204</v>
      </c>
      <c r="C185" s="3">
        <v>6.5285924108538701E-2</v>
      </c>
      <c r="D185" s="3">
        <v>0.27188835702589165</v>
      </c>
      <c r="E185" s="3">
        <v>9.2596005576412038E-2</v>
      </c>
    </row>
    <row r="186" spans="1:6">
      <c r="A186" s="1" t="s">
        <v>410</v>
      </c>
      <c r="B186" s="3">
        <f t="shared" ref="B186:B194" si="6">$B$1+E186</f>
        <v>6.6528836782221754E-2</v>
      </c>
      <c r="C186" s="3">
        <v>1.2288410373439434E-2</v>
      </c>
      <c r="D186" s="3">
        <v>0.24835817261296975</v>
      </c>
      <c r="E186" s="3">
        <v>1.7428836782221756E-2</v>
      </c>
    </row>
    <row r="187" spans="1:6">
      <c r="A187" s="1" t="s">
        <v>342</v>
      </c>
      <c r="B187" s="3">
        <f t="shared" si="6"/>
        <v>4.9161331313419571E-2</v>
      </c>
      <c r="C187" s="3">
        <v>4.3242377988789896E-5</v>
      </c>
      <c r="D187" s="3">
        <v>0.29741855060105882</v>
      </c>
      <c r="E187" s="3">
        <v>6.1331313419573958E-5</v>
      </c>
    </row>
    <row r="188" spans="1:6">
      <c r="A188" s="1" t="s">
        <v>344</v>
      </c>
      <c r="B188" s="3">
        <f t="shared" si="6"/>
        <v>0.19291053699644561</v>
      </c>
      <c r="C188" s="3">
        <v>0.10139534363186241</v>
      </c>
      <c r="D188" s="3">
        <v>0.26116523606334924</v>
      </c>
      <c r="E188" s="3">
        <v>0.14381053699644561</v>
      </c>
    </row>
    <row r="189" spans="1:6">
      <c r="A189" s="1" t="s">
        <v>341</v>
      </c>
      <c r="B189" s="3">
        <f t="shared" si="6"/>
        <v>0.10944370488072078</v>
      </c>
      <c r="C189" s="3">
        <v>4.254605274543688E-2</v>
      </c>
      <c r="D189" s="3">
        <v>0.31612482900295119</v>
      </c>
      <c r="E189" s="3">
        <v>6.0343704880720772E-2</v>
      </c>
    </row>
    <row r="190" spans="1:6">
      <c r="A190" s="1" t="s">
        <v>339</v>
      </c>
      <c r="B190" s="3">
        <f t="shared" si="6"/>
        <v>0.1525710614075026</v>
      </c>
      <c r="C190" s="3">
        <v>7.2953512631877368E-2</v>
      </c>
      <c r="D190" s="3">
        <v>0.18485705904916183</v>
      </c>
      <c r="E190" s="3">
        <v>0.1034710614075026</v>
      </c>
    </row>
    <row r="191" spans="1:6">
      <c r="A191" s="1" t="s">
        <v>345</v>
      </c>
      <c r="B191" s="3">
        <f t="shared" si="6"/>
        <v>7.1745484983581534E-2</v>
      </c>
      <c r="C191" s="3">
        <v>1.5966470743914829E-2</v>
      </c>
      <c r="D191" s="3">
        <v>0.14999459920241281</v>
      </c>
      <c r="E191" s="3">
        <v>2.264548498358154E-2</v>
      </c>
    </row>
    <row r="192" spans="1:6">
      <c r="A192" s="1" t="s">
        <v>347</v>
      </c>
      <c r="B192" s="3">
        <f t="shared" si="6"/>
        <v>4.9099999999999998E-2</v>
      </c>
      <c r="C192" s="3">
        <v>0</v>
      </c>
      <c r="D192" s="3">
        <v>0.25</v>
      </c>
      <c r="E192" s="3">
        <v>0</v>
      </c>
    </row>
    <row r="193" spans="1:5">
      <c r="A193" s="1" t="s">
        <v>338</v>
      </c>
      <c r="B193" s="3">
        <f t="shared" si="6"/>
        <v>6.2763665119567019E-2</v>
      </c>
      <c r="C193" s="3">
        <v>9.6337309421452993E-3</v>
      </c>
      <c r="D193" s="3">
        <v>0.24761930103766591</v>
      </c>
      <c r="E193" s="3">
        <v>1.3663665119567016E-2</v>
      </c>
    </row>
    <row r="194" spans="1:5">
      <c r="A194" s="1" t="s">
        <v>472</v>
      </c>
      <c r="B194" s="3">
        <f t="shared" si="6"/>
        <v>7.0369555627485675E-2</v>
      </c>
      <c r="C194" s="3">
        <v>1.499635525176591E-2</v>
      </c>
      <c r="D194" s="181">
        <v>0.24754364915633301</v>
      </c>
      <c r="E194" s="3">
        <v>2.1269555627485677E-2</v>
      </c>
    </row>
  </sheetData>
  <sortState xmlns:xlrd2="http://schemas.microsoft.com/office/spreadsheetml/2017/richdata2" ref="A5:F181">
    <sortCondition ref="A5:A181"/>
  </sortState>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5"/>
  <sheetViews>
    <sheetView workbookViewId="0">
      <pane xSplit="1" ySplit="1" topLeftCell="R13" activePane="bottomRight" state="frozen"/>
      <selection pane="topRight" activeCell="B1" sqref="B1"/>
      <selection pane="bottomLeft" activeCell="A2" sqref="A2"/>
      <selection pane="bottomRight" activeCell="A85" sqref="A85"/>
    </sheetView>
  </sheetViews>
  <sheetFormatPr defaultColWidth="11.5" defaultRowHeight="11.5"/>
  <cols>
    <col min="1" max="1" width="20.29687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 min="9" max="23" width="10.796875"/>
  </cols>
  <sheetData>
    <row r="1" spans="1:27" s="188" customFormat="1" ht="72">
      <c r="A1" s="155" t="s">
        <v>86</v>
      </c>
      <c r="B1" s="113" t="s">
        <v>158</v>
      </c>
      <c r="C1" s="156" t="s">
        <v>146</v>
      </c>
      <c r="D1" s="156" t="s">
        <v>611</v>
      </c>
      <c r="E1" s="156" t="s">
        <v>165</v>
      </c>
      <c r="F1" s="113" t="s">
        <v>147</v>
      </c>
      <c r="G1" s="113" t="s">
        <v>195</v>
      </c>
      <c r="H1" s="113" t="s">
        <v>148</v>
      </c>
      <c r="I1" s="113" t="s">
        <v>149</v>
      </c>
      <c r="J1" s="113" t="s">
        <v>150</v>
      </c>
      <c r="K1" s="113" t="s">
        <v>151</v>
      </c>
      <c r="L1" s="113" t="s">
        <v>152</v>
      </c>
      <c r="M1" s="113" t="s">
        <v>135</v>
      </c>
      <c r="N1" s="157" t="s">
        <v>89</v>
      </c>
      <c r="O1" s="113" t="s">
        <v>153</v>
      </c>
      <c r="P1" s="113" t="s">
        <v>154</v>
      </c>
      <c r="Q1" s="113" t="s">
        <v>155</v>
      </c>
      <c r="R1" s="113" t="s">
        <v>156</v>
      </c>
      <c r="S1" s="113" t="s">
        <v>157</v>
      </c>
      <c r="T1" s="113" t="s">
        <v>474</v>
      </c>
      <c r="U1" s="113" t="s">
        <v>475</v>
      </c>
      <c r="V1" s="113" t="s">
        <v>476</v>
      </c>
      <c r="W1" s="113" t="s">
        <v>477</v>
      </c>
      <c r="X1" s="155" t="s">
        <v>461</v>
      </c>
      <c r="Y1" s="155" t="s">
        <v>478</v>
      </c>
      <c r="Z1" s="155" t="s">
        <v>479</v>
      </c>
      <c r="AA1" s="113" t="s">
        <v>619</v>
      </c>
    </row>
    <row r="2" spans="1:27" ht="12.5">
      <c r="A2" s="158" t="s">
        <v>87</v>
      </c>
      <c r="B2" s="77">
        <v>58</v>
      </c>
      <c r="C2" s="159">
        <v>0.18166952380952381</v>
      </c>
      <c r="D2" s="159">
        <v>0.10617104930138777</v>
      </c>
      <c r="E2" s="159">
        <v>0.36620071377578411</v>
      </c>
      <c r="F2" s="159">
        <v>0.24712867867566909</v>
      </c>
      <c r="G2" s="160">
        <v>1.3458926691301203</v>
      </c>
      <c r="H2" s="160">
        <v>1.6317380595347237</v>
      </c>
      <c r="I2" s="159">
        <v>0.13572524073636261</v>
      </c>
      <c r="J2" s="159">
        <v>0.52722114455333013</v>
      </c>
      <c r="K2" s="159">
        <v>5.8800000000000005E-2</v>
      </c>
      <c r="L2" s="159">
        <v>0.31029224250137583</v>
      </c>
      <c r="M2" s="159">
        <v>0.10729463931854823</v>
      </c>
      <c r="N2" s="160">
        <v>3.5126083048469772</v>
      </c>
      <c r="O2" s="160">
        <v>1.9623441180972629</v>
      </c>
      <c r="P2" s="160">
        <v>10.360206985338735</v>
      </c>
      <c r="Q2" s="160">
        <v>17.033233750199781</v>
      </c>
      <c r="R2" s="160">
        <v>4.5860864384363973</v>
      </c>
      <c r="S2" s="160">
        <v>13.993381837579332</v>
      </c>
      <c r="T2" s="159">
        <v>3.141449120879309E-2</v>
      </c>
      <c r="U2" s="159">
        <v>3.5092407254195046E-2</v>
      </c>
      <c r="V2" s="159">
        <v>1.7750375959909692E-2</v>
      </c>
      <c r="W2" s="159">
        <v>0.55526669348402391</v>
      </c>
      <c r="X2" s="159">
        <v>0.13567415534535524</v>
      </c>
      <c r="Y2" s="159">
        <v>0.67633368355344103</v>
      </c>
      <c r="Z2" s="159">
        <v>0.67633368355344103</v>
      </c>
      <c r="AA2" s="161">
        <v>0.11135468081206297</v>
      </c>
    </row>
    <row r="3" spans="1:27" ht="12.5">
      <c r="A3" s="158" t="s">
        <v>670</v>
      </c>
      <c r="B3" s="77">
        <v>77</v>
      </c>
      <c r="C3" s="159">
        <v>3.9922558139534867E-2</v>
      </c>
      <c r="D3" s="159">
        <v>8.6354038327109944E-2</v>
      </c>
      <c r="E3" s="159">
        <v>0.15249479884885908</v>
      </c>
      <c r="F3" s="159">
        <v>0.16514709217792431</v>
      </c>
      <c r="G3" s="160">
        <v>1.2292962090923658</v>
      </c>
      <c r="H3" s="160">
        <v>1.4141822802591859</v>
      </c>
      <c r="I3" s="159">
        <v>0.12280242744739564</v>
      </c>
      <c r="J3" s="159">
        <v>0.3755554495377183</v>
      </c>
      <c r="K3" s="159">
        <v>5.5E-2</v>
      </c>
      <c r="L3" s="159">
        <v>0.20670883607151089</v>
      </c>
      <c r="M3" s="159">
        <v>0.10594482009093814</v>
      </c>
      <c r="N3" s="160">
        <v>1.8653814845726677</v>
      </c>
      <c r="O3" s="160">
        <v>2.5451075841894681</v>
      </c>
      <c r="P3" s="160">
        <v>14.590340622882026</v>
      </c>
      <c r="Q3" s="160">
        <v>23.976115141646229</v>
      </c>
      <c r="R3" s="160">
        <v>4.9344353649769275</v>
      </c>
      <c r="S3" s="160">
        <v>53.685999313498989</v>
      </c>
      <c r="T3" s="159">
        <v>0.46912992617043536</v>
      </c>
      <c r="U3" s="159">
        <v>2.9131497036001801E-2</v>
      </c>
      <c r="V3" s="159">
        <v>6.2769383959631062E-3</v>
      </c>
      <c r="W3" s="159">
        <v>0.32747182434374533</v>
      </c>
      <c r="X3" s="159">
        <v>9.8725880826047718E-2</v>
      </c>
      <c r="Y3" s="159">
        <v>0.70696836686859155</v>
      </c>
      <c r="Z3" s="159">
        <v>0.70696836686859155</v>
      </c>
      <c r="AA3" s="161">
        <v>8.9215313858418674E-2</v>
      </c>
    </row>
    <row r="4" spans="1:27" ht="12.5">
      <c r="A4" s="158" t="s">
        <v>671</v>
      </c>
      <c r="B4" s="77">
        <v>21</v>
      </c>
      <c r="C4" s="159">
        <v>2.2412499999999995E-2</v>
      </c>
      <c r="D4" s="159">
        <v>2.1124546744911411E-2</v>
      </c>
      <c r="E4" s="159">
        <v>3.075109258968068E-2</v>
      </c>
      <c r="F4" s="159">
        <v>0.35993056432962162</v>
      </c>
      <c r="G4" s="160">
        <v>0.69399800343932827</v>
      </c>
      <c r="H4" s="160">
        <v>1.4159650876966507</v>
      </c>
      <c r="I4" s="159">
        <v>0.12290832620918106</v>
      </c>
      <c r="J4" s="159">
        <v>0.37727498727802966</v>
      </c>
      <c r="K4" s="159">
        <v>5.5E-2</v>
      </c>
      <c r="L4" s="159">
        <v>0.65075795959710081</v>
      </c>
      <c r="M4" s="159">
        <v>6.9768520461179928E-2</v>
      </c>
      <c r="N4" s="160">
        <v>1.601522515617954</v>
      </c>
      <c r="O4" s="160">
        <v>1.0151710556389202</v>
      </c>
      <c r="P4" s="160">
        <v>9.3937280818568443</v>
      </c>
      <c r="Q4" s="160">
        <v>47.450143637072152</v>
      </c>
      <c r="R4" s="160">
        <v>2.7353414818155688</v>
      </c>
      <c r="S4" s="160">
        <v>71.793907476752722</v>
      </c>
      <c r="T4" s="159">
        <v>1.0475454736403853E-2</v>
      </c>
      <c r="U4" s="159">
        <v>9.1652642418683206E-2</v>
      </c>
      <c r="V4" s="159">
        <v>4.0286206800687077E-2</v>
      </c>
      <c r="W4" s="159">
        <v>2.0993404736810848</v>
      </c>
      <c r="X4" s="159">
        <v>-0.11368810625736339</v>
      </c>
      <c r="Y4" s="159">
        <v>0</v>
      </c>
      <c r="Z4" s="159">
        <v>0</v>
      </c>
      <c r="AA4" s="161">
        <v>2.1383591548608489E-2</v>
      </c>
    </row>
    <row r="5" spans="1:27" ht="12.5">
      <c r="A5" s="158" t="s">
        <v>672</v>
      </c>
      <c r="B5" s="77">
        <v>39</v>
      </c>
      <c r="C5" s="159">
        <v>5.8356956521739133E-2</v>
      </c>
      <c r="D5" s="159">
        <v>0.10161425283086532</v>
      </c>
      <c r="E5" s="159">
        <v>0.20566758390991585</v>
      </c>
      <c r="F5" s="159">
        <v>0.20508511458335257</v>
      </c>
      <c r="G5" s="160">
        <v>1.0163797426008965</v>
      </c>
      <c r="H5" s="160">
        <v>1.3246974025641622</v>
      </c>
      <c r="I5" s="159">
        <v>0.11748702571231125</v>
      </c>
      <c r="J5" s="159">
        <v>0.38508746928890447</v>
      </c>
      <c r="K5" s="159">
        <v>5.5E-2</v>
      </c>
      <c r="L5" s="159">
        <v>0.34024906959820889</v>
      </c>
      <c r="M5" s="159">
        <v>9.1547448644762622E-2</v>
      </c>
      <c r="N5" s="160">
        <v>2.1037931987291998</v>
      </c>
      <c r="O5" s="160">
        <v>1.1592906024030611</v>
      </c>
      <c r="P5" s="160">
        <v>7.0219998222904456</v>
      </c>
      <c r="Q5" s="160">
        <v>10.381787550219668</v>
      </c>
      <c r="R5" s="160">
        <v>2.4205588689707218</v>
      </c>
      <c r="S5" s="160">
        <v>13.804567941679538</v>
      </c>
      <c r="T5" s="159">
        <v>0.26207135646756324</v>
      </c>
      <c r="U5" s="159">
        <v>2.2325046445097148E-2</v>
      </c>
      <c r="V5" s="159">
        <v>1.5269741052495196E-2</v>
      </c>
      <c r="W5" s="159">
        <v>1.1025108153914758</v>
      </c>
      <c r="X5" s="159">
        <v>0.13522490180674987</v>
      </c>
      <c r="Y5" s="159">
        <v>0.54315896470238101</v>
      </c>
      <c r="Z5" s="159">
        <v>0.54315896470238101</v>
      </c>
      <c r="AA5" s="161">
        <v>0.11113035634210841</v>
      </c>
    </row>
    <row r="6" spans="1:27" ht="12.5">
      <c r="A6" s="158" t="s">
        <v>673</v>
      </c>
      <c r="B6" s="77">
        <v>31</v>
      </c>
      <c r="C6" s="159">
        <v>0.28059499999999998</v>
      </c>
      <c r="D6" s="159">
        <v>6.4325959106650246E-2</v>
      </c>
      <c r="E6" s="159">
        <v>6.4613470545131613E-2</v>
      </c>
      <c r="F6" s="159">
        <v>0.10579107985442861</v>
      </c>
      <c r="G6" s="160">
        <v>1.2255318343171395</v>
      </c>
      <c r="H6" s="160">
        <v>1.5405976750533805</v>
      </c>
      <c r="I6" s="159">
        <v>0.13031150189817081</v>
      </c>
      <c r="J6" s="159">
        <v>0.52614124875248369</v>
      </c>
      <c r="K6" s="159">
        <v>5.8800000000000005E-2</v>
      </c>
      <c r="L6" s="159">
        <v>0.33418107062895108</v>
      </c>
      <c r="M6" s="159">
        <v>0.10150124989331025</v>
      </c>
      <c r="N6" s="160">
        <v>0.94528664863581657</v>
      </c>
      <c r="O6" s="160">
        <v>1.8115110523190732</v>
      </c>
      <c r="P6" s="160">
        <v>12.745223056693563</v>
      </c>
      <c r="Q6" s="160">
        <v>27.015469059860539</v>
      </c>
      <c r="R6" s="160">
        <v>2.9173208877532226</v>
      </c>
      <c r="S6" s="160">
        <v>10.303473979252582</v>
      </c>
      <c r="T6" s="159">
        <v>-2.638232462945013E-3</v>
      </c>
      <c r="U6" s="159">
        <v>8.3226546873060775E-2</v>
      </c>
      <c r="V6" s="159">
        <v>4.6343953094668419E-2</v>
      </c>
      <c r="W6" s="159">
        <v>0.89083027454938746</v>
      </c>
      <c r="X6" s="159">
        <v>0.15677154224933043</v>
      </c>
      <c r="Y6" s="159">
        <v>0.10549811796720597</v>
      </c>
      <c r="Z6" s="159">
        <v>0.10549811796720598</v>
      </c>
      <c r="AA6" s="161">
        <v>7.02992355351022E-2</v>
      </c>
    </row>
    <row r="7" spans="1:27" ht="12.5">
      <c r="A7" s="158" t="s">
        <v>674</v>
      </c>
      <c r="B7" s="77">
        <v>37</v>
      </c>
      <c r="C7" s="159">
        <v>7.0743333333333325E-2</v>
      </c>
      <c r="D7" s="159">
        <v>5.0643543200864859E-2</v>
      </c>
      <c r="E7" s="159">
        <v>0.10259465039163591</v>
      </c>
      <c r="F7" s="159">
        <v>0.21559462219926051</v>
      </c>
      <c r="G7" s="160">
        <v>1.202436458457679</v>
      </c>
      <c r="H7" s="160">
        <v>1.4739918130238336</v>
      </c>
      <c r="I7" s="159">
        <v>0.12635511369361574</v>
      </c>
      <c r="J7" s="159">
        <v>0.39519394771296495</v>
      </c>
      <c r="K7" s="159">
        <v>5.5E-2</v>
      </c>
      <c r="L7" s="159">
        <v>0.29901008239034443</v>
      </c>
      <c r="M7" s="159">
        <v>0.10090782663624806</v>
      </c>
      <c r="N7" s="160">
        <v>1.9747050886050657</v>
      </c>
      <c r="O7" s="160">
        <v>0.82277242784956561</v>
      </c>
      <c r="P7" s="160">
        <v>7.1796271178219921</v>
      </c>
      <c r="Q7" s="160">
        <v>14.540547974540397</v>
      </c>
      <c r="R7" s="160">
        <v>1.8900634744418994</v>
      </c>
      <c r="S7" s="160">
        <v>31.628193367611757</v>
      </c>
      <c r="T7" s="159">
        <v>0.16055172230589412</v>
      </c>
      <c r="U7" s="159">
        <v>3.6131129477856731E-2</v>
      </c>
      <c r="V7" s="159">
        <v>3.6695997763959105E-2</v>
      </c>
      <c r="W7" s="159">
        <v>1.6270607086056388</v>
      </c>
      <c r="X7" s="159">
        <v>7.0338780156085273E-2</v>
      </c>
      <c r="Y7" s="159">
        <v>0.37139521238957468</v>
      </c>
      <c r="Z7" s="159">
        <v>0.37139521238957474</v>
      </c>
      <c r="AA7" s="161">
        <v>5.6777561885897401E-2</v>
      </c>
    </row>
    <row r="8" spans="1:27" ht="12.5">
      <c r="A8" s="158" t="s">
        <v>675</v>
      </c>
      <c r="B8" s="77">
        <v>7</v>
      </c>
      <c r="C8" s="159">
        <v>1.9400000000000001E-2</v>
      </c>
      <c r="D8" s="159">
        <v>0</v>
      </c>
      <c r="E8" s="159">
        <v>2.6445657070231255E-4</v>
      </c>
      <c r="F8" s="159">
        <v>0.17163347967737153</v>
      </c>
      <c r="G8" s="160">
        <v>0.73934143059161173</v>
      </c>
      <c r="H8" s="160">
        <v>1.0801015876287672</v>
      </c>
      <c r="I8" s="159">
        <v>0.10295803430514877</v>
      </c>
      <c r="J8" s="159">
        <v>0.19594323414619666</v>
      </c>
      <c r="K8" s="159">
        <v>4.7300000000000002E-2</v>
      </c>
      <c r="L8" s="159">
        <v>0.683929164378137</v>
      </c>
      <c r="M8" s="159">
        <v>5.6804419043127219E-2</v>
      </c>
      <c r="N8" s="160">
        <v>0.31756087167554575</v>
      </c>
      <c r="O8" s="160">
        <v>4.4949345620830741</v>
      </c>
      <c r="P8" s="160" t="s">
        <v>88</v>
      </c>
      <c r="Q8" s="160" t="s">
        <v>88</v>
      </c>
      <c r="R8" s="160">
        <v>0.98755539941078185</v>
      </c>
      <c r="S8" s="160">
        <v>9.5165439103276555</v>
      </c>
      <c r="T8" s="159" t="s">
        <v>88</v>
      </c>
      <c r="U8" s="159">
        <v>1.3070339707981026E-2</v>
      </c>
      <c r="V8" s="159">
        <v>1.3070339707981026E-2</v>
      </c>
      <c r="W8" s="159">
        <v>-128.48607336966558</v>
      </c>
      <c r="X8" s="159">
        <v>0.11345074325185552</v>
      </c>
      <c r="Y8" s="159">
        <v>0.2836234354829657</v>
      </c>
      <c r="Z8" s="159">
        <v>0.28362343548296565</v>
      </c>
      <c r="AA8" s="161">
        <v>9.9439502719975929E-4</v>
      </c>
    </row>
    <row r="9" spans="1:27" ht="12.5">
      <c r="A9" s="158" t="s">
        <v>676</v>
      </c>
      <c r="B9" s="77">
        <v>557</v>
      </c>
      <c r="C9" s="159">
        <v>0.11019711409395982</v>
      </c>
      <c r="D9" s="159">
        <v>2.6926335147713589E-8</v>
      </c>
      <c r="E9" s="159">
        <v>-3.6811631590712022E-4</v>
      </c>
      <c r="F9" s="159">
        <v>0.21054765923481941</v>
      </c>
      <c r="G9" s="160">
        <v>0.41298063839707061</v>
      </c>
      <c r="H9" s="160">
        <v>0.50487423475647786</v>
      </c>
      <c r="I9" s="159">
        <v>6.8789529544534794E-2</v>
      </c>
      <c r="J9" s="159">
        <v>0.16758082918349013</v>
      </c>
      <c r="K9" s="159">
        <v>4.7300000000000002E-2</v>
      </c>
      <c r="L9" s="159">
        <v>0.3925396989484301</v>
      </c>
      <c r="M9" s="159">
        <v>5.5712254146514525E-2</v>
      </c>
      <c r="N9" s="160">
        <v>0.46900063005241044</v>
      </c>
      <c r="O9" s="160">
        <v>4.3436213032827986</v>
      </c>
      <c r="P9" s="160" t="s">
        <v>88</v>
      </c>
      <c r="Q9" s="160" t="s">
        <v>88</v>
      </c>
      <c r="R9" s="160">
        <v>1.2366998102860649</v>
      </c>
      <c r="S9" s="160">
        <v>24.601279933873428</v>
      </c>
      <c r="T9" s="159" t="s">
        <v>88</v>
      </c>
      <c r="U9" s="159">
        <v>2.9363729443897247E-2</v>
      </c>
      <c r="V9" s="159">
        <v>-4.3451691210799066E-2</v>
      </c>
      <c r="W9" s="159" t="s">
        <v>88</v>
      </c>
      <c r="X9" s="159">
        <v>0.11799058812595946</v>
      </c>
      <c r="Y9" s="159">
        <v>0.29107212625014139</v>
      </c>
      <c r="Z9" s="159">
        <v>0.29107212625014145</v>
      </c>
      <c r="AA9" s="161">
        <v>-9.6707771559149567E-4</v>
      </c>
    </row>
    <row r="10" spans="1:27" ht="12.5">
      <c r="A10" s="158" t="s">
        <v>677</v>
      </c>
      <c r="B10" s="77">
        <v>23</v>
      </c>
      <c r="C10" s="159">
        <v>0.12543749999999998</v>
      </c>
      <c r="D10" s="159">
        <v>0.20062785390172486</v>
      </c>
      <c r="E10" s="159">
        <v>0.14657661188814805</v>
      </c>
      <c r="F10" s="159">
        <v>0.34926041014564846</v>
      </c>
      <c r="G10" s="160">
        <v>0.88078229176337852</v>
      </c>
      <c r="H10" s="160">
        <v>1.0129742331996445</v>
      </c>
      <c r="I10" s="159">
        <v>9.8970669452058888E-2</v>
      </c>
      <c r="J10" s="159">
        <v>0.49874676442989341</v>
      </c>
      <c r="K10" s="159">
        <v>5.5E-2</v>
      </c>
      <c r="L10" s="159">
        <v>0.18639448485009497</v>
      </c>
      <c r="M10" s="159">
        <v>8.8211855004339756E-2</v>
      </c>
      <c r="N10" s="160">
        <v>0.80200007324657852</v>
      </c>
      <c r="O10" s="160">
        <v>4.0713428168470944</v>
      </c>
      <c r="P10" s="160">
        <v>15.905118508516384</v>
      </c>
      <c r="Q10" s="160">
        <v>20.151879327037321</v>
      </c>
      <c r="R10" s="160">
        <v>3.1924325323981106</v>
      </c>
      <c r="S10" s="160">
        <v>111.50158955717302</v>
      </c>
      <c r="T10" s="159">
        <v>0.15335977242937937</v>
      </c>
      <c r="U10" s="159">
        <v>7.8763550156130638E-2</v>
      </c>
      <c r="V10" s="159">
        <v>5.6799689637347855E-2</v>
      </c>
      <c r="W10" s="159">
        <v>0.5682188940381574</v>
      </c>
      <c r="X10" s="159">
        <v>5.2846235851230244E-2</v>
      </c>
      <c r="Y10" s="159">
        <v>0.79003164852109986</v>
      </c>
      <c r="Z10" s="159">
        <v>0.79003164852109986</v>
      </c>
      <c r="AA10" s="161">
        <v>0.20171280627414753</v>
      </c>
    </row>
    <row r="11" spans="1:27" ht="12.5">
      <c r="A11" s="158" t="s">
        <v>678</v>
      </c>
      <c r="B11" s="77">
        <v>31</v>
      </c>
      <c r="C11" s="159">
        <v>0.15048545454545456</v>
      </c>
      <c r="D11" s="159">
        <v>0.19036999167153545</v>
      </c>
      <c r="E11" s="159">
        <v>0.28719366734568558</v>
      </c>
      <c r="F11" s="159">
        <v>0.18187508793156812</v>
      </c>
      <c r="G11" s="160">
        <v>1.2014134916712005</v>
      </c>
      <c r="H11" s="160">
        <v>1.3034433070435496</v>
      </c>
      <c r="I11" s="159">
        <v>0.11622453243838685</v>
      </c>
      <c r="J11" s="159">
        <v>0.41717146856964005</v>
      </c>
      <c r="K11" s="159">
        <v>5.5E-2</v>
      </c>
      <c r="L11" s="159">
        <v>0.13246439822297759</v>
      </c>
      <c r="M11" s="159">
        <v>0.10629307611688682</v>
      </c>
      <c r="N11" s="160">
        <v>1.6029900764895542</v>
      </c>
      <c r="O11" s="160">
        <v>4.6668573425784556</v>
      </c>
      <c r="P11" s="160">
        <v>20.008347527759813</v>
      </c>
      <c r="Q11" s="160">
        <v>24.137168786878842</v>
      </c>
      <c r="R11" s="160">
        <v>8.2272736766253658</v>
      </c>
      <c r="S11" s="160">
        <v>39.552594480627498</v>
      </c>
      <c r="T11" s="159">
        <v>-9.0576564930885367E-2</v>
      </c>
      <c r="U11" s="159">
        <v>4.6621319042533797E-2</v>
      </c>
      <c r="V11" s="159">
        <v>5.6771639556521265E-2</v>
      </c>
      <c r="W11" s="159">
        <v>0.29140445421199807</v>
      </c>
      <c r="X11" s="159">
        <v>0.31944669288621974</v>
      </c>
      <c r="Y11" s="159">
        <v>0.56516587527367568</v>
      </c>
      <c r="Z11" s="159">
        <v>0.56516587527367568</v>
      </c>
      <c r="AA11" s="161">
        <v>0.1914400730665588</v>
      </c>
    </row>
    <row r="12" spans="1:27" ht="12.5">
      <c r="A12" s="158" t="s">
        <v>679</v>
      </c>
      <c r="B12" s="77">
        <v>26</v>
      </c>
      <c r="C12" s="159">
        <v>0.19544111111111115</v>
      </c>
      <c r="D12" s="159">
        <v>0.14575123466837039</v>
      </c>
      <c r="E12" s="159">
        <v>0.13517156563045288</v>
      </c>
      <c r="F12" s="159">
        <v>0.21951773068864888</v>
      </c>
      <c r="G12" s="160">
        <v>0.70215995917133367</v>
      </c>
      <c r="H12" s="160">
        <v>1.3220586425472229</v>
      </c>
      <c r="I12" s="159">
        <v>0.11733028336730504</v>
      </c>
      <c r="J12" s="159">
        <v>0.468984145587513</v>
      </c>
      <c r="K12" s="159">
        <v>5.5E-2</v>
      </c>
      <c r="L12" s="159">
        <v>0.59486626883899241</v>
      </c>
      <c r="M12" s="159">
        <v>7.2072689068383045E-2</v>
      </c>
      <c r="N12" s="160">
        <v>1.0882185560425841</v>
      </c>
      <c r="O12" s="160">
        <v>1.327352847501104</v>
      </c>
      <c r="P12" s="160">
        <v>6.5519630524093646</v>
      </c>
      <c r="Q12" s="160">
        <v>8.9842493177172393</v>
      </c>
      <c r="R12" s="160">
        <v>0.88176524838881909</v>
      </c>
      <c r="S12" s="160">
        <v>6.9331886334439696</v>
      </c>
      <c r="T12" s="159">
        <v>0.10620894391959061</v>
      </c>
      <c r="U12" s="159">
        <v>2.4926670267360996E-2</v>
      </c>
      <c r="V12" s="159">
        <v>2.5468002540459899E-2</v>
      </c>
      <c r="W12" s="159">
        <v>2.1013859237709163</v>
      </c>
      <c r="X12" s="159">
        <v>0.20758583832448124</v>
      </c>
      <c r="Y12" s="159">
        <v>0.14361734100768372</v>
      </c>
      <c r="Z12" s="159">
        <v>0.14361734100768375</v>
      </c>
      <c r="AA12" s="161">
        <v>0.14746210696281761</v>
      </c>
    </row>
    <row r="13" spans="1:27" ht="12.5">
      <c r="A13" s="158" t="s">
        <v>680</v>
      </c>
      <c r="B13" s="77">
        <v>30</v>
      </c>
      <c r="C13" s="159">
        <v>0.14228750000000001</v>
      </c>
      <c r="D13" s="159">
        <v>4.0896492810984023E-3</v>
      </c>
      <c r="E13" s="159">
        <v>5.645094247926231E-4</v>
      </c>
      <c r="F13" s="159">
        <v>0.20823984488924394</v>
      </c>
      <c r="G13" s="160">
        <v>0.69375056275316571</v>
      </c>
      <c r="H13" s="160">
        <v>1.2048082896180194</v>
      </c>
      <c r="I13" s="159">
        <v>0.11036561240331036</v>
      </c>
      <c r="J13" s="159">
        <v>0.27996249256243011</v>
      </c>
      <c r="K13" s="159">
        <v>5.5E-2</v>
      </c>
      <c r="L13" s="159">
        <v>0.66787153511038466</v>
      </c>
      <c r="M13" s="159">
        <v>6.4205262247417128E-2</v>
      </c>
      <c r="N13" s="160">
        <v>0.26390729940029073</v>
      </c>
      <c r="O13" s="160">
        <v>4.4584614233683109</v>
      </c>
      <c r="P13" s="160" t="s">
        <v>88</v>
      </c>
      <c r="Q13" s="160" t="s">
        <v>88</v>
      </c>
      <c r="R13" s="160">
        <v>1.6222402453644245</v>
      </c>
      <c r="S13" s="160">
        <v>15.398825088840153</v>
      </c>
      <c r="T13" s="159" t="s">
        <v>88</v>
      </c>
      <c r="U13" s="159">
        <v>3.8056979857082368E-2</v>
      </c>
      <c r="V13" s="159">
        <v>2.5052525387016997E-2</v>
      </c>
      <c r="W13" s="159">
        <v>-106.71129131280301</v>
      </c>
      <c r="X13" s="159">
        <v>0.13433666755237328</v>
      </c>
      <c r="Y13" s="159">
        <v>0.2868814096660765</v>
      </c>
      <c r="Z13" s="159">
        <v>0.28688140966607656</v>
      </c>
      <c r="AA13" s="161">
        <v>2.6196985508719333E-3</v>
      </c>
    </row>
    <row r="14" spans="1:27" ht="12.5">
      <c r="A14" s="158" t="s">
        <v>681</v>
      </c>
      <c r="B14" s="77">
        <v>45</v>
      </c>
      <c r="C14" s="159">
        <v>0.10597500000000004</v>
      </c>
      <c r="D14" s="159">
        <v>0.13807573680826582</v>
      </c>
      <c r="E14" s="159">
        <v>0.34596203413304549</v>
      </c>
      <c r="F14" s="159">
        <v>0.22045577488665988</v>
      </c>
      <c r="G14" s="160">
        <v>1.0983592603350816</v>
      </c>
      <c r="H14" s="160">
        <v>1.277280094823728</v>
      </c>
      <c r="I14" s="159">
        <v>0.11467043763252945</v>
      </c>
      <c r="J14" s="159">
        <v>0.29189913847162119</v>
      </c>
      <c r="K14" s="159">
        <v>5.5E-2</v>
      </c>
      <c r="L14" s="159">
        <v>0.22436251520240177</v>
      </c>
      <c r="M14" s="159">
        <v>9.8197643578034066E-2</v>
      </c>
      <c r="N14" s="160">
        <v>2.9646568034688325</v>
      </c>
      <c r="O14" s="160">
        <v>1.3599831051822802</v>
      </c>
      <c r="P14" s="160">
        <v>7.8495447372704241</v>
      </c>
      <c r="Q14" s="160">
        <v>9.7338715959223006</v>
      </c>
      <c r="R14" s="160">
        <v>3.189256369070784</v>
      </c>
      <c r="S14" s="160">
        <v>15.731797108797148</v>
      </c>
      <c r="T14" s="159">
        <v>0.18212892955536489</v>
      </c>
      <c r="U14" s="159">
        <v>2.4582389713126325E-2</v>
      </c>
      <c r="V14" s="159">
        <v>4.6787426076227899E-2</v>
      </c>
      <c r="W14" s="159">
        <v>0.72991700253868219</v>
      </c>
      <c r="X14" s="159">
        <v>0.32728776839603557</v>
      </c>
      <c r="Y14" s="159">
        <v>0.12953963876691149</v>
      </c>
      <c r="Z14" s="159">
        <v>0.12953963876691144</v>
      </c>
      <c r="AA14" s="161">
        <v>0.13998849891511717</v>
      </c>
    </row>
    <row r="15" spans="1:27" ht="12.5">
      <c r="A15" s="158" t="s">
        <v>682</v>
      </c>
      <c r="B15" s="77">
        <v>164</v>
      </c>
      <c r="C15" s="159">
        <v>8.4642800000000004E-2</v>
      </c>
      <c r="D15" s="159">
        <v>9.0283859810487671E-2</v>
      </c>
      <c r="E15" s="159">
        <v>0.23990816674375973</v>
      </c>
      <c r="F15" s="159">
        <v>0.22537233164821857</v>
      </c>
      <c r="G15" s="160">
        <v>1.0198687734730703</v>
      </c>
      <c r="H15" s="160">
        <v>1.1709200204529924</v>
      </c>
      <c r="I15" s="159">
        <v>0.10835264921490775</v>
      </c>
      <c r="J15" s="159">
        <v>0.45782493709706812</v>
      </c>
      <c r="K15" s="159">
        <v>5.5E-2</v>
      </c>
      <c r="L15" s="159">
        <v>0.21552515508878373</v>
      </c>
      <c r="M15" s="159">
        <v>9.3890340335996511E-2</v>
      </c>
      <c r="N15" s="160">
        <v>2.8046731724829046</v>
      </c>
      <c r="O15" s="160">
        <v>2.0548295737776865</v>
      </c>
      <c r="P15" s="160">
        <v>13.178267269008741</v>
      </c>
      <c r="Q15" s="160">
        <v>21.791313120550598</v>
      </c>
      <c r="R15" s="160">
        <v>3.9002335521700227</v>
      </c>
      <c r="S15" s="160">
        <v>33.719939757949462</v>
      </c>
      <c r="T15" s="159">
        <v>0.13038697382193254</v>
      </c>
      <c r="U15" s="159">
        <v>2.8421300966096921E-2</v>
      </c>
      <c r="V15" s="159">
        <v>5.7187561277203862E-2</v>
      </c>
      <c r="W15" s="159">
        <v>1.0203838316554499</v>
      </c>
      <c r="X15" s="159">
        <v>0.12850428149482823</v>
      </c>
      <c r="Y15" s="159">
        <v>0.28225571869971045</v>
      </c>
      <c r="Z15" s="159">
        <v>0.28225571869971045</v>
      </c>
      <c r="AA15" s="161">
        <v>9.4231210499158974E-2</v>
      </c>
    </row>
    <row r="16" spans="1:27" ht="12.5">
      <c r="A16" s="158" t="s">
        <v>683</v>
      </c>
      <c r="B16" s="77">
        <v>10</v>
      </c>
      <c r="C16" s="159">
        <v>0.20048888888888888</v>
      </c>
      <c r="D16" s="159">
        <v>0.19895661889285571</v>
      </c>
      <c r="E16" s="159">
        <v>0.12126078877676111</v>
      </c>
      <c r="F16" s="159">
        <v>0.29816727963168077</v>
      </c>
      <c r="G16" s="160">
        <v>0.70592024428519573</v>
      </c>
      <c r="H16" s="160">
        <v>1.2551641961018303</v>
      </c>
      <c r="I16" s="159">
        <v>0.11335675324844872</v>
      </c>
      <c r="J16" s="159">
        <v>0.25406917505650006</v>
      </c>
      <c r="K16" s="159">
        <v>5.5E-2</v>
      </c>
      <c r="L16" s="159">
        <v>0.51752783876705177</v>
      </c>
      <c r="M16" s="159">
        <v>7.6039501079269961E-2</v>
      </c>
      <c r="N16" s="160">
        <v>0.79548722095114122</v>
      </c>
      <c r="O16" s="160">
        <v>2.4271351695921024</v>
      </c>
      <c r="P16" s="160">
        <v>7.388341366320442</v>
      </c>
      <c r="Q16" s="160">
        <v>12.434965607445452</v>
      </c>
      <c r="R16" s="160">
        <v>2.0421096097889047</v>
      </c>
      <c r="S16" s="160">
        <v>11.031811598705742</v>
      </c>
      <c r="T16" s="159">
        <v>5.9344318007066689E-3</v>
      </c>
      <c r="U16" s="159">
        <v>0.11049608575165179</v>
      </c>
      <c r="V16" s="159">
        <v>-4.8655848776094279E-3</v>
      </c>
      <c r="W16" s="159">
        <v>1.5184488206219843E-2</v>
      </c>
      <c r="X16" s="159">
        <v>0.12137565446376083</v>
      </c>
      <c r="Y16" s="159">
        <v>0.29050659083570779</v>
      </c>
      <c r="Z16" s="159">
        <v>0.29050659083570785</v>
      </c>
      <c r="AA16" s="161">
        <v>0.19527628887738516</v>
      </c>
    </row>
    <row r="17" spans="1:27" ht="12.5">
      <c r="A17" s="158" t="s">
        <v>632</v>
      </c>
      <c r="B17" s="77">
        <v>38</v>
      </c>
      <c r="C17" s="159">
        <v>0.2702</v>
      </c>
      <c r="D17" s="159">
        <v>0.13053391047408461</v>
      </c>
      <c r="E17" s="159">
        <v>0.25379383032265024</v>
      </c>
      <c r="F17" s="159">
        <v>0.20966607761406131</v>
      </c>
      <c r="G17" s="160">
        <v>0.95899003084657786</v>
      </c>
      <c r="H17" s="160">
        <v>1.2471014770997904</v>
      </c>
      <c r="I17" s="159">
        <v>0.11287782773972756</v>
      </c>
      <c r="J17" s="159">
        <v>0.46579004421759862</v>
      </c>
      <c r="K17" s="159">
        <v>5.5E-2</v>
      </c>
      <c r="L17" s="159">
        <v>0.32569374593561318</v>
      </c>
      <c r="M17" s="159">
        <v>8.9549092209944864E-2</v>
      </c>
      <c r="N17" s="160">
        <v>2.140539561734049</v>
      </c>
      <c r="O17" s="160">
        <v>0.88799068286034366</v>
      </c>
      <c r="P17" s="160">
        <v>4.9188627149294541</v>
      </c>
      <c r="Q17" s="160">
        <v>6.6585566466995108</v>
      </c>
      <c r="R17" s="160">
        <v>1.9406925746228572</v>
      </c>
      <c r="S17" s="160">
        <v>9.9507720825302446</v>
      </c>
      <c r="T17" s="159">
        <v>0.13501869928478144</v>
      </c>
      <c r="U17" s="159">
        <v>4.6946155965922734E-2</v>
      </c>
      <c r="V17" s="159">
        <v>5.2585156771289575E-2</v>
      </c>
      <c r="W17" s="159">
        <v>0.58551539662885521</v>
      </c>
      <c r="X17" s="159">
        <v>0.34777022369023014</v>
      </c>
      <c r="Y17" s="159">
        <v>0.27395285947542003</v>
      </c>
      <c r="Z17" s="159">
        <v>0.27395285947542003</v>
      </c>
      <c r="AA17" s="161">
        <v>0.13148514278842838</v>
      </c>
    </row>
    <row r="18" spans="1:27" ht="12.5">
      <c r="A18" s="158" t="s">
        <v>684</v>
      </c>
      <c r="B18" s="77">
        <v>4</v>
      </c>
      <c r="C18" s="159">
        <v>1.7524999999999995E-2</v>
      </c>
      <c r="D18" s="159">
        <v>0.13516371228768437</v>
      </c>
      <c r="E18" s="159">
        <v>0.20349837596065587</v>
      </c>
      <c r="F18" s="159">
        <v>0.17552757581131406</v>
      </c>
      <c r="G18" s="160">
        <v>1.0902565654988166</v>
      </c>
      <c r="H18" s="160">
        <v>1.4125912305600932</v>
      </c>
      <c r="I18" s="159">
        <v>0.12270791909526954</v>
      </c>
      <c r="J18" s="159">
        <v>0.39493176140036279</v>
      </c>
      <c r="K18" s="159">
        <v>5.5E-2</v>
      </c>
      <c r="L18" s="159">
        <v>0.36805699288839216</v>
      </c>
      <c r="M18" s="159">
        <v>9.2726762346118707E-2</v>
      </c>
      <c r="N18" s="160">
        <v>1.696073044152786</v>
      </c>
      <c r="O18" s="160">
        <v>0.91038112399398097</v>
      </c>
      <c r="P18" s="160">
        <v>5.0157178614705851</v>
      </c>
      <c r="Q18" s="160">
        <v>6.7070116425908575</v>
      </c>
      <c r="R18" s="160">
        <v>1.8892572990056375</v>
      </c>
      <c r="S18" s="160">
        <v>4.9136350366529671</v>
      </c>
      <c r="T18" s="159">
        <v>0.14468858429825437</v>
      </c>
      <c r="U18" s="159">
        <v>3.7962934913559079E-2</v>
      </c>
      <c r="V18" s="159">
        <v>4.0905351903938969E-4</v>
      </c>
      <c r="W18" s="159">
        <v>0.23180043531608446</v>
      </c>
      <c r="X18" s="159">
        <v>0.43436231081579907</v>
      </c>
      <c r="Y18" s="159">
        <v>0.14606681893025975</v>
      </c>
      <c r="Z18" s="159">
        <v>0.14606681893025975</v>
      </c>
      <c r="AA18" s="161">
        <v>0.13629282750850893</v>
      </c>
    </row>
    <row r="19" spans="1:27" ht="12.5">
      <c r="A19" s="158" t="s">
        <v>633</v>
      </c>
      <c r="B19" s="77">
        <v>76</v>
      </c>
      <c r="C19" s="159">
        <v>9.4822448979591842E-2</v>
      </c>
      <c r="D19" s="159">
        <v>0.14620994370453144</v>
      </c>
      <c r="E19" s="159">
        <v>0.17826252008578738</v>
      </c>
      <c r="F19" s="159">
        <v>0.21518437900478904</v>
      </c>
      <c r="G19" s="160">
        <v>1.1152530501630955</v>
      </c>
      <c r="H19" s="160">
        <v>1.2772947079305697</v>
      </c>
      <c r="I19" s="159">
        <v>0.11467130565107583</v>
      </c>
      <c r="J19" s="159">
        <v>0.42320469092143559</v>
      </c>
      <c r="K19" s="159">
        <v>5.5E-2</v>
      </c>
      <c r="L19" s="159">
        <v>0.21509733288408953</v>
      </c>
      <c r="M19" s="159">
        <v>9.8878578628661895E-2</v>
      </c>
      <c r="N19" s="160">
        <v>1.300382837279803</v>
      </c>
      <c r="O19" s="160">
        <v>2.4784833446872629</v>
      </c>
      <c r="P19" s="160">
        <v>10.530080416847145</v>
      </c>
      <c r="Q19" s="160">
        <v>16.533152933135522</v>
      </c>
      <c r="R19" s="160">
        <v>2.8296016487864555</v>
      </c>
      <c r="S19" s="160">
        <v>34.725527646029491</v>
      </c>
      <c r="T19" s="159">
        <v>0.22710714698009443</v>
      </c>
      <c r="U19" s="159">
        <v>5.9270188988379699E-2</v>
      </c>
      <c r="V19" s="159">
        <v>6.2155489180958312E-2</v>
      </c>
      <c r="W19" s="159">
        <v>0.9187162005119015</v>
      </c>
      <c r="X19" s="159">
        <v>0.11428570397103884</v>
      </c>
      <c r="Y19" s="159">
        <v>0.40462475653279661</v>
      </c>
      <c r="Z19" s="159">
        <v>0.40462475653279661</v>
      </c>
      <c r="AA19" s="161">
        <v>0.15299911402623009</v>
      </c>
    </row>
    <row r="20" spans="1:27" ht="12.5">
      <c r="A20" s="158" t="s">
        <v>685</v>
      </c>
      <c r="B20" s="77">
        <v>19</v>
      </c>
      <c r="C20" s="159">
        <v>-3.7148999999999988E-2</v>
      </c>
      <c r="D20" s="159">
        <v>0.22154519636476394</v>
      </c>
      <c r="E20" s="159">
        <v>0.417859281998402</v>
      </c>
      <c r="F20" s="159">
        <v>5.7877792248144003E-2</v>
      </c>
      <c r="G20" s="160">
        <v>1.4289145880963197</v>
      </c>
      <c r="H20" s="160">
        <v>1.4521788818808701</v>
      </c>
      <c r="I20" s="159">
        <v>0.12505942558372368</v>
      </c>
      <c r="J20" s="159">
        <v>0.61956739404999339</v>
      </c>
      <c r="K20" s="159">
        <v>5.8800000000000005E-2</v>
      </c>
      <c r="L20" s="159">
        <v>0.17836697027388981</v>
      </c>
      <c r="M20" s="159">
        <v>0.11061893812724044</v>
      </c>
      <c r="N20" s="160">
        <v>1.9144649709284169</v>
      </c>
      <c r="O20" s="160">
        <v>1.4317347621068663</v>
      </c>
      <c r="P20" s="160">
        <v>3.8137225981171055</v>
      </c>
      <c r="Q20" s="160">
        <v>5.3134978918000479</v>
      </c>
      <c r="R20" s="160">
        <v>2.45757981722153</v>
      </c>
      <c r="S20" s="160">
        <v>70.10021734645936</v>
      </c>
      <c r="T20" s="159">
        <v>7.193329766827207E-2</v>
      </c>
      <c r="U20" s="159">
        <v>6.654469909067097E-2</v>
      </c>
      <c r="V20" s="159">
        <v>1.340816712569722E-2</v>
      </c>
      <c r="W20" s="159">
        <v>0.16330024899958975</v>
      </c>
      <c r="X20" s="159">
        <v>0.74083903025233333</v>
      </c>
      <c r="Y20" s="159">
        <v>0.20433717791215913</v>
      </c>
      <c r="Z20" s="159">
        <v>0.20433717791215911</v>
      </c>
      <c r="AA20" s="161">
        <v>0.2233108579995417</v>
      </c>
    </row>
    <row r="21" spans="1:27" ht="12.5">
      <c r="A21" s="158" t="s">
        <v>486</v>
      </c>
      <c r="B21" s="77">
        <v>80</v>
      </c>
      <c r="C21" s="159">
        <v>0.10479307692307695</v>
      </c>
      <c r="D21" s="159">
        <v>6.5724841411889792E-2</v>
      </c>
      <c r="E21" s="159">
        <v>0.28393181700102466</v>
      </c>
      <c r="F21" s="159">
        <v>0.20902109276047354</v>
      </c>
      <c r="G21" s="160">
        <v>0.99322179503265406</v>
      </c>
      <c r="H21" s="160">
        <v>1.1713869322889647</v>
      </c>
      <c r="I21" s="159">
        <v>0.10838038377796451</v>
      </c>
      <c r="J21" s="159">
        <v>0.47775300169020696</v>
      </c>
      <c r="K21" s="159">
        <v>5.5E-2</v>
      </c>
      <c r="L21" s="159">
        <v>0.24564199162920453</v>
      </c>
      <c r="M21" s="159">
        <v>9.1890342607912456E-2</v>
      </c>
      <c r="N21" s="160">
        <v>4.362127057694285</v>
      </c>
      <c r="O21" s="160">
        <v>1.1705516509622818</v>
      </c>
      <c r="P21" s="160">
        <v>10.563161623441127</v>
      </c>
      <c r="Q21" s="160">
        <v>16.723392422877364</v>
      </c>
      <c r="R21" s="160">
        <v>4.0327297094633501</v>
      </c>
      <c r="S21" s="160">
        <v>16.826618008820372</v>
      </c>
      <c r="T21" s="159">
        <v>0.15591437376823686</v>
      </c>
      <c r="U21" s="159">
        <v>1.229709556092224E-2</v>
      </c>
      <c r="V21" s="159">
        <v>-2.2074387017581819E-3</v>
      </c>
      <c r="W21" s="159">
        <v>0.30657294945631369</v>
      </c>
      <c r="X21" s="159">
        <v>0.12149230128546304</v>
      </c>
      <c r="Y21" s="159">
        <v>0.93582785276917213</v>
      </c>
      <c r="Z21" s="159">
        <v>0.93582785276917213</v>
      </c>
      <c r="AA21" s="161">
        <v>6.9547703311741663E-2</v>
      </c>
    </row>
    <row r="22" spans="1:27" ht="12.5">
      <c r="A22" s="158" t="s">
        <v>686</v>
      </c>
      <c r="B22" s="77">
        <v>42</v>
      </c>
      <c r="C22" s="159">
        <v>0.16357148148148148</v>
      </c>
      <c r="D22" s="159">
        <v>0.21409567860908393</v>
      </c>
      <c r="E22" s="159">
        <v>0.42627570781813673</v>
      </c>
      <c r="F22" s="159">
        <v>0.16701412664987517</v>
      </c>
      <c r="G22" s="160">
        <v>1.2270423722130051</v>
      </c>
      <c r="H22" s="160">
        <v>1.2910863648381774</v>
      </c>
      <c r="I22" s="159">
        <v>0.11549053007138774</v>
      </c>
      <c r="J22" s="159">
        <v>0.48725444355956743</v>
      </c>
      <c r="K22" s="159">
        <v>5.5E-2</v>
      </c>
      <c r="L22" s="159">
        <v>8.6947263270185773E-2</v>
      </c>
      <c r="M22" s="159">
        <v>0.10903551915795263</v>
      </c>
      <c r="N22" s="160">
        <v>2.1239631951163802</v>
      </c>
      <c r="O22" s="160">
        <v>3.6675154478583059</v>
      </c>
      <c r="P22" s="160">
        <v>14.733525349856887</v>
      </c>
      <c r="Q22" s="160">
        <v>17.080897524012034</v>
      </c>
      <c r="R22" s="160">
        <v>25.561397089337795</v>
      </c>
      <c r="S22" s="160">
        <v>60.37198607537146</v>
      </c>
      <c r="T22" s="159">
        <v>-8.7617856695005242E-2</v>
      </c>
      <c r="U22" s="159">
        <v>3.0428476782541368E-2</v>
      </c>
      <c r="V22" s="159">
        <v>1.8160239754402271E-2</v>
      </c>
      <c r="W22" s="159">
        <v>6.2749973873893805E-2</v>
      </c>
      <c r="X22" s="159">
        <v>0.9626017835927464</v>
      </c>
      <c r="Y22" s="159">
        <v>0.16947356652480433</v>
      </c>
      <c r="Z22" s="159">
        <v>0.16947356652480439</v>
      </c>
      <c r="AA22" s="161">
        <v>0.22026534167026365</v>
      </c>
    </row>
    <row r="23" spans="1:27" ht="12.5">
      <c r="A23" s="158" t="s">
        <v>687</v>
      </c>
      <c r="B23" s="77">
        <v>49</v>
      </c>
      <c r="C23" s="159">
        <v>5.0167812500000013E-2</v>
      </c>
      <c r="D23" s="159">
        <v>0.1113211314713254</v>
      </c>
      <c r="E23" s="159">
        <v>0.1454747413376444</v>
      </c>
      <c r="F23" s="159">
        <v>0.21149094625947643</v>
      </c>
      <c r="G23" s="160">
        <v>1.0760610533922743</v>
      </c>
      <c r="H23" s="160">
        <v>1.2643960028602219</v>
      </c>
      <c r="I23" s="159">
        <v>0.11390512256989718</v>
      </c>
      <c r="J23" s="159">
        <v>0.35111645283882109</v>
      </c>
      <c r="K23" s="159">
        <v>5.5E-2</v>
      </c>
      <c r="L23" s="159">
        <v>0.23151570788836295</v>
      </c>
      <c r="M23" s="159">
        <v>9.7084320436411659E-2</v>
      </c>
      <c r="N23" s="160">
        <v>1.4171828125823143</v>
      </c>
      <c r="O23" s="160">
        <v>2.149130072951404</v>
      </c>
      <c r="P23" s="160">
        <v>12.934160671927692</v>
      </c>
      <c r="Q23" s="160">
        <v>18.749409005666379</v>
      </c>
      <c r="R23" s="160">
        <v>3.6559134287335295</v>
      </c>
      <c r="S23" s="160">
        <v>23.670176577905639</v>
      </c>
      <c r="T23" s="159">
        <v>0.20313324960220644</v>
      </c>
      <c r="U23" s="159">
        <v>5.3432457224285933E-2</v>
      </c>
      <c r="V23" s="159">
        <v>6.0397175441397173E-2</v>
      </c>
      <c r="W23" s="159">
        <v>1.1390269734410299</v>
      </c>
      <c r="X23" s="159">
        <v>0.18776605314361972</v>
      </c>
      <c r="Y23" s="159">
        <v>0.32155652013128733</v>
      </c>
      <c r="Z23" s="159">
        <v>0.32155652013128733</v>
      </c>
      <c r="AA23" s="161">
        <v>0.11439331049245301</v>
      </c>
    </row>
    <row r="24" spans="1:27" ht="12.5">
      <c r="A24" s="158" t="s">
        <v>688</v>
      </c>
      <c r="B24" s="77">
        <v>23</v>
      </c>
      <c r="C24" s="159">
        <v>7.6920000000000002E-2</v>
      </c>
      <c r="D24" s="159">
        <v>3.4418541141436297E-2</v>
      </c>
      <c r="E24" s="159">
        <v>2.8451413775521742E-2</v>
      </c>
      <c r="F24" s="159">
        <v>0.15969215649818055</v>
      </c>
      <c r="G24" s="160">
        <v>0.93949641382363391</v>
      </c>
      <c r="H24" s="160">
        <v>1.0382284747790869</v>
      </c>
      <c r="I24" s="159">
        <v>0.10047077140187777</v>
      </c>
      <c r="J24" s="159">
        <v>0.57844438730746484</v>
      </c>
      <c r="K24" s="159">
        <v>5.8800000000000005E-2</v>
      </c>
      <c r="L24" s="159">
        <v>0.17516637526737888</v>
      </c>
      <c r="M24" s="159">
        <v>9.0596507704384821E-2</v>
      </c>
      <c r="N24" s="160">
        <v>0.80913558522031659</v>
      </c>
      <c r="O24" s="160">
        <v>2.497073337847707</v>
      </c>
      <c r="P24" s="160">
        <v>30.955109543804362</v>
      </c>
      <c r="Q24" s="160">
        <v>69.441093859764692</v>
      </c>
      <c r="R24" s="160">
        <v>1.8458984878571658</v>
      </c>
      <c r="S24" s="160">
        <v>14.458344682654587</v>
      </c>
      <c r="T24" s="159">
        <v>7.6139744625110986E-2</v>
      </c>
      <c r="U24" s="159">
        <v>4.2501393888324822E-2</v>
      </c>
      <c r="V24" s="159">
        <v>2.7621900220592199E-2</v>
      </c>
      <c r="W24" s="159">
        <v>1.7018968838721764</v>
      </c>
      <c r="X24" s="159">
        <v>8.2496001271177635E-3</v>
      </c>
      <c r="Y24" s="159">
        <v>1.5067793894620867</v>
      </c>
      <c r="Z24" s="159">
        <v>1.5067793894620867</v>
      </c>
      <c r="AA24" s="161">
        <v>3.6232783350473828E-2</v>
      </c>
    </row>
    <row r="25" spans="1:27" ht="12.5">
      <c r="A25" s="158" t="s">
        <v>689</v>
      </c>
      <c r="B25" s="77">
        <v>598</v>
      </c>
      <c r="C25" s="159">
        <v>0.27230353658536566</v>
      </c>
      <c r="D25" s="159">
        <v>0.12018971566330637</v>
      </c>
      <c r="E25" s="159">
        <v>6.4930486901624035E-2</v>
      </c>
      <c r="F25" s="159">
        <v>0.14251232985737891</v>
      </c>
      <c r="G25" s="160">
        <v>1.1994489579084946</v>
      </c>
      <c r="H25" s="160">
        <v>1.2417422800706084</v>
      </c>
      <c r="I25" s="159">
        <v>0.11255949143619413</v>
      </c>
      <c r="J25" s="159">
        <v>0.58414093308210857</v>
      </c>
      <c r="K25" s="159">
        <v>5.8800000000000005E-2</v>
      </c>
      <c r="L25" s="159">
        <v>0.13285422647907655</v>
      </c>
      <c r="M25" s="159">
        <v>0.10346435865628759</v>
      </c>
      <c r="N25" s="160">
        <v>0.45885725937170108</v>
      </c>
      <c r="O25" s="160">
        <v>6.1848374689664327</v>
      </c>
      <c r="P25" s="160">
        <v>11.029260692823163</v>
      </c>
      <c r="Q25" s="160">
        <v>40.682421818847885</v>
      </c>
      <c r="R25" s="160">
        <v>5.8009721658494318</v>
      </c>
      <c r="S25" s="160">
        <v>113.80317420122032</v>
      </c>
      <c r="T25" s="159">
        <v>0.12996962084632474</v>
      </c>
      <c r="U25" s="159">
        <v>3.5583539077648038E-2</v>
      </c>
      <c r="V25" s="159">
        <v>-2.0551912434212563E-4</v>
      </c>
      <c r="W25" s="159">
        <v>0.40999126936273844</v>
      </c>
      <c r="X25" s="159">
        <v>6.7759078368331621E-3</v>
      </c>
      <c r="Y25" s="159">
        <v>5.6919254543125089E-4</v>
      </c>
      <c r="Z25" s="159">
        <v>5.6919254543119635E-4</v>
      </c>
      <c r="AA25" s="161">
        <v>0.142616457040632</v>
      </c>
    </row>
    <row r="26" spans="1:27" ht="12.5">
      <c r="A26" s="158" t="s">
        <v>690</v>
      </c>
      <c r="B26" s="77">
        <v>281</v>
      </c>
      <c r="C26" s="159">
        <v>0.42345633802816912</v>
      </c>
      <c r="D26" s="159">
        <v>0.27387480126192115</v>
      </c>
      <c r="E26" s="159">
        <v>0.19583591126440983</v>
      </c>
      <c r="F26" s="159">
        <v>0.12152173885442238</v>
      </c>
      <c r="G26" s="160">
        <v>1.1808060946282533</v>
      </c>
      <c r="H26" s="160">
        <v>1.2680061555196915</v>
      </c>
      <c r="I26" s="159">
        <v>0.11411956563786968</v>
      </c>
      <c r="J26" s="159">
        <v>0.64883553950451733</v>
      </c>
      <c r="K26" s="159">
        <v>5.8800000000000005E-2</v>
      </c>
      <c r="L26" s="159">
        <v>0.11983897594961615</v>
      </c>
      <c r="M26" s="159">
        <v>0.10572849259539045</v>
      </c>
      <c r="N26" s="160">
        <v>0.75386830062989918</v>
      </c>
      <c r="O26" s="160">
        <v>4.8507972602124285</v>
      </c>
      <c r="P26" s="160">
        <v>12.336746475080462</v>
      </c>
      <c r="Q26" s="160">
        <v>17.374965922425169</v>
      </c>
      <c r="R26" s="160">
        <v>5.2822318741793906</v>
      </c>
      <c r="S26" s="160">
        <v>17.765653282813773</v>
      </c>
      <c r="T26" s="159">
        <v>0.19448863395055158</v>
      </c>
      <c r="U26" s="159">
        <v>4.5444497459431313E-2</v>
      </c>
      <c r="V26" s="159">
        <v>2.7328938551878745E-2</v>
      </c>
      <c r="W26" s="159">
        <v>0.23314422056482276</v>
      </c>
      <c r="X26" s="159">
        <v>0.24540189875584534</v>
      </c>
      <c r="Y26" s="159">
        <v>0.51360080179486645</v>
      </c>
      <c r="Z26" s="159">
        <v>0.51360080179486645</v>
      </c>
      <c r="AA26" s="161">
        <v>0.26627225481310235</v>
      </c>
    </row>
    <row r="27" spans="1:27" ht="12.5">
      <c r="A27" s="158" t="s">
        <v>691</v>
      </c>
      <c r="B27" s="77">
        <v>33</v>
      </c>
      <c r="C27" s="159">
        <v>4.1291875000000006E-2</v>
      </c>
      <c r="D27" s="159">
        <v>5.2763116719378576E-2</v>
      </c>
      <c r="E27" s="159">
        <v>6.7741870602732721E-2</v>
      </c>
      <c r="F27" s="159">
        <v>0.28828758577666874</v>
      </c>
      <c r="G27" s="160">
        <v>0.99371608027377023</v>
      </c>
      <c r="H27" s="160">
        <v>1.1008288893194806</v>
      </c>
      <c r="I27" s="159">
        <v>0.10418923602557716</v>
      </c>
      <c r="J27" s="159">
        <v>0.41812601855058806</v>
      </c>
      <c r="K27" s="159">
        <v>5.5E-2</v>
      </c>
      <c r="L27" s="159">
        <v>0.23436430724796883</v>
      </c>
      <c r="M27" s="159">
        <v>8.943852557572636E-2</v>
      </c>
      <c r="N27" s="160">
        <v>1.2400892015686051</v>
      </c>
      <c r="O27" s="160">
        <v>1.8499312364405511</v>
      </c>
      <c r="P27" s="160">
        <v>9.650215665864085</v>
      </c>
      <c r="Q27" s="160">
        <v>30.359718234591035</v>
      </c>
      <c r="R27" s="160">
        <v>1.8138069812041899</v>
      </c>
      <c r="S27" s="160">
        <v>18.213402559297673</v>
      </c>
      <c r="T27" s="159">
        <v>7.9575056602342875E-2</v>
      </c>
      <c r="U27" s="159">
        <v>3.2093203022036013E-2</v>
      </c>
      <c r="V27" s="159">
        <v>9.2404200428598995E-2</v>
      </c>
      <c r="W27" s="159">
        <v>3.5636046330701983</v>
      </c>
      <c r="X27" s="159">
        <v>3.1900714568291952E-2</v>
      </c>
      <c r="Y27" s="159">
        <v>0.17439258095206728</v>
      </c>
      <c r="Z27" s="159">
        <v>0.17439258095206722</v>
      </c>
      <c r="AA27" s="161">
        <v>5.8289255738509536E-2</v>
      </c>
    </row>
    <row r="28" spans="1:27" ht="12.5">
      <c r="A28" s="158" t="s">
        <v>692</v>
      </c>
      <c r="B28" s="77">
        <v>110</v>
      </c>
      <c r="C28" s="159">
        <v>0.13897499999999999</v>
      </c>
      <c r="D28" s="159">
        <v>9.9667734703206542E-2</v>
      </c>
      <c r="E28" s="159">
        <v>0.1840328456371863</v>
      </c>
      <c r="F28" s="159">
        <v>0.20103829040431295</v>
      </c>
      <c r="G28" s="160">
        <v>1.4326548798323873</v>
      </c>
      <c r="H28" s="160">
        <v>1.5896686619511227</v>
      </c>
      <c r="I28" s="159">
        <v>0.13322631851989669</v>
      </c>
      <c r="J28" s="159">
        <v>0.58554859436634488</v>
      </c>
      <c r="K28" s="159">
        <v>5.8800000000000005E-2</v>
      </c>
      <c r="L28" s="159">
        <v>0.18379271640117503</v>
      </c>
      <c r="M28" s="159">
        <v>0.11684555033628852</v>
      </c>
      <c r="N28" s="160">
        <v>1.784175397261031</v>
      </c>
      <c r="O28" s="160">
        <v>2.7669115666624866</v>
      </c>
      <c r="P28" s="160">
        <v>12.687782652021538</v>
      </c>
      <c r="Q28" s="160">
        <v>22.717789944737529</v>
      </c>
      <c r="R28" s="160">
        <v>3.1311439640496568</v>
      </c>
      <c r="S28" s="160">
        <v>50.350247851678539</v>
      </c>
      <c r="T28" s="159">
        <v>0.25546598517273594</v>
      </c>
      <c r="U28" s="159">
        <v>5.2685242562635834E-2</v>
      </c>
      <c r="V28" s="159">
        <v>0.14996801054437855</v>
      </c>
      <c r="W28" s="159">
        <v>2.7928575511304214</v>
      </c>
      <c r="X28" s="159">
        <v>0.13203099340958588</v>
      </c>
      <c r="Y28" s="159">
        <v>0.34460454633292631</v>
      </c>
      <c r="Z28" s="159">
        <v>0.34460454633292636</v>
      </c>
      <c r="AA28" s="161">
        <v>0.10772663000105302</v>
      </c>
    </row>
    <row r="29" spans="1:27" ht="12.5">
      <c r="A29" s="158" t="s">
        <v>693</v>
      </c>
      <c r="B29" s="77">
        <v>16</v>
      </c>
      <c r="C29" s="159">
        <v>-4.7299999999999972E-3</v>
      </c>
      <c r="D29" s="159">
        <v>1.8532970035645514E-2</v>
      </c>
      <c r="E29" s="159">
        <v>5.4638914455599978E-2</v>
      </c>
      <c r="F29" s="159">
        <v>0.10064883323847465</v>
      </c>
      <c r="G29" s="160">
        <v>1.6130596990178139</v>
      </c>
      <c r="H29" s="160">
        <v>1.5389191240889379</v>
      </c>
      <c r="I29" s="159">
        <v>0.13021179597088292</v>
      </c>
      <c r="J29" s="159">
        <v>0.39564713245016608</v>
      </c>
      <c r="K29" s="159">
        <v>5.5E-2</v>
      </c>
      <c r="L29" s="159">
        <v>0.14129490331068803</v>
      </c>
      <c r="M29" s="159">
        <v>0.11764194761083187</v>
      </c>
      <c r="N29" s="160">
        <v>2.2252934810205893</v>
      </c>
      <c r="O29" s="160">
        <v>0.77629031014858285</v>
      </c>
      <c r="P29" s="160">
        <v>10.434016718178196</v>
      </c>
      <c r="Q29" s="160">
        <v>27.827755671946431</v>
      </c>
      <c r="R29" s="160">
        <v>1.8651208939219588</v>
      </c>
      <c r="S29" s="160">
        <v>78.606221340129167</v>
      </c>
      <c r="T29" s="159">
        <v>0.13681325152347834</v>
      </c>
      <c r="U29" s="159">
        <v>1.371020423662633E-2</v>
      </c>
      <c r="V29" s="159">
        <v>2.4097951690066212E-2</v>
      </c>
      <c r="W29" s="159">
        <v>4.4829804695730449</v>
      </c>
      <c r="X29" s="159">
        <v>1.2750302661478806E-2</v>
      </c>
      <c r="Y29" s="159">
        <v>0</v>
      </c>
      <c r="Z29" s="159">
        <v>0</v>
      </c>
      <c r="AA29" s="161">
        <v>2.5394437421319454E-2</v>
      </c>
    </row>
    <row r="30" spans="1:27" ht="12.5">
      <c r="A30" s="158" t="s">
        <v>634</v>
      </c>
      <c r="B30" s="77">
        <v>138</v>
      </c>
      <c r="C30" s="159">
        <v>0.106349294117647</v>
      </c>
      <c r="D30" s="159">
        <v>9.7360600820495899E-2</v>
      </c>
      <c r="E30" s="159">
        <v>0.17474664762348024</v>
      </c>
      <c r="F30" s="159">
        <v>0.18999442052432919</v>
      </c>
      <c r="G30" s="160">
        <v>1.1161632606240839</v>
      </c>
      <c r="H30" s="160">
        <v>1.2012527647557136</v>
      </c>
      <c r="I30" s="159">
        <v>0.11015441422648939</v>
      </c>
      <c r="J30" s="159">
        <v>0.449375866701406</v>
      </c>
      <c r="K30" s="159">
        <v>5.5E-2</v>
      </c>
      <c r="L30" s="159">
        <v>0.15835752834031197</v>
      </c>
      <c r="M30" s="159">
        <v>9.9242881497845506E-2</v>
      </c>
      <c r="N30" s="160">
        <v>1.8293533131914423</v>
      </c>
      <c r="O30" s="160">
        <v>1.9376194589256814</v>
      </c>
      <c r="P30" s="160">
        <v>11.91629375511652</v>
      </c>
      <c r="Q30" s="160">
        <v>19.249574240444776</v>
      </c>
      <c r="R30" s="160">
        <v>3.0614854022412756</v>
      </c>
      <c r="S30" s="160">
        <v>58.252171064461706</v>
      </c>
      <c r="T30" s="159">
        <v>0.22422007253520718</v>
      </c>
      <c r="U30" s="159">
        <v>4.5294833336637752E-2</v>
      </c>
      <c r="V30" s="159">
        <v>0.13580448309031176</v>
      </c>
      <c r="W30" s="159">
        <v>2.2341279690386662</v>
      </c>
      <c r="X30" s="159">
        <v>0.12417520019293474</v>
      </c>
      <c r="Y30" s="159">
        <v>0.10608878216021826</v>
      </c>
      <c r="Z30" s="159">
        <v>0.10608878216021822</v>
      </c>
      <c r="AA30" s="161">
        <v>0.10170714884999767</v>
      </c>
    </row>
    <row r="31" spans="1:27" ht="12.5">
      <c r="A31" s="158" t="s">
        <v>694</v>
      </c>
      <c r="B31" s="77">
        <v>43</v>
      </c>
      <c r="C31" s="159">
        <v>0.12138344827586202</v>
      </c>
      <c r="D31" s="159">
        <v>4.4222349087226172E-2</v>
      </c>
      <c r="E31" s="159">
        <v>0.13834621712937481</v>
      </c>
      <c r="F31" s="159">
        <v>0.22883380517568075</v>
      </c>
      <c r="G31" s="160">
        <v>1.0176246718468016</v>
      </c>
      <c r="H31" s="160">
        <v>1.1967640138319908</v>
      </c>
      <c r="I31" s="159">
        <v>0.10988778242162026</v>
      </c>
      <c r="J31" s="159">
        <v>0.35166848143953711</v>
      </c>
      <c r="K31" s="159">
        <v>5.5E-2</v>
      </c>
      <c r="L31" s="159">
        <v>0.24007634301961103</v>
      </c>
      <c r="M31" s="159">
        <v>9.3409474624861918E-2</v>
      </c>
      <c r="N31" s="160">
        <v>3.3988532052232561</v>
      </c>
      <c r="O31" s="160">
        <v>1.0830755880289851</v>
      </c>
      <c r="P31" s="160">
        <v>13.169580718377542</v>
      </c>
      <c r="Q31" s="160">
        <v>22.987280318509931</v>
      </c>
      <c r="R31" s="160">
        <v>2.8181860701948733</v>
      </c>
      <c r="S31" s="160">
        <v>29.062594674781394</v>
      </c>
      <c r="T31" s="159">
        <v>0.2001452260073408</v>
      </c>
      <c r="U31" s="159">
        <v>3.1165438708910063E-2</v>
      </c>
      <c r="V31" s="159">
        <v>7.9250168173978799E-2</v>
      </c>
      <c r="W31" s="159">
        <v>3.0078308821485669</v>
      </c>
      <c r="X31" s="159">
        <v>7.4957882083190208E-2</v>
      </c>
      <c r="Y31" s="159">
        <v>0.16885746296448992</v>
      </c>
      <c r="Z31" s="159">
        <v>0.16885746296448989</v>
      </c>
      <c r="AA31" s="161">
        <v>4.6937601486130173E-2</v>
      </c>
    </row>
    <row r="32" spans="1:27" ht="12.5">
      <c r="A32" s="158" t="s">
        <v>487</v>
      </c>
      <c r="B32" s="77">
        <v>110</v>
      </c>
      <c r="C32" s="159">
        <v>0.28593124999999997</v>
      </c>
      <c r="D32" s="159">
        <v>7.5124581884332159E-2</v>
      </c>
      <c r="E32" s="159">
        <v>0.11234825527684747</v>
      </c>
      <c r="F32" s="159">
        <v>0.21094506563113774</v>
      </c>
      <c r="G32" s="160">
        <v>1.2462224080092748</v>
      </c>
      <c r="H32" s="160">
        <v>1.4497950169593838</v>
      </c>
      <c r="I32" s="159">
        <v>0.12491782400738741</v>
      </c>
      <c r="J32" s="159">
        <v>0.578095571351251</v>
      </c>
      <c r="K32" s="159">
        <v>5.8800000000000005E-2</v>
      </c>
      <c r="L32" s="159">
        <v>0.24970269532215986</v>
      </c>
      <c r="M32" s="159">
        <v>0.10473739552267081</v>
      </c>
      <c r="N32" s="160">
        <v>1.4645754612679325</v>
      </c>
      <c r="O32" s="160">
        <v>3.0598123732084623</v>
      </c>
      <c r="P32" s="160">
        <v>17.462187520735604</v>
      </c>
      <c r="Q32" s="160">
        <v>39.959071499427878</v>
      </c>
      <c r="R32" s="160">
        <v>2.2249313608537848</v>
      </c>
      <c r="S32" s="160">
        <v>47.736718632185095</v>
      </c>
      <c r="T32" s="159">
        <v>4.1918182350946673E-2</v>
      </c>
      <c r="U32" s="159">
        <v>4.4160033252208485E-2</v>
      </c>
      <c r="V32" s="159">
        <v>-4.9793033469523688E-3</v>
      </c>
      <c r="W32" s="159">
        <v>4.0500248906133907E-2</v>
      </c>
      <c r="X32" s="159">
        <v>1.1812232323271436E-2</v>
      </c>
      <c r="Y32" s="159">
        <v>0.50420530039623501</v>
      </c>
      <c r="Z32" s="159">
        <v>0.50420530039623501</v>
      </c>
      <c r="AA32" s="161">
        <v>7.927768866245001E-2</v>
      </c>
    </row>
    <row r="33" spans="1:27" ht="12.5">
      <c r="A33" s="158" t="s">
        <v>695</v>
      </c>
      <c r="B33" s="77">
        <v>62</v>
      </c>
      <c r="C33" s="159">
        <v>0.10134039999999998</v>
      </c>
      <c r="D33" s="159">
        <v>0.12594448291110921</v>
      </c>
      <c r="E33" s="159">
        <v>0.28322287490094245</v>
      </c>
      <c r="F33" s="159">
        <v>0.22114200170438975</v>
      </c>
      <c r="G33" s="160">
        <v>0.85911095276292671</v>
      </c>
      <c r="H33" s="160">
        <v>1.0153454106826958</v>
      </c>
      <c r="I33" s="159">
        <v>9.9111517394552123E-2</v>
      </c>
      <c r="J33" s="159">
        <v>0.48087346767746236</v>
      </c>
      <c r="K33" s="159">
        <v>5.5E-2</v>
      </c>
      <c r="L33" s="159">
        <v>0.20341883913216277</v>
      </c>
      <c r="M33" s="159">
        <v>8.7341394695726882E-2</v>
      </c>
      <c r="N33" s="160">
        <v>2.3308722386849454</v>
      </c>
      <c r="O33" s="160">
        <v>3.0346407791089263</v>
      </c>
      <c r="P33" s="160">
        <v>14.022412125338205</v>
      </c>
      <c r="Q33" s="160">
        <v>23.388429760710196</v>
      </c>
      <c r="R33" s="160">
        <v>5.2920408951648428</v>
      </c>
      <c r="S33" s="160">
        <v>76.987307293928026</v>
      </c>
      <c r="T33" s="159">
        <v>0.10044659986151996</v>
      </c>
      <c r="U33" s="159">
        <v>7.9139727267509397E-2</v>
      </c>
      <c r="V33" s="159">
        <v>9.6284714664775034E-2</v>
      </c>
      <c r="W33" s="159">
        <v>1.1007779432771518</v>
      </c>
      <c r="X33" s="159">
        <v>0.16473874687290124</v>
      </c>
      <c r="Y33" s="159">
        <v>0.46259054584477655</v>
      </c>
      <c r="Z33" s="159">
        <v>0.46259054584477655</v>
      </c>
      <c r="AA33" s="161">
        <v>0.12847422740055831</v>
      </c>
    </row>
    <row r="34" spans="1:27" ht="12.5">
      <c r="A34" s="158" t="s">
        <v>696</v>
      </c>
      <c r="B34" s="77">
        <v>39</v>
      </c>
      <c r="C34" s="159">
        <v>0.17570944444444442</v>
      </c>
      <c r="D34" s="159">
        <v>7.6215907232046409E-2</v>
      </c>
      <c r="E34" s="159">
        <v>0.15172833554504575</v>
      </c>
      <c r="F34" s="159">
        <v>0.20033571011302001</v>
      </c>
      <c r="G34" s="160">
        <v>0.93104970680829247</v>
      </c>
      <c r="H34" s="160">
        <v>1.1403135761675725</v>
      </c>
      <c r="I34" s="159">
        <v>0.10653462642435381</v>
      </c>
      <c r="J34" s="159">
        <v>0.54426709586173694</v>
      </c>
      <c r="K34" s="159">
        <v>5.8800000000000005E-2</v>
      </c>
      <c r="L34" s="159">
        <v>0.25298812315410507</v>
      </c>
      <c r="M34" s="159">
        <v>9.0739407465428842E-2</v>
      </c>
      <c r="N34" s="160">
        <v>2.0517765686150211</v>
      </c>
      <c r="O34" s="160">
        <v>1.2248382413417702</v>
      </c>
      <c r="P34" s="160">
        <v>12.608931082460121</v>
      </c>
      <c r="Q34" s="160">
        <v>15.581328911598986</v>
      </c>
      <c r="R34" s="160">
        <v>3.4691348828249016</v>
      </c>
      <c r="S34" s="160">
        <v>22.12057113620223</v>
      </c>
      <c r="T34" s="159">
        <v>0.14828566056749271</v>
      </c>
      <c r="U34" s="159">
        <v>2.9070036355784076E-2</v>
      </c>
      <c r="V34" s="159">
        <v>3.3357535977751228E-2</v>
      </c>
      <c r="W34" s="159">
        <v>1.4678368468897955</v>
      </c>
      <c r="X34" s="159">
        <v>0.23648187908031001</v>
      </c>
      <c r="Y34" s="159">
        <v>0.21028238912969796</v>
      </c>
      <c r="Z34" s="159">
        <v>0.21028238912969799</v>
      </c>
      <c r="AA34" s="161">
        <v>7.9114554996450856E-2</v>
      </c>
    </row>
    <row r="35" spans="1:27" ht="12.5">
      <c r="A35" s="158" t="s">
        <v>697</v>
      </c>
      <c r="B35" s="77">
        <v>223</v>
      </c>
      <c r="C35" s="159">
        <v>0.1044040579710145</v>
      </c>
      <c r="D35" s="159">
        <v>0.1588822815855376</v>
      </c>
      <c r="E35" s="159">
        <v>6.5375652946372759E-3</v>
      </c>
      <c r="F35" s="159">
        <v>0.2088068946745798</v>
      </c>
      <c r="G35" s="160">
        <v>0.10617474510192053</v>
      </c>
      <c r="H35" s="160">
        <v>0.88572507363771524</v>
      </c>
      <c r="I35" s="159">
        <v>9.1412069374080279E-2</v>
      </c>
      <c r="J35" s="159">
        <v>0.27145306503706762</v>
      </c>
      <c r="K35" s="159">
        <v>5.5E-2</v>
      </c>
      <c r="L35" s="159">
        <v>0.90945279625195319</v>
      </c>
      <c r="M35" s="159">
        <v>4.5792035116038507E-2</v>
      </c>
      <c r="N35" s="160">
        <v>4.716792489213012E-2</v>
      </c>
      <c r="O35" s="160">
        <v>23.486787015859328</v>
      </c>
      <c r="P35" s="160">
        <v>91.880271507963911</v>
      </c>
      <c r="Q35" s="160">
        <v>90.630536583768119</v>
      </c>
      <c r="R35" s="160">
        <v>1.6875081521756248</v>
      </c>
      <c r="S35" s="160">
        <v>32.696300598543317</v>
      </c>
      <c r="T35" s="159" t="s">
        <v>88</v>
      </c>
      <c r="U35" s="159">
        <v>2.5335116701238395E-2</v>
      </c>
      <c r="V35" s="159">
        <v>3.6372628687447776E-2</v>
      </c>
      <c r="W35" s="159">
        <v>0.21848170755579219</v>
      </c>
      <c r="X35" s="159">
        <v>0.48075065014765694</v>
      </c>
      <c r="Y35" s="159">
        <v>0.13648733467216531</v>
      </c>
      <c r="Z35" s="159">
        <v>0.13648733467216534</v>
      </c>
      <c r="AA35" s="161">
        <v>0.16180683625994385</v>
      </c>
    </row>
    <row r="36" spans="1:27" ht="12.5">
      <c r="A36" s="158" t="s">
        <v>698</v>
      </c>
      <c r="B36" s="77">
        <v>92</v>
      </c>
      <c r="C36" s="159">
        <v>0.25210224489795913</v>
      </c>
      <c r="D36" s="159">
        <v>0.11768965472306084</v>
      </c>
      <c r="E36" s="159">
        <v>0.1859935447135467</v>
      </c>
      <c r="F36" s="159">
        <v>0.19895740390789407</v>
      </c>
      <c r="G36" s="160">
        <v>0.76867267564864794</v>
      </c>
      <c r="H36" s="160">
        <v>0.91752023311739583</v>
      </c>
      <c r="I36" s="159">
        <v>9.3300701847173317E-2</v>
      </c>
      <c r="J36" s="159">
        <v>0.34228783415433228</v>
      </c>
      <c r="K36" s="159">
        <v>5.5E-2</v>
      </c>
      <c r="L36" s="159">
        <v>0.22395116431995885</v>
      </c>
      <c r="M36" s="159">
        <v>8.1643886564827822E-2</v>
      </c>
      <c r="N36" s="160">
        <v>1.6859815207716935</v>
      </c>
      <c r="O36" s="160">
        <v>2.099541082262578</v>
      </c>
      <c r="P36" s="160">
        <v>13.24274225046033</v>
      </c>
      <c r="Q36" s="160">
        <v>17.401340165255593</v>
      </c>
      <c r="R36" s="160">
        <v>2.6065242636797277</v>
      </c>
      <c r="S36" s="160">
        <v>52.474448865364643</v>
      </c>
      <c r="T36" s="159">
        <v>6.7615070122169982E-2</v>
      </c>
      <c r="U36" s="159">
        <v>3.7021542355624312E-2</v>
      </c>
      <c r="V36" s="159">
        <v>3.7126517592543651E-2</v>
      </c>
      <c r="W36" s="159">
        <v>0.57543721311325657</v>
      </c>
      <c r="X36" s="159">
        <v>0.11538895815608002</v>
      </c>
      <c r="Y36" s="159">
        <v>0.53779059344768942</v>
      </c>
      <c r="Z36" s="159">
        <v>0.53779059344768942</v>
      </c>
      <c r="AA36" s="161">
        <v>0.11955369864953631</v>
      </c>
    </row>
    <row r="37" spans="1:27" ht="12.5">
      <c r="A37" s="158" t="s">
        <v>699</v>
      </c>
      <c r="B37" s="77">
        <v>14</v>
      </c>
      <c r="C37" s="159">
        <v>9.8360000000000003E-2</v>
      </c>
      <c r="D37" s="159">
        <v>2.102412449953486E-2</v>
      </c>
      <c r="E37" s="159">
        <v>0.15535644943181512</v>
      </c>
      <c r="F37" s="159">
        <v>0.22254279669167149</v>
      </c>
      <c r="G37" s="160">
        <v>0.84570471745037612</v>
      </c>
      <c r="H37" s="160">
        <v>1.1237058272854066</v>
      </c>
      <c r="I37" s="159">
        <v>0.10554812614075315</v>
      </c>
      <c r="J37" s="159">
        <v>0.32418308733551454</v>
      </c>
      <c r="K37" s="159">
        <v>5.5E-2</v>
      </c>
      <c r="L37" s="159">
        <v>0.31580170522329504</v>
      </c>
      <c r="M37" s="159">
        <v>8.5242668262840771E-2</v>
      </c>
      <c r="N37" s="160">
        <v>8.4116413256224369</v>
      </c>
      <c r="O37" s="160">
        <v>0.41461800975807755</v>
      </c>
      <c r="P37" s="160">
        <v>12.015914836847594</v>
      </c>
      <c r="Q37" s="160">
        <v>19.708268616623734</v>
      </c>
      <c r="R37" s="160">
        <v>4.536016224851112</v>
      </c>
      <c r="S37" s="160">
        <v>25.137922065338433</v>
      </c>
      <c r="T37" s="159">
        <v>6.3427895483225208E-2</v>
      </c>
      <c r="U37" s="159">
        <v>8.2950791892441953E-3</v>
      </c>
      <c r="V37" s="159">
        <v>9.0348742574372157E-3</v>
      </c>
      <c r="W37" s="159">
        <v>1.2945984195977063</v>
      </c>
      <c r="X37" s="159">
        <v>0.1898419988361979</v>
      </c>
      <c r="Y37" s="159">
        <v>0.43594516376534403</v>
      </c>
      <c r="Z37" s="159">
        <v>0.43594516376534398</v>
      </c>
      <c r="AA37" s="161">
        <v>2.0972795580930102E-2</v>
      </c>
    </row>
    <row r="38" spans="1:27" ht="12.5">
      <c r="A38" s="158" t="s">
        <v>700</v>
      </c>
      <c r="B38" s="77">
        <v>32</v>
      </c>
      <c r="C38" s="159">
        <v>0.14448380952380954</v>
      </c>
      <c r="D38" s="159">
        <v>7.6593631254869204E-2</v>
      </c>
      <c r="E38" s="159">
        <v>0.15236680821065973</v>
      </c>
      <c r="F38" s="159">
        <v>0.32782325118771566</v>
      </c>
      <c r="G38" s="160">
        <v>0.95191223222451615</v>
      </c>
      <c r="H38" s="160">
        <v>1.2708955631991046</v>
      </c>
      <c r="I38" s="159">
        <v>0.11429119645402681</v>
      </c>
      <c r="J38" s="159">
        <v>0.41911842205905825</v>
      </c>
      <c r="K38" s="159">
        <v>5.5E-2</v>
      </c>
      <c r="L38" s="159">
        <v>0.35871209353758288</v>
      </c>
      <c r="M38" s="159">
        <v>8.8090435959512978E-2</v>
      </c>
      <c r="N38" s="160">
        <v>2.1902364409373862</v>
      </c>
      <c r="O38" s="160">
        <v>0.87935524110573271</v>
      </c>
      <c r="P38" s="160">
        <v>6.2839190200646948</v>
      </c>
      <c r="Q38" s="160">
        <v>10.046127129844884</v>
      </c>
      <c r="R38" s="160">
        <v>1.822770795533889</v>
      </c>
      <c r="S38" s="160">
        <v>14.03013265423464</v>
      </c>
      <c r="T38" s="159">
        <v>0.15842212845958345</v>
      </c>
      <c r="U38" s="159">
        <v>3.8007682752639126E-2</v>
      </c>
      <c r="V38" s="159">
        <v>3.8004110989091261E-2</v>
      </c>
      <c r="W38" s="159">
        <v>1.5065223416694009</v>
      </c>
      <c r="X38" s="159">
        <v>5.4464565475778479E-2</v>
      </c>
      <c r="Y38" s="159">
        <v>0.68019701522110831</v>
      </c>
      <c r="Z38" s="159">
        <v>0.68019701522110831</v>
      </c>
      <c r="AA38" s="161">
        <v>7.956088078382309E-2</v>
      </c>
    </row>
    <row r="39" spans="1:27" ht="12.5">
      <c r="A39" s="158" t="s">
        <v>701</v>
      </c>
      <c r="B39" s="77">
        <v>19</v>
      </c>
      <c r="C39" s="159">
        <v>-0.14713666666666667</v>
      </c>
      <c r="D39" s="159">
        <v>0.260956619525612</v>
      </c>
      <c r="E39" s="159">
        <v>4.6816390058494056E-2</v>
      </c>
      <c r="F39" s="159">
        <v>0.1404424588963212</v>
      </c>
      <c r="G39" s="160">
        <v>0.87719231852421686</v>
      </c>
      <c r="H39" s="160">
        <v>1.60070111091836</v>
      </c>
      <c r="I39" s="159">
        <v>0.13388164598855057</v>
      </c>
      <c r="J39" s="159">
        <v>0.67598359199996327</v>
      </c>
      <c r="K39" s="159">
        <v>7.0099999999999996E-2</v>
      </c>
      <c r="L39" s="159">
        <v>0.54774951823179885</v>
      </c>
      <c r="M39" s="159">
        <v>8.9345969819278573E-2</v>
      </c>
      <c r="N39" s="160">
        <v>0.20539294157771462</v>
      </c>
      <c r="O39" s="160">
        <v>7.785269341085777</v>
      </c>
      <c r="P39" s="160">
        <v>12.701231489743156</v>
      </c>
      <c r="Q39" s="160">
        <v>31.282179206839263</v>
      </c>
      <c r="R39" s="160">
        <v>1.0789864566845957</v>
      </c>
      <c r="S39" s="160">
        <v>34.620574922445279</v>
      </c>
      <c r="T39" s="159">
        <v>-0.6111278234342038</v>
      </c>
      <c r="U39" s="159">
        <v>0.45957007087460411</v>
      </c>
      <c r="V39" s="159">
        <v>0.26912402409773456</v>
      </c>
      <c r="W39" s="159">
        <v>1.5839659027786925</v>
      </c>
      <c r="X39" s="159">
        <v>0.18266048315237854</v>
      </c>
      <c r="Y39" s="159">
        <v>0.56847664608279069</v>
      </c>
      <c r="Z39" s="159">
        <v>0.56847664608279069</v>
      </c>
      <c r="AA39" s="161">
        <v>0.24440548669537576</v>
      </c>
    </row>
    <row r="40" spans="1:27" ht="12.5">
      <c r="A40" s="158" t="s">
        <v>702</v>
      </c>
      <c r="B40" s="77">
        <v>254</v>
      </c>
      <c r="C40" s="159">
        <v>0.19900759398496237</v>
      </c>
      <c r="D40" s="159">
        <v>0.15015238491328653</v>
      </c>
      <c r="E40" s="159">
        <v>0.15878607397399988</v>
      </c>
      <c r="F40" s="159">
        <v>0.15498161973077781</v>
      </c>
      <c r="G40" s="160">
        <v>1.0971029719882097</v>
      </c>
      <c r="H40" s="160">
        <v>1.1623831948690986</v>
      </c>
      <c r="I40" s="159">
        <v>0.10784556177522446</v>
      </c>
      <c r="J40" s="159">
        <v>0.50940122537609955</v>
      </c>
      <c r="K40" s="159">
        <v>5.8800000000000005E-2</v>
      </c>
      <c r="L40" s="159">
        <v>0.11192266952101866</v>
      </c>
      <c r="M40" s="159">
        <v>0.10071098833122433</v>
      </c>
      <c r="N40" s="160">
        <v>1.0339137994093208</v>
      </c>
      <c r="O40" s="160">
        <v>5.1528482926352703</v>
      </c>
      <c r="P40" s="160">
        <v>19.089978627201564</v>
      </c>
      <c r="Q40" s="160">
        <v>32.02458868945606</v>
      </c>
      <c r="R40" s="160">
        <v>4.7012180470511611</v>
      </c>
      <c r="S40" s="160">
        <v>62.958973741822945</v>
      </c>
      <c r="T40" s="159">
        <v>0.2449164318011062</v>
      </c>
      <c r="U40" s="159">
        <v>4.8577665270095417E-2</v>
      </c>
      <c r="V40" s="159">
        <v>0.125937345585974</v>
      </c>
      <c r="W40" s="159">
        <v>1.2930672956492639</v>
      </c>
      <c r="X40" s="159">
        <v>7.091922967824961E-2</v>
      </c>
      <c r="Y40" s="159">
        <v>0.4613141074361804</v>
      </c>
      <c r="Z40" s="159">
        <v>0.4613141074361804</v>
      </c>
      <c r="AA40" s="161">
        <v>0.15917088171556376</v>
      </c>
    </row>
    <row r="41" spans="1:27" ht="12.5">
      <c r="A41" s="158" t="s">
        <v>703</v>
      </c>
      <c r="B41" s="77">
        <v>131</v>
      </c>
      <c r="C41" s="159">
        <v>0.20156749999999996</v>
      </c>
      <c r="D41" s="159">
        <v>4.0715257598896333E-2</v>
      </c>
      <c r="E41" s="159">
        <v>0.33786301082539277</v>
      </c>
      <c r="F41" s="159">
        <v>0.22031799938817112</v>
      </c>
      <c r="G41" s="160">
        <v>1.0725471879998554</v>
      </c>
      <c r="H41" s="160">
        <v>1.1603652760592904</v>
      </c>
      <c r="I41" s="159">
        <v>0.10772569739792186</v>
      </c>
      <c r="J41" s="159">
        <v>0.47792508451312243</v>
      </c>
      <c r="K41" s="159">
        <v>5.5E-2</v>
      </c>
      <c r="L41" s="159">
        <v>0.19097410804999704</v>
      </c>
      <c r="M41" s="159">
        <v>9.5030560380352236E-2</v>
      </c>
      <c r="N41" s="160">
        <v>9.0252769307357763</v>
      </c>
      <c r="O41" s="160">
        <v>0.6887289455148623</v>
      </c>
      <c r="P41" s="160">
        <v>12.160437523661249</v>
      </c>
      <c r="Q41" s="160">
        <v>16.776247571494821</v>
      </c>
      <c r="R41" s="160">
        <v>3.6006610530276073</v>
      </c>
      <c r="S41" s="160">
        <v>45.908014552106231</v>
      </c>
      <c r="T41" s="159">
        <v>-7.1402598028056971E-2</v>
      </c>
      <c r="U41" s="159">
        <v>7.3256589939606218E-3</v>
      </c>
      <c r="V41" s="159">
        <v>8.0213467891352766E-3</v>
      </c>
      <c r="W41" s="159">
        <v>0.30340227132321113</v>
      </c>
      <c r="X41" s="159">
        <v>0.12337379962692853</v>
      </c>
      <c r="Y41" s="159">
        <v>0.33042108015587673</v>
      </c>
      <c r="Z41" s="159">
        <v>0.33042108015587668</v>
      </c>
      <c r="AA41" s="161">
        <v>4.0133361243225418E-2</v>
      </c>
    </row>
    <row r="42" spans="1:27" ht="12.5">
      <c r="A42" s="158" t="s">
        <v>704</v>
      </c>
      <c r="B42" s="77">
        <v>138</v>
      </c>
      <c r="C42" s="159">
        <v>0.20452035087719289</v>
      </c>
      <c r="D42" s="159">
        <v>0.16931545144392471</v>
      </c>
      <c r="E42" s="159">
        <v>0.19103562594036017</v>
      </c>
      <c r="F42" s="159">
        <v>0.15820736589386364</v>
      </c>
      <c r="G42" s="160">
        <v>1.3707361878163189</v>
      </c>
      <c r="H42" s="160">
        <v>1.4715094541215377</v>
      </c>
      <c r="I42" s="159">
        <v>0.12620766157481933</v>
      </c>
      <c r="J42" s="159">
        <v>0.53871737622490645</v>
      </c>
      <c r="K42" s="159">
        <v>5.8800000000000005E-2</v>
      </c>
      <c r="L42" s="159">
        <v>0.12440570020083286</v>
      </c>
      <c r="M42" s="159">
        <v>0.11599300044475092</v>
      </c>
      <c r="N42" s="160">
        <v>1.1333037378180726</v>
      </c>
      <c r="O42" s="160">
        <v>5.3325294190233024</v>
      </c>
      <c r="P42" s="160">
        <v>19.362951181106027</v>
      </c>
      <c r="Q42" s="160">
        <v>30.48594494927957</v>
      </c>
      <c r="R42" s="160">
        <v>4.3261553331491758</v>
      </c>
      <c r="S42" s="160">
        <v>48.341137501288586</v>
      </c>
      <c r="T42" s="159">
        <v>0.22486925050519696</v>
      </c>
      <c r="U42" s="159">
        <v>4.9135934356261277E-2</v>
      </c>
      <c r="V42" s="159">
        <v>0.14769419579728138</v>
      </c>
      <c r="W42" s="159">
        <v>1.2967985907886859</v>
      </c>
      <c r="X42" s="159">
        <v>-2.8789813310332304E-3</v>
      </c>
      <c r="Y42" s="159">
        <v>4.3282833182668018E-4</v>
      </c>
      <c r="Z42" s="159">
        <v>4.3282833182667346E-4</v>
      </c>
      <c r="AA42" s="161">
        <v>0.17588409101918592</v>
      </c>
    </row>
    <row r="43" spans="1:27" ht="12.5">
      <c r="A43" s="158" t="s">
        <v>705</v>
      </c>
      <c r="B43" s="77">
        <v>32</v>
      </c>
      <c r="C43" s="159">
        <v>0.15822272727272732</v>
      </c>
      <c r="D43" s="159">
        <v>0.18763159239110155</v>
      </c>
      <c r="E43" s="159">
        <v>0.28173702467387046</v>
      </c>
      <c r="F43" s="159">
        <v>0.23124619223292053</v>
      </c>
      <c r="G43" s="160">
        <v>1.3331558308257836</v>
      </c>
      <c r="H43" s="160">
        <v>1.5022071383659328</v>
      </c>
      <c r="I43" s="159">
        <v>0.12803110401893641</v>
      </c>
      <c r="J43" s="159">
        <v>0.33330387129630179</v>
      </c>
      <c r="K43" s="159">
        <v>5.5E-2</v>
      </c>
      <c r="L43" s="159">
        <v>0.24434620786730529</v>
      </c>
      <c r="M43" s="159">
        <v>0.10682647033737112</v>
      </c>
      <c r="N43" s="160">
        <v>1.8239578402915135</v>
      </c>
      <c r="O43" s="160">
        <v>0.85286384314212538</v>
      </c>
      <c r="P43" s="160">
        <v>4.3890620152083137</v>
      </c>
      <c r="Q43" s="160">
        <v>4.5364031276398906</v>
      </c>
      <c r="R43" s="160">
        <v>1.2863359814095505</v>
      </c>
      <c r="S43" s="160">
        <v>5.0845371401835715</v>
      </c>
      <c r="T43" s="159">
        <v>0.63254621439333414</v>
      </c>
      <c r="U43" s="159">
        <v>5.0943446585196223E-3</v>
      </c>
      <c r="V43" s="159">
        <v>1.3602387991019798E-2</v>
      </c>
      <c r="W43" s="159">
        <v>0.69959467750769999</v>
      </c>
      <c r="X43" s="159">
        <v>0.30747510708973141</v>
      </c>
      <c r="Y43" s="159">
        <v>5.4486024996357962E-2</v>
      </c>
      <c r="Z43" s="159">
        <v>5.4486024996357907E-2</v>
      </c>
      <c r="AA43" s="161">
        <v>0.18794668320617053</v>
      </c>
    </row>
    <row r="44" spans="1:27" ht="12.5">
      <c r="A44" s="158" t="s">
        <v>706</v>
      </c>
      <c r="B44" s="77">
        <v>34</v>
      </c>
      <c r="C44" s="159">
        <v>1.5967368421052629E-2</v>
      </c>
      <c r="D44" s="159">
        <v>0.11615164232145252</v>
      </c>
      <c r="E44" s="159">
        <v>0.20452836690892628</v>
      </c>
      <c r="F44" s="159">
        <v>0.24113534072653886</v>
      </c>
      <c r="G44" s="160">
        <v>0.72307947581048349</v>
      </c>
      <c r="H44" s="160">
        <v>1.174001444953803</v>
      </c>
      <c r="I44" s="159">
        <v>0.1085356858302559</v>
      </c>
      <c r="J44" s="159">
        <v>0.5119442326502478</v>
      </c>
      <c r="K44" s="159">
        <v>5.8800000000000005E-2</v>
      </c>
      <c r="L44" s="159">
        <v>0.46591874206509154</v>
      </c>
      <c r="M44" s="159">
        <v>7.8513892144121633E-2</v>
      </c>
      <c r="N44" s="160">
        <v>1.9460469084153049</v>
      </c>
      <c r="O44" s="160">
        <v>1.5690399443104104</v>
      </c>
      <c r="P44" s="160">
        <v>8.7043988675181971</v>
      </c>
      <c r="Q44" s="160">
        <v>13.48218533002113</v>
      </c>
      <c r="R44" s="160">
        <v>5.3262709154662966</v>
      </c>
      <c r="S44" s="160">
        <v>105.59442613995225</v>
      </c>
      <c r="T44" s="159">
        <v>0.10445838743236993</v>
      </c>
      <c r="U44" s="159">
        <v>6.0329489055505968E-2</v>
      </c>
      <c r="V44" s="159">
        <v>3.632154631162509E-2</v>
      </c>
      <c r="W44" s="159">
        <v>0.63442286965049366</v>
      </c>
      <c r="X44" s="159">
        <v>0.49037665345444303</v>
      </c>
      <c r="Y44" s="159">
        <v>0.13557220326973293</v>
      </c>
      <c r="Z44" s="159">
        <v>0.13557220326973296</v>
      </c>
      <c r="AA44" s="161">
        <v>0.11620573950103597</v>
      </c>
    </row>
    <row r="45" spans="1:27" ht="12.5">
      <c r="A45" s="158" t="s">
        <v>707</v>
      </c>
      <c r="B45" s="77">
        <v>69</v>
      </c>
      <c r="C45" s="159">
        <v>7.5841891891891888E-2</v>
      </c>
      <c r="D45" s="159">
        <v>7.2491135569895698E-2</v>
      </c>
      <c r="E45" s="159">
        <v>2.338560835877878E-2</v>
      </c>
      <c r="F45" s="159">
        <v>0.23845423964291163</v>
      </c>
      <c r="G45" s="160">
        <v>1.0609649277632753</v>
      </c>
      <c r="H45" s="160">
        <v>1.4599765370156599</v>
      </c>
      <c r="I45" s="159">
        <v>0.12552260629873019</v>
      </c>
      <c r="J45" s="159">
        <v>0.38051359185436157</v>
      </c>
      <c r="K45" s="159">
        <v>5.5E-2</v>
      </c>
      <c r="L45" s="159">
        <v>0.39967778031636919</v>
      </c>
      <c r="M45" s="159">
        <v>9.1840718071778432E-2</v>
      </c>
      <c r="N45" s="160">
        <v>0.64787039431885951</v>
      </c>
      <c r="O45" s="160">
        <v>4.2049047271240401</v>
      </c>
      <c r="P45" s="160">
        <v>15.187616716813173</v>
      </c>
      <c r="Q45" s="160">
        <v>82.577163959326853</v>
      </c>
      <c r="R45" s="160">
        <v>6.7731300365371192</v>
      </c>
      <c r="S45" s="160">
        <v>17.546856842427747</v>
      </c>
      <c r="T45" s="159">
        <v>7.508768954208403E-2</v>
      </c>
      <c r="U45" s="159">
        <v>8.0785888262600178E-2</v>
      </c>
      <c r="V45" s="159">
        <v>4.5490902879932432E-2</v>
      </c>
      <c r="W45" s="159">
        <v>2.5582638357878977</v>
      </c>
      <c r="X45" s="159">
        <v>2.5319429359336565E-2</v>
      </c>
      <c r="Y45" s="159">
        <v>0.49425325285811983</v>
      </c>
      <c r="Z45" s="159">
        <v>0.49425325285811983</v>
      </c>
      <c r="AA45" s="161">
        <v>3.9542921090355107E-2</v>
      </c>
    </row>
    <row r="46" spans="1:27" ht="12.5">
      <c r="A46" s="158" t="s">
        <v>708</v>
      </c>
      <c r="B46" s="77">
        <v>127</v>
      </c>
      <c r="C46" s="159">
        <v>0.11551042553191491</v>
      </c>
      <c r="D46" s="159">
        <v>0.16990919421137413</v>
      </c>
      <c r="E46" s="159">
        <v>0.34916245427993664</v>
      </c>
      <c r="F46" s="159">
        <v>0.2015988668185506</v>
      </c>
      <c r="G46" s="160">
        <v>1.0578798468783357</v>
      </c>
      <c r="H46" s="160">
        <v>1.1550009836175177</v>
      </c>
      <c r="I46" s="159">
        <v>0.10740705842688056</v>
      </c>
      <c r="J46" s="159">
        <v>0.56827524943110697</v>
      </c>
      <c r="K46" s="159">
        <v>5.8800000000000005E-2</v>
      </c>
      <c r="L46" s="159">
        <v>0.13437882331900164</v>
      </c>
      <c r="M46" s="159">
        <v>9.889993040768906E-2</v>
      </c>
      <c r="N46" s="160">
        <v>2.1854467010901835</v>
      </c>
      <c r="O46" s="160">
        <v>3.6464203371631907</v>
      </c>
      <c r="P46" s="160">
        <v>16.847339181418562</v>
      </c>
      <c r="Q46" s="160">
        <v>21.18720479743272</v>
      </c>
      <c r="R46" s="160">
        <v>9.1673284053546542</v>
      </c>
      <c r="S46" s="160">
        <v>124.19393691012411</v>
      </c>
      <c r="T46" s="159">
        <v>8.557124926849248E-2</v>
      </c>
      <c r="U46" s="159">
        <v>3.7284036291301163E-2</v>
      </c>
      <c r="V46" s="159">
        <v>2.1526585003622836E-2</v>
      </c>
      <c r="W46" s="159">
        <v>0.30086972700331699</v>
      </c>
      <c r="X46" s="159">
        <v>0.33178970303031108</v>
      </c>
      <c r="Y46" s="159">
        <v>0.63694590638551551</v>
      </c>
      <c r="Z46" s="159">
        <v>0.63694590638551551</v>
      </c>
      <c r="AA46" s="161">
        <v>0.17128481786522984</v>
      </c>
    </row>
    <row r="47" spans="1:27" ht="12.5">
      <c r="A47" s="158" t="s">
        <v>709</v>
      </c>
      <c r="B47" s="77">
        <v>73</v>
      </c>
      <c r="C47" s="159">
        <v>0.11055135135135132</v>
      </c>
      <c r="D47" s="159">
        <v>0.24023393261357548</v>
      </c>
      <c r="E47" s="159">
        <v>0.32885779790753611</v>
      </c>
      <c r="F47" s="159">
        <v>0.19105010155621463</v>
      </c>
      <c r="G47" s="160">
        <v>1.3334436182933442</v>
      </c>
      <c r="H47" s="160">
        <v>1.4047128789332648</v>
      </c>
      <c r="I47" s="159">
        <v>0.12223994500863593</v>
      </c>
      <c r="J47" s="159">
        <v>0.4510937058049509</v>
      </c>
      <c r="K47" s="159">
        <v>5.5E-2</v>
      </c>
      <c r="L47" s="159">
        <v>0.11550414899232817</v>
      </c>
      <c r="M47" s="159">
        <v>0.11288527033347798</v>
      </c>
      <c r="N47" s="160">
        <v>1.5141875230145225</v>
      </c>
      <c r="O47" s="160">
        <v>6.2565620034079643</v>
      </c>
      <c r="P47" s="160">
        <v>18.382536710012751</v>
      </c>
      <c r="Q47" s="160">
        <v>24.564148067341321</v>
      </c>
      <c r="R47" s="160">
        <v>5.9729645320866211</v>
      </c>
      <c r="S47" s="160">
        <v>60.496023071559009</v>
      </c>
      <c r="T47" s="159">
        <v>3.0657700926152779E-2</v>
      </c>
      <c r="U47" s="159">
        <v>2.9758877206398943E-2</v>
      </c>
      <c r="V47" s="159">
        <v>2.5448641162149385E-2</v>
      </c>
      <c r="W47" s="159">
        <v>0.21794407398303611</v>
      </c>
      <c r="X47" s="159">
        <v>0.17742326258322197</v>
      </c>
      <c r="Y47" s="159">
        <v>0.28072861797189408</v>
      </c>
      <c r="Z47" s="159">
        <v>0.28072861797189408</v>
      </c>
      <c r="AA47" s="161">
        <v>0.24732602294106956</v>
      </c>
    </row>
    <row r="48" spans="1:27" ht="12.5">
      <c r="A48" s="158" t="s">
        <v>710</v>
      </c>
      <c r="B48" s="77">
        <v>21</v>
      </c>
      <c r="C48" s="159">
        <v>6.9009090909090909E-2</v>
      </c>
      <c r="D48" s="159">
        <v>0.21821797164749521</v>
      </c>
      <c r="E48" s="159">
        <v>0.19306560566074529</v>
      </c>
      <c r="F48" s="159">
        <v>0.20378651559004954</v>
      </c>
      <c r="G48" s="160">
        <v>1.0269385936275734</v>
      </c>
      <c r="H48" s="160">
        <v>1.2277613538599423</v>
      </c>
      <c r="I48" s="159">
        <v>0.11172902441928058</v>
      </c>
      <c r="J48" s="159">
        <v>0.43761028506670019</v>
      </c>
      <c r="K48" s="159">
        <v>5.5E-2</v>
      </c>
      <c r="L48" s="159">
        <v>0.2336517107244612</v>
      </c>
      <c r="M48" s="159">
        <v>9.5261479793524589E-2</v>
      </c>
      <c r="N48" s="160">
        <v>0.98415249869977295</v>
      </c>
      <c r="O48" s="160">
        <v>2.1601068304801978</v>
      </c>
      <c r="P48" s="160">
        <v>7.4342754777128324</v>
      </c>
      <c r="Q48" s="160">
        <v>9.8073341957188447</v>
      </c>
      <c r="R48" s="160">
        <v>2.5932604826210461</v>
      </c>
      <c r="S48" s="160">
        <v>213.16752918372785</v>
      </c>
      <c r="T48" s="159">
        <v>2.4139638910329986E-2</v>
      </c>
      <c r="U48" s="159">
        <v>9.147240996291205E-3</v>
      </c>
      <c r="V48" s="159">
        <v>9.5651260425099142E-3</v>
      </c>
      <c r="W48" s="159">
        <v>0.67908189916431683</v>
      </c>
      <c r="X48" s="159">
        <v>0.17429837416489147</v>
      </c>
      <c r="Y48" s="159">
        <v>0.16850456388146776</v>
      </c>
      <c r="Z48" s="159">
        <v>0.16850456388146773</v>
      </c>
      <c r="AA48" s="161">
        <v>0.21860829295850032</v>
      </c>
    </row>
    <row r="49" spans="1:27" ht="12.5">
      <c r="A49" s="158" t="s">
        <v>711</v>
      </c>
      <c r="B49" s="77">
        <v>27</v>
      </c>
      <c r="C49" s="159">
        <v>8.2870000000000013E-2</v>
      </c>
      <c r="D49" s="159">
        <v>8.3407367312781547E-2</v>
      </c>
      <c r="E49" s="159">
        <v>4.8284141395065781E-2</v>
      </c>
      <c r="F49" s="159">
        <v>0.14548714514028421</v>
      </c>
      <c r="G49" s="160">
        <v>0.66746467102712326</v>
      </c>
      <c r="H49" s="160">
        <v>0.93935366031437906</v>
      </c>
      <c r="I49" s="159">
        <v>9.4597607422674118E-2</v>
      </c>
      <c r="J49" s="159">
        <v>0.28891454530535254</v>
      </c>
      <c r="K49" s="159">
        <v>5.5E-2</v>
      </c>
      <c r="L49" s="159">
        <v>0.4802581428121806</v>
      </c>
      <c r="M49" s="159">
        <v>6.8976984558387341E-2</v>
      </c>
      <c r="N49" s="160">
        <v>0.64950919179700761</v>
      </c>
      <c r="O49" s="160">
        <v>1.3252068248279174</v>
      </c>
      <c r="P49" s="160">
        <v>10.666709589984549</v>
      </c>
      <c r="Q49" s="160">
        <v>12.247740216996728</v>
      </c>
      <c r="R49" s="160">
        <v>1.7297667448322556</v>
      </c>
      <c r="S49" s="160">
        <v>16.589451562329984</v>
      </c>
      <c r="T49" s="159">
        <v>0.16252107176106828</v>
      </c>
      <c r="U49" s="159">
        <v>1.5332374828122921E-3</v>
      </c>
      <c r="V49" s="159">
        <v>2.3115111588852626E-3</v>
      </c>
      <c r="W49" s="159">
        <v>6.7875330273915258E-3</v>
      </c>
      <c r="X49" s="159">
        <v>5.5791645738122134E-2</v>
      </c>
      <c r="Y49" s="159">
        <v>0.38242287811508857</v>
      </c>
      <c r="Z49" s="159">
        <v>0.38242287811508857</v>
      </c>
      <c r="AA49" s="161">
        <v>8.3911710257224437E-2</v>
      </c>
    </row>
    <row r="50" spans="1:27" ht="12.5">
      <c r="A50" s="158" t="s">
        <v>712</v>
      </c>
      <c r="B50" s="77">
        <v>51</v>
      </c>
      <c r="C50" s="159">
        <v>3.8176363636363633E-2</v>
      </c>
      <c r="D50" s="159">
        <v>6.4095379083086101E-2</v>
      </c>
      <c r="E50" s="159">
        <v>7.0761900090086594E-2</v>
      </c>
      <c r="F50" s="159">
        <v>0.19872018013981518</v>
      </c>
      <c r="G50" s="160">
        <v>0.72953854749756686</v>
      </c>
      <c r="H50" s="160">
        <v>0.80330136282469566</v>
      </c>
      <c r="I50" s="159">
        <v>8.6516100951786926E-2</v>
      </c>
      <c r="J50" s="159">
        <v>0.27667183307261639</v>
      </c>
      <c r="K50" s="159">
        <v>5.5E-2</v>
      </c>
      <c r="L50" s="159">
        <v>0.17672400294711046</v>
      </c>
      <c r="M50" s="159">
        <v>7.8516494393779127E-2</v>
      </c>
      <c r="N50" s="160">
        <v>1.2235917495745048</v>
      </c>
      <c r="O50" s="160">
        <v>1.3918409007316568</v>
      </c>
      <c r="P50" s="160">
        <v>14.615123157002838</v>
      </c>
      <c r="Q50" s="160">
        <v>21.016328286322402</v>
      </c>
      <c r="R50" s="160">
        <v>2.1991436416927073</v>
      </c>
      <c r="S50" s="160">
        <v>20.230973091308005</v>
      </c>
      <c r="T50" s="159">
        <v>-0.51115076312450791</v>
      </c>
      <c r="U50" s="159">
        <v>9.4013777390528717E-3</v>
      </c>
      <c r="V50" s="159">
        <v>5.7751294134666727E-3</v>
      </c>
      <c r="W50" s="159">
        <v>0.4890913390928211</v>
      </c>
      <c r="X50" s="159">
        <v>5.7098673382014541E-2</v>
      </c>
      <c r="Y50" s="159">
        <v>0.73319411994328065</v>
      </c>
      <c r="Z50" s="159">
        <v>0.73319411994328065</v>
      </c>
      <c r="AA50" s="161">
        <v>6.4923595108991594E-2</v>
      </c>
    </row>
    <row r="51" spans="1:27" ht="12.5">
      <c r="A51" s="158" t="s">
        <v>713</v>
      </c>
      <c r="B51" s="77">
        <v>600</v>
      </c>
      <c r="C51" s="159">
        <v>0.10789090909090909</v>
      </c>
      <c r="D51" s="159">
        <v>0.18362934886099308</v>
      </c>
      <c r="E51" s="159">
        <v>9.1618858518155641E-2</v>
      </c>
      <c r="F51" s="159">
        <v>0.18201474107993432</v>
      </c>
      <c r="G51" s="160">
        <v>0.53775308643054576</v>
      </c>
      <c r="H51" s="160">
        <v>0.62361295447909626</v>
      </c>
      <c r="I51" s="159">
        <v>7.5842609496058311E-2</v>
      </c>
      <c r="J51" s="159">
        <v>9.9064267399825573E-2</v>
      </c>
      <c r="K51" s="159">
        <v>4.7300000000000002E-2</v>
      </c>
      <c r="L51" s="159">
        <v>0.27717935374212399</v>
      </c>
      <c r="M51" s="159">
        <v>6.465354158382644E-2</v>
      </c>
      <c r="N51" s="160">
        <v>0.52461323393522952</v>
      </c>
      <c r="O51" s="160">
        <v>5.1649613951272544</v>
      </c>
      <c r="P51" s="160">
        <v>18.342065712597037</v>
      </c>
      <c r="Q51" s="160">
        <v>22.443138397407701</v>
      </c>
      <c r="R51" s="160">
        <v>2.1284887607798471</v>
      </c>
      <c r="S51" s="160">
        <v>413.13881292938402</v>
      </c>
      <c r="T51" s="159" t="s">
        <v>88</v>
      </c>
      <c r="U51" s="159">
        <v>2.8393720405116826E-2</v>
      </c>
      <c r="V51" s="159">
        <v>7.4477408503655404E-2</v>
      </c>
      <c r="W51" s="159">
        <v>0.59864143010683313</v>
      </c>
      <c r="X51" s="159">
        <v>0.17165541003222293</v>
      </c>
      <c r="Y51" s="159">
        <v>0.42685509300941743</v>
      </c>
      <c r="Z51" s="159">
        <v>0.42685509300941749</v>
      </c>
      <c r="AA51" s="161">
        <v>0.18192262402136841</v>
      </c>
    </row>
    <row r="52" spans="1:27" ht="12.5">
      <c r="A52" s="158" t="s">
        <v>714</v>
      </c>
      <c r="B52" s="77">
        <v>116</v>
      </c>
      <c r="C52" s="159">
        <v>8.5045652173913022E-2</v>
      </c>
      <c r="D52" s="159">
        <v>0.13797099354120126</v>
      </c>
      <c r="E52" s="159">
        <v>0.27440895225758682</v>
      </c>
      <c r="F52" s="159">
        <v>0.20984581189172136</v>
      </c>
      <c r="G52" s="160">
        <v>1.0938250803149925</v>
      </c>
      <c r="H52" s="160">
        <v>1.2248168994320441</v>
      </c>
      <c r="I52" s="159">
        <v>0.11155412382626342</v>
      </c>
      <c r="J52" s="159">
        <v>0.32362033573649224</v>
      </c>
      <c r="K52" s="159">
        <v>5.5E-2</v>
      </c>
      <c r="L52" s="159">
        <v>0.17247652623442106</v>
      </c>
      <c r="M52" s="159">
        <v>9.9428312768754912E-2</v>
      </c>
      <c r="N52" s="160">
        <v>2.1608500691718713</v>
      </c>
      <c r="O52" s="160">
        <v>2.6683702336166513</v>
      </c>
      <c r="P52" s="160">
        <v>14.083078687600038</v>
      </c>
      <c r="Q52" s="160">
        <v>18.889167436267432</v>
      </c>
      <c r="R52" s="160">
        <v>4.0573852862411108</v>
      </c>
      <c r="S52" s="160">
        <v>43.773185758788792</v>
      </c>
      <c r="T52" s="159">
        <v>0.25954733960836424</v>
      </c>
      <c r="U52" s="159">
        <v>2.4915916926800095E-2</v>
      </c>
      <c r="V52" s="159">
        <v>0.10792630698907046</v>
      </c>
      <c r="W52" s="159">
        <v>1.4023558792324888</v>
      </c>
      <c r="X52" s="159">
        <v>0.15486472220663997</v>
      </c>
      <c r="Y52" s="159">
        <v>0.3670721468884211</v>
      </c>
      <c r="Z52" s="159">
        <v>0.36707214688842105</v>
      </c>
      <c r="AA52" s="161">
        <v>0.14150866099187387</v>
      </c>
    </row>
    <row r="53" spans="1:27" ht="12.5">
      <c r="A53" s="158" t="s">
        <v>635</v>
      </c>
      <c r="B53" s="77">
        <v>68</v>
      </c>
      <c r="C53" s="159">
        <v>5.8830769230769242E-2</v>
      </c>
      <c r="D53" s="159">
        <v>0.22890522631901319</v>
      </c>
      <c r="E53" s="159">
        <v>0.34724969889915558</v>
      </c>
      <c r="F53" s="159">
        <v>0.38407016996119214</v>
      </c>
      <c r="G53" s="160">
        <v>1.2191906966167014</v>
      </c>
      <c r="H53" s="160">
        <v>1.2900534643158847</v>
      </c>
      <c r="I53" s="159">
        <v>0.11542917578036356</v>
      </c>
      <c r="J53" s="159">
        <v>0.70056239501193862</v>
      </c>
      <c r="K53" s="159">
        <v>7.0099999999999996E-2</v>
      </c>
      <c r="L53" s="159">
        <v>0.17725898477475721</v>
      </c>
      <c r="M53" s="159">
        <v>0.10428770839268217</v>
      </c>
      <c r="N53" s="160">
        <v>1.5847983484975299</v>
      </c>
      <c r="O53" s="160">
        <v>2.060190198107211</v>
      </c>
      <c r="P53" s="160">
        <v>6.5793971374589546</v>
      </c>
      <c r="Q53" s="160">
        <v>8.8543889128364412</v>
      </c>
      <c r="R53" s="160">
        <v>2.7533885244207719</v>
      </c>
      <c r="S53" s="160">
        <v>17.597890904343</v>
      </c>
      <c r="T53" s="159">
        <v>0.12050846757809916</v>
      </c>
      <c r="U53" s="159">
        <v>8.4930771623781376E-2</v>
      </c>
      <c r="V53" s="159">
        <v>2.3387475892735522E-2</v>
      </c>
      <c r="W53" s="159">
        <v>0.30254133855159898</v>
      </c>
      <c r="X53" s="159">
        <v>0.21097592151322797</v>
      </c>
      <c r="Y53" s="159">
        <v>0.62501159406327877</v>
      </c>
      <c r="Z53" s="159">
        <v>0.62501159406327877</v>
      </c>
      <c r="AA53" s="161">
        <v>0.22858605943486224</v>
      </c>
    </row>
    <row r="54" spans="1:27" ht="12.5">
      <c r="A54" s="158" t="s">
        <v>715</v>
      </c>
      <c r="B54" s="77">
        <v>16</v>
      </c>
      <c r="C54" s="159">
        <v>0.15791928571428571</v>
      </c>
      <c r="D54" s="159">
        <v>5.9437639824243077E-2</v>
      </c>
      <c r="E54" s="159">
        <v>0.12191063223697689</v>
      </c>
      <c r="F54" s="159">
        <v>0.24228527607361969</v>
      </c>
      <c r="G54" s="160">
        <v>0.8448370751926576</v>
      </c>
      <c r="H54" s="160">
        <v>1.1770946700328646</v>
      </c>
      <c r="I54" s="159">
        <v>0.10871942339995216</v>
      </c>
      <c r="J54" s="159">
        <v>0.35220934553840333</v>
      </c>
      <c r="K54" s="159">
        <v>5.5E-2</v>
      </c>
      <c r="L54" s="159">
        <v>0.40048472944003649</v>
      </c>
      <c r="M54" s="159">
        <v>8.169894962414706E-2</v>
      </c>
      <c r="N54" s="160">
        <v>2.3804211822459824</v>
      </c>
      <c r="O54" s="160">
        <v>0.93288594172655359</v>
      </c>
      <c r="P54" s="160">
        <v>8.4487645169046903</v>
      </c>
      <c r="Q54" s="160">
        <v>14.906166393314605</v>
      </c>
      <c r="R54" s="160">
        <v>2.022459919957329</v>
      </c>
      <c r="S54" s="160">
        <v>23.352946188547765</v>
      </c>
      <c r="T54" s="159">
        <v>0.10580064791999493</v>
      </c>
      <c r="U54" s="159">
        <v>2.3993627737332053E-2</v>
      </c>
      <c r="V54" s="159">
        <v>5.7351213513274449E-2</v>
      </c>
      <c r="W54" s="159">
        <v>2.0750554367424625</v>
      </c>
      <c r="X54" s="159">
        <v>7.9602467166695279E-2</v>
      </c>
      <c r="Y54" s="159">
        <v>0.82958172172552991</v>
      </c>
      <c r="Z54" s="159">
        <v>0.82958172172552991</v>
      </c>
      <c r="AA54" s="161">
        <v>6.3433880163009132E-2</v>
      </c>
    </row>
    <row r="55" spans="1:27" ht="12.5">
      <c r="A55" s="158" t="s">
        <v>716</v>
      </c>
      <c r="B55" s="77">
        <v>4</v>
      </c>
      <c r="C55" s="159">
        <v>0.12122499999999999</v>
      </c>
      <c r="D55" s="159">
        <v>0.17323216393519394</v>
      </c>
      <c r="E55" s="159">
        <v>0.22371179665386631</v>
      </c>
      <c r="F55" s="159">
        <v>0.23128677128184674</v>
      </c>
      <c r="G55" s="160">
        <v>0.94626836990683305</v>
      </c>
      <c r="H55" s="160">
        <v>0.97748589274906783</v>
      </c>
      <c r="I55" s="159">
        <v>9.6862662029294638E-2</v>
      </c>
      <c r="J55" s="159">
        <v>0.30548944434643338</v>
      </c>
      <c r="K55" s="159">
        <v>5.5E-2</v>
      </c>
      <c r="L55" s="159">
        <v>0.10316970884560783</v>
      </c>
      <c r="M55" s="159">
        <v>9.1125119879603117E-2</v>
      </c>
      <c r="N55" s="160">
        <v>1.4955904353767258</v>
      </c>
      <c r="O55" s="160">
        <v>1.3937972898489077</v>
      </c>
      <c r="P55" s="160">
        <v>5.7320775498789676</v>
      </c>
      <c r="Q55" s="160">
        <v>7.9816868353676975</v>
      </c>
      <c r="R55" s="160">
        <v>2.2503250646526936</v>
      </c>
      <c r="S55" s="160">
        <v>6.7123160711345058</v>
      </c>
      <c r="T55" s="159">
        <v>3.1610616267447898E-2</v>
      </c>
      <c r="U55" s="159">
        <v>4.8060973431784809E-2</v>
      </c>
      <c r="V55" s="159">
        <v>-1.2355711407971395E-2</v>
      </c>
      <c r="W55" s="159">
        <v>-0.10405303090005764</v>
      </c>
      <c r="X55" s="159">
        <v>0.32415954257527113</v>
      </c>
      <c r="Y55" s="159">
        <v>0.26356755294941536</v>
      </c>
      <c r="Z55" s="159">
        <v>0.26356755294941536</v>
      </c>
      <c r="AA55" s="161">
        <v>0.17441627220965225</v>
      </c>
    </row>
    <row r="56" spans="1:27" ht="12.5">
      <c r="A56" s="158" t="s">
        <v>636</v>
      </c>
      <c r="B56" s="77">
        <v>174</v>
      </c>
      <c r="C56" s="159">
        <v>0.2956583720930232</v>
      </c>
      <c r="D56" s="159">
        <v>0.35545174432146454</v>
      </c>
      <c r="E56" s="159">
        <v>0.39824340316559603</v>
      </c>
      <c r="F56" s="159">
        <v>0.20955223008563117</v>
      </c>
      <c r="G56" s="160">
        <v>1.1361280842130776</v>
      </c>
      <c r="H56" s="160">
        <v>1.2574315521617736</v>
      </c>
      <c r="I56" s="159">
        <v>0.11349143419840936</v>
      </c>
      <c r="J56" s="159">
        <v>0.56976877370013901</v>
      </c>
      <c r="K56" s="159">
        <v>5.8800000000000005E-2</v>
      </c>
      <c r="L56" s="159">
        <v>0.16724493485833186</v>
      </c>
      <c r="M56" s="159">
        <v>0.10188606830617017</v>
      </c>
      <c r="N56" s="160">
        <v>1.1700439551307493</v>
      </c>
      <c r="O56" s="160">
        <v>2.1191896091279183</v>
      </c>
      <c r="P56" s="160">
        <v>4.2762475428828282</v>
      </c>
      <c r="Q56" s="160">
        <v>5.8693014187188091</v>
      </c>
      <c r="R56" s="160">
        <v>2.4310528245139333</v>
      </c>
      <c r="S56" s="160">
        <v>20.684944931020116</v>
      </c>
      <c r="T56" s="159">
        <v>-3.6044277362041313E-2</v>
      </c>
      <c r="U56" s="159">
        <v>0.18856742461529929</v>
      </c>
      <c r="V56" s="159">
        <v>0.1078629574354029</v>
      </c>
      <c r="W56" s="159">
        <v>0.44233129168815011</v>
      </c>
      <c r="X56" s="159">
        <v>0.47000099498595782</v>
      </c>
      <c r="Y56" s="159">
        <v>0.23146864253952529</v>
      </c>
      <c r="Z56" s="159">
        <v>0.23146864253952526</v>
      </c>
      <c r="AA56" s="161">
        <v>0.35679263203593281</v>
      </c>
    </row>
    <row r="57" spans="1:27" ht="12.5">
      <c r="A57" s="158" t="s">
        <v>717</v>
      </c>
      <c r="B57" s="77">
        <v>23</v>
      </c>
      <c r="C57" s="159">
        <v>0.21857272727272728</v>
      </c>
      <c r="D57" s="159">
        <v>0.10554569736383697</v>
      </c>
      <c r="E57" s="159">
        <v>7.1751043031635167E-2</v>
      </c>
      <c r="F57" s="159">
        <v>0.16732223134836754</v>
      </c>
      <c r="G57" s="160">
        <v>0.65648991865828199</v>
      </c>
      <c r="H57" s="160">
        <v>0.99125533132716515</v>
      </c>
      <c r="I57" s="159">
        <v>9.7680566680833608E-2</v>
      </c>
      <c r="J57" s="159">
        <v>0.33549336269635954</v>
      </c>
      <c r="K57" s="159">
        <v>5.5E-2</v>
      </c>
      <c r="L57" s="159">
        <v>0.41660661946754163</v>
      </c>
      <c r="M57" s="159">
        <v>7.4171219061293828E-2</v>
      </c>
      <c r="N57" s="160">
        <v>0.71203789238136128</v>
      </c>
      <c r="O57" s="160">
        <v>2.5992733148507301</v>
      </c>
      <c r="P57" s="160">
        <v>11.364603400921791</v>
      </c>
      <c r="Q57" s="160">
        <v>19.407040295183869</v>
      </c>
      <c r="R57" s="160">
        <v>2.7164260652684495</v>
      </c>
      <c r="S57" s="160">
        <v>17.526913954325732</v>
      </c>
      <c r="T57" s="159">
        <v>3.5242294739286945E-2</v>
      </c>
      <c r="U57" s="159">
        <v>7.9992412805326513E-2</v>
      </c>
      <c r="V57" s="159">
        <v>4.8183145588975365E-2</v>
      </c>
      <c r="W57" s="159">
        <v>0.67110751780546696</v>
      </c>
      <c r="X57" s="159">
        <v>4.0932050446910083E-2</v>
      </c>
      <c r="Y57" s="159">
        <v>3.1496776117177885</v>
      </c>
      <c r="Z57" s="159">
        <v>3.1496776117177885</v>
      </c>
      <c r="AA57" s="161">
        <v>0.10823727370000472</v>
      </c>
    </row>
    <row r="58" spans="1:27" ht="12.5">
      <c r="A58" s="158" t="s">
        <v>718</v>
      </c>
      <c r="B58" s="77">
        <v>101</v>
      </c>
      <c r="C58" s="159">
        <v>7.7213384615384614E-2</v>
      </c>
      <c r="D58" s="159">
        <v>7.2615491026189222E-2</v>
      </c>
      <c r="E58" s="159">
        <v>0.2808940923374969</v>
      </c>
      <c r="F58" s="159">
        <v>0.21083263277631181</v>
      </c>
      <c r="G58" s="160">
        <v>1.1869387038702228</v>
      </c>
      <c r="H58" s="160">
        <v>1.3751593545688363</v>
      </c>
      <c r="I58" s="159">
        <v>0.12048446566138887</v>
      </c>
      <c r="J58" s="159">
        <v>0.46898107338785378</v>
      </c>
      <c r="K58" s="159">
        <v>5.5E-2</v>
      </c>
      <c r="L58" s="159">
        <v>0.24587596268608092</v>
      </c>
      <c r="M58" s="159">
        <v>0.10100261513897765</v>
      </c>
      <c r="N58" s="160">
        <v>4.098572921606003</v>
      </c>
      <c r="O58" s="160">
        <v>0.57635942221663927</v>
      </c>
      <c r="P58" s="160">
        <v>5.8988963206205138</v>
      </c>
      <c r="Q58" s="160">
        <v>7.7833497505910376</v>
      </c>
      <c r="R58" s="160">
        <v>2.0668608085450391</v>
      </c>
      <c r="S58" s="160">
        <v>35.470030674274732</v>
      </c>
      <c r="T58" s="159">
        <v>5.2452832524179795E-2</v>
      </c>
      <c r="U58" s="159">
        <v>1.8953404395350631E-2</v>
      </c>
      <c r="V58" s="159">
        <v>2.8621639869896368E-3</v>
      </c>
      <c r="W58" s="159">
        <v>0.23846989683692524</v>
      </c>
      <c r="X58" s="159">
        <v>0.30821046000842239</v>
      </c>
      <c r="Y58" s="159">
        <v>0.17578397726915398</v>
      </c>
      <c r="Z58" s="159">
        <v>0.17578397726915396</v>
      </c>
      <c r="AA58" s="161">
        <v>7.374653437423348E-2</v>
      </c>
    </row>
    <row r="59" spans="1:27" ht="12.5">
      <c r="A59" s="158" t="s">
        <v>719</v>
      </c>
      <c r="B59" s="77">
        <v>25</v>
      </c>
      <c r="C59" s="159">
        <v>5.9018421052631581E-2</v>
      </c>
      <c r="D59" s="159">
        <v>9.4326190090127077E-2</v>
      </c>
      <c r="E59" s="159">
        <v>0.1604004979040459</v>
      </c>
      <c r="F59" s="159">
        <v>0.20377136598084747</v>
      </c>
      <c r="G59" s="160">
        <v>0.67049972190789686</v>
      </c>
      <c r="H59" s="160">
        <v>0.95242199691205232</v>
      </c>
      <c r="I59" s="159">
        <v>9.5373866616575903E-2</v>
      </c>
      <c r="J59" s="159">
        <v>0.24431384085324004</v>
      </c>
      <c r="K59" s="159">
        <v>4.7300000000000002E-2</v>
      </c>
      <c r="L59" s="159">
        <v>0.38258512094774455</v>
      </c>
      <c r="M59" s="159">
        <v>7.24574514874404E-2</v>
      </c>
      <c r="N59" s="160">
        <v>1.9517809054097339</v>
      </c>
      <c r="O59" s="160">
        <v>1.2479568457109567</v>
      </c>
      <c r="P59" s="160">
        <v>8.2417995740318624</v>
      </c>
      <c r="Q59" s="160">
        <v>12.954725986412068</v>
      </c>
      <c r="R59" s="160">
        <v>2.4964229215467095</v>
      </c>
      <c r="S59" s="160">
        <v>13.232355624196757</v>
      </c>
      <c r="T59" s="159">
        <v>0.10397534477232311</v>
      </c>
      <c r="U59" s="159">
        <v>5.7495724252900962E-2</v>
      </c>
      <c r="V59" s="159">
        <v>4.4288846553796668E-2</v>
      </c>
      <c r="W59" s="159">
        <v>0.86939175063028251</v>
      </c>
      <c r="X59" s="159">
        <v>0.19745548981610928</v>
      </c>
      <c r="Y59" s="159">
        <v>0.28641173896085093</v>
      </c>
      <c r="Z59" s="159">
        <v>0.28641173896085093</v>
      </c>
      <c r="AA59" s="161">
        <v>9.6302912918982811E-2</v>
      </c>
    </row>
    <row r="60" spans="1:27" ht="12.5">
      <c r="A60" s="158" t="s">
        <v>720</v>
      </c>
      <c r="B60" s="77">
        <v>7</v>
      </c>
      <c r="C60" s="159">
        <v>6.9949999999999998E-2</v>
      </c>
      <c r="D60" s="159">
        <v>0.18473924668549113</v>
      </c>
      <c r="E60" s="159">
        <v>0.4283275094215141</v>
      </c>
      <c r="F60" s="159">
        <v>0.25797346881174144</v>
      </c>
      <c r="G60" s="160">
        <v>1.1258403034857074</v>
      </c>
      <c r="H60" s="160">
        <v>1.3830066711394122</v>
      </c>
      <c r="I60" s="159">
        <v>0.1209505962656811</v>
      </c>
      <c r="J60" s="159">
        <v>0.42843597130920175</v>
      </c>
      <c r="K60" s="159">
        <v>5.5E-2</v>
      </c>
      <c r="L60" s="159">
        <v>0.30490399792922035</v>
      </c>
      <c r="M60" s="159">
        <v>9.6649565826932238E-2</v>
      </c>
      <c r="N60" s="160">
        <v>2.640287423267194</v>
      </c>
      <c r="O60" s="160">
        <v>0.77446083379170738</v>
      </c>
      <c r="P60" s="160">
        <v>3.4314540119535057</v>
      </c>
      <c r="Q60" s="160">
        <v>4.1600867348658133</v>
      </c>
      <c r="R60" s="160">
        <v>2.8493401569593408</v>
      </c>
      <c r="S60" s="160">
        <v>12.831132860096082</v>
      </c>
      <c r="T60" s="159">
        <v>7.955855971818733E-2</v>
      </c>
      <c r="U60" s="159">
        <v>4.8408856504616772E-2</v>
      </c>
      <c r="V60" s="159">
        <v>3.594806278218337E-2</v>
      </c>
      <c r="W60" s="159">
        <v>0.37226163421064296</v>
      </c>
      <c r="X60" s="159">
        <v>0.46826521479713606</v>
      </c>
      <c r="Y60" s="159">
        <v>7.8840487377558333E-2</v>
      </c>
      <c r="Z60" s="159">
        <v>7.8840487377558333E-2</v>
      </c>
      <c r="AA60" s="161">
        <v>0.18593819979693185</v>
      </c>
    </row>
    <row r="61" spans="1:27" ht="12.5">
      <c r="A61" s="158" t="s">
        <v>721</v>
      </c>
      <c r="B61" s="77">
        <v>48</v>
      </c>
      <c r="C61" s="159">
        <v>6.4126904761904746E-2</v>
      </c>
      <c r="D61" s="159">
        <v>0.15573872218414844</v>
      </c>
      <c r="E61" s="159">
        <v>6.0420809677153589E-2</v>
      </c>
      <c r="F61" s="159">
        <v>0.13472676053727245</v>
      </c>
      <c r="G61" s="160">
        <v>0.46402639019456771</v>
      </c>
      <c r="H61" s="160">
        <v>0.72500097471023861</v>
      </c>
      <c r="I61" s="159">
        <v>8.1865057897788168E-2</v>
      </c>
      <c r="J61" s="159">
        <v>0.1717812350329328</v>
      </c>
      <c r="K61" s="159">
        <v>4.7300000000000002E-2</v>
      </c>
      <c r="L61" s="159">
        <v>0.43552496662165086</v>
      </c>
      <c r="M61" s="159">
        <v>6.1661029480277525E-2</v>
      </c>
      <c r="N61" s="160">
        <v>0.43922516402299394</v>
      </c>
      <c r="O61" s="160">
        <v>3.7530377133084176</v>
      </c>
      <c r="P61" s="160">
        <v>12.972637040869596</v>
      </c>
      <c r="Q61" s="160">
        <v>23.94821694902156</v>
      </c>
      <c r="R61" s="160">
        <v>1.9823980732078421</v>
      </c>
      <c r="S61" s="160">
        <v>19.074322918507089</v>
      </c>
      <c r="T61" s="159">
        <v>6.578724389324328E-2</v>
      </c>
      <c r="U61" s="159">
        <v>0.29221902100116548</v>
      </c>
      <c r="V61" s="159">
        <v>0.1839600884056081</v>
      </c>
      <c r="W61" s="159">
        <v>1.4569117844566188</v>
      </c>
      <c r="X61" s="159">
        <v>9.3898042779040264E-2</v>
      </c>
      <c r="Y61" s="159">
        <v>0.60556891515405864</v>
      </c>
      <c r="Z61" s="159">
        <v>0.60556891515405864</v>
      </c>
      <c r="AA61" s="161">
        <v>0.1568331369296484</v>
      </c>
    </row>
    <row r="62" spans="1:27" ht="12.5">
      <c r="A62" s="158" t="s">
        <v>722</v>
      </c>
      <c r="B62" s="77">
        <v>74</v>
      </c>
      <c r="C62" s="159">
        <v>3.7385714285714321E-2</v>
      </c>
      <c r="D62" s="159">
        <v>0.10026540707071753</v>
      </c>
      <c r="E62" s="159">
        <v>5.282254269046003E-2</v>
      </c>
      <c r="F62" s="159">
        <v>0.44612559405051289</v>
      </c>
      <c r="G62" s="160">
        <v>1.1872086171220402</v>
      </c>
      <c r="H62" s="160">
        <v>1.2336190389708566</v>
      </c>
      <c r="I62" s="159">
        <v>0.11207697091486889</v>
      </c>
      <c r="J62" s="159">
        <v>0.72543314545868787</v>
      </c>
      <c r="K62" s="159">
        <v>7.0099999999999996E-2</v>
      </c>
      <c r="L62" s="159">
        <v>0.14034933783922693</v>
      </c>
      <c r="M62" s="159">
        <v>0.10372590869683809</v>
      </c>
      <c r="N62" s="160">
        <v>0.51744376843268447</v>
      </c>
      <c r="O62" s="160">
        <v>3.5531523553351589</v>
      </c>
      <c r="P62" s="160">
        <v>10.884098925641386</v>
      </c>
      <c r="Q62" s="160">
        <v>33.924611581302663</v>
      </c>
      <c r="R62" s="160">
        <v>1.6758914035578867</v>
      </c>
      <c r="S62" s="160">
        <v>14.432357858158962</v>
      </c>
      <c r="T62" s="159">
        <v>0.10747723875647383</v>
      </c>
      <c r="U62" s="159">
        <v>0.23691578941503644</v>
      </c>
      <c r="V62" s="159">
        <v>6.2998989653640855E-2</v>
      </c>
      <c r="W62" s="159">
        <v>1.1648256717549319</v>
      </c>
      <c r="X62" s="159">
        <v>3.6607071626089407E-2</v>
      </c>
      <c r="Y62" s="159">
        <v>1.6036342196424935</v>
      </c>
      <c r="Z62" s="159">
        <v>1.6036342196424935</v>
      </c>
      <c r="AA62" s="161">
        <v>0.10498432937504064</v>
      </c>
    </row>
    <row r="63" spans="1:27" ht="12.5">
      <c r="A63" s="158" t="s">
        <v>723</v>
      </c>
      <c r="B63" s="77">
        <v>20</v>
      </c>
      <c r="C63" s="159">
        <v>3.3178571428571425E-2</v>
      </c>
      <c r="D63" s="159">
        <v>7.7287873141753158E-2</v>
      </c>
      <c r="E63" s="159">
        <v>0.15253143934703767</v>
      </c>
      <c r="F63" s="159">
        <v>0.15298152239036389</v>
      </c>
      <c r="G63" s="160">
        <v>0.91415552689954038</v>
      </c>
      <c r="H63" s="160">
        <v>1.1148957766881691</v>
      </c>
      <c r="I63" s="159">
        <v>0.10502480913527724</v>
      </c>
      <c r="J63" s="159">
        <v>0.30919744401282184</v>
      </c>
      <c r="K63" s="159">
        <v>5.5E-2</v>
      </c>
      <c r="L63" s="159">
        <v>0.29664827548349576</v>
      </c>
      <c r="M63" s="159">
        <v>8.6106121986008144E-2</v>
      </c>
      <c r="N63" s="160">
        <v>2.1495360876073235</v>
      </c>
      <c r="O63" s="160">
        <v>1.1585137067311873</v>
      </c>
      <c r="P63" s="160">
        <v>8.3960946722323548</v>
      </c>
      <c r="Q63" s="160">
        <v>14.858834219149905</v>
      </c>
      <c r="R63" s="160">
        <v>1.5796672211897118</v>
      </c>
      <c r="S63" s="160">
        <v>19.59895929655136</v>
      </c>
      <c r="T63" s="159">
        <v>9.8783804806749545E-2</v>
      </c>
      <c r="U63" s="159">
        <v>3.4528062285865198E-2</v>
      </c>
      <c r="V63" s="159">
        <v>6.1126999345159062E-2</v>
      </c>
      <c r="W63" s="159">
        <v>1.2037354739181043</v>
      </c>
      <c r="X63" s="159">
        <v>5.1457490948492286E-2</v>
      </c>
      <c r="Y63" s="159">
        <v>0.52372759488470044</v>
      </c>
      <c r="Z63" s="159">
        <v>0.52372759488470044</v>
      </c>
      <c r="AA63" s="161">
        <v>7.8448776546115331E-2</v>
      </c>
    </row>
    <row r="64" spans="1:27" ht="12.5">
      <c r="A64" s="158" t="s">
        <v>724</v>
      </c>
      <c r="B64" s="77">
        <v>223</v>
      </c>
      <c r="C64" s="159">
        <v>9.5720324324324327E-2</v>
      </c>
      <c r="D64" s="159">
        <v>0.25462046773995528</v>
      </c>
      <c r="E64" s="159">
        <v>3.2919535377649287E-2</v>
      </c>
      <c r="F64" s="159">
        <v>4.2830130197032544E-2</v>
      </c>
      <c r="G64" s="160">
        <v>0.68555683323023653</v>
      </c>
      <c r="H64" s="160">
        <v>1.063376043005491</v>
      </c>
      <c r="I64" s="159">
        <v>0.10196453695452617</v>
      </c>
      <c r="J64" s="159">
        <v>0.21541532639566627</v>
      </c>
      <c r="K64" s="159">
        <v>4.7300000000000002E-2</v>
      </c>
      <c r="L64" s="159">
        <v>0.43607305258100248</v>
      </c>
      <c r="M64" s="159">
        <v>7.297024161006857E-2</v>
      </c>
      <c r="N64" s="160">
        <v>0.14684116326248878</v>
      </c>
      <c r="O64" s="160">
        <v>11.06237876186524</v>
      </c>
      <c r="P64" s="160">
        <v>19.889516018721697</v>
      </c>
      <c r="Q64" s="160">
        <v>43.36149682247148</v>
      </c>
      <c r="R64" s="160">
        <v>1.9278379217128667</v>
      </c>
      <c r="S64" s="160">
        <v>41.482551524936767</v>
      </c>
      <c r="T64" s="159">
        <v>1.1802755385535975</v>
      </c>
      <c r="U64" s="159">
        <v>3.0609471497529343E-2</v>
      </c>
      <c r="V64" s="159">
        <v>-6.9579443323791318E-2</v>
      </c>
      <c r="W64" s="159">
        <v>-0.3090305179736722</v>
      </c>
      <c r="X64" s="159">
        <v>8.8529626809054379E-2</v>
      </c>
      <c r="Y64" s="159">
        <v>1.0779848431093604</v>
      </c>
      <c r="Z64" s="159">
        <v>1.0779848431093604</v>
      </c>
      <c r="AA64" s="161">
        <v>0.23203055634695816</v>
      </c>
    </row>
    <row r="65" spans="1:27" ht="12.5">
      <c r="A65" s="158" t="s">
        <v>725</v>
      </c>
      <c r="B65" s="77">
        <v>18</v>
      </c>
      <c r="C65" s="159">
        <v>0.10161666666666665</v>
      </c>
      <c r="D65" s="159">
        <v>0.18643282544436918</v>
      </c>
      <c r="E65" s="159">
        <v>6.1246870475157367E-2</v>
      </c>
      <c r="F65" s="159">
        <v>0.22962895460275518</v>
      </c>
      <c r="G65" s="160">
        <v>0.88380482744065236</v>
      </c>
      <c r="H65" s="160">
        <v>1.5166924498761216</v>
      </c>
      <c r="I65" s="159">
        <v>0.12889153152264163</v>
      </c>
      <c r="J65" s="159">
        <v>0.51250635002105183</v>
      </c>
      <c r="K65" s="159">
        <v>5.8800000000000005E-2</v>
      </c>
      <c r="L65" s="159">
        <v>0.52953698868574195</v>
      </c>
      <c r="M65" s="159">
        <v>8.3991279254089821E-2</v>
      </c>
      <c r="N65" s="160">
        <v>0.37533699252084596</v>
      </c>
      <c r="O65" s="160">
        <v>2.8074579856808244</v>
      </c>
      <c r="P65" s="160">
        <v>10.539631090506099</v>
      </c>
      <c r="Q65" s="160">
        <v>15.458491482757813</v>
      </c>
      <c r="R65" s="160">
        <v>0.94227824319529518</v>
      </c>
      <c r="S65" s="160">
        <v>10.7244443912679</v>
      </c>
      <c r="T65" s="159">
        <v>6.8979327664156362E-2</v>
      </c>
      <c r="U65" s="159">
        <v>1.6656707603486576E-2</v>
      </c>
      <c r="V65" s="159">
        <v>-4.235974257333449E-2</v>
      </c>
      <c r="W65" s="159">
        <v>-0.52566876328210455</v>
      </c>
      <c r="X65" s="159">
        <v>0.10514161885746096</v>
      </c>
      <c r="Y65" s="159">
        <v>0</v>
      </c>
      <c r="Z65" s="159">
        <v>0</v>
      </c>
      <c r="AA65" s="161">
        <v>0.17482898999177635</v>
      </c>
    </row>
    <row r="66" spans="1:27" ht="12.5">
      <c r="A66" s="158" t="s">
        <v>726</v>
      </c>
      <c r="B66" s="77">
        <v>12</v>
      </c>
      <c r="C66" s="159">
        <v>8.7419999999999998E-2</v>
      </c>
      <c r="D66" s="159">
        <v>0.18574177746675996</v>
      </c>
      <c r="E66" s="159">
        <v>6.5124916516099793E-2</v>
      </c>
      <c r="F66" s="159">
        <v>0.22877349119949147</v>
      </c>
      <c r="G66" s="160">
        <v>0.6649391588559308</v>
      </c>
      <c r="H66" s="160">
        <v>0.78980297684164968</v>
      </c>
      <c r="I66" s="159">
        <v>8.5714296824393993E-2</v>
      </c>
      <c r="J66" s="159">
        <v>0.28661749273612586</v>
      </c>
      <c r="K66" s="159">
        <v>5.5E-2</v>
      </c>
      <c r="L66" s="159">
        <v>0.28478860416132579</v>
      </c>
      <c r="M66" s="159">
        <v>7.3051371796759967E-2</v>
      </c>
      <c r="N66" s="160">
        <v>0.38625209859805604</v>
      </c>
      <c r="O66" s="160">
        <v>4.0156438237906613</v>
      </c>
      <c r="P66" s="160">
        <v>14.89079423992054</v>
      </c>
      <c r="Q66" s="160">
        <v>21.390967318368396</v>
      </c>
      <c r="R66" s="160">
        <v>0.96600942934182954</v>
      </c>
      <c r="S66" s="160">
        <v>17.526867681340555</v>
      </c>
      <c r="T66" s="159">
        <v>2.0459245976207137</v>
      </c>
      <c r="U66" s="159">
        <v>1.8100944716585025E-2</v>
      </c>
      <c r="V66" s="159">
        <v>-3.3939818054584079E-4</v>
      </c>
      <c r="W66" s="159">
        <v>0.6677825293193983</v>
      </c>
      <c r="X66" s="159">
        <v>6.6811159787871804E-2</v>
      </c>
      <c r="Y66" s="159">
        <v>0.33199889563776919</v>
      </c>
      <c r="Z66" s="159">
        <v>0.33199889563776919</v>
      </c>
      <c r="AA66" s="161">
        <v>0.18604180906971937</v>
      </c>
    </row>
    <row r="67" spans="1:27" ht="12.5">
      <c r="A67" s="158" t="s">
        <v>727</v>
      </c>
      <c r="B67" s="77">
        <v>60</v>
      </c>
      <c r="C67" s="159">
        <v>0.16003758620689656</v>
      </c>
      <c r="D67" s="159">
        <v>1.1685762595962912E-2</v>
      </c>
      <c r="E67" s="159">
        <v>1.0758116120213667E-2</v>
      </c>
      <c r="F67" s="159">
        <v>0.2022882818442118</v>
      </c>
      <c r="G67" s="160">
        <v>0.80502060474331827</v>
      </c>
      <c r="H67" s="160">
        <v>1.3454843302112593</v>
      </c>
      <c r="I67" s="159">
        <v>0.11872176921454881</v>
      </c>
      <c r="J67" s="159">
        <v>0.44434220453063733</v>
      </c>
      <c r="K67" s="159">
        <v>5.5E-2</v>
      </c>
      <c r="L67" s="159">
        <v>0.5221196650429506</v>
      </c>
      <c r="M67" s="159">
        <v>7.8272235021963815E-2</v>
      </c>
      <c r="N67" s="160">
        <v>1.5689215564881624</v>
      </c>
      <c r="O67" s="160">
        <v>0.99731101203291117</v>
      </c>
      <c r="P67" s="160">
        <v>8.7971462659737867</v>
      </c>
      <c r="Q67" s="160">
        <v>159.94211887150664</v>
      </c>
      <c r="R67" s="160">
        <v>1.6465144649718912</v>
      </c>
      <c r="S67" s="160">
        <v>39.800177325074387</v>
      </c>
      <c r="T67" s="159">
        <v>0.15137872576266614</v>
      </c>
      <c r="U67" s="159">
        <v>1.1949056366529672E-2</v>
      </c>
      <c r="V67" s="159">
        <v>-9.7335503466809909E-4</v>
      </c>
      <c r="W67" s="159" t="s">
        <v>88</v>
      </c>
      <c r="X67" s="159">
        <v>-3.5766856752091167E-2</v>
      </c>
      <c r="Y67" s="159">
        <v>3.3508867332228652E-3</v>
      </c>
      <c r="Z67" s="159">
        <v>3.3508867332228132E-3</v>
      </c>
      <c r="AA67" s="161">
        <v>7.1283603499213786E-3</v>
      </c>
    </row>
    <row r="68" spans="1:27" ht="12.5">
      <c r="A68" s="158" t="s">
        <v>728</v>
      </c>
      <c r="B68" s="77">
        <v>57</v>
      </c>
      <c r="C68" s="159">
        <v>7.7886923076923062E-2</v>
      </c>
      <c r="D68" s="159">
        <v>9.1872618065840059E-2</v>
      </c>
      <c r="E68" s="159">
        <v>0.12254941456919057</v>
      </c>
      <c r="F68" s="159">
        <v>0.20045837235862293</v>
      </c>
      <c r="G68" s="160">
        <v>1.0754929270701692</v>
      </c>
      <c r="H68" s="160">
        <v>1.4179809441636479</v>
      </c>
      <c r="I68" s="159">
        <v>0.12302806808332069</v>
      </c>
      <c r="J68" s="159">
        <v>0.42131153923229786</v>
      </c>
      <c r="K68" s="159">
        <v>5.5E-2</v>
      </c>
      <c r="L68" s="159">
        <v>0.34236718555089074</v>
      </c>
      <c r="M68" s="159">
        <v>9.5029941073845062E-2</v>
      </c>
      <c r="N68" s="160">
        <v>1.5859899092296037</v>
      </c>
      <c r="O68" s="160">
        <v>1.7662464800785203</v>
      </c>
      <c r="P68" s="160">
        <v>9.6622797370029652</v>
      </c>
      <c r="Q68" s="160">
        <v>20.261567691401542</v>
      </c>
      <c r="R68" s="160">
        <v>3.2439902238762262</v>
      </c>
      <c r="S68" s="160">
        <v>18.79714703297693</v>
      </c>
      <c r="T68" s="159">
        <v>0.18853137911199377</v>
      </c>
      <c r="U68" s="159">
        <v>6.3165185357422896E-2</v>
      </c>
      <c r="V68" s="159">
        <v>8.4633752387295091E-2</v>
      </c>
      <c r="W68" s="159">
        <v>2.4253997212904026</v>
      </c>
      <c r="X68" s="159">
        <v>3.9523433869521209E-2</v>
      </c>
      <c r="Y68" s="159">
        <v>1.3633798616766255</v>
      </c>
      <c r="Z68" s="159">
        <v>1.3633798616766255</v>
      </c>
      <c r="AA68" s="161">
        <v>8.5155250515097439E-2</v>
      </c>
    </row>
    <row r="69" spans="1:27" ht="12.5">
      <c r="A69" s="158" t="s">
        <v>729</v>
      </c>
      <c r="B69" s="77">
        <v>1</v>
      </c>
      <c r="C69" s="159">
        <v>5.6299999999999996E-2</v>
      </c>
      <c r="D69" s="159">
        <v>4.6484423100603377E-2</v>
      </c>
      <c r="E69" s="159">
        <v>5.2526535195568026E-2</v>
      </c>
      <c r="F69" s="159">
        <v>6.4829821717990274E-2</v>
      </c>
      <c r="G69" s="160">
        <v>0.83160738080596275</v>
      </c>
      <c r="H69" s="160">
        <v>0.82924820341635141</v>
      </c>
      <c r="I69" s="159">
        <v>8.8057343282931272E-2</v>
      </c>
      <c r="J69" s="159">
        <v>0.1936761567443839</v>
      </c>
      <c r="K69" s="159">
        <v>4.7300000000000002E-2</v>
      </c>
      <c r="L69" s="159">
        <v>0.31081382917101813</v>
      </c>
      <c r="M69" s="159">
        <v>7.1714023820378447E-2</v>
      </c>
      <c r="N69" s="160">
        <v>1.2102032753146545</v>
      </c>
      <c r="O69" s="160">
        <v>0.63216265478481615</v>
      </c>
      <c r="P69" s="160">
        <v>12.075250898524033</v>
      </c>
      <c r="Q69" s="160">
        <v>13.620688310926171</v>
      </c>
      <c r="R69" s="160">
        <v>2.5371894202511358</v>
      </c>
      <c r="S69" s="160">
        <v>16.516000000000002</v>
      </c>
      <c r="T69" s="159">
        <v>-0.17934983376431474</v>
      </c>
      <c r="U69" s="159">
        <v>1.4160817633296391E-3</v>
      </c>
      <c r="V69" s="159">
        <v>-3.5894594261790392E-3</v>
      </c>
      <c r="W69" s="159">
        <v>5.9152910542786076E-2</v>
      </c>
      <c r="X69" s="159">
        <v>4.4625533566162202E-2</v>
      </c>
      <c r="Y69" s="159">
        <v>0.34956521739130436</v>
      </c>
      <c r="Z69" s="159">
        <v>0.34956521739130442</v>
      </c>
      <c r="AA69" s="161">
        <v>4.6411946324159792E-2</v>
      </c>
    </row>
    <row r="70" spans="1:27" ht="12.5">
      <c r="A70" s="158" t="s">
        <v>730</v>
      </c>
      <c r="B70" s="77">
        <v>70</v>
      </c>
      <c r="C70" s="159">
        <v>6.2767619047619044E-2</v>
      </c>
      <c r="D70" s="159">
        <v>0.15419795499898792</v>
      </c>
      <c r="E70" s="159">
        <v>0.18384754911547566</v>
      </c>
      <c r="F70" s="159">
        <v>0.21302882919614741</v>
      </c>
      <c r="G70" s="160">
        <v>1.1660017105464549</v>
      </c>
      <c r="H70" s="160">
        <v>1.4103978688180479</v>
      </c>
      <c r="I70" s="159">
        <v>0.12257763340779204</v>
      </c>
      <c r="J70" s="159">
        <v>0.41147053391609606</v>
      </c>
      <c r="K70" s="159">
        <v>5.5E-2</v>
      </c>
      <c r="L70" s="159">
        <v>0.23533040964915261</v>
      </c>
      <c r="M70" s="159">
        <v>0.10343876812214023</v>
      </c>
      <c r="N70" s="160">
        <v>1.5701942239956401</v>
      </c>
      <c r="O70" s="160">
        <v>4.0665383764474727</v>
      </c>
      <c r="P70" s="160">
        <v>16.789677683444001</v>
      </c>
      <c r="Q70" s="160">
        <v>31.709447042133828</v>
      </c>
      <c r="R70" s="160" t="s">
        <v>88</v>
      </c>
      <c r="S70" s="160">
        <v>32.060305059956086</v>
      </c>
      <c r="T70" s="159">
        <v>1.691510380042419E-2</v>
      </c>
      <c r="U70" s="159">
        <v>5.5110462367772506E-2</v>
      </c>
      <c r="V70" s="159">
        <v>4.1202702185160214E-2</v>
      </c>
      <c r="W70" s="159">
        <v>0.45041519247016731</v>
      </c>
      <c r="X70" s="159" t="s">
        <v>88</v>
      </c>
      <c r="Y70" s="159">
        <v>0.61859397079777145</v>
      </c>
      <c r="Z70" s="159">
        <v>0.61859397079777145</v>
      </c>
      <c r="AA70" s="161">
        <v>0.12802472049949576</v>
      </c>
    </row>
    <row r="71" spans="1:27" ht="12.5">
      <c r="A71" s="158" t="s">
        <v>731</v>
      </c>
      <c r="B71" s="77">
        <v>30</v>
      </c>
      <c r="C71" s="159">
        <v>0.17119444444444448</v>
      </c>
      <c r="D71" s="159">
        <v>6.1927720578008112E-2</v>
      </c>
      <c r="E71" s="159">
        <v>0.15601912407155186</v>
      </c>
      <c r="F71" s="159">
        <v>0.23558902670157125</v>
      </c>
      <c r="G71" s="160">
        <v>1.0827260845919955</v>
      </c>
      <c r="H71" s="160">
        <v>1.5201925121768585</v>
      </c>
      <c r="I71" s="159">
        <v>0.12909943522330541</v>
      </c>
      <c r="J71" s="159">
        <v>0.35710895966484529</v>
      </c>
      <c r="K71" s="159">
        <v>5.5E-2</v>
      </c>
      <c r="L71" s="159">
        <v>0.36502616498949741</v>
      </c>
      <c r="M71" s="159">
        <v>9.7032092787248961E-2</v>
      </c>
      <c r="N71" s="160">
        <v>3.2313109542113141</v>
      </c>
      <c r="O71" s="160">
        <v>0.90560565109919078</v>
      </c>
      <c r="P71" s="160">
        <v>9.7510306004997052</v>
      </c>
      <c r="Q71" s="160">
        <v>15.107260975672965</v>
      </c>
      <c r="R71" s="160">
        <v>6.0652224522249334</v>
      </c>
      <c r="S71" s="160">
        <v>10.001651614901713</v>
      </c>
      <c r="T71" s="159">
        <v>8.1386429198359977E-2</v>
      </c>
      <c r="U71" s="159">
        <v>1.7778313148109137E-2</v>
      </c>
      <c r="V71" s="159">
        <v>5.1259894461536532E-2</v>
      </c>
      <c r="W71" s="159">
        <v>1.3390635636870629</v>
      </c>
      <c r="X71" s="159">
        <v>0.43254080251611221</v>
      </c>
      <c r="Y71" s="159">
        <v>6.7007152043207063E-2</v>
      </c>
      <c r="Z71" s="159">
        <v>6.7007152043207063E-2</v>
      </c>
      <c r="AA71" s="161">
        <v>5.7364970955562075E-2</v>
      </c>
    </row>
    <row r="72" spans="1:27" ht="12.5">
      <c r="A72" s="158" t="s">
        <v>732</v>
      </c>
      <c r="B72" s="77">
        <v>15</v>
      </c>
      <c r="C72" s="159">
        <v>0.13023333333333334</v>
      </c>
      <c r="D72" s="159">
        <v>0.13849542000702966</v>
      </c>
      <c r="E72" s="159">
        <v>0.50284847286762124</v>
      </c>
      <c r="F72" s="159">
        <v>0.24916304003227943</v>
      </c>
      <c r="G72" s="160">
        <v>1.5670419621739333</v>
      </c>
      <c r="H72" s="160">
        <v>1.7891723510222548</v>
      </c>
      <c r="I72" s="159">
        <v>0.14507683765072193</v>
      </c>
      <c r="J72" s="159">
        <v>0.37546183716654358</v>
      </c>
      <c r="K72" s="159">
        <v>5.5E-2</v>
      </c>
      <c r="L72" s="159">
        <v>0.17500957285412982</v>
      </c>
      <c r="M72" s="159">
        <v>0.12690614714267401</v>
      </c>
      <c r="N72" s="160">
        <v>4.2038176025207861</v>
      </c>
      <c r="O72" s="160">
        <v>1.9563486558546059</v>
      </c>
      <c r="P72" s="160">
        <v>11.469128120171815</v>
      </c>
      <c r="Q72" s="160">
        <v>14.161032414237553</v>
      </c>
      <c r="R72" s="160" t="s">
        <v>88</v>
      </c>
      <c r="S72" s="160">
        <v>14.307930590731086</v>
      </c>
      <c r="T72" s="159">
        <v>0.10000462572456546</v>
      </c>
      <c r="U72" s="159">
        <v>2.2444677911148944E-2</v>
      </c>
      <c r="V72" s="159">
        <v>6.3132169216013083E-3</v>
      </c>
      <c r="W72" s="159">
        <v>0.41726625965420955</v>
      </c>
      <c r="X72" s="159">
        <v>4.7726960627988493E-3</v>
      </c>
      <c r="Y72" s="159">
        <v>0.41155081198269666</v>
      </c>
      <c r="Z72" s="159">
        <v>0.41155081198269672</v>
      </c>
      <c r="AA72" s="161">
        <v>0.13811055980817999</v>
      </c>
    </row>
    <row r="73" spans="1:27" ht="12.5">
      <c r="A73" s="158" t="s">
        <v>733</v>
      </c>
      <c r="B73" s="77">
        <v>69</v>
      </c>
      <c r="C73" s="159">
        <v>7.3269285714285717E-2</v>
      </c>
      <c r="D73" s="159">
        <v>0.11662138900914724</v>
      </c>
      <c r="E73" s="159">
        <v>0.21342632081347138</v>
      </c>
      <c r="F73" s="159">
        <v>0.23456802565441692</v>
      </c>
      <c r="G73" s="160">
        <v>1.00607436454125</v>
      </c>
      <c r="H73" s="160">
        <v>1.2752456934388758</v>
      </c>
      <c r="I73" s="159">
        <v>0.11454959419026922</v>
      </c>
      <c r="J73" s="159">
        <v>0.37083010776240061</v>
      </c>
      <c r="K73" s="159">
        <v>5.5E-2</v>
      </c>
      <c r="L73" s="159">
        <v>0.2834997671745757</v>
      </c>
      <c r="M73" s="159">
        <v>9.3769176303337004E-2</v>
      </c>
      <c r="N73" s="160">
        <v>2.0729280898718252</v>
      </c>
      <c r="O73" s="160">
        <v>1.4491371517415981</v>
      </c>
      <c r="P73" s="160">
        <v>9.4337028665467226</v>
      </c>
      <c r="Q73" s="160">
        <v>11.189698840895451</v>
      </c>
      <c r="R73" s="160">
        <v>3.3546996530954596</v>
      </c>
      <c r="S73" s="160">
        <v>27.139280463174906</v>
      </c>
      <c r="T73" s="159">
        <v>0.17141068041195093</v>
      </c>
      <c r="U73" s="159">
        <v>6.0647545579341045E-2</v>
      </c>
      <c r="V73" s="159">
        <v>7.9493645195904877E-2</v>
      </c>
      <c r="W73" s="159">
        <v>1.3260349839685297</v>
      </c>
      <c r="X73" s="159">
        <v>0.27374436051738033</v>
      </c>
      <c r="Y73" s="159">
        <v>0.21645782493310001</v>
      </c>
      <c r="Z73" s="159">
        <v>0.21645782493309995</v>
      </c>
      <c r="AA73" s="161">
        <v>0.11913571399654554</v>
      </c>
    </row>
    <row r="74" spans="1:27" ht="12.5">
      <c r="A74" s="158" t="s">
        <v>659</v>
      </c>
      <c r="B74" s="77">
        <v>15</v>
      </c>
      <c r="C74" s="159">
        <v>4.3181538461538473E-2</v>
      </c>
      <c r="D74" s="159">
        <v>4.3490132696043217E-2</v>
      </c>
      <c r="E74" s="159">
        <v>0.17887258680308168</v>
      </c>
      <c r="F74" s="159">
        <v>0.25407023785694749</v>
      </c>
      <c r="G74" s="160">
        <v>1.2201002971574864</v>
      </c>
      <c r="H74" s="160">
        <v>1.3632136186935628</v>
      </c>
      <c r="I74" s="159">
        <v>0.11977488895039763</v>
      </c>
      <c r="J74" s="159">
        <v>0.31528080319313112</v>
      </c>
      <c r="K74" s="159">
        <v>5.5E-2</v>
      </c>
      <c r="L74" s="159">
        <v>0.16645578370845249</v>
      </c>
      <c r="M74" s="159">
        <v>0.10670396701953999</v>
      </c>
      <c r="N74" s="160">
        <v>5.5117475233811613</v>
      </c>
      <c r="O74" s="160">
        <v>0.81313449985441677</v>
      </c>
      <c r="P74" s="160">
        <v>11.895592388704946</v>
      </c>
      <c r="Q74" s="160">
        <v>19.728979846455509</v>
      </c>
      <c r="R74" s="160">
        <v>5.4471986647594894</v>
      </c>
      <c r="S74" s="160">
        <v>18.550527865353317</v>
      </c>
      <c r="T74" s="159">
        <v>2.6165379645365121E-2</v>
      </c>
      <c r="U74" s="159">
        <v>2.8461865484092286E-2</v>
      </c>
      <c r="V74" s="159">
        <v>1.2638682392051338E-2</v>
      </c>
      <c r="W74" s="159">
        <v>0.98470208721765384</v>
      </c>
      <c r="X74" s="159">
        <v>0.18290105640630752</v>
      </c>
      <c r="Y74" s="159">
        <v>0.40597654479383538</v>
      </c>
      <c r="Z74" s="159">
        <v>0.40597654479383538</v>
      </c>
      <c r="AA74" s="161">
        <v>4.1215232930581755E-2</v>
      </c>
    </row>
    <row r="75" spans="1:27" ht="12.5">
      <c r="A75" s="158" t="s">
        <v>734</v>
      </c>
      <c r="B75" s="77">
        <v>13</v>
      </c>
      <c r="C75" s="159">
        <v>4.9611111111111106E-2</v>
      </c>
      <c r="D75" s="159">
        <v>3.3229364367785945E-2</v>
      </c>
      <c r="E75" s="159">
        <v>0.12766332763145424</v>
      </c>
      <c r="F75" s="159">
        <v>0.22297163025907965</v>
      </c>
      <c r="G75" s="160">
        <v>0.47317490770283238</v>
      </c>
      <c r="H75" s="160">
        <v>0.66756973306313983</v>
      </c>
      <c r="I75" s="159">
        <v>7.8453642143950508E-2</v>
      </c>
      <c r="J75" s="159">
        <v>0.28264661461127033</v>
      </c>
      <c r="K75" s="159">
        <v>5.5E-2</v>
      </c>
      <c r="L75" s="159">
        <v>0.39692761226145523</v>
      </c>
      <c r="M75" s="159">
        <v>6.3686489300322585E-2</v>
      </c>
      <c r="N75" s="160">
        <v>5.2344758552729687</v>
      </c>
      <c r="O75" s="160">
        <v>0.37471973967659333</v>
      </c>
      <c r="P75" s="160">
        <v>5.89476304542662</v>
      </c>
      <c r="Q75" s="160">
        <v>12.820375172626665</v>
      </c>
      <c r="R75" s="160">
        <v>2.7461328553855116</v>
      </c>
      <c r="S75" s="160">
        <v>16.752102075844263</v>
      </c>
      <c r="T75" s="159">
        <v>-5.8215488757404205E-3</v>
      </c>
      <c r="U75" s="159">
        <v>2.1644450260973638E-2</v>
      </c>
      <c r="V75" s="159">
        <v>2.3337952710874967E-3</v>
      </c>
      <c r="W75" s="159">
        <v>0.42410606599951739</v>
      </c>
      <c r="X75" s="159">
        <v>0.27975167006797569</v>
      </c>
      <c r="Y75" s="159">
        <v>0.19815214989312624</v>
      </c>
      <c r="Z75" s="159">
        <v>0.19815214989312624</v>
      </c>
      <c r="AA75" s="161">
        <v>2.9192633781895124E-2</v>
      </c>
    </row>
    <row r="76" spans="1:27" ht="12.5">
      <c r="A76" s="158" t="s">
        <v>735</v>
      </c>
      <c r="B76" s="77">
        <v>63</v>
      </c>
      <c r="C76" s="159">
        <v>0.20712521739130429</v>
      </c>
      <c r="D76" s="159">
        <v>2.3028824906177303E-2</v>
      </c>
      <c r="E76" s="159">
        <v>5.0939512756182574E-2</v>
      </c>
      <c r="F76" s="159">
        <v>4.4035702529034602E-3</v>
      </c>
      <c r="G76" s="160">
        <v>1.3559898443505161</v>
      </c>
      <c r="H76" s="160">
        <v>1.4871300694613425</v>
      </c>
      <c r="I76" s="159">
        <v>0.12713552612600376</v>
      </c>
      <c r="J76" s="159">
        <v>0.59410388760758681</v>
      </c>
      <c r="K76" s="159">
        <v>5.8800000000000005E-2</v>
      </c>
      <c r="L76" s="159">
        <v>0.16089394698680773</v>
      </c>
      <c r="M76" s="159">
        <v>0.11377561258746482</v>
      </c>
      <c r="N76" s="160">
        <v>1.3427580150233107</v>
      </c>
      <c r="O76" s="160">
        <v>1.8662255983788749</v>
      </c>
      <c r="P76" s="160">
        <v>16.070943107400783</v>
      </c>
      <c r="Q76" s="160">
        <v>98.640738304840809</v>
      </c>
      <c r="R76" s="160">
        <v>6.1619844288535095</v>
      </c>
      <c r="S76" s="160">
        <v>205.21167470141248</v>
      </c>
      <c r="T76" s="159">
        <v>-4.2848254664685798E-3</v>
      </c>
      <c r="U76" s="159">
        <v>0.11698649326936973</v>
      </c>
      <c r="V76" s="159">
        <v>8.251654433099144E-2</v>
      </c>
      <c r="W76" s="159">
        <v>7.0941697703296684</v>
      </c>
      <c r="X76" s="159">
        <v>2.5424242440325519E-2</v>
      </c>
      <c r="Y76" s="159">
        <v>0.13918756106739016</v>
      </c>
      <c r="Z76" s="159">
        <v>0.13918756106739016</v>
      </c>
      <c r="AA76" s="161">
        <v>3.8689183338772491E-2</v>
      </c>
    </row>
    <row r="77" spans="1:27" ht="12.5">
      <c r="A77" s="158" t="s">
        <v>736</v>
      </c>
      <c r="B77" s="77">
        <v>78</v>
      </c>
      <c r="C77" s="159">
        <v>0.13322980769230772</v>
      </c>
      <c r="D77" s="159">
        <v>5.4269454417329027E-2</v>
      </c>
      <c r="E77" s="159">
        <v>0.15715843531246571</v>
      </c>
      <c r="F77" s="159">
        <v>0.20574028224664132</v>
      </c>
      <c r="G77" s="160">
        <v>1.187876333197214</v>
      </c>
      <c r="H77" s="160">
        <v>1.4752073825450458</v>
      </c>
      <c r="I77" s="159">
        <v>0.12642731852317574</v>
      </c>
      <c r="J77" s="159">
        <v>0.38585905225789641</v>
      </c>
      <c r="K77" s="159">
        <v>5.5E-2</v>
      </c>
      <c r="L77" s="159">
        <v>0.28139429989154335</v>
      </c>
      <c r="M77" s="159">
        <v>0.10245890661070772</v>
      </c>
      <c r="N77" s="160">
        <v>3.2211003615831286</v>
      </c>
      <c r="O77" s="160">
        <v>0.96745501914780907</v>
      </c>
      <c r="P77" s="160">
        <v>8.3999023750456416</v>
      </c>
      <c r="Q77" s="160">
        <v>16.588661331446687</v>
      </c>
      <c r="R77" s="160">
        <v>4.4182366416657732</v>
      </c>
      <c r="S77" s="160">
        <v>19.968362936967932</v>
      </c>
      <c r="T77" s="159">
        <v>7.8075689362575099E-2</v>
      </c>
      <c r="U77" s="159">
        <v>2.5391764038313232E-2</v>
      </c>
      <c r="V77" s="159">
        <v>1.6007996870033885E-2</v>
      </c>
      <c r="W77" s="159">
        <v>0.88986707734601544</v>
      </c>
      <c r="X77" s="159">
        <v>0.24164994928738759</v>
      </c>
      <c r="Y77" s="159">
        <v>0.32402204137758905</v>
      </c>
      <c r="Z77" s="159">
        <v>0.32402204137758905</v>
      </c>
      <c r="AA77" s="161">
        <v>5.7406007478131293E-2</v>
      </c>
    </row>
    <row r="78" spans="1:27" ht="12.5">
      <c r="A78" s="158" t="s">
        <v>737</v>
      </c>
      <c r="B78" s="77">
        <v>3</v>
      </c>
      <c r="C78" s="159">
        <v>0.12423333333333333</v>
      </c>
      <c r="D78" s="159">
        <v>5.5477892133474836E-2</v>
      </c>
      <c r="E78" s="159">
        <v>9.6174544302176548E-2</v>
      </c>
      <c r="F78" s="159">
        <v>0</v>
      </c>
      <c r="G78" s="160">
        <v>0.26766554739644599</v>
      </c>
      <c r="H78" s="160">
        <v>0.83801497962970528</v>
      </c>
      <c r="I78" s="159">
        <v>8.8578089790004505E-2</v>
      </c>
      <c r="J78" s="159">
        <v>0.39785998397496214</v>
      </c>
      <c r="K78" s="159">
        <v>5.5E-2</v>
      </c>
      <c r="L78" s="159">
        <v>0.76762233709685423</v>
      </c>
      <c r="M78" s="159">
        <v>5.2247990895071483E-2</v>
      </c>
      <c r="N78" s="160">
        <v>1.5914803168514429</v>
      </c>
      <c r="O78" s="160">
        <v>0.54994654147614319</v>
      </c>
      <c r="P78" s="160">
        <v>4.8112747740259056</v>
      </c>
      <c r="Q78" s="160">
        <v>9.4223053989184908</v>
      </c>
      <c r="R78" s="160">
        <v>0.54937207352345419</v>
      </c>
      <c r="S78" s="160">
        <v>7.086078039072091</v>
      </c>
      <c r="T78" s="159">
        <v>0.13332431037672471</v>
      </c>
      <c r="U78" s="159">
        <v>5.2902454698591055E-2</v>
      </c>
      <c r="V78" s="159">
        <v>8.5634803945433807E-3</v>
      </c>
      <c r="W78" s="159">
        <v>1.0500968085452227</v>
      </c>
      <c r="X78" s="159">
        <v>0.1980977052337177</v>
      </c>
      <c r="Y78" s="159">
        <v>0</v>
      </c>
      <c r="Z78" s="159">
        <v>0</v>
      </c>
      <c r="AA78" s="161">
        <v>6.0430872618297028E-2</v>
      </c>
    </row>
    <row r="79" spans="1:27" ht="12.5">
      <c r="A79" s="158" t="s">
        <v>738</v>
      </c>
      <c r="B79" s="77">
        <v>68</v>
      </c>
      <c r="C79" s="159">
        <v>8.8798913043478242E-2</v>
      </c>
      <c r="D79" s="159">
        <v>0.25438540035080681</v>
      </c>
      <c r="E79" s="159">
        <v>0.1851707902340006</v>
      </c>
      <c r="F79" s="159">
        <v>0.10212775505839949</v>
      </c>
      <c r="G79" s="160">
        <v>1.5342672202060941</v>
      </c>
      <c r="H79" s="160">
        <v>1.6077462586340689</v>
      </c>
      <c r="I79" s="159">
        <v>0.13430012776286371</v>
      </c>
      <c r="J79" s="159">
        <v>0.38404265117692143</v>
      </c>
      <c r="K79" s="159">
        <v>5.5E-2</v>
      </c>
      <c r="L79" s="159">
        <v>0.10124985178257215</v>
      </c>
      <c r="M79" s="159">
        <v>0.12487881611852436</v>
      </c>
      <c r="N79" s="160">
        <v>0.72201005886116498</v>
      </c>
      <c r="O79" s="160">
        <v>4.9757982826069913</v>
      </c>
      <c r="P79" s="160">
        <v>12.655041430895425</v>
      </c>
      <c r="Q79" s="160">
        <v>19.336945230156992</v>
      </c>
      <c r="R79" s="160">
        <v>3.7932462671985561</v>
      </c>
      <c r="S79" s="160">
        <v>29.657290214296978</v>
      </c>
      <c r="T79" s="159">
        <v>0.2033162539524809</v>
      </c>
      <c r="U79" s="159">
        <v>0.16832492397226165</v>
      </c>
      <c r="V79" s="159">
        <v>9.4211405166161985E-2</v>
      </c>
      <c r="W79" s="159">
        <v>0.68561846994152498</v>
      </c>
      <c r="X79" s="159">
        <v>0.22766391058991867</v>
      </c>
      <c r="Y79" s="159">
        <v>0.32844198803414559</v>
      </c>
      <c r="Z79" s="159">
        <v>0.32844198803414559</v>
      </c>
      <c r="AA79" s="161">
        <v>0.27728175935892962</v>
      </c>
    </row>
    <row r="80" spans="1:27" ht="12.5">
      <c r="A80" s="158" t="s">
        <v>739</v>
      </c>
      <c r="B80" s="77">
        <v>30</v>
      </c>
      <c r="C80" s="159">
        <v>0.15696923076923081</v>
      </c>
      <c r="D80" s="159">
        <v>0.27299636853201725</v>
      </c>
      <c r="E80" s="159">
        <v>0.38166166267508272</v>
      </c>
      <c r="F80" s="159">
        <v>0.13503787754453553</v>
      </c>
      <c r="G80" s="160">
        <v>1.6892473610771204</v>
      </c>
      <c r="H80" s="160">
        <v>1.757142721715889</v>
      </c>
      <c r="I80" s="159">
        <v>0.1431742776699238</v>
      </c>
      <c r="J80" s="159">
        <v>0.41568723029676519</v>
      </c>
      <c r="K80" s="159">
        <v>5.5E-2</v>
      </c>
      <c r="L80" s="159">
        <v>0.10544019640189742</v>
      </c>
      <c r="M80" s="159">
        <v>0.13242736181428552</v>
      </c>
      <c r="N80" s="160">
        <v>1.5108753291051042</v>
      </c>
      <c r="O80" s="160">
        <v>3.6641302435732546</v>
      </c>
      <c r="P80" s="160">
        <v>11.777235010380455</v>
      </c>
      <c r="Q80" s="160">
        <v>13.342294844275649</v>
      </c>
      <c r="R80" s="160">
        <v>6.3977805113469159</v>
      </c>
      <c r="S80" s="160">
        <v>20.068843491664495</v>
      </c>
      <c r="T80" s="159">
        <v>0.3428701992540078</v>
      </c>
      <c r="U80" s="159">
        <v>4.4924997757117648E-2</v>
      </c>
      <c r="V80" s="159">
        <v>0.15241894968668626</v>
      </c>
      <c r="W80" s="159">
        <v>1.0589803717525832</v>
      </c>
      <c r="X80" s="159">
        <v>0.46515933713298008</v>
      </c>
      <c r="Y80" s="159">
        <v>0.14247023533039754</v>
      </c>
      <c r="Z80" s="159">
        <v>0.14247023533039749</v>
      </c>
      <c r="AA80" s="161">
        <v>0.28261961491576909</v>
      </c>
    </row>
    <row r="81" spans="1:27" ht="12.5">
      <c r="A81" s="158" t="s">
        <v>740</v>
      </c>
      <c r="B81" s="77">
        <v>8</v>
      </c>
      <c r="C81" s="159">
        <v>0.15536666666666668</v>
      </c>
      <c r="D81" s="159">
        <v>0.25504298331125996</v>
      </c>
      <c r="E81" s="159">
        <v>0.2879125341055872</v>
      </c>
      <c r="F81" s="159">
        <v>0.15555189720939572</v>
      </c>
      <c r="G81" s="160">
        <v>0.78033395563769492</v>
      </c>
      <c r="H81" s="160">
        <v>0.94373863184759688</v>
      </c>
      <c r="I81" s="159">
        <v>9.4858074731747261E-2</v>
      </c>
      <c r="J81" s="159">
        <v>0.4116087861322939</v>
      </c>
      <c r="K81" s="159">
        <v>5.5E-2</v>
      </c>
      <c r="L81" s="159">
        <v>0.28067166925935105</v>
      </c>
      <c r="M81" s="159">
        <v>7.9811806911007713E-2</v>
      </c>
      <c r="N81" s="160">
        <v>1.1661301455364754</v>
      </c>
      <c r="O81" s="160">
        <v>1.072671629219107</v>
      </c>
      <c r="P81" s="160">
        <v>3.2815362092121219</v>
      </c>
      <c r="Q81" s="160">
        <v>4.0638748800590418</v>
      </c>
      <c r="R81" s="160">
        <v>1.0608776649134781</v>
      </c>
      <c r="S81" s="160">
        <v>10.015502901810539</v>
      </c>
      <c r="T81" s="159">
        <v>9.3958615753230112E-2</v>
      </c>
      <c r="U81" s="159">
        <v>5.1803655272075054E-2</v>
      </c>
      <c r="V81" s="159">
        <v>1.5116725465492238E-3</v>
      </c>
      <c r="W81" s="159">
        <v>5.9835331655272899E-3</v>
      </c>
      <c r="X81" s="159">
        <v>0.352900093688783</v>
      </c>
      <c r="Y81" s="159">
        <v>0.12371482357484191</v>
      </c>
      <c r="Z81" s="159">
        <v>0.12371482357484187</v>
      </c>
      <c r="AA81" s="161">
        <v>0.2633054493508078</v>
      </c>
    </row>
    <row r="82" spans="1:27" ht="12.5">
      <c r="A82" s="158" t="s">
        <v>741</v>
      </c>
      <c r="B82" s="77">
        <v>13</v>
      </c>
      <c r="C82" s="159">
        <v>0.11900000000000001</v>
      </c>
      <c r="D82" s="159">
        <v>0.12855202477384006</v>
      </c>
      <c r="E82" s="159">
        <v>0.3342396344576759</v>
      </c>
      <c r="F82" s="159">
        <v>0.14205695165101007</v>
      </c>
      <c r="G82" s="160">
        <v>1.2886673829152329</v>
      </c>
      <c r="H82" s="160">
        <v>1.3276925338648697</v>
      </c>
      <c r="I82" s="159">
        <v>0.11766493651157327</v>
      </c>
      <c r="J82" s="159">
        <v>0.39374185918980237</v>
      </c>
      <c r="K82" s="159">
        <v>5.5E-2</v>
      </c>
      <c r="L82" s="159">
        <v>8.2687179007953762E-2</v>
      </c>
      <c r="M82" s="159">
        <v>0.11134640097735939</v>
      </c>
      <c r="N82" s="160">
        <v>2.9142709053503486</v>
      </c>
      <c r="O82" s="160">
        <v>3.2197253108411452</v>
      </c>
      <c r="P82" s="160">
        <v>20.228666883751565</v>
      </c>
      <c r="Q82" s="160">
        <v>25.052228696194703</v>
      </c>
      <c r="R82" s="160">
        <v>9.0441903847060985</v>
      </c>
      <c r="S82" s="160">
        <v>13.494158283376812</v>
      </c>
      <c r="T82" s="159">
        <v>0.24978584094939296</v>
      </c>
      <c r="U82" s="159">
        <v>8.4552047992059367E-3</v>
      </c>
      <c r="V82" s="159">
        <v>2.2399777105094363E-2</v>
      </c>
      <c r="W82" s="159">
        <v>0.48818130917890407</v>
      </c>
      <c r="X82" s="159">
        <v>0.36283302620850871</v>
      </c>
      <c r="Y82" s="159">
        <v>0.26914232272981153</v>
      </c>
      <c r="Z82" s="159">
        <v>0.26914232272981153</v>
      </c>
      <c r="AA82" s="161">
        <v>0.12841863962857086</v>
      </c>
    </row>
    <row r="83" spans="1:27" ht="12.5">
      <c r="A83" s="158" t="s">
        <v>742</v>
      </c>
      <c r="B83" s="77">
        <v>91</v>
      </c>
      <c r="C83" s="159">
        <v>0.30379758620689651</v>
      </c>
      <c r="D83" s="159">
        <v>0.25914280028922959</v>
      </c>
      <c r="E83" s="159">
        <v>0.21872362118463728</v>
      </c>
      <c r="F83" s="159">
        <v>0.15916868395647554</v>
      </c>
      <c r="G83" s="160">
        <v>1.3578802103729628</v>
      </c>
      <c r="H83" s="160">
        <v>1.363575730964357</v>
      </c>
      <c r="I83" s="159">
        <v>0.11979639841928282</v>
      </c>
      <c r="J83" s="159">
        <v>0.58709543871584413</v>
      </c>
      <c r="K83" s="159">
        <v>5.8800000000000005E-2</v>
      </c>
      <c r="L83" s="159">
        <v>4.5824628286418652E-2</v>
      </c>
      <c r="M83" s="159">
        <v>0.11632763909909853</v>
      </c>
      <c r="N83" s="160">
        <v>0.78139743738989276</v>
      </c>
      <c r="O83" s="160">
        <v>3.5922880547988676</v>
      </c>
      <c r="P83" s="160">
        <v>10.654085080406665</v>
      </c>
      <c r="Q83" s="160">
        <v>13.78633819467794</v>
      </c>
      <c r="R83" s="160">
        <v>3.7956325817017307</v>
      </c>
      <c r="S83" s="160">
        <v>105.43298269537888</v>
      </c>
      <c r="T83" s="159">
        <v>6.6824362083113348E-2</v>
      </c>
      <c r="U83" s="159">
        <v>0.13448757972934877</v>
      </c>
      <c r="V83" s="159">
        <v>0.14039023756413552</v>
      </c>
      <c r="W83" s="159">
        <v>0.67179783899472612</v>
      </c>
      <c r="X83" s="159">
        <v>0.22766341753018665</v>
      </c>
      <c r="Y83" s="159">
        <v>6.5514772970139145E-4</v>
      </c>
      <c r="Z83" s="159">
        <v>6.5514772970143298E-4</v>
      </c>
      <c r="AA83" s="161">
        <v>0.28970111829722173</v>
      </c>
    </row>
    <row r="84" spans="1:27" ht="12.5">
      <c r="A84" s="158" t="s">
        <v>743</v>
      </c>
      <c r="B84" s="77">
        <v>33</v>
      </c>
      <c r="C84" s="159">
        <v>0.25942999999999999</v>
      </c>
      <c r="D84" s="159">
        <v>-5.8531732843739352E-2</v>
      </c>
      <c r="E84" s="159">
        <v>-1.0250823148619595E-2</v>
      </c>
      <c r="F84" s="159">
        <v>0.19106183121096207</v>
      </c>
      <c r="G84" s="160">
        <v>1.416511407810549</v>
      </c>
      <c r="H84" s="160">
        <v>1.5513058877107246</v>
      </c>
      <c r="I84" s="159">
        <v>0.13094756973001703</v>
      </c>
      <c r="J84" s="159">
        <v>0.55243837546789154</v>
      </c>
      <c r="K84" s="159">
        <v>5.8800000000000005E-2</v>
      </c>
      <c r="L84" s="159">
        <v>0.15006072569661108</v>
      </c>
      <c r="M84" s="159">
        <v>0.11791516039134364</v>
      </c>
      <c r="N84" s="160">
        <v>0.66506973987158913</v>
      </c>
      <c r="O84" s="160">
        <v>6.3326128080935904</v>
      </c>
      <c r="P84" s="160">
        <v>14.835872625839691</v>
      </c>
      <c r="Q84" s="160" t="s">
        <v>88</v>
      </c>
      <c r="R84" s="160">
        <v>5.2093469544507194</v>
      </c>
      <c r="S84" s="160">
        <v>28.698253036649461</v>
      </c>
      <c r="T84" s="159">
        <v>0.11330412713427597</v>
      </c>
      <c r="U84" s="159">
        <v>6.4780861262625E-2</v>
      </c>
      <c r="V84" s="159">
        <v>0.11033018097918079</v>
      </c>
      <c r="W84" s="159" t="s">
        <v>88</v>
      </c>
      <c r="X84" s="159">
        <v>-0.15730842666696312</v>
      </c>
      <c r="Y84" s="159">
        <v>0</v>
      </c>
      <c r="Z84" s="159">
        <v>0</v>
      </c>
      <c r="AA84" s="161">
        <v>-1.670941277525544E-2</v>
      </c>
    </row>
    <row r="85" spans="1:27" ht="12.5">
      <c r="A85" s="158" t="s">
        <v>744</v>
      </c>
      <c r="B85" s="77">
        <v>390</v>
      </c>
      <c r="C85" s="159">
        <v>0.201011923076923</v>
      </c>
      <c r="D85" s="159">
        <v>0.21806980176649746</v>
      </c>
      <c r="E85" s="159">
        <v>0.22470721283664671</v>
      </c>
      <c r="F85" s="159">
        <v>0.17780321331389323</v>
      </c>
      <c r="G85" s="160">
        <v>1.4129709426977197</v>
      </c>
      <c r="H85" s="160">
        <v>1.4697712402478267</v>
      </c>
      <c r="I85" s="159">
        <v>0.1261044116707209</v>
      </c>
      <c r="J85" s="159">
        <v>0.52111210183577161</v>
      </c>
      <c r="K85" s="159">
        <v>5.8800000000000005E-2</v>
      </c>
      <c r="L85" s="159">
        <v>8.562961432885291E-2</v>
      </c>
      <c r="M85" s="159">
        <v>0.11908240552609259</v>
      </c>
      <c r="N85" s="160">
        <v>0.95920716659429495</v>
      </c>
      <c r="O85" s="160">
        <v>7.587550224240557</v>
      </c>
      <c r="P85" s="160">
        <v>21.327869033251581</v>
      </c>
      <c r="Q85" s="160">
        <v>31.832828872759528</v>
      </c>
      <c r="R85" s="160">
        <v>8.3878140324533863</v>
      </c>
      <c r="S85" s="160">
        <v>103.73573705984646</v>
      </c>
      <c r="T85" s="159">
        <v>0.13026992114930669</v>
      </c>
      <c r="U85" s="159">
        <v>8.1722212196603083E-2</v>
      </c>
      <c r="V85" s="159">
        <v>0.21305367709810255</v>
      </c>
      <c r="W85" s="159">
        <v>1.3763945807748532</v>
      </c>
      <c r="X85" s="159">
        <v>0.19683264162210642</v>
      </c>
      <c r="Y85" s="159">
        <v>0.34011176822892464</v>
      </c>
      <c r="Z85" s="159">
        <v>0.34011176822892464</v>
      </c>
      <c r="AA85" s="161">
        <v>0.24169896674237901</v>
      </c>
    </row>
    <row r="86" spans="1:27" ht="12.5">
      <c r="A86" s="158" t="s">
        <v>745</v>
      </c>
      <c r="B86" s="77">
        <v>28</v>
      </c>
      <c r="C86" s="159">
        <v>0.1520936</v>
      </c>
      <c r="D86" s="159">
        <v>0.19837279405275304</v>
      </c>
      <c r="E86" s="159">
        <v>0.48631538851966338</v>
      </c>
      <c r="F86" s="159">
        <v>0.20626448312357859</v>
      </c>
      <c r="G86" s="160">
        <v>1.2125474928571525</v>
      </c>
      <c r="H86" s="160">
        <v>1.3424843767995962</v>
      </c>
      <c r="I86" s="159">
        <v>0.11854357198189602</v>
      </c>
      <c r="J86" s="159">
        <v>0.38298957011173351</v>
      </c>
      <c r="K86" s="159">
        <v>5.5E-2</v>
      </c>
      <c r="L86" s="159">
        <v>0.22236540864885215</v>
      </c>
      <c r="M86" s="159">
        <v>0.10135615526221226</v>
      </c>
      <c r="N86" s="160">
        <v>2.8748481776829053</v>
      </c>
      <c r="O86" s="160">
        <v>0.67632769160090278</v>
      </c>
      <c r="P86" s="160">
        <v>2.9604690976503054</v>
      </c>
      <c r="Q86" s="160">
        <v>3.3903648016728862</v>
      </c>
      <c r="R86" s="160">
        <v>1.5077570630625767</v>
      </c>
      <c r="S86" s="160">
        <v>12.795287192941224</v>
      </c>
      <c r="T86" s="159">
        <v>0.19440238903246351</v>
      </c>
      <c r="U86" s="159">
        <v>4.0528385149315387E-2</v>
      </c>
      <c r="V86" s="159">
        <v>5.1297962917674897E-2</v>
      </c>
      <c r="W86" s="159">
        <v>0.48702789906679572</v>
      </c>
      <c r="X86" s="159">
        <v>0.53748067941265398</v>
      </c>
      <c r="Y86" s="159">
        <v>5.2465192388391764E-2</v>
      </c>
      <c r="Z86" s="159">
        <v>5.2465192388391757E-2</v>
      </c>
      <c r="AA86" s="161">
        <v>0.19890523188577286</v>
      </c>
    </row>
    <row r="87" spans="1:27" ht="12.5">
      <c r="A87" s="158" t="s">
        <v>746</v>
      </c>
      <c r="B87" s="77">
        <v>16</v>
      </c>
      <c r="C87" s="159">
        <v>0.1849777777777778</v>
      </c>
      <c r="D87" s="159">
        <v>0.14045963573882486</v>
      </c>
      <c r="E87" s="159">
        <v>6.1518831942779746E-2</v>
      </c>
      <c r="F87" s="159">
        <v>4.7446371619555242E-2</v>
      </c>
      <c r="G87" s="160">
        <v>0.71135842360803681</v>
      </c>
      <c r="H87" s="160">
        <v>1.0309737102652559</v>
      </c>
      <c r="I87" s="159">
        <v>0.10003983838975619</v>
      </c>
      <c r="J87" s="159">
        <v>0.51921047688999544</v>
      </c>
      <c r="K87" s="159">
        <v>5.8800000000000005E-2</v>
      </c>
      <c r="L87" s="159">
        <v>0.39450630773069012</v>
      </c>
      <c r="M87" s="159">
        <v>7.7971219291561963E-2</v>
      </c>
      <c r="N87" s="160">
        <v>0.52145758522578434</v>
      </c>
      <c r="O87" s="160">
        <v>3.1769575920264543</v>
      </c>
      <c r="P87" s="160">
        <v>8.7408928619052606</v>
      </c>
      <c r="Q87" s="160">
        <v>25.662492041051511</v>
      </c>
      <c r="R87" s="160">
        <v>2.1879318941731314</v>
      </c>
      <c r="S87" s="160">
        <v>30.246217685474839</v>
      </c>
      <c r="T87" s="159">
        <v>6.1437877786718699E-2</v>
      </c>
      <c r="U87" s="159">
        <v>0.17161754624729897</v>
      </c>
      <c r="V87" s="159">
        <v>1.0400480070954753E-2</v>
      </c>
      <c r="W87" s="159">
        <v>0.62186778246157948</v>
      </c>
      <c r="X87" s="159">
        <v>2.9708054224260538E-2</v>
      </c>
      <c r="Y87" s="159">
        <v>6.2773294962541096E-2</v>
      </c>
      <c r="Z87" s="159">
        <v>6.2773294962541137E-2</v>
      </c>
      <c r="AA87" s="161">
        <v>0.1227109614976522</v>
      </c>
    </row>
    <row r="88" spans="1:27" ht="12.5">
      <c r="A88" s="158" t="s">
        <v>747</v>
      </c>
      <c r="B88" s="77">
        <v>79</v>
      </c>
      <c r="C88" s="159">
        <v>3.5115849056603768E-2</v>
      </c>
      <c r="D88" s="159">
        <v>0.18340619780161901</v>
      </c>
      <c r="E88" s="159">
        <v>0.25986621816079664</v>
      </c>
      <c r="F88" s="159">
        <v>0.18446632886124401</v>
      </c>
      <c r="G88" s="160">
        <v>1.1784895771242725</v>
      </c>
      <c r="H88" s="160">
        <v>1.2331194872073334</v>
      </c>
      <c r="I88" s="159">
        <v>0.11204729754011561</v>
      </c>
      <c r="J88" s="159">
        <v>0.41348753948301459</v>
      </c>
      <c r="K88" s="159">
        <v>5.5E-2</v>
      </c>
      <c r="L88" s="159">
        <v>0.10457107348559717</v>
      </c>
      <c r="M88" s="159">
        <v>0.10464394813646649</v>
      </c>
      <c r="N88" s="160">
        <v>1.4179419448565018</v>
      </c>
      <c r="O88" s="160">
        <v>3.5614434610706187</v>
      </c>
      <c r="P88" s="160">
        <v>14.699355157441362</v>
      </c>
      <c r="Q88" s="160">
        <v>19.000536879308321</v>
      </c>
      <c r="R88" s="160">
        <v>5.2013339028049375</v>
      </c>
      <c r="S88" s="160">
        <v>36.727247846578237</v>
      </c>
      <c r="T88" s="159">
        <v>0.23107855060632893</v>
      </c>
      <c r="U88" s="159">
        <v>2.4601984851124619E-2</v>
      </c>
      <c r="V88" s="159">
        <v>3.5153674659288023E-2</v>
      </c>
      <c r="W88" s="159">
        <v>0.49937335390514059</v>
      </c>
      <c r="X88" s="159">
        <v>0.20129140471295251</v>
      </c>
      <c r="Y88" s="159">
        <v>0.51065304447136584</v>
      </c>
      <c r="Z88" s="159">
        <v>0.51065304447136584</v>
      </c>
      <c r="AA88" s="161">
        <v>0.19082942960445631</v>
      </c>
    </row>
    <row r="89" spans="1:27" ht="12.5">
      <c r="A89" s="158" t="s">
        <v>748</v>
      </c>
      <c r="B89" s="77">
        <v>49</v>
      </c>
      <c r="C89" s="159">
        <v>0.1681304347826087</v>
      </c>
      <c r="D89" s="159">
        <v>0.19983455140225229</v>
      </c>
      <c r="E89" s="159">
        <v>0.12376739217567063</v>
      </c>
      <c r="F89" s="159">
        <v>0.22104818421663627</v>
      </c>
      <c r="G89" s="160">
        <v>0.47390612503545576</v>
      </c>
      <c r="H89" s="160">
        <v>0.88226816528565966</v>
      </c>
      <c r="I89" s="159">
        <v>9.1206729017968183E-2</v>
      </c>
      <c r="J89" s="159">
        <v>0.55371695621592376</v>
      </c>
      <c r="K89" s="159">
        <v>5.8800000000000005E-2</v>
      </c>
      <c r="L89" s="159">
        <v>0.5406894051251091</v>
      </c>
      <c r="M89" s="159">
        <v>6.5736619727853246E-2</v>
      </c>
      <c r="N89" s="160">
        <v>0.66172943264450124</v>
      </c>
      <c r="O89" s="160">
        <v>2.1752246611284507</v>
      </c>
      <c r="P89" s="160">
        <v>5.9843541152342832</v>
      </c>
      <c r="Q89" s="160">
        <v>10.877670675991812</v>
      </c>
      <c r="R89" s="160">
        <v>1.2872958829659149</v>
      </c>
      <c r="S89" s="160">
        <v>145.85411391978104</v>
      </c>
      <c r="T89" s="159">
        <v>3.6739098538658686E-3</v>
      </c>
      <c r="U89" s="159">
        <v>0.15170847980907021</v>
      </c>
      <c r="V89" s="159">
        <v>5.7617506731433427E-2</v>
      </c>
      <c r="W89" s="159">
        <v>0.36159994195800516</v>
      </c>
      <c r="X89" s="159">
        <v>0.15757991803815463</v>
      </c>
      <c r="Y89" s="159">
        <v>0.51908621139657796</v>
      </c>
      <c r="Z89" s="159">
        <v>0.51908621139657796</v>
      </c>
      <c r="AA89" s="161">
        <v>0.20007496687469906</v>
      </c>
    </row>
    <row r="90" spans="1:27" ht="12.5">
      <c r="A90" s="158" t="s">
        <v>749</v>
      </c>
      <c r="B90" s="77">
        <v>15</v>
      </c>
      <c r="C90" s="159">
        <v>5.765E-2</v>
      </c>
      <c r="D90" s="159">
        <v>0.43764657386660305</v>
      </c>
      <c r="E90" s="159">
        <v>0.70880191137676474</v>
      </c>
      <c r="F90" s="159">
        <v>0.25215257842606509</v>
      </c>
      <c r="G90" s="160">
        <v>1.7442504521558875</v>
      </c>
      <c r="H90" s="160">
        <v>2.0004565028386407</v>
      </c>
      <c r="I90" s="159">
        <v>0.15762711626861525</v>
      </c>
      <c r="J90" s="159">
        <v>0.44059235658259677</v>
      </c>
      <c r="K90" s="159">
        <v>5.5E-2</v>
      </c>
      <c r="L90" s="159">
        <v>0.19390853485149315</v>
      </c>
      <c r="M90" s="159">
        <v>0.1350606001627262</v>
      </c>
      <c r="N90" s="160">
        <v>1.7836862713219102</v>
      </c>
      <c r="O90" s="160">
        <v>5.0465098709256733</v>
      </c>
      <c r="P90" s="160">
        <v>10.761389721102821</v>
      </c>
      <c r="Q90" s="160">
        <v>11.467667597500895</v>
      </c>
      <c r="R90" s="160" t="s">
        <v>88</v>
      </c>
      <c r="S90" s="160">
        <v>13.550731442270219</v>
      </c>
      <c r="T90" s="159">
        <v>0.11365806683826973</v>
      </c>
      <c r="U90" s="159">
        <v>2.2929900257818856E-2</v>
      </c>
      <c r="V90" s="159">
        <v>2.1105974212593085E-2</v>
      </c>
      <c r="W90" s="159">
        <v>7.8906399841948902E-2</v>
      </c>
      <c r="X90" s="159" t="s">
        <v>88</v>
      </c>
      <c r="Y90" s="159">
        <v>1.0717329039722374</v>
      </c>
      <c r="Z90" s="159">
        <v>1.0717329039722374</v>
      </c>
      <c r="AA90" s="161">
        <v>0.44061190099685843</v>
      </c>
    </row>
    <row r="91" spans="1:27" ht="12.5">
      <c r="A91" s="158" t="s">
        <v>750</v>
      </c>
      <c r="B91" s="77">
        <v>18</v>
      </c>
      <c r="C91" s="159">
        <v>0.14991818181818178</v>
      </c>
      <c r="D91" s="159">
        <v>9.3520310959021982E-2</v>
      </c>
      <c r="E91" s="159">
        <v>0.24195399230782733</v>
      </c>
      <c r="F91" s="159">
        <v>0.22166954631975314</v>
      </c>
      <c r="G91" s="160">
        <v>0.92459381899211512</v>
      </c>
      <c r="H91" s="160">
        <v>1.058265749430396</v>
      </c>
      <c r="I91" s="159">
        <v>0.10166098551616552</v>
      </c>
      <c r="J91" s="159">
        <v>0.28046286808958065</v>
      </c>
      <c r="K91" s="159">
        <v>5.5E-2</v>
      </c>
      <c r="L91" s="159">
        <v>0.22785975576835596</v>
      </c>
      <c r="M91" s="159">
        <v>8.7895753110726366E-2</v>
      </c>
      <c r="N91" s="160">
        <v>3.0857818119673657</v>
      </c>
      <c r="O91" s="160">
        <v>1.0825416705307049</v>
      </c>
      <c r="P91" s="160">
        <v>7.6537113434500652</v>
      </c>
      <c r="Q91" s="160">
        <v>11.544187954700289</v>
      </c>
      <c r="R91" s="160">
        <v>4.2524702951679947</v>
      </c>
      <c r="S91" s="160">
        <v>23.851971943925097</v>
      </c>
      <c r="T91" s="159">
        <v>7.2192914926226481E-2</v>
      </c>
      <c r="U91" s="159">
        <v>4.7303289099368033E-2</v>
      </c>
      <c r="V91" s="159">
        <v>2.3385069645266855E-2</v>
      </c>
      <c r="W91" s="159">
        <v>0.50479787757270056</v>
      </c>
      <c r="X91" s="159">
        <v>0.36781742659330763</v>
      </c>
      <c r="Y91" s="159">
        <v>0.3344890410678481</v>
      </c>
      <c r="Z91" s="159">
        <v>0.33448904106784805</v>
      </c>
      <c r="AA91" s="161">
        <v>9.3773219525382645E-2</v>
      </c>
    </row>
    <row r="92" spans="1:27" ht="12.5">
      <c r="A92" s="158" t="s">
        <v>751</v>
      </c>
      <c r="B92" s="77">
        <v>4</v>
      </c>
      <c r="C92" s="159">
        <v>3.783333333333333E-2</v>
      </c>
      <c r="D92" s="159">
        <v>0.40063130015646781</v>
      </c>
      <c r="E92" s="159">
        <v>0.16937779933759034</v>
      </c>
      <c r="F92" s="159">
        <v>0.2228821337940716</v>
      </c>
      <c r="G92" s="160">
        <v>0.93238153388768741</v>
      </c>
      <c r="H92" s="160">
        <v>1.1078308621714459</v>
      </c>
      <c r="I92" s="159">
        <v>0.10460515321298389</v>
      </c>
      <c r="J92" s="159">
        <v>0.16341269092106181</v>
      </c>
      <c r="K92" s="159">
        <v>4.7300000000000002E-2</v>
      </c>
      <c r="L92" s="159">
        <v>0.21538599902572655</v>
      </c>
      <c r="M92" s="159">
        <v>8.9715486100403807E-2</v>
      </c>
      <c r="N92" s="160">
        <v>0.50933785320283187</v>
      </c>
      <c r="O92" s="160">
        <v>6.3236145780689155</v>
      </c>
      <c r="P92" s="160">
        <v>12.476631341363998</v>
      </c>
      <c r="Q92" s="160">
        <v>15.865279366688831</v>
      </c>
      <c r="R92" s="160">
        <v>6.7532256135296347</v>
      </c>
      <c r="S92" s="160">
        <v>17.861577963998506</v>
      </c>
      <c r="T92" s="159">
        <v>1.3241792225468774E-2</v>
      </c>
      <c r="U92" s="159">
        <v>0.14796776026105116</v>
      </c>
      <c r="V92" s="159">
        <v>5.5810927929796944E-2</v>
      </c>
      <c r="W92" s="159">
        <v>0.18857241896280746</v>
      </c>
      <c r="X92" s="159">
        <v>0.33555328592204903</v>
      </c>
      <c r="Y92" s="159">
        <v>0.35879470923219348</v>
      </c>
      <c r="Z92" s="159">
        <v>0.35879470923219348</v>
      </c>
      <c r="AA92" s="161">
        <v>0.39858198723850696</v>
      </c>
    </row>
    <row r="93" spans="1:27" ht="12.5">
      <c r="A93" s="158" t="s">
        <v>752</v>
      </c>
      <c r="B93" s="77">
        <v>35</v>
      </c>
      <c r="C93" s="159">
        <v>0.14159818181818185</v>
      </c>
      <c r="D93" s="159">
        <v>8.9289086406886917E-2</v>
      </c>
      <c r="E93" s="159">
        <v>0.13529236520773816</v>
      </c>
      <c r="F93" s="159">
        <v>0.24436980579597808</v>
      </c>
      <c r="G93" s="160">
        <v>1.232855746839977</v>
      </c>
      <c r="H93" s="160">
        <v>1.5451244708853058</v>
      </c>
      <c r="I93" s="159">
        <v>0.13058039357058715</v>
      </c>
      <c r="J93" s="159">
        <v>0.41171324567018758</v>
      </c>
      <c r="K93" s="159">
        <v>5.5E-2</v>
      </c>
      <c r="L93" s="159">
        <v>0.30513857374628695</v>
      </c>
      <c r="M93" s="159">
        <v>0.10332224468426371</v>
      </c>
      <c r="N93" s="160">
        <v>1.6609808041341676</v>
      </c>
      <c r="O93" s="160">
        <v>1.4513374895378339</v>
      </c>
      <c r="P93" s="160">
        <v>6.3383734793169006</v>
      </c>
      <c r="Q93" s="160">
        <v>11.6361932152168</v>
      </c>
      <c r="R93" s="160">
        <v>3.5261511856041166</v>
      </c>
      <c r="S93" s="160">
        <v>10.280924299605571</v>
      </c>
      <c r="T93" s="159">
        <v>5.4419109231104372E-2</v>
      </c>
      <c r="U93" s="159">
        <v>0.12294170091825792</v>
      </c>
      <c r="V93" s="159">
        <v>0.11041328797291604</v>
      </c>
      <c r="W93" s="159">
        <v>1.9266562984152134</v>
      </c>
      <c r="X93" s="159">
        <v>4.05361647492955E-2</v>
      </c>
      <c r="Y93" s="159">
        <v>0.35595744670464841</v>
      </c>
      <c r="Z93" s="159">
        <v>0.35595744670464846</v>
      </c>
      <c r="AA93" s="161">
        <v>9.5020379305350858E-2</v>
      </c>
    </row>
    <row r="94" spans="1:27" ht="12.5">
      <c r="A94" s="158" t="s">
        <v>753</v>
      </c>
      <c r="B94" s="77">
        <v>15</v>
      </c>
      <c r="C94" s="159">
        <v>4.0473333333333326E-2</v>
      </c>
      <c r="D94" s="159">
        <v>0.18191380915780603</v>
      </c>
      <c r="E94" s="159">
        <v>5.8204550746344036E-2</v>
      </c>
      <c r="F94" s="159">
        <v>0.16649618768328447</v>
      </c>
      <c r="G94" s="160">
        <v>0.40946178198765182</v>
      </c>
      <c r="H94" s="160">
        <v>0.63513941960164833</v>
      </c>
      <c r="I94" s="159">
        <v>7.6527281524337909E-2</v>
      </c>
      <c r="J94" s="159">
        <v>0.1497076220101746</v>
      </c>
      <c r="K94" s="159">
        <v>4.7300000000000002E-2</v>
      </c>
      <c r="L94" s="159">
        <v>0.42586480270208965</v>
      </c>
      <c r="M94" s="159">
        <v>5.9044559752505103E-2</v>
      </c>
      <c r="N94" s="160">
        <v>0.37229545825458882</v>
      </c>
      <c r="O94" s="160">
        <v>4.283399946079026</v>
      </c>
      <c r="P94" s="160">
        <v>13.745257053013487</v>
      </c>
      <c r="Q94" s="160">
        <v>23.7623070921024</v>
      </c>
      <c r="R94" s="160">
        <v>1.9179993201105874</v>
      </c>
      <c r="S94" s="160">
        <v>20.529372149088115</v>
      </c>
      <c r="T94" s="159">
        <v>8.922966654204853E-2</v>
      </c>
      <c r="U94" s="159">
        <v>0.32903516939936395</v>
      </c>
      <c r="V94" s="159">
        <v>0.19971639703486291</v>
      </c>
      <c r="W94" s="159">
        <v>1.5034787791370685</v>
      </c>
      <c r="X94" s="159">
        <v>0.11241118642718625</v>
      </c>
      <c r="Y94" s="159">
        <v>0.59281009443694932</v>
      </c>
      <c r="Z94" s="159">
        <v>0.59281009443694932</v>
      </c>
      <c r="AA94" s="161">
        <v>0.18013952427816951</v>
      </c>
    </row>
    <row r="95" spans="1:27" ht="12.5">
      <c r="A95" s="158" t="s">
        <v>754</v>
      </c>
      <c r="B95" s="77">
        <v>16</v>
      </c>
      <c r="C95" s="159">
        <v>0.14351818181818179</v>
      </c>
      <c r="D95" s="159">
        <v>0.29510813036713346</v>
      </c>
      <c r="E95" s="159">
        <v>6.9067801827997419E-2</v>
      </c>
      <c r="F95" s="159">
        <v>0.18061405935116764</v>
      </c>
      <c r="G95" s="160">
        <v>0.87252087534243938</v>
      </c>
      <c r="H95" s="160">
        <v>1.1524153536245123</v>
      </c>
      <c r="I95" s="159">
        <v>0.10725347200529603</v>
      </c>
      <c r="J95" s="159">
        <v>0.27961318235637356</v>
      </c>
      <c r="K95" s="159">
        <v>5.5E-2</v>
      </c>
      <c r="L95" s="159">
        <v>0.30263279217507999</v>
      </c>
      <c r="M95" s="159">
        <v>8.7278656979083574E-2</v>
      </c>
      <c r="N95" s="160">
        <v>0.25686429661316262</v>
      </c>
      <c r="O95" s="160">
        <v>9.1829445772175315</v>
      </c>
      <c r="P95" s="160">
        <v>20.002976875109358</v>
      </c>
      <c r="Q95" s="160">
        <v>31.139459378884858</v>
      </c>
      <c r="R95" s="160">
        <v>3.0872029616902905</v>
      </c>
      <c r="S95" s="160">
        <v>35.131453767610019</v>
      </c>
      <c r="T95" s="159">
        <v>0.11821847966647889</v>
      </c>
      <c r="U95" s="159">
        <v>0.50557117431877918</v>
      </c>
      <c r="V95" s="159">
        <v>0.40921399435778089</v>
      </c>
      <c r="W95" s="159">
        <v>1.7868875303324088</v>
      </c>
      <c r="X95" s="159">
        <v>0.16474700015176275</v>
      </c>
      <c r="Y95" s="159">
        <v>0.45388865484163082</v>
      </c>
      <c r="Z95" s="159">
        <v>0.34685422173962976</v>
      </c>
      <c r="AA95" s="161">
        <v>0.2936978061206455</v>
      </c>
    </row>
  </sheetData>
  <phoneticPr fontId="6"/>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C6F7-3BDC-F643-ACBA-40077CC84E6E}">
  <dimension ref="A1:R96"/>
  <sheetViews>
    <sheetView topLeftCell="B1" workbookViewId="0">
      <selection activeCell="S45" sqref="S1:U1048576"/>
    </sheetView>
  </sheetViews>
  <sheetFormatPr defaultColWidth="11.19921875" defaultRowHeight="11.5"/>
  <cols>
    <col min="1" max="1" width="41" customWidth="1"/>
    <col min="3" max="18" width="14.796875" customWidth="1"/>
  </cols>
  <sheetData>
    <row r="1" spans="1:18" s="2" customFormat="1" ht="15.5">
      <c r="A1" s="434"/>
      <c r="B1" s="162"/>
      <c r="C1" s="627" t="s">
        <v>861</v>
      </c>
      <c r="D1" s="627"/>
      <c r="E1" s="627"/>
      <c r="F1" s="627" t="s">
        <v>862</v>
      </c>
      <c r="G1" s="627"/>
      <c r="H1" s="627"/>
      <c r="I1" s="628" t="s">
        <v>863</v>
      </c>
      <c r="J1" s="628"/>
      <c r="K1" s="628"/>
      <c r="L1" s="627" t="s">
        <v>552</v>
      </c>
      <c r="M1" s="627"/>
      <c r="N1" s="627"/>
      <c r="O1" s="162" t="s">
        <v>453</v>
      </c>
      <c r="P1" s="627" t="s">
        <v>864</v>
      </c>
      <c r="Q1" s="627"/>
      <c r="R1" s="627"/>
    </row>
    <row r="2" spans="1:18" ht="31">
      <c r="A2" s="427" t="s">
        <v>865</v>
      </c>
      <c r="B2" s="428" t="s">
        <v>866</v>
      </c>
      <c r="C2" s="428" t="s">
        <v>867</v>
      </c>
      <c r="D2" s="428" t="s">
        <v>774</v>
      </c>
      <c r="E2" s="428" t="s">
        <v>775</v>
      </c>
      <c r="F2" s="428" t="s">
        <v>867</v>
      </c>
      <c r="G2" s="428" t="s">
        <v>774</v>
      </c>
      <c r="H2" s="428" t="s">
        <v>775</v>
      </c>
      <c r="I2" s="428" t="s">
        <v>867</v>
      </c>
      <c r="J2" s="428" t="s">
        <v>774</v>
      </c>
      <c r="K2" s="428" t="s">
        <v>775</v>
      </c>
      <c r="L2" s="428" t="s">
        <v>867</v>
      </c>
      <c r="M2" s="428" t="s">
        <v>774</v>
      </c>
      <c r="N2" s="428" t="s">
        <v>775</v>
      </c>
      <c r="O2" s="428" t="s">
        <v>868</v>
      </c>
      <c r="P2" s="428" t="s">
        <v>867</v>
      </c>
      <c r="Q2" s="428" t="s">
        <v>774</v>
      </c>
      <c r="R2" s="428" t="s">
        <v>775</v>
      </c>
    </row>
    <row r="3" spans="1:18" ht="15.5">
      <c r="A3" s="429" t="s">
        <v>87</v>
      </c>
      <c r="B3" s="430">
        <v>362</v>
      </c>
      <c r="C3" s="431">
        <v>-7.8299999999999995E-2</v>
      </c>
      <c r="D3" s="431">
        <v>1.8700000000000001E-2</v>
      </c>
      <c r="E3" s="431">
        <v>0.15</v>
      </c>
      <c r="F3" s="431">
        <v>4.0500000000000001E-2</v>
      </c>
      <c r="G3" s="431">
        <v>8.5900000000000004E-2</v>
      </c>
      <c r="H3" s="431">
        <v>0.14360000000000001</v>
      </c>
      <c r="I3" s="432">
        <v>1.1499999999999999</v>
      </c>
      <c r="J3" s="432">
        <v>3.09</v>
      </c>
      <c r="K3" s="432">
        <v>5.83</v>
      </c>
      <c r="L3" s="431">
        <v>0.11409999999999999</v>
      </c>
      <c r="M3" s="431">
        <v>0.121</v>
      </c>
      <c r="N3" s="431">
        <v>0.1232</v>
      </c>
      <c r="O3" s="433">
        <v>1.23</v>
      </c>
      <c r="P3" s="431">
        <v>1.0200000000000001E-2</v>
      </c>
      <c r="Q3" s="431">
        <v>9.0999999999999998E-2</v>
      </c>
      <c r="R3" s="431">
        <v>0.25640000000000002</v>
      </c>
    </row>
    <row r="4" spans="1:18" ht="15.5">
      <c r="A4" s="429" t="s">
        <v>670</v>
      </c>
      <c r="B4" s="430">
        <v>278</v>
      </c>
      <c r="C4" s="431">
        <v>-6.0100000000000001E-2</v>
      </c>
      <c r="D4" s="431">
        <v>3.0499999999999999E-2</v>
      </c>
      <c r="E4" s="431">
        <v>0.109</v>
      </c>
      <c r="F4" s="431">
        <v>5.6099999999999997E-2</v>
      </c>
      <c r="G4" s="431">
        <v>9.0200000000000002E-2</v>
      </c>
      <c r="H4" s="431">
        <v>0.1711</v>
      </c>
      <c r="I4" s="432">
        <v>0.62</v>
      </c>
      <c r="J4" s="432">
        <v>1.22</v>
      </c>
      <c r="K4" s="432">
        <v>1.89</v>
      </c>
      <c r="L4" s="431">
        <v>0.1011</v>
      </c>
      <c r="M4" s="431">
        <v>0.10929999999999999</v>
      </c>
      <c r="N4" s="431">
        <v>0.1145</v>
      </c>
      <c r="O4" s="433">
        <v>1.04</v>
      </c>
      <c r="P4" s="431">
        <v>1.03E-2</v>
      </c>
      <c r="Q4" s="431">
        <v>9.8100000000000007E-2</v>
      </c>
      <c r="R4" s="431">
        <v>0.25259999999999999</v>
      </c>
    </row>
    <row r="5" spans="1:18" ht="15.5">
      <c r="A5" s="429" t="s">
        <v>671</v>
      </c>
      <c r="B5" s="430">
        <v>155</v>
      </c>
      <c r="C5" s="431">
        <v>-0.188</v>
      </c>
      <c r="D5" s="431">
        <v>-8.3299999999999999E-2</v>
      </c>
      <c r="E5" s="431">
        <v>4.3E-3</v>
      </c>
      <c r="F5" s="431">
        <v>7.17E-2</v>
      </c>
      <c r="G5" s="431">
        <v>0.13159999999999999</v>
      </c>
      <c r="H5" s="431">
        <v>0.1988</v>
      </c>
      <c r="I5" s="432">
        <v>0.31</v>
      </c>
      <c r="J5" s="432">
        <v>0.72</v>
      </c>
      <c r="K5" s="432">
        <v>1.41</v>
      </c>
      <c r="L5" s="431">
        <v>8.5599999999999996E-2</v>
      </c>
      <c r="M5" s="431">
        <v>9.2600000000000002E-2</v>
      </c>
      <c r="N5" s="431">
        <v>0.1096</v>
      </c>
      <c r="O5" s="433">
        <v>1.24</v>
      </c>
      <c r="P5" s="431">
        <v>0.16880000000000001</v>
      </c>
      <c r="Q5" s="431">
        <v>0.41689999999999999</v>
      </c>
      <c r="R5" s="431">
        <v>0.67059999999999997</v>
      </c>
    </row>
    <row r="6" spans="1:18" ht="15.5">
      <c r="A6" s="429" t="s">
        <v>672</v>
      </c>
      <c r="B6" s="430">
        <v>1146</v>
      </c>
      <c r="C6" s="431">
        <v>-3.7900000000000003E-2</v>
      </c>
      <c r="D6" s="431">
        <v>4.5100000000000001E-2</v>
      </c>
      <c r="E6" s="431">
        <v>0.13200000000000001</v>
      </c>
      <c r="F6" s="431">
        <v>3.9199999999999999E-2</v>
      </c>
      <c r="G6" s="431">
        <v>7.6999999999999999E-2</v>
      </c>
      <c r="H6" s="431">
        <v>0.12839999999999999</v>
      </c>
      <c r="I6" s="432">
        <v>0.74</v>
      </c>
      <c r="J6" s="432">
        <v>1.28</v>
      </c>
      <c r="K6" s="432">
        <v>1.96</v>
      </c>
      <c r="L6" s="431">
        <v>9.7500000000000003E-2</v>
      </c>
      <c r="M6" s="431">
        <v>0.11559999999999999</v>
      </c>
      <c r="N6" s="431">
        <v>0.12089999999999999</v>
      </c>
      <c r="O6" s="433">
        <v>0.86</v>
      </c>
      <c r="P6" s="431">
        <v>6.3200000000000006E-2</v>
      </c>
      <c r="Q6" s="431">
        <v>0.24959999999999999</v>
      </c>
      <c r="R6" s="431">
        <v>0.52849999999999997</v>
      </c>
    </row>
    <row r="7" spans="1:18" ht="15.5">
      <c r="A7" s="429" t="s">
        <v>673</v>
      </c>
      <c r="B7" s="430">
        <v>154</v>
      </c>
      <c r="C7" s="431">
        <v>-5.8900000000000001E-2</v>
      </c>
      <c r="D7" s="431">
        <v>5.1400000000000001E-2</v>
      </c>
      <c r="E7" s="431">
        <v>0.151</v>
      </c>
      <c r="F7" s="431">
        <v>4.4699999999999997E-2</v>
      </c>
      <c r="G7" s="431">
        <v>7.1099999999999997E-2</v>
      </c>
      <c r="H7" s="431">
        <v>0.1217</v>
      </c>
      <c r="I7" s="432">
        <v>0.65</v>
      </c>
      <c r="J7" s="432">
        <v>1.54</v>
      </c>
      <c r="K7" s="432">
        <v>2.91</v>
      </c>
      <c r="L7" s="431">
        <v>0.10059999999999999</v>
      </c>
      <c r="M7" s="431">
        <v>0.1113</v>
      </c>
      <c r="N7" s="431">
        <v>0.12529999999999999</v>
      </c>
      <c r="O7" s="433">
        <v>1.35</v>
      </c>
      <c r="P7" s="431">
        <v>1.3299999999999999E-2</v>
      </c>
      <c r="Q7" s="431">
        <v>0.1565</v>
      </c>
      <c r="R7" s="431">
        <v>0.40079999999999999</v>
      </c>
    </row>
    <row r="8" spans="1:18" ht="15.5">
      <c r="A8" s="429" t="s">
        <v>674</v>
      </c>
      <c r="B8" s="430">
        <v>746</v>
      </c>
      <c r="C8" s="431">
        <v>-1.44E-2</v>
      </c>
      <c r="D8" s="431">
        <v>4.2500000000000003E-2</v>
      </c>
      <c r="E8" s="431">
        <v>0.124</v>
      </c>
      <c r="F8" s="431">
        <v>2.92E-2</v>
      </c>
      <c r="G8" s="431">
        <v>5.1700000000000003E-2</v>
      </c>
      <c r="H8" s="431">
        <v>9.5100000000000004E-2</v>
      </c>
      <c r="I8" s="432">
        <v>0.92</v>
      </c>
      <c r="J8" s="432">
        <v>1.41</v>
      </c>
      <c r="K8" s="432">
        <v>2.06</v>
      </c>
      <c r="L8" s="431">
        <v>0.1225</v>
      </c>
      <c r="M8" s="431">
        <v>0.12859999999999999</v>
      </c>
      <c r="N8" s="431">
        <v>0.1331</v>
      </c>
      <c r="O8" s="433">
        <v>1.32</v>
      </c>
      <c r="P8" s="431">
        <v>6.2399999999999997E-2</v>
      </c>
      <c r="Q8" s="431">
        <v>0.21740000000000001</v>
      </c>
      <c r="R8" s="431">
        <v>0.46800000000000003</v>
      </c>
    </row>
    <row r="9" spans="1:18" ht="15.5">
      <c r="A9" s="429" t="s">
        <v>675</v>
      </c>
      <c r="B9" s="430">
        <v>596</v>
      </c>
      <c r="C9" s="431">
        <v>2.4799999999999999E-2</v>
      </c>
      <c r="D9" s="431">
        <v>6.5600000000000006E-2</v>
      </c>
      <c r="E9" s="431">
        <v>0.13900000000000001</v>
      </c>
      <c r="F9" s="431">
        <v>1E-3</v>
      </c>
      <c r="G9" s="431">
        <v>2.0999999999999999E-3</v>
      </c>
      <c r="H9" s="431">
        <v>7.1999999999999998E-3</v>
      </c>
      <c r="I9" s="432">
        <v>0.12</v>
      </c>
      <c r="J9" s="432">
        <v>0.23</v>
      </c>
      <c r="K9" s="432">
        <v>0.48</v>
      </c>
      <c r="L9" s="431">
        <v>7.2599999999999998E-2</v>
      </c>
      <c r="M9" s="431">
        <v>8.3599999999999994E-2</v>
      </c>
      <c r="N9" s="431">
        <v>0.1086</v>
      </c>
      <c r="O9" s="433">
        <v>0.83</v>
      </c>
      <c r="P9" s="431">
        <v>0.2576</v>
      </c>
      <c r="Q9" s="431">
        <v>0.54620000000000002</v>
      </c>
      <c r="R9" s="431">
        <v>0.74309999999999998</v>
      </c>
    </row>
    <row r="10" spans="1:18" ht="15.5">
      <c r="A10" s="429" t="s">
        <v>676</v>
      </c>
      <c r="B10" s="430">
        <v>800</v>
      </c>
      <c r="C10" s="431">
        <v>3.4099999999999998E-2</v>
      </c>
      <c r="D10" s="431">
        <v>7.6499999999999999E-2</v>
      </c>
      <c r="E10" s="431">
        <v>0.14199999999999999</v>
      </c>
      <c r="F10" s="431">
        <v>8.9999999999999998E-4</v>
      </c>
      <c r="G10" s="431">
        <v>2.3E-3</v>
      </c>
      <c r="H10" s="431">
        <v>5.1000000000000004E-3</v>
      </c>
      <c r="I10" s="432">
        <v>0.22</v>
      </c>
      <c r="J10" s="432">
        <v>0.44</v>
      </c>
      <c r="K10" s="432">
        <v>0.88</v>
      </c>
      <c r="L10" s="431">
        <v>5.7799999999999997E-2</v>
      </c>
      <c r="M10" s="431">
        <v>5.9900000000000002E-2</v>
      </c>
      <c r="N10" s="431">
        <v>6.0299999999999999E-2</v>
      </c>
      <c r="O10" s="433">
        <v>0.52</v>
      </c>
      <c r="P10" s="431">
        <v>8.7499999999999994E-2</v>
      </c>
      <c r="Q10" s="431">
        <v>0.30120000000000002</v>
      </c>
      <c r="R10" s="431">
        <v>0.56810000000000005</v>
      </c>
    </row>
    <row r="11" spans="1:18" ht="15.5">
      <c r="A11" s="429" t="s">
        <v>677</v>
      </c>
      <c r="B11" s="430">
        <v>220</v>
      </c>
      <c r="C11" s="431">
        <v>8.0000000000000004E-4</v>
      </c>
      <c r="D11" s="431">
        <v>5.4100000000000002E-2</v>
      </c>
      <c r="E11" s="431">
        <v>0.13900000000000001</v>
      </c>
      <c r="F11" s="431">
        <v>7.22E-2</v>
      </c>
      <c r="G11" s="431">
        <v>0.1231</v>
      </c>
      <c r="H11" s="431">
        <v>0.21149999999999999</v>
      </c>
      <c r="I11" s="432">
        <v>0.57999999999999996</v>
      </c>
      <c r="J11" s="432">
        <v>1.06</v>
      </c>
      <c r="K11" s="432">
        <v>2.02</v>
      </c>
      <c r="L11" s="431">
        <v>8.7099999999999997E-2</v>
      </c>
      <c r="M11" s="431">
        <v>9.6799999999999997E-2</v>
      </c>
      <c r="N11" s="431">
        <v>0.1168</v>
      </c>
      <c r="O11" s="433">
        <v>0.79</v>
      </c>
      <c r="P11" s="431">
        <v>1.4E-3</v>
      </c>
      <c r="Q11" s="431">
        <v>6.5600000000000006E-2</v>
      </c>
      <c r="R11" s="431">
        <v>0.27500000000000002</v>
      </c>
    </row>
    <row r="12" spans="1:18" ht="15.5">
      <c r="A12" s="429" t="s">
        <v>678</v>
      </c>
      <c r="B12" s="430">
        <v>100</v>
      </c>
      <c r="C12" s="431">
        <v>-1.2800000000000001E-2</v>
      </c>
      <c r="D12" s="431">
        <v>5.9499999999999997E-2</v>
      </c>
      <c r="E12" s="431">
        <v>0.11799999999999999</v>
      </c>
      <c r="F12" s="431">
        <v>6.6699999999999995E-2</v>
      </c>
      <c r="G12" s="431">
        <v>0.1011</v>
      </c>
      <c r="H12" s="431">
        <v>0.15290000000000001</v>
      </c>
      <c r="I12" s="432">
        <v>1.02</v>
      </c>
      <c r="J12" s="432">
        <v>1.58</v>
      </c>
      <c r="K12" s="432">
        <v>2.5</v>
      </c>
      <c r="L12" s="431">
        <v>8.6099999999999996E-2</v>
      </c>
      <c r="M12" s="431">
        <v>9.4200000000000006E-2</v>
      </c>
      <c r="N12" s="431">
        <v>0.1081</v>
      </c>
      <c r="O12" s="433">
        <v>0.7</v>
      </c>
      <c r="P12" s="431">
        <v>6.9999999999999999E-4</v>
      </c>
      <c r="Q12" s="431">
        <v>4.4699999999999997E-2</v>
      </c>
      <c r="R12" s="431">
        <v>0.26179999999999998</v>
      </c>
    </row>
    <row r="13" spans="1:18" ht="15.5">
      <c r="A13" s="429" t="s">
        <v>679</v>
      </c>
      <c r="B13" s="430">
        <v>135</v>
      </c>
      <c r="C13" s="431">
        <v>-3.44E-2</v>
      </c>
      <c r="D13" s="431">
        <v>3.7000000000000002E-3</v>
      </c>
      <c r="E13" s="431">
        <v>5.21E-2</v>
      </c>
      <c r="F13" s="431">
        <v>7.2099999999999997E-2</v>
      </c>
      <c r="G13" s="431">
        <v>0.1198</v>
      </c>
      <c r="H13" s="431">
        <v>0.192</v>
      </c>
      <c r="I13" s="432">
        <v>0.56000000000000005</v>
      </c>
      <c r="J13" s="432">
        <v>0.86</v>
      </c>
      <c r="K13" s="432">
        <v>1.57</v>
      </c>
      <c r="L13" s="431">
        <v>8.8300000000000003E-2</v>
      </c>
      <c r="M13" s="431">
        <v>9.2499999999999999E-2</v>
      </c>
      <c r="N13" s="431">
        <v>0.1111</v>
      </c>
      <c r="O13" s="433">
        <v>1.02</v>
      </c>
      <c r="P13" s="431">
        <v>2.2800000000000001E-2</v>
      </c>
      <c r="Q13" s="431">
        <v>0.23319999999999999</v>
      </c>
      <c r="R13" s="431">
        <v>0.51739999999999997</v>
      </c>
    </row>
    <row r="14" spans="1:18" ht="15.5">
      <c r="A14" s="429" t="s">
        <v>680</v>
      </c>
      <c r="B14" s="430">
        <v>592</v>
      </c>
      <c r="C14" s="431">
        <v>-2.4E-2</v>
      </c>
      <c r="D14" s="431">
        <v>0.11899999999999999</v>
      </c>
      <c r="E14" s="431">
        <v>0.27900000000000003</v>
      </c>
      <c r="F14" s="431">
        <v>7.1000000000000004E-3</v>
      </c>
      <c r="G14" s="431">
        <v>6.59E-2</v>
      </c>
      <c r="H14" s="431">
        <v>0.33789999999999998</v>
      </c>
      <c r="I14" s="432">
        <v>0.08</v>
      </c>
      <c r="J14" s="432">
        <v>0.21</v>
      </c>
      <c r="K14" s="432">
        <v>0.87</v>
      </c>
      <c r="L14" s="431">
        <v>7.0599999999999996E-2</v>
      </c>
      <c r="M14" s="431">
        <v>8.0799999999999997E-2</v>
      </c>
      <c r="N14" s="431">
        <v>8.43E-2</v>
      </c>
      <c r="O14" s="433">
        <v>0.97</v>
      </c>
      <c r="P14" s="431">
        <v>1.5699999999999999E-2</v>
      </c>
      <c r="Q14" s="431">
        <v>0.19309999999999999</v>
      </c>
      <c r="R14" s="431">
        <v>0.56699999999999995</v>
      </c>
    </row>
    <row r="15" spans="1:18" ht="15.5">
      <c r="A15" s="429" t="s">
        <v>681</v>
      </c>
      <c r="B15" s="430">
        <v>454</v>
      </c>
      <c r="C15" s="431">
        <v>-5.5999999999999999E-3</v>
      </c>
      <c r="D15" s="431">
        <v>5.9200000000000003E-2</v>
      </c>
      <c r="E15" s="431">
        <v>0.14099999999999999</v>
      </c>
      <c r="F15" s="431">
        <v>5.1499999999999997E-2</v>
      </c>
      <c r="G15" s="431">
        <v>9.0300000000000005E-2</v>
      </c>
      <c r="H15" s="431">
        <v>0.13969999999999999</v>
      </c>
      <c r="I15" s="432">
        <v>0.88</v>
      </c>
      <c r="J15" s="432">
        <v>1.39</v>
      </c>
      <c r="K15" s="432">
        <v>2.31</v>
      </c>
      <c r="L15" s="431">
        <v>0.10349999999999999</v>
      </c>
      <c r="M15" s="431">
        <v>0.1094</v>
      </c>
      <c r="N15" s="431">
        <v>0.1285</v>
      </c>
      <c r="O15" s="433">
        <v>1.04</v>
      </c>
      <c r="P15" s="431">
        <v>4.9200000000000001E-2</v>
      </c>
      <c r="Q15" s="431">
        <v>0.17249999999999999</v>
      </c>
      <c r="R15" s="431">
        <v>0.37559999999999999</v>
      </c>
    </row>
    <row r="16" spans="1:18" ht="15.5">
      <c r="A16" s="429" t="s">
        <v>682</v>
      </c>
      <c r="B16" s="430">
        <v>961</v>
      </c>
      <c r="C16" s="431">
        <v>-1.6400000000000001E-2</v>
      </c>
      <c r="D16" s="431">
        <v>5.6300000000000003E-2</v>
      </c>
      <c r="E16" s="431">
        <v>0.152</v>
      </c>
      <c r="F16" s="431">
        <v>4.6699999999999998E-2</v>
      </c>
      <c r="G16" s="431">
        <v>9.1800000000000007E-2</v>
      </c>
      <c r="H16" s="431">
        <v>0.16839999999999999</v>
      </c>
      <c r="I16" s="432">
        <v>0.91</v>
      </c>
      <c r="J16" s="432">
        <v>2.08</v>
      </c>
      <c r="K16" s="432">
        <v>4.88</v>
      </c>
      <c r="L16" s="431">
        <v>9.8199999999999996E-2</v>
      </c>
      <c r="M16" s="431">
        <v>0.1081</v>
      </c>
      <c r="N16" s="431">
        <v>0.1103</v>
      </c>
      <c r="O16" s="433">
        <v>1.03</v>
      </c>
      <c r="P16" s="431">
        <v>1.2200000000000001E-2</v>
      </c>
      <c r="Q16" s="431">
        <v>0.11269999999999999</v>
      </c>
      <c r="R16" s="431">
        <v>0.31659999999999999</v>
      </c>
    </row>
    <row r="17" spans="1:18" ht="15.5">
      <c r="A17" s="429" t="s">
        <v>683</v>
      </c>
      <c r="B17" s="430">
        <v>54</v>
      </c>
      <c r="C17" s="431">
        <v>-4.41E-2</v>
      </c>
      <c r="D17" s="431">
        <v>8.0999999999999996E-3</v>
      </c>
      <c r="E17" s="431">
        <v>7.5499999999999998E-2</v>
      </c>
      <c r="F17" s="431">
        <v>6.9800000000000001E-2</v>
      </c>
      <c r="G17" s="431">
        <v>0.18690000000000001</v>
      </c>
      <c r="H17" s="431">
        <v>0.25209999999999999</v>
      </c>
      <c r="I17" s="432">
        <v>0.35</v>
      </c>
      <c r="J17" s="432">
        <v>0.69</v>
      </c>
      <c r="K17" s="432">
        <v>1.2</v>
      </c>
      <c r="L17" s="431">
        <v>7.4999999999999997E-2</v>
      </c>
      <c r="M17" s="431">
        <v>8.2100000000000006E-2</v>
      </c>
      <c r="N17" s="431">
        <v>9.8100000000000007E-2</v>
      </c>
      <c r="O17" s="433">
        <v>1.01</v>
      </c>
      <c r="P17" s="431">
        <v>6.6400000000000001E-2</v>
      </c>
      <c r="Q17" s="431">
        <v>0.38740000000000002</v>
      </c>
      <c r="R17" s="431">
        <v>0.58979999999999999</v>
      </c>
    </row>
    <row r="18" spans="1:18" ht="15.5">
      <c r="A18" s="429" t="s">
        <v>632</v>
      </c>
      <c r="B18" s="430">
        <v>879</v>
      </c>
      <c r="C18" s="431">
        <v>3.56E-2</v>
      </c>
      <c r="D18" s="431">
        <v>9.5799999999999996E-2</v>
      </c>
      <c r="E18" s="431">
        <v>0.20100000000000001</v>
      </c>
      <c r="F18" s="431">
        <v>4.9099999999999998E-2</v>
      </c>
      <c r="G18" s="431">
        <v>9.4200000000000006E-2</v>
      </c>
      <c r="H18" s="431">
        <v>0.158</v>
      </c>
      <c r="I18" s="432">
        <v>0.81</v>
      </c>
      <c r="J18" s="432">
        <v>1.28</v>
      </c>
      <c r="K18" s="432">
        <v>1.95</v>
      </c>
      <c r="L18" s="431">
        <v>0.10589999999999999</v>
      </c>
      <c r="M18" s="431">
        <v>0.10920000000000001</v>
      </c>
      <c r="N18" s="431">
        <v>0.13009999999999999</v>
      </c>
      <c r="O18" s="433">
        <v>1.08</v>
      </c>
      <c r="P18" s="431">
        <v>2.7E-2</v>
      </c>
      <c r="Q18" s="431">
        <v>0.13320000000000001</v>
      </c>
      <c r="R18" s="431">
        <v>0.33150000000000002</v>
      </c>
    </row>
    <row r="19" spans="1:18" ht="15.5">
      <c r="A19" s="429" t="s">
        <v>684</v>
      </c>
      <c r="B19" s="430">
        <v>68</v>
      </c>
      <c r="C19" s="431">
        <v>4.4400000000000002E-2</v>
      </c>
      <c r="D19" s="431">
        <v>0.108</v>
      </c>
      <c r="E19" s="431">
        <v>0.19600000000000001</v>
      </c>
      <c r="F19" s="431">
        <v>6.4799999999999996E-2</v>
      </c>
      <c r="G19" s="431">
        <v>0.1032</v>
      </c>
      <c r="H19" s="431">
        <v>0.15920000000000001</v>
      </c>
      <c r="I19" s="432">
        <v>0.9</v>
      </c>
      <c r="J19" s="432">
        <v>1.23</v>
      </c>
      <c r="K19" s="432">
        <v>1.78</v>
      </c>
      <c r="L19" s="431">
        <v>0.1016</v>
      </c>
      <c r="M19" s="431">
        <v>0.1051</v>
      </c>
      <c r="N19" s="431">
        <v>0.1298</v>
      </c>
      <c r="O19" s="433">
        <v>1.1599999999999999</v>
      </c>
      <c r="P19" s="431">
        <v>8.0799999999999997E-2</v>
      </c>
      <c r="Q19" s="431">
        <v>0.26219999999999999</v>
      </c>
      <c r="R19" s="431">
        <v>0.42280000000000001</v>
      </c>
    </row>
    <row r="20" spans="1:18" ht="15.5">
      <c r="A20" s="429" t="s">
        <v>633</v>
      </c>
      <c r="B20" s="430">
        <v>922</v>
      </c>
      <c r="C20" s="431">
        <v>3.7100000000000001E-2</v>
      </c>
      <c r="D20" s="431">
        <v>0.112</v>
      </c>
      <c r="E20" s="431">
        <v>0.221</v>
      </c>
      <c r="F20" s="431">
        <v>6.0299999999999999E-2</v>
      </c>
      <c r="G20" s="431">
        <v>0.1094</v>
      </c>
      <c r="H20" s="431">
        <v>0.17730000000000001</v>
      </c>
      <c r="I20" s="432">
        <v>0.8</v>
      </c>
      <c r="J20" s="432">
        <v>1.25</v>
      </c>
      <c r="K20" s="432">
        <v>1.89</v>
      </c>
      <c r="L20" s="431">
        <v>0.1067</v>
      </c>
      <c r="M20" s="431">
        <v>0.11119999999999999</v>
      </c>
      <c r="N20" s="431">
        <v>0.13519999999999999</v>
      </c>
      <c r="O20" s="433">
        <v>1.05</v>
      </c>
      <c r="P20" s="431">
        <v>0.02</v>
      </c>
      <c r="Q20" s="431">
        <v>0.1103</v>
      </c>
      <c r="R20" s="431">
        <v>0.2757</v>
      </c>
    </row>
    <row r="21" spans="1:18" ht="15.5">
      <c r="A21" s="429" t="s">
        <v>685</v>
      </c>
      <c r="B21" s="430">
        <v>212</v>
      </c>
      <c r="C21" s="431">
        <v>2.5700000000000001E-2</v>
      </c>
      <c r="D21" s="431">
        <v>0.16300000000000001</v>
      </c>
      <c r="E21" s="431">
        <v>0.26900000000000002</v>
      </c>
      <c r="F21" s="431">
        <v>0.14130000000000001</v>
      </c>
      <c r="G21" s="431">
        <v>0.26469999999999999</v>
      </c>
      <c r="H21" s="431">
        <v>0.37490000000000001</v>
      </c>
      <c r="I21" s="432">
        <v>0.56999999999999995</v>
      </c>
      <c r="J21" s="432">
        <v>1.22</v>
      </c>
      <c r="K21" s="432">
        <v>2.57</v>
      </c>
      <c r="L21" s="431">
        <v>0.11940000000000001</v>
      </c>
      <c r="M21" s="431">
        <v>0.1227</v>
      </c>
      <c r="N21" s="431">
        <v>0.14000000000000001</v>
      </c>
      <c r="O21" s="433">
        <v>1.06</v>
      </c>
      <c r="P21" s="431">
        <v>5.0000000000000001E-4</v>
      </c>
      <c r="Q21" s="431">
        <v>4.9000000000000002E-2</v>
      </c>
      <c r="R21" s="431">
        <v>0.27579999999999999</v>
      </c>
    </row>
    <row r="22" spans="1:18" ht="15.5">
      <c r="A22" s="429" t="s">
        <v>486</v>
      </c>
      <c r="B22" s="430">
        <v>1105</v>
      </c>
      <c r="C22" s="431">
        <v>1.2999999999999999E-3</v>
      </c>
      <c r="D22" s="431">
        <v>7.7799999999999994E-2</v>
      </c>
      <c r="E22" s="431">
        <v>0.17100000000000001</v>
      </c>
      <c r="F22" s="431">
        <v>3.8100000000000002E-2</v>
      </c>
      <c r="G22" s="431">
        <v>7.1499999999999994E-2</v>
      </c>
      <c r="H22" s="431">
        <v>0.12130000000000001</v>
      </c>
      <c r="I22" s="432">
        <v>1.31</v>
      </c>
      <c r="J22" s="432">
        <v>3.07</v>
      </c>
      <c r="K22" s="432">
        <v>5.82</v>
      </c>
      <c r="L22" s="431">
        <v>0.10829999999999999</v>
      </c>
      <c r="M22" s="431">
        <v>0.11260000000000001</v>
      </c>
      <c r="N22" s="431">
        <v>0.12609999999999999</v>
      </c>
      <c r="O22" s="433">
        <v>1.02</v>
      </c>
      <c r="P22" s="431">
        <v>9.9000000000000008E-3</v>
      </c>
      <c r="Q22" s="431">
        <v>7.5200000000000003E-2</v>
      </c>
      <c r="R22" s="431">
        <v>0.24110000000000001</v>
      </c>
    </row>
    <row r="23" spans="1:18" ht="15.5">
      <c r="A23" s="429" t="s">
        <v>686</v>
      </c>
      <c r="B23" s="430">
        <v>333</v>
      </c>
      <c r="C23" s="431">
        <v>-2.4500000000000001E-2</v>
      </c>
      <c r="D23" s="431">
        <v>4.7899999999999998E-2</v>
      </c>
      <c r="E23" s="431">
        <v>0.13500000000000001</v>
      </c>
      <c r="F23" s="431">
        <v>3.5000000000000003E-2</v>
      </c>
      <c r="G23" s="431">
        <v>6.9800000000000001E-2</v>
      </c>
      <c r="H23" s="431">
        <v>0.1101</v>
      </c>
      <c r="I23" s="432">
        <v>0.86</v>
      </c>
      <c r="J23" s="432">
        <v>1.72</v>
      </c>
      <c r="K23" s="432">
        <v>2.91</v>
      </c>
      <c r="L23" s="431">
        <v>0.11749999999999999</v>
      </c>
      <c r="M23" s="431">
        <v>0.1225</v>
      </c>
      <c r="N23" s="431">
        <v>0.12470000000000001</v>
      </c>
      <c r="O23" s="433">
        <v>1.21</v>
      </c>
      <c r="P23" s="431">
        <v>0.02</v>
      </c>
      <c r="Q23" s="431">
        <v>0.12909999999999999</v>
      </c>
      <c r="R23" s="431">
        <v>0.33110000000000001</v>
      </c>
    </row>
    <row r="24" spans="1:18" ht="15.5">
      <c r="A24" s="429" t="s">
        <v>687</v>
      </c>
      <c r="B24" s="430">
        <v>790</v>
      </c>
      <c r="C24" s="431">
        <v>-1.78E-2</v>
      </c>
      <c r="D24" s="431">
        <v>4.9599999999999998E-2</v>
      </c>
      <c r="E24" s="431">
        <v>0.13</v>
      </c>
      <c r="F24" s="431">
        <v>4.2299999999999997E-2</v>
      </c>
      <c r="G24" s="431">
        <v>8.4099999999999994E-2</v>
      </c>
      <c r="H24" s="431">
        <v>0.14050000000000001</v>
      </c>
      <c r="I24" s="432">
        <v>0.63</v>
      </c>
      <c r="J24" s="432">
        <v>1.04</v>
      </c>
      <c r="K24" s="432">
        <v>1.6</v>
      </c>
      <c r="L24" s="431">
        <v>0.10100000000000001</v>
      </c>
      <c r="M24" s="431">
        <v>0.106</v>
      </c>
      <c r="N24" s="431">
        <v>0.12920000000000001</v>
      </c>
      <c r="O24" s="433">
        <v>1.07</v>
      </c>
      <c r="P24" s="431">
        <v>4.7E-2</v>
      </c>
      <c r="Q24" s="431">
        <v>0.20080000000000001</v>
      </c>
      <c r="R24" s="431">
        <v>0.39679999999999999</v>
      </c>
    </row>
    <row r="25" spans="1:18" ht="15.5">
      <c r="A25" s="429" t="s">
        <v>688</v>
      </c>
      <c r="B25" s="430">
        <v>314</v>
      </c>
      <c r="C25" s="431">
        <v>-6.0000000000000001E-3</v>
      </c>
      <c r="D25" s="431">
        <v>7.7799999999999994E-2</v>
      </c>
      <c r="E25" s="431">
        <v>0.17399999999999999</v>
      </c>
      <c r="F25" s="431">
        <v>6.4199999999999993E-2</v>
      </c>
      <c r="G25" s="431">
        <v>0.10580000000000001</v>
      </c>
      <c r="H25" s="431">
        <v>0.20810000000000001</v>
      </c>
      <c r="I25" s="432">
        <v>0.31</v>
      </c>
      <c r="J25" s="432">
        <v>0.78</v>
      </c>
      <c r="K25" s="432">
        <v>1.63</v>
      </c>
      <c r="L25" s="431">
        <v>8.6300000000000002E-2</v>
      </c>
      <c r="M25" s="431">
        <v>9.35E-2</v>
      </c>
      <c r="N25" s="431">
        <v>0.11070000000000001</v>
      </c>
      <c r="O25" s="433">
        <v>0.97</v>
      </c>
      <c r="P25" s="431">
        <v>5.8900000000000001E-2</v>
      </c>
      <c r="Q25" s="431">
        <v>0.31140000000000001</v>
      </c>
      <c r="R25" s="431">
        <v>0.59919999999999995</v>
      </c>
    </row>
    <row r="26" spans="1:18" ht="15.5">
      <c r="A26" s="429" t="s">
        <v>689</v>
      </c>
      <c r="B26" s="430">
        <v>1267</v>
      </c>
      <c r="C26" s="431">
        <v>-6.8900000000000003E-2</v>
      </c>
      <c r="D26" s="431">
        <v>0.126</v>
      </c>
      <c r="E26" s="431">
        <v>0.46899999999999997</v>
      </c>
      <c r="F26" s="431">
        <v>8.6900000000000005E-2</v>
      </c>
      <c r="G26" s="431">
        <v>0.2127</v>
      </c>
      <c r="H26" s="431">
        <v>0.35039999999999999</v>
      </c>
      <c r="I26" s="432">
        <v>0.12</v>
      </c>
      <c r="J26" s="432">
        <v>0.47</v>
      </c>
      <c r="K26" s="432">
        <v>1.03</v>
      </c>
      <c r="L26" s="431">
        <v>0.11260000000000001</v>
      </c>
      <c r="M26" s="431">
        <v>0.1133</v>
      </c>
      <c r="N26" s="431">
        <v>0.124</v>
      </c>
      <c r="O26" s="433">
        <v>1.17</v>
      </c>
      <c r="P26" s="431">
        <v>2.3E-3</v>
      </c>
      <c r="Q26" s="431">
        <v>3.5299999999999998E-2</v>
      </c>
      <c r="R26" s="431">
        <v>0.1492</v>
      </c>
    </row>
    <row r="27" spans="1:18" ht="15.5">
      <c r="A27" s="429" t="s">
        <v>690</v>
      </c>
      <c r="B27" s="430">
        <v>1352</v>
      </c>
      <c r="C27" s="431">
        <v>-3.8999999999999998E-3</v>
      </c>
      <c r="D27" s="431">
        <v>7.9699999999999993E-2</v>
      </c>
      <c r="E27" s="431">
        <v>0.184</v>
      </c>
      <c r="F27" s="431">
        <v>6.5199999999999994E-2</v>
      </c>
      <c r="G27" s="431">
        <v>0.12379999999999999</v>
      </c>
      <c r="H27" s="431">
        <v>0.19040000000000001</v>
      </c>
      <c r="I27" s="432">
        <v>0.46</v>
      </c>
      <c r="J27" s="432">
        <v>0.83</v>
      </c>
      <c r="K27" s="432">
        <v>1.4</v>
      </c>
      <c r="L27" s="431">
        <v>9.8000000000000004E-2</v>
      </c>
      <c r="M27" s="431">
        <v>0.1076</v>
      </c>
      <c r="N27" s="431">
        <v>0.1103</v>
      </c>
      <c r="O27" s="433">
        <v>0.97</v>
      </c>
      <c r="P27" s="431">
        <v>5.7000000000000002E-3</v>
      </c>
      <c r="Q27" s="431">
        <v>7.4999999999999997E-2</v>
      </c>
      <c r="R27" s="431">
        <v>0.25530000000000003</v>
      </c>
    </row>
    <row r="28" spans="1:18" ht="15.5">
      <c r="A28" s="429" t="s">
        <v>691</v>
      </c>
      <c r="B28" s="430">
        <v>251</v>
      </c>
      <c r="C28" s="431">
        <v>-3.04E-2</v>
      </c>
      <c r="D28" s="431">
        <v>6.3E-2</v>
      </c>
      <c r="E28" s="431">
        <v>0.16800000000000001</v>
      </c>
      <c r="F28" s="431">
        <v>7.9000000000000001E-2</v>
      </c>
      <c r="G28" s="431">
        <v>0.13700000000000001</v>
      </c>
      <c r="H28" s="431">
        <v>0.21279999999999999</v>
      </c>
      <c r="I28" s="432">
        <v>0.43</v>
      </c>
      <c r="J28" s="432">
        <v>0.91</v>
      </c>
      <c r="K28" s="432">
        <v>2.21</v>
      </c>
      <c r="L28" s="431">
        <v>9.0200000000000002E-2</v>
      </c>
      <c r="M28" s="431">
        <v>9.4399999999999998E-2</v>
      </c>
      <c r="N28" s="431">
        <v>0.1024</v>
      </c>
      <c r="O28" s="433">
        <v>0.78</v>
      </c>
      <c r="P28" s="431">
        <v>1.34E-2</v>
      </c>
      <c r="Q28" s="431">
        <v>0.1057</v>
      </c>
      <c r="R28" s="431">
        <v>0.36399999999999999</v>
      </c>
    </row>
    <row r="29" spans="1:18" ht="15.5">
      <c r="A29" s="429" t="s">
        <v>692</v>
      </c>
      <c r="B29" s="430">
        <v>1045</v>
      </c>
      <c r="C29" s="431">
        <v>6.1999999999999998E-3</v>
      </c>
      <c r="D29" s="431">
        <v>8.3699999999999997E-2</v>
      </c>
      <c r="E29" s="431">
        <v>0.192</v>
      </c>
      <c r="F29" s="431">
        <v>4.1099999999999998E-2</v>
      </c>
      <c r="G29" s="431">
        <v>7.2900000000000006E-2</v>
      </c>
      <c r="H29" s="431">
        <v>0.12740000000000001</v>
      </c>
      <c r="I29" s="432">
        <v>0.8</v>
      </c>
      <c r="J29" s="432">
        <v>1.37</v>
      </c>
      <c r="K29" s="432">
        <v>2.09</v>
      </c>
      <c r="L29" s="431">
        <v>0.1116</v>
      </c>
      <c r="M29" s="431">
        <v>0.11609999999999999</v>
      </c>
      <c r="N29" s="431">
        <v>0.1179</v>
      </c>
      <c r="O29" s="433">
        <v>1.05</v>
      </c>
      <c r="P29" s="431">
        <v>1.6199999999999999E-2</v>
      </c>
      <c r="Q29" s="431">
        <v>0.1094</v>
      </c>
      <c r="R29" s="431">
        <v>0.2772</v>
      </c>
    </row>
    <row r="30" spans="1:18" ht="15.5">
      <c r="A30" s="429" t="s">
        <v>693</v>
      </c>
      <c r="B30" s="430">
        <v>134</v>
      </c>
      <c r="C30" s="431">
        <v>-5.8099999999999999E-2</v>
      </c>
      <c r="D30" s="431">
        <v>4.9200000000000001E-2</v>
      </c>
      <c r="E30" s="431">
        <v>0.129</v>
      </c>
      <c r="F30" s="431">
        <v>2.64E-2</v>
      </c>
      <c r="G30" s="431">
        <v>5.0200000000000002E-2</v>
      </c>
      <c r="H30" s="431">
        <v>0.10680000000000001</v>
      </c>
      <c r="I30" s="432">
        <v>1.01</v>
      </c>
      <c r="J30" s="432">
        <v>1.89</v>
      </c>
      <c r="K30" s="432">
        <v>2.9</v>
      </c>
      <c r="L30" s="431">
        <v>0.10589999999999999</v>
      </c>
      <c r="M30" s="431">
        <v>0.1138</v>
      </c>
      <c r="N30" s="431">
        <v>0.1172</v>
      </c>
      <c r="O30" s="433">
        <v>1.18</v>
      </c>
      <c r="P30" s="431">
        <v>2.86E-2</v>
      </c>
      <c r="Q30" s="431">
        <v>0.1676</v>
      </c>
      <c r="R30" s="431">
        <v>0.39129999999999998</v>
      </c>
    </row>
    <row r="31" spans="1:18" ht="15.5">
      <c r="A31" s="429" t="s">
        <v>634</v>
      </c>
      <c r="B31" s="430">
        <v>1457</v>
      </c>
      <c r="C31" s="431">
        <v>-1.26E-2</v>
      </c>
      <c r="D31" s="431">
        <v>6.5699999999999995E-2</v>
      </c>
      <c r="E31" s="431">
        <v>0.156</v>
      </c>
      <c r="F31" s="431">
        <v>4.7100000000000003E-2</v>
      </c>
      <c r="G31" s="431">
        <v>8.5900000000000004E-2</v>
      </c>
      <c r="H31" s="431">
        <v>0.14319999999999999</v>
      </c>
      <c r="I31" s="432">
        <v>0.74</v>
      </c>
      <c r="J31" s="432">
        <v>1.21</v>
      </c>
      <c r="K31" s="432">
        <v>1.99</v>
      </c>
      <c r="L31" s="431">
        <v>0.1229</v>
      </c>
      <c r="M31" s="431">
        <v>0.12790000000000001</v>
      </c>
      <c r="N31" s="431">
        <v>0.13059999999999999</v>
      </c>
      <c r="O31" s="433">
        <v>1.23</v>
      </c>
      <c r="P31" s="431">
        <v>1.7000000000000001E-2</v>
      </c>
      <c r="Q31" s="431">
        <v>0.1022</v>
      </c>
      <c r="R31" s="431">
        <v>0.25769999999999998</v>
      </c>
    </row>
    <row r="32" spans="1:18" ht="15.5">
      <c r="A32" s="429" t="s">
        <v>694</v>
      </c>
      <c r="B32" s="430">
        <v>1269</v>
      </c>
      <c r="C32" s="431">
        <v>-6.5299999999999997E-2</v>
      </c>
      <c r="D32" s="431">
        <v>1.8200000000000001E-2</v>
      </c>
      <c r="E32" s="431">
        <v>0.11600000000000001</v>
      </c>
      <c r="F32" s="431">
        <v>3.4099999999999998E-2</v>
      </c>
      <c r="G32" s="431">
        <v>5.7599999999999998E-2</v>
      </c>
      <c r="H32" s="431">
        <v>9.6500000000000002E-2</v>
      </c>
      <c r="I32" s="432">
        <v>0.7</v>
      </c>
      <c r="J32" s="432">
        <v>1.44</v>
      </c>
      <c r="K32" s="432">
        <v>2.75</v>
      </c>
      <c r="L32" s="431">
        <v>8.8700000000000001E-2</v>
      </c>
      <c r="M32" s="431">
        <v>9.1499999999999998E-2</v>
      </c>
      <c r="N32" s="431">
        <v>0.1091</v>
      </c>
      <c r="O32" s="433">
        <v>0.95</v>
      </c>
      <c r="P32" s="431">
        <v>5.16E-2</v>
      </c>
      <c r="Q32" s="431">
        <v>0.245</v>
      </c>
      <c r="R32" s="431">
        <v>0.51639999999999997</v>
      </c>
    </row>
    <row r="33" spans="1:18" ht="15.5">
      <c r="A33" s="429" t="s">
        <v>487</v>
      </c>
      <c r="B33" s="430">
        <v>752</v>
      </c>
      <c r="C33" s="431">
        <v>-9.4399999999999998E-2</v>
      </c>
      <c r="D33" s="431">
        <v>3.78E-2</v>
      </c>
      <c r="E33" s="431">
        <v>0.218</v>
      </c>
      <c r="F33" s="431">
        <v>5.2900000000000003E-2</v>
      </c>
      <c r="G33" s="431">
        <v>0.11559999999999999</v>
      </c>
      <c r="H33" s="431">
        <v>0.23</v>
      </c>
      <c r="I33" s="432">
        <v>0.42</v>
      </c>
      <c r="J33" s="432">
        <v>1.01</v>
      </c>
      <c r="K33" s="432">
        <v>2.38</v>
      </c>
      <c r="L33" s="431">
        <v>0.10440000000000001</v>
      </c>
      <c r="M33" s="431">
        <v>0.1158</v>
      </c>
      <c r="N33" s="431">
        <v>0.1206</v>
      </c>
      <c r="O33" s="433">
        <v>1.1499999999999999</v>
      </c>
      <c r="P33" s="431">
        <v>8.9999999999999998E-4</v>
      </c>
      <c r="Q33" s="431">
        <v>5.0099999999999999E-2</v>
      </c>
      <c r="R33" s="431">
        <v>0.25969999999999999</v>
      </c>
    </row>
    <row r="34" spans="1:18" ht="15.5">
      <c r="A34" s="429" t="s">
        <v>695</v>
      </c>
      <c r="B34" s="430">
        <v>370</v>
      </c>
      <c r="C34" s="431">
        <v>-2.3099999999999999E-2</v>
      </c>
      <c r="D34" s="431">
        <v>6.2300000000000001E-2</v>
      </c>
      <c r="E34" s="431">
        <v>0.16300000000000001</v>
      </c>
      <c r="F34" s="431">
        <v>5.5300000000000002E-2</v>
      </c>
      <c r="G34" s="431">
        <v>0.1109</v>
      </c>
      <c r="H34" s="431">
        <v>0.17649999999999999</v>
      </c>
      <c r="I34" s="432">
        <v>0.42</v>
      </c>
      <c r="J34" s="432">
        <v>1</v>
      </c>
      <c r="K34" s="432">
        <v>2.4300000000000002</v>
      </c>
      <c r="L34" s="431">
        <v>9.2299999999999993E-2</v>
      </c>
      <c r="M34" s="431">
        <v>0.10100000000000001</v>
      </c>
      <c r="N34" s="431">
        <v>0.1031</v>
      </c>
      <c r="O34" s="433">
        <v>0.97</v>
      </c>
      <c r="P34" s="431">
        <v>2.81E-2</v>
      </c>
      <c r="Q34" s="431">
        <v>0.16650000000000001</v>
      </c>
      <c r="R34" s="431">
        <v>0.36370000000000002</v>
      </c>
    </row>
    <row r="35" spans="1:18" ht="15.5">
      <c r="A35" s="429" t="s">
        <v>696</v>
      </c>
      <c r="B35" s="430">
        <v>426</v>
      </c>
      <c r="C35" s="431">
        <v>3.5900000000000001E-2</v>
      </c>
      <c r="D35" s="431">
        <v>0.127</v>
      </c>
      <c r="E35" s="431">
        <v>0.24099999999999999</v>
      </c>
      <c r="F35" s="431">
        <v>4.9000000000000002E-2</v>
      </c>
      <c r="G35" s="431">
        <v>0.1048</v>
      </c>
      <c r="H35" s="431">
        <v>0.21249999999999999</v>
      </c>
      <c r="I35" s="432">
        <v>0.52</v>
      </c>
      <c r="J35" s="432">
        <v>0.95</v>
      </c>
      <c r="K35" s="432">
        <v>1.81</v>
      </c>
      <c r="L35" s="431">
        <v>8.2900000000000001E-2</v>
      </c>
      <c r="M35" s="431">
        <v>9.1200000000000003E-2</v>
      </c>
      <c r="N35" s="431">
        <v>0.10349999999999999</v>
      </c>
      <c r="O35" s="433">
        <v>0.74</v>
      </c>
      <c r="P35" s="431">
        <v>1.41E-2</v>
      </c>
      <c r="Q35" s="431">
        <v>0.19589999999999999</v>
      </c>
      <c r="R35" s="431">
        <v>0.43840000000000001</v>
      </c>
    </row>
    <row r="36" spans="1:18" ht="15.5">
      <c r="A36" s="429" t="s">
        <v>697</v>
      </c>
      <c r="B36" s="430">
        <v>1089</v>
      </c>
      <c r="C36" s="431">
        <v>-2.7099999999999999E-2</v>
      </c>
      <c r="D36" s="431">
        <v>7.1999999999999995E-2</v>
      </c>
      <c r="E36" s="431">
        <v>0.184</v>
      </c>
      <c r="F36" s="431">
        <v>2.8500000000000001E-2</v>
      </c>
      <c r="G36" s="431">
        <v>0.20250000000000001</v>
      </c>
      <c r="H36" s="431">
        <v>0.44500000000000001</v>
      </c>
      <c r="I36" s="432">
        <v>0.09</v>
      </c>
      <c r="J36" s="432">
        <v>0.2</v>
      </c>
      <c r="K36" s="432">
        <v>0.52</v>
      </c>
      <c r="L36" s="431">
        <v>4.8399999999999999E-2</v>
      </c>
      <c r="M36" s="431">
        <v>5.4199999999999998E-2</v>
      </c>
      <c r="N36" s="431">
        <v>6.0999999999999999E-2</v>
      </c>
      <c r="O36" s="433">
        <v>0.81</v>
      </c>
      <c r="P36" s="431">
        <v>3.0200000000000001E-2</v>
      </c>
      <c r="Q36" s="431">
        <v>0.33310000000000001</v>
      </c>
      <c r="R36" s="431">
        <v>0.67249999999999999</v>
      </c>
    </row>
    <row r="37" spans="1:18" ht="15.5">
      <c r="A37" s="429" t="s">
        <v>698</v>
      </c>
      <c r="B37" s="430">
        <v>1397</v>
      </c>
      <c r="C37" s="431">
        <v>1.0200000000000001E-2</v>
      </c>
      <c r="D37" s="431">
        <v>7.6899999999999996E-2</v>
      </c>
      <c r="E37" s="431">
        <v>0.16200000000000001</v>
      </c>
      <c r="F37" s="431">
        <v>3.49E-2</v>
      </c>
      <c r="G37" s="431">
        <v>6.7900000000000002E-2</v>
      </c>
      <c r="H37" s="431">
        <v>0.11899999999999999</v>
      </c>
      <c r="I37" s="432">
        <v>0.94</v>
      </c>
      <c r="J37" s="432">
        <v>1.49</v>
      </c>
      <c r="K37" s="432">
        <v>2.2599999999999998</v>
      </c>
      <c r="L37" s="431">
        <v>8.5800000000000001E-2</v>
      </c>
      <c r="M37" s="431">
        <v>9.0200000000000002E-2</v>
      </c>
      <c r="N37" s="431">
        <v>0.1065</v>
      </c>
      <c r="O37" s="433">
        <v>0.68</v>
      </c>
      <c r="P37" s="431">
        <v>3.9100000000000003E-2</v>
      </c>
      <c r="Q37" s="431">
        <v>0.1963</v>
      </c>
      <c r="R37" s="431">
        <v>0.41170000000000001</v>
      </c>
    </row>
    <row r="38" spans="1:18" ht="15.5">
      <c r="A38" s="429" t="s">
        <v>699</v>
      </c>
      <c r="B38" s="430">
        <v>169</v>
      </c>
      <c r="C38" s="431">
        <v>-4.0599999999999997E-2</v>
      </c>
      <c r="D38" s="431">
        <v>4.4200000000000003E-2</v>
      </c>
      <c r="E38" s="431">
        <v>0.151</v>
      </c>
      <c r="F38" s="431">
        <v>1.24E-2</v>
      </c>
      <c r="G38" s="431">
        <v>2.87E-2</v>
      </c>
      <c r="H38" s="431">
        <v>6.2799999999999995E-2</v>
      </c>
      <c r="I38" s="432">
        <v>1.23</v>
      </c>
      <c r="J38" s="432">
        <v>3.32</v>
      </c>
      <c r="K38" s="432">
        <v>5.93</v>
      </c>
      <c r="L38" s="431">
        <v>7.17E-2</v>
      </c>
      <c r="M38" s="431">
        <v>7.4899999999999994E-2</v>
      </c>
      <c r="N38" s="431">
        <v>8.6300000000000002E-2</v>
      </c>
      <c r="O38" s="433">
        <v>0.61</v>
      </c>
      <c r="P38" s="431">
        <v>2.1299999999999999E-2</v>
      </c>
      <c r="Q38" s="431">
        <v>0.21099999999999999</v>
      </c>
      <c r="R38" s="431">
        <v>0.45929999999999999</v>
      </c>
    </row>
    <row r="39" spans="1:18" ht="15.5">
      <c r="A39" s="429" t="s">
        <v>700</v>
      </c>
      <c r="B39" s="430">
        <v>362</v>
      </c>
      <c r="C39" s="431">
        <v>-5.0000000000000001E-3</v>
      </c>
      <c r="D39" s="431">
        <v>6.93E-2</v>
      </c>
      <c r="E39" s="431">
        <v>0.16700000000000001</v>
      </c>
      <c r="F39" s="431">
        <v>5.0299999999999997E-2</v>
      </c>
      <c r="G39" s="431">
        <v>7.85E-2</v>
      </c>
      <c r="H39" s="431">
        <v>0.11990000000000001</v>
      </c>
      <c r="I39" s="432">
        <v>1.05</v>
      </c>
      <c r="J39" s="432">
        <v>1.68</v>
      </c>
      <c r="K39" s="432">
        <v>2.5499999999999998</v>
      </c>
      <c r="L39" s="431">
        <v>0.1128</v>
      </c>
      <c r="M39" s="431">
        <v>0.1167</v>
      </c>
      <c r="N39" s="431">
        <v>0.1386</v>
      </c>
      <c r="O39" s="433">
        <v>0.98</v>
      </c>
      <c r="P39" s="431">
        <v>2.92E-2</v>
      </c>
      <c r="Q39" s="431">
        <v>0.13850000000000001</v>
      </c>
      <c r="R39" s="431">
        <v>0.3503</v>
      </c>
    </row>
    <row r="40" spans="1:18" ht="15.5">
      <c r="A40" s="429" t="s">
        <v>701</v>
      </c>
      <c r="B40" s="430">
        <v>248</v>
      </c>
      <c r="C40" s="431">
        <v>1.1599999999999999E-2</v>
      </c>
      <c r="D40" s="431">
        <v>0.111</v>
      </c>
      <c r="E40" s="431">
        <v>0.27800000000000002</v>
      </c>
      <c r="F40" s="431">
        <v>0.17519999999999999</v>
      </c>
      <c r="G40" s="431">
        <v>0.32379999999999998</v>
      </c>
      <c r="H40" s="431">
        <v>0.48980000000000001</v>
      </c>
      <c r="I40" s="432">
        <v>0.13</v>
      </c>
      <c r="J40" s="432">
        <v>0.19</v>
      </c>
      <c r="K40" s="432">
        <v>0.36</v>
      </c>
      <c r="L40" s="431">
        <v>8.7099999999999997E-2</v>
      </c>
      <c r="M40" s="431">
        <v>9.1999999999999998E-2</v>
      </c>
      <c r="N40" s="431">
        <v>0.111</v>
      </c>
      <c r="O40" s="433">
        <v>0.93</v>
      </c>
      <c r="P40" s="431">
        <v>8.77E-2</v>
      </c>
      <c r="Q40" s="431">
        <v>0.2959</v>
      </c>
      <c r="R40" s="431">
        <v>0.50349999999999995</v>
      </c>
    </row>
    <row r="41" spans="1:18" ht="15.5">
      <c r="A41" s="429" t="s">
        <v>702</v>
      </c>
      <c r="B41" s="430">
        <v>896</v>
      </c>
      <c r="C41" s="431">
        <v>1.38E-2</v>
      </c>
      <c r="D41" s="431">
        <v>9.4600000000000004E-2</v>
      </c>
      <c r="E41" s="431">
        <v>0.23100000000000001</v>
      </c>
      <c r="F41" s="431">
        <v>8.8999999999999996E-2</v>
      </c>
      <c r="G41" s="431">
        <v>0.1502</v>
      </c>
      <c r="H41" s="431">
        <v>0.23100000000000001</v>
      </c>
      <c r="I41" s="432">
        <v>0.6</v>
      </c>
      <c r="J41" s="432">
        <v>1.05</v>
      </c>
      <c r="K41" s="432">
        <v>1.79</v>
      </c>
      <c r="L41" s="431">
        <v>0.10249999999999999</v>
      </c>
      <c r="M41" s="431">
        <v>0.10829999999999999</v>
      </c>
      <c r="N41" s="431">
        <v>0.1152</v>
      </c>
      <c r="O41" s="433">
        <v>1.1000000000000001</v>
      </c>
      <c r="P41" s="431">
        <v>6.4000000000000003E-3</v>
      </c>
      <c r="Q41" s="431">
        <v>5.1799999999999999E-2</v>
      </c>
      <c r="R41" s="431">
        <v>0.18160000000000001</v>
      </c>
    </row>
    <row r="42" spans="1:18" ht="15.5">
      <c r="A42" s="429" t="s">
        <v>703</v>
      </c>
      <c r="B42" s="430">
        <v>460</v>
      </c>
      <c r="C42" s="431">
        <v>1.7600000000000001E-2</v>
      </c>
      <c r="D42" s="431">
        <v>9.1499999999999998E-2</v>
      </c>
      <c r="E42" s="431">
        <v>0.20300000000000001</v>
      </c>
      <c r="F42" s="431">
        <v>3.6799999999999999E-2</v>
      </c>
      <c r="G42" s="431">
        <v>7.9600000000000004E-2</v>
      </c>
      <c r="H42" s="431">
        <v>0.15590000000000001</v>
      </c>
      <c r="I42" s="432">
        <v>1.1299999999999999</v>
      </c>
      <c r="J42" s="432">
        <v>2.21</v>
      </c>
      <c r="K42" s="432">
        <v>4.5999999999999996</v>
      </c>
      <c r="L42" s="431">
        <v>9.35E-2</v>
      </c>
      <c r="M42" s="431">
        <v>0.1013</v>
      </c>
      <c r="N42" s="431">
        <v>0.10489999999999999</v>
      </c>
      <c r="O42" s="433">
        <v>0.88</v>
      </c>
      <c r="P42" s="431">
        <v>1.8499999999999999E-2</v>
      </c>
      <c r="Q42" s="431">
        <v>0.14360000000000001</v>
      </c>
      <c r="R42" s="431">
        <v>0.3412</v>
      </c>
    </row>
    <row r="43" spans="1:18" ht="15.5">
      <c r="A43" s="429" t="s">
        <v>704</v>
      </c>
      <c r="B43" s="430">
        <v>447</v>
      </c>
      <c r="C43" s="431">
        <v>4.5600000000000002E-2</v>
      </c>
      <c r="D43" s="431">
        <v>0.14899999999999999</v>
      </c>
      <c r="E43" s="431">
        <v>0.29099999999999998</v>
      </c>
      <c r="F43" s="431">
        <v>8.2100000000000006E-2</v>
      </c>
      <c r="G43" s="431">
        <v>0.14960000000000001</v>
      </c>
      <c r="H43" s="431">
        <v>0.23910000000000001</v>
      </c>
      <c r="I43" s="432">
        <v>0.56999999999999995</v>
      </c>
      <c r="J43" s="432">
        <v>1.21</v>
      </c>
      <c r="K43" s="432">
        <v>2.2999999999999998</v>
      </c>
      <c r="L43" s="431">
        <v>0.1139</v>
      </c>
      <c r="M43" s="431">
        <v>0.11459999999999999</v>
      </c>
      <c r="N43" s="431">
        <v>0.12839999999999999</v>
      </c>
      <c r="O43" s="433">
        <v>1.28</v>
      </c>
      <c r="P43" s="431">
        <v>4.7000000000000002E-3</v>
      </c>
      <c r="Q43" s="431">
        <v>3.6999999999999998E-2</v>
      </c>
      <c r="R43" s="431">
        <v>0.16850000000000001</v>
      </c>
    </row>
    <row r="44" spans="1:18" ht="15.5">
      <c r="A44" s="429" t="s">
        <v>705</v>
      </c>
      <c r="B44" s="430">
        <v>171</v>
      </c>
      <c r="C44" s="431">
        <v>-1.26E-2</v>
      </c>
      <c r="D44" s="431">
        <v>6.0400000000000002E-2</v>
      </c>
      <c r="E44" s="431">
        <v>0.155</v>
      </c>
      <c r="F44" s="431">
        <v>6.2600000000000003E-2</v>
      </c>
      <c r="G44" s="431">
        <v>0.1143</v>
      </c>
      <c r="H44" s="431">
        <v>0.16980000000000001</v>
      </c>
      <c r="I44" s="432">
        <v>0.61</v>
      </c>
      <c r="J44" s="432">
        <v>1.31</v>
      </c>
      <c r="K44" s="432">
        <v>2.08</v>
      </c>
      <c r="L44" s="431">
        <v>9.8299999999999998E-2</v>
      </c>
      <c r="M44" s="431">
        <v>0.1042</v>
      </c>
      <c r="N44" s="431">
        <v>0.10920000000000001</v>
      </c>
      <c r="O44" s="433">
        <v>1.0900000000000001</v>
      </c>
      <c r="P44" s="431">
        <v>0.13439999999999999</v>
      </c>
      <c r="Q44" s="431">
        <v>0.41689999999999999</v>
      </c>
      <c r="R44" s="431">
        <v>0.66690000000000005</v>
      </c>
    </row>
    <row r="45" spans="1:18" ht="15.5">
      <c r="A45" s="429" t="s">
        <v>706</v>
      </c>
      <c r="B45" s="430">
        <v>231</v>
      </c>
      <c r="C45" s="431">
        <v>3.5999999999999997E-2</v>
      </c>
      <c r="D45" s="431">
        <v>8.6099999999999996E-2</v>
      </c>
      <c r="E45" s="431">
        <v>0.16800000000000001</v>
      </c>
      <c r="F45" s="431">
        <v>7.4999999999999997E-2</v>
      </c>
      <c r="G45" s="431">
        <v>0.1255</v>
      </c>
      <c r="H45" s="431">
        <v>0.19489999999999999</v>
      </c>
      <c r="I45" s="432">
        <v>0.63</v>
      </c>
      <c r="J45" s="432">
        <v>1.07</v>
      </c>
      <c r="K45" s="432">
        <v>1.79</v>
      </c>
      <c r="L45" s="431">
        <v>7.3099999999999998E-2</v>
      </c>
      <c r="M45" s="431">
        <v>8.0799999999999997E-2</v>
      </c>
      <c r="N45" s="431">
        <v>9.4399999999999998E-2</v>
      </c>
      <c r="O45" s="433">
        <v>0.72</v>
      </c>
      <c r="P45" s="431">
        <v>4.4699999999999997E-2</v>
      </c>
      <c r="Q45" s="431">
        <v>0.17380000000000001</v>
      </c>
      <c r="R45" s="431">
        <v>0.41089999999999999</v>
      </c>
    </row>
    <row r="46" spans="1:18" ht="15.5">
      <c r="A46" s="429" t="s">
        <v>707</v>
      </c>
      <c r="B46" s="430">
        <v>650</v>
      </c>
      <c r="C46" s="431">
        <v>-0.17799999999999999</v>
      </c>
      <c r="D46" s="431">
        <v>-6.7699999999999996E-2</v>
      </c>
      <c r="E46" s="431">
        <v>2.9499999999999998E-2</v>
      </c>
      <c r="F46" s="431">
        <v>6.9400000000000003E-2</v>
      </c>
      <c r="G46" s="431">
        <v>0.1429</v>
      </c>
      <c r="H46" s="431">
        <v>0.2172</v>
      </c>
      <c r="I46" s="432">
        <v>0.16</v>
      </c>
      <c r="J46" s="432">
        <v>0.35</v>
      </c>
      <c r="K46" s="432">
        <v>0.82</v>
      </c>
      <c r="L46" s="431">
        <v>8.9499999999999996E-2</v>
      </c>
      <c r="M46" s="431">
        <v>9.4299999999999995E-2</v>
      </c>
      <c r="N46" s="431">
        <v>0.11169999999999999</v>
      </c>
      <c r="O46" s="433">
        <v>0.91</v>
      </c>
      <c r="P46" s="431">
        <v>3.4200000000000001E-2</v>
      </c>
      <c r="Q46" s="431">
        <v>0.2404</v>
      </c>
      <c r="R46" s="431">
        <v>0.52510000000000001</v>
      </c>
    </row>
    <row r="47" spans="1:18" ht="15.5">
      <c r="A47" s="429" t="s">
        <v>708</v>
      </c>
      <c r="B47" s="430">
        <v>589</v>
      </c>
      <c r="C47" s="431">
        <v>-2.3199999999999998E-2</v>
      </c>
      <c r="D47" s="431">
        <v>5.2600000000000001E-2</v>
      </c>
      <c r="E47" s="431">
        <v>0.13100000000000001</v>
      </c>
      <c r="F47" s="431">
        <v>4.8500000000000001E-2</v>
      </c>
      <c r="G47" s="431">
        <v>9.1300000000000006E-2</v>
      </c>
      <c r="H47" s="431">
        <v>0.15479999999999999</v>
      </c>
      <c r="I47" s="432">
        <v>0.78</v>
      </c>
      <c r="J47" s="432">
        <v>1.39</v>
      </c>
      <c r="K47" s="432">
        <v>2.33</v>
      </c>
      <c r="L47" s="431">
        <v>9.5899999999999999E-2</v>
      </c>
      <c r="M47" s="431">
        <v>0.1057</v>
      </c>
      <c r="N47" s="431">
        <v>0.1104</v>
      </c>
      <c r="O47" s="433">
        <v>0.9</v>
      </c>
      <c r="P47" s="431">
        <v>3.2000000000000002E-3</v>
      </c>
      <c r="Q47" s="431">
        <v>6.8099999999999994E-2</v>
      </c>
      <c r="R47" s="431">
        <v>0.28079999999999999</v>
      </c>
    </row>
    <row r="48" spans="1:18" ht="15.5">
      <c r="A48" s="429" t="s">
        <v>709</v>
      </c>
      <c r="B48" s="430">
        <v>242</v>
      </c>
      <c r="C48" s="431">
        <v>8.6E-3</v>
      </c>
      <c r="D48" s="431">
        <v>8.7900000000000006E-2</v>
      </c>
      <c r="E48" s="431">
        <v>0.19700000000000001</v>
      </c>
      <c r="F48" s="431">
        <v>7.2300000000000003E-2</v>
      </c>
      <c r="G48" s="431">
        <v>0.1119</v>
      </c>
      <c r="H48" s="431">
        <v>0.21490000000000001</v>
      </c>
      <c r="I48" s="432">
        <v>1.1000000000000001</v>
      </c>
      <c r="J48" s="432">
        <v>2.13</v>
      </c>
      <c r="K48" s="432">
        <v>4.51</v>
      </c>
      <c r="L48" s="431">
        <v>0.11840000000000001</v>
      </c>
      <c r="M48" s="431">
        <v>0.1303</v>
      </c>
      <c r="N48" s="431">
        <v>0.14510000000000001</v>
      </c>
      <c r="O48" s="433">
        <v>1.26</v>
      </c>
      <c r="P48" s="431">
        <v>7.9000000000000008E-3</v>
      </c>
      <c r="Q48" s="431">
        <v>5.74E-2</v>
      </c>
      <c r="R48" s="431">
        <v>0.25119999999999998</v>
      </c>
    </row>
    <row r="49" spans="1:18" ht="15.5">
      <c r="A49" s="429" t="s">
        <v>710</v>
      </c>
      <c r="B49" s="430">
        <v>206</v>
      </c>
      <c r="C49" s="431">
        <v>-1.7500000000000002E-2</v>
      </c>
      <c r="D49" s="431">
        <v>4.7399999999999998E-2</v>
      </c>
      <c r="E49" s="431">
        <v>0.107</v>
      </c>
      <c r="F49" s="431">
        <v>6.3500000000000001E-2</v>
      </c>
      <c r="G49" s="431">
        <v>0.1081</v>
      </c>
      <c r="H49" s="431">
        <v>0.1918</v>
      </c>
      <c r="I49" s="432">
        <v>0.83</v>
      </c>
      <c r="J49" s="432">
        <v>1.51</v>
      </c>
      <c r="K49" s="432">
        <v>2.56</v>
      </c>
      <c r="L49" s="431">
        <v>7.9899999999999999E-2</v>
      </c>
      <c r="M49" s="431">
        <v>8.4500000000000006E-2</v>
      </c>
      <c r="N49" s="431">
        <v>0.1074</v>
      </c>
      <c r="O49" s="433">
        <v>0.61</v>
      </c>
      <c r="P49" s="431">
        <v>0</v>
      </c>
      <c r="Q49" s="431">
        <v>5.1799999999999999E-2</v>
      </c>
      <c r="R49" s="431">
        <v>0.24879999999999999</v>
      </c>
    </row>
    <row r="50" spans="1:18" ht="15.5">
      <c r="A50" s="429" t="s">
        <v>711</v>
      </c>
      <c r="B50" s="430">
        <v>142</v>
      </c>
      <c r="C50" s="431">
        <v>-1.78E-2</v>
      </c>
      <c r="D50" s="431">
        <v>3.56E-2</v>
      </c>
      <c r="E50" s="431">
        <v>0.13200000000000001</v>
      </c>
      <c r="F50" s="431">
        <v>5.7599999999999998E-2</v>
      </c>
      <c r="G50" s="431">
        <v>9.7699999999999995E-2</v>
      </c>
      <c r="H50" s="431">
        <v>0.1704</v>
      </c>
      <c r="I50" s="432">
        <v>0.49</v>
      </c>
      <c r="J50" s="432">
        <v>1.0900000000000001</v>
      </c>
      <c r="K50" s="432">
        <v>2.75</v>
      </c>
      <c r="L50" s="431">
        <v>8.6400000000000005E-2</v>
      </c>
      <c r="M50" s="431">
        <v>9.6199999999999994E-2</v>
      </c>
      <c r="N50" s="431">
        <v>0.1285</v>
      </c>
      <c r="O50" s="433">
        <v>0.89</v>
      </c>
      <c r="P50" s="431">
        <v>5.5999999999999999E-3</v>
      </c>
      <c r="Q50" s="431">
        <v>0.1232</v>
      </c>
      <c r="R50" s="431">
        <v>0.4078</v>
      </c>
    </row>
    <row r="51" spans="1:18" ht="15.5">
      <c r="A51" s="429" t="s">
        <v>712</v>
      </c>
      <c r="B51" s="430">
        <v>235</v>
      </c>
      <c r="C51" s="431">
        <v>3.5999999999999999E-3</v>
      </c>
      <c r="D51" s="431">
        <v>6.9500000000000006E-2</v>
      </c>
      <c r="E51" s="431">
        <v>0.157</v>
      </c>
      <c r="F51" s="431">
        <v>7.1999999999999995E-2</v>
      </c>
      <c r="G51" s="431">
        <v>0.1227</v>
      </c>
      <c r="H51" s="431">
        <v>0.22140000000000001</v>
      </c>
      <c r="I51" s="432">
        <v>0.68</v>
      </c>
      <c r="J51" s="432">
        <v>1.19</v>
      </c>
      <c r="K51" s="432">
        <v>2.06</v>
      </c>
      <c r="L51" s="431">
        <v>7.9899999999999999E-2</v>
      </c>
      <c r="M51" s="431">
        <v>9.8100000000000007E-2</v>
      </c>
      <c r="N51" s="431">
        <v>0.123</v>
      </c>
      <c r="O51" s="433">
        <v>0.76</v>
      </c>
      <c r="P51" s="431">
        <v>1E-4</v>
      </c>
      <c r="Q51" s="431">
        <v>2.5899999999999999E-2</v>
      </c>
      <c r="R51" s="431">
        <v>0.152</v>
      </c>
    </row>
    <row r="52" spans="1:18" ht="15.5">
      <c r="A52" s="429" t="s">
        <v>713</v>
      </c>
      <c r="B52" s="430">
        <v>1660</v>
      </c>
      <c r="C52" s="431">
        <v>-3.1300000000000001E-2</v>
      </c>
      <c r="D52" s="431">
        <v>9.4600000000000004E-2</v>
      </c>
      <c r="E52" s="431">
        <v>0.29599999999999999</v>
      </c>
      <c r="F52" s="431">
        <v>0.18559999999999999</v>
      </c>
      <c r="G52" s="431">
        <v>0.37959999999999999</v>
      </c>
      <c r="H52" s="431">
        <v>0.78300000000000003</v>
      </c>
      <c r="I52" s="432">
        <v>0.06</v>
      </c>
      <c r="J52" s="432">
        <v>0.25</v>
      </c>
      <c r="K52" s="432">
        <v>1.04</v>
      </c>
      <c r="L52" s="431">
        <v>7.2599999999999998E-2</v>
      </c>
      <c r="M52" s="431">
        <v>7.2599999999999998E-2</v>
      </c>
      <c r="N52" s="431">
        <v>7.9500000000000001E-2</v>
      </c>
      <c r="O52" s="433">
        <v>0.52</v>
      </c>
      <c r="P52" s="431">
        <v>0</v>
      </c>
      <c r="Q52" s="431">
        <v>5.0000000000000001E-4</v>
      </c>
      <c r="R52" s="431">
        <v>6.6900000000000001E-2</v>
      </c>
    </row>
    <row r="53" spans="1:18" ht="15.5">
      <c r="A53" s="429" t="s">
        <v>714</v>
      </c>
      <c r="B53" s="430">
        <v>1463</v>
      </c>
      <c r="C53" s="431">
        <v>-7.1999999999999998E-3</v>
      </c>
      <c r="D53" s="431">
        <v>5.2900000000000003E-2</v>
      </c>
      <c r="E53" s="431">
        <v>0.13600000000000001</v>
      </c>
      <c r="F53" s="431">
        <v>5.1200000000000002E-2</v>
      </c>
      <c r="G53" s="431">
        <v>8.9899999999999994E-2</v>
      </c>
      <c r="H53" s="431">
        <v>0.14080000000000001</v>
      </c>
      <c r="I53" s="432">
        <v>0.81</v>
      </c>
      <c r="J53" s="432">
        <v>1.22</v>
      </c>
      <c r="K53" s="432">
        <v>1.89</v>
      </c>
      <c r="L53" s="431">
        <v>0.10879999999999999</v>
      </c>
      <c r="M53" s="431">
        <v>0.1134</v>
      </c>
      <c r="N53" s="431">
        <v>0.115</v>
      </c>
      <c r="O53" s="433">
        <v>1.06</v>
      </c>
      <c r="P53" s="431">
        <v>1.84E-2</v>
      </c>
      <c r="Q53" s="431">
        <v>0.10780000000000001</v>
      </c>
      <c r="R53" s="431">
        <v>0.27039999999999997</v>
      </c>
    </row>
    <row r="54" spans="1:18" ht="15.5">
      <c r="A54" s="429" t="s">
        <v>635</v>
      </c>
      <c r="B54" s="430">
        <v>1783</v>
      </c>
      <c r="C54" s="431">
        <v>1.15E-2</v>
      </c>
      <c r="D54" s="431">
        <v>0.13300000000000001</v>
      </c>
      <c r="E54" s="431">
        <v>0.27300000000000002</v>
      </c>
      <c r="F54" s="431">
        <v>4.7399999999999998E-2</v>
      </c>
      <c r="G54" s="431">
        <v>9.9599999999999994E-2</v>
      </c>
      <c r="H54" s="431">
        <v>0.21820000000000001</v>
      </c>
      <c r="I54" s="432">
        <v>0.09</v>
      </c>
      <c r="J54" s="432">
        <v>0.89</v>
      </c>
      <c r="K54" s="432">
        <v>1.76</v>
      </c>
      <c r="L54" s="431">
        <v>0.10489999999999999</v>
      </c>
      <c r="M54" s="431">
        <v>0.10489999999999999</v>
      </c>
      <c r="N54" s="431">
        <v>0.1108</v>
      </c>
      <c r="O54" s="433">
        <v>1.1299999999999999</v>
      </c>
      <c r="P54" s="431">
        <v>0</v>
      </c>
      <c r="Q54" s="431">
        <v>3.0000000000000001E-3</v>
      </c>
      <c r="R54" s="431">
        <v>0.1027</v>
      </c>
    </row>
    <row r="55" spans="1:18" ht="15.5">
      <c r="A55" s="429" t="s">
        <v>715</v>
      </c>
      <c r="B55" s="430">
        <v>144</v>
      </c>
      <c r="C55" s="431">
        <v>-3.09E-2</v>
      </c>
      <c r="D55" s="431">
        <v>2.4299999999999999E-2</v>
      </c>
      <c r="E55" s="431">
        <v>9.6100000000000005E-2</v>
      </c>
      <c r="F55" s="431">
        <v>3.4299999999999997E-2</v>
      </c>
      <c r="G55" s="431">
        <v>5.4600000000000003E-2</v>
      </c>
      <c r="H55" s="431">
        <v>0.1071</v>
      </c>
      <c r="I55" s="432">
        <v>0.94</v>
      </c>
      <c r="J55" s="432">
        <v>1.68</v>
      </c>
      <c r="K55" s="432">
        <v>2.78</v>
      </c>
      <c r="L55" s="431">
        <v>9.4500000000000001E-2</v>
      </c>
      <c r="M55" s="431">
        <v>9.8299999999999998E-2</v>
      </c>
      <c r="N55" s="431">
        <v>0.1164</v>
      </c>
      <c r="O55" s="433">
        <v>0.89</v>
      </c>
      <c r="P55" s="431">
        <v>3.1E-2</v>
      </c>
      <c r="Q55" s="431">
        <v>0.15240000000000001</v>
      </c>
      <c r="R55" s="431">
        <v>0.40920000000000001</v>
      </c>
    </row>
    <row r="56" spans="1:18" ht="15.5">
      <c r="A56" s="429" t="s">
        <v>716</v>
      </c>
      <c r="B56" s="430">
        <v>36</v>
      </c>
      <c r="C56" s="431">
        <v>0.106</v>
      </c>
      <c r="D56" s="431">
        <v>0.16</v>
      </c>
      <c r="E56" s="431">
        <v>0.246</v>
      </c>
      <c r="F56" s="431">
        <v>0.11890000000000001</v>
      </c>
      <c r="G56" s="431">
        <v>0.16450000000000001</v>
      </c>
      <c r="H56" s="431">
        <v>0.29160000000000003</v>
      </c>
      <c r="I56" s="432">
        <v>1</v>
      </c>
      <c r="J56" s="432">
        <v>1.7</v>
      </c>
      <c r="K56" s="432">
        <v>2.15</v>
      </c>
      <c r="L56" s="431">
        <v>0.10340000000000001</v>
      </c>
      <c r="M56" s="431">
        <v>0.10970000000000001</v>
      </c>
      <c r="N56" s="431">
        <v>0.13550000000000001</v>
      </c>
      <c r="O56" s="433">
        <v>1.08</v>
      </c>
      <c r="P56" s="431">
        <v>0.1014</v>
      </c>
      <c r="Q56" s="431">
        <v>0.33850000000000002</v>
      </c>
      <c r="R56" s="431">
        <v>0.51280000000000003</v>
      </c>
    </row>
    <row r="57" spans="1:18" ht="15.5">
      <c r="A57" s="429" t="s">
        <v>636</v>
      </c>
      <c r="B57" s="430">
        <v>616</v>
      </c>
      <c r="C57" s="431">
        <v>2.2700000000000001E-2</v>
      </c>
      <c r="D57" s="431">
        <v>0.182</v>
      </c>
      <c r="E57" s="431">
        <v>0.38600000000000001</v>
      </c>
      <c r="F57" s="431">
        <v>0.2321</v>
      </c>
      <c r="G57" s="431">
        <v>0.40989999999999999</v>
      </c>
      <c r="H57" s="431">
        <v>0.56859999999999999</v>
      </c>
      <c r="I57" s="432">
        <v>0.34</v>
      </c>
      <c r="J57" s="432">
        <v>0.69</v>
      </c>
      <c r="K57" s="432">
        <v>1.47</v>
      </c>
      <c r="L57" s="431">
        <v>0.1085</v>
      </c>
      <c r="M57" s="431">
        <v>0.1086</v>
      </c>
      <c r="N57" s="431">
        <v>0.11940000000000001</v>
      </c>
      <c r="O57" s="433">
        <v>1.1399999999999999</v>
      </c>
      <c r="P57" s="431">
        <v>0</v>
      </c>
      <c r="Q57" s="431">
        <v>6.5299999999999997E-2</v>
      </c>
      <c r="R57" s="431">
        <v>0.29110000000000003</v>
      </c>
    </row>
    <row r="58" spans="1:18" ht="15.5">
      <c r="A58" s="429" t="s">
        <v>717</v>
      </c>
      <c r="B58" s="430">
        <v>166</v>
      </c>
      <c r="C58" s="431">
        <v>8.5000000000000006E-3</v>
      </c>
      <c r="D58" s="431">
        <v>8.9099999999999999E-2</v>
      </c>
      <c r="E58" s="431">
        <v>0.17100000000000001</v>
      </c>
      <c r="F58" s="431">
        <v>3.9100000000000003E-2</v>
      </c>
      <c r="G58" s="431">
        <v>0.1061</v>
      </c>
      <c r="H58" s="431">
        <v>0.25390000000000001</v>
      </c>
      <c r="I58" s="432">
        <v>0.28000000000000003</v>
      </c>
      <c r="J58" s="432">
        <v>0.56000000000000005</v>
      </c>
      <c r="K58" s="432">
        <v>1.87</v>
      </c>
      <c r="L58" s="431">
        <v>7.9299999999999995E-2</v>
      </c>
      <c r="M58" s="431">
        <v>8.6699999999999999E-2</v>
      </c>
      <c r="N58" s="431">
        <v>0.1018</v>
      </c>
      <c r="O58" s="433">
        <v>0.9</v>
      </c>
      <c r="P58" s="431">
        <v>0.10299999999999999</v>
      </c>
      <c r="Q58" s="431">
        <v>0.3609</v>
      </c>
      <c r="R58" s="431">
        <v>0.51200000000000001</v>
      </c>
    </row>
    <row r="59" spans="1:18" ht="15.5">
      <c r="A59" s="429" t="s">
        <v>718</v>
      </c>
      <c r="B59" s="430">
        <v>455</v>
      </c>
      <c r="C59" s="431">
        <v>-7.5399999999999995E-2</v>
      </c>
      <c r="D59" s="431">
        <v>4.6399999999999997E-2</v>
      </c>
      <c r="E59" s="431">
        <v>0.158</v>
      </c>
      <c r="F59" s="431">
        <v>2.8799999999999999E-2</v>
      </c>
      <c r="G59" s="431">
        <v>6.4199999999999993E-2</v>
      </c>
      <c r="H59" s="431">
        <v>0.1164</v>
      </c>
      <c r="I59" s="432">
        <v>0.62</v>
      </c>
      <c r="J59" s="432">
        <v>1.54</v>
      </c>
      <c r="K59" s="432">
        <v>3.06</v>
      </c>
      <c r="L59" s="431">
        <v>9.3600000000000003E-2</v>
      </c>
      <c r="M59" s="431">
        <v>0.1028</v>
      </c>
      <c r="N59" s="431">
        <v>0.1203</v>
      </c>
      <c r="O59" s="433">
        <v>1.0900000000000001</v>
      </c>
      <c r="P59" s="431">
        <v>4.48E-2</v>
      </c>
      <c r="Q59" s="431">
        <v>0.22950000000000001</v>
      </c>
      <c r="R59" s="431">
        <v>0.52480000000000004</v>
      </c>
    </row>
    <row r="60" spans="1:18" ht="15.5">
      <c r="A60" s="429" t="s">
        <v>719</v>
      </c>
      <c r="B60" s="430">
        <v>414</v>
      </c>
      <c r="C60" s="431">
        <v>1.9699999999999999E-2</v>
      </c>
      <c r="D60" s="431">
        <v>7.1999999999999995E-2</v>
      </c>
      <c r="E60" s="431">
        <v>0.14399999999999999</v>
      </c>
      <c r="F60" s="431">
        <v>4.19E-2</v>
      </c>
      <c r="G60" s="431">
        <v>7.4499999999999997E-2</v>
      </c>
      <c r="H60" s="431">
        <v>0.1106</v>
      </c>
      <c r="I60" s="432">
        <v>0.92</v>
      </c>
      <c r="J60" s="432">
        <v>1.34</v>
      </c>
      <c r="K60" s="432">
        <v>1.96</v>
      </c>
      <c r="L60" s="431">
        <v>8.3500000000000005E-2</v>
      </c>
      <c r="M60" s="431">
        <v>9.1200000000000003E-2</v>
      </c>
      <c r="N60" s="431">
        <v>0.1024</v>
      </c>
      <c r="O60" s="433">
        <v>0.84</v>
      </c>
      <c r="P60" s="431">
        <v>6.1899999999999997E-2</v>
      </c>
      <c r="Q60" s="431">
        <v>0.2475</v>
      </c>
      <c r="R60" s="431">
        <v>0.46639999999999998</v>
      </c>
    </row>
    <row r="61" spans="1:18" ht="15.5">
      <c r="A61" s="429" t="s">
        <v>720</v>
      </c>
      <c r="B61" s="430">
        <v>268</v>
      </c>
      <c r="C61" s="431">
        <v>1.4E-2</v>
      </c>
      <c r="D61" s="431">
        <v>6.6699999999999995E-2</v>
      </c>
      <c r="E61" s="431">
        <v>0.14799999999999999</v>
      </c>
      <c r="F61" s="431">
        <v>4.4999999999999998E-2</v>
      </c>
      <c r="G61" s="431">
        <v>7.6799999999999993E-2</v>
      </c>
      <c r="H61" s="431">
        <v>0.154</v>
      </c>
      <c r="I61" s="432">
        <v>0.69</v>
      </c>
      <c r="J61" s="432">
        <v>1.02</v>
      </c>
      <c r="K61" s="432">
        <v>1.64</v>
      </c>
      <c r="L61" s="431">
        <v>8.9200000000000002E-2</v>
      </c>
      <c r="M61" s="431">
        <v>9.4600000000000004E-2</v>
      </c>
      <c r="N61" s="431">
        <v>0.1118</v>
      </c>
      <c r="O61" s="433">
        <v>0.97</v>
      </c>
      <c r="P61" s="431">
        <v>0.1041</v>
      </c>
      <c r="Q61" s="431">
        <v>0.2681</v>
      </c>
      <c r="R61" s="431">
        <v>0.5081</v>
      </c>
    </row>
    <row r="62" spans="1:18" ht="15.5">
      <c r="A62" s="429" t="s">
        <v>721</v>
      </c>
      <c r="B62" s="430">
        <v>485</v>
      </c>
      <c r="C62" s="431">
        <v>3.0099999999999998E-2</v>
      </c>
      <c r="D62" s="431">
        <v>9.2799999999999994E-2</v>
      </c>
      <c r="E62" s="431">
        <v>0.16900000000000001</v>
      </c>
      <c r="F62" s="431">
        <v>6.59E-2</v>
      </c>
      <c r="G62" s="431">
        <v>0.12859999999999999</v>
      </c>
      <c r="H62" s="431">
        <v>0.21790000000000001</v>
      </c>
      <c r="I62" s="432">
        <v>0.36</v>
      </c>
      <c r="J62" s="432">
        <v>0.64</v>
      </c>
      <c r="K62" s="432">
        <v>1.18</v>
      </c>
      <c r="L62" s="431">
        <v>6.9099999999999995E-2</v>
      </c>
      <c r="M62" s="431">
        <v>7.3200000000000001E-2</v>
      </c>
      <c r="N62" s="431">
        <v>8.6800000000000002E-2</v>
      </c>
      <c r="O62" s="433">
        <v>0.64</v>
      </c>
      <c r="P62" s="431">
        <v>0.1411</v>
      </c>
      <c r="Q62" s="431">
        <v>0.39379999999999998</v>
      </c>
      <c r="R62" s="431">
        <v>0.59260000000000002</v>
      </c>
    </row>
    <row r="63" spans="1:18" ht="15.5">
      <c r="A63" s="429" t="s">
        <v>722</v>
      </c>
      <c r="B63" s="430">
        <v>930</v>
      </c>
      <c r="C63" s="431">
        <v>8.3000000000000001E-3</v>
      </c>
      <c r="D63" s="431">
        <v>0.13700000000000001</v>
      </c>
      <c r="E63" s="431">
        <v>0.34</v>
      </c>
      <c r="F63" s="431">
        <v>0.1119</v>
      </c>
      <c r="G63" s="431">
        <v>0.219</v>
      </c>
      <c r="H63" s="431">
        <v>0.34139999999999998</v>
      </c>
      <c r="I63" s="432">
        <v>0.1</v>
      </c>
      <c r="J63" s="432">
        <v>0.55000000000000004</v>
      </c>
      <c r="K63" s="432">
        <v>1.04</v>
      </c>
      <c r="L63" s="431">
        <v>0.1042</v>
      </c>
      <c r="M63" s="431">
        <v>0.10440000000000001</v>
      </c>
      <c r="N63" s="431">
        <v>0.10440000000000001</v>
      </c>
      <c r="O63" s="433">
        <v>1.1200000000000001</v>
      </c>
      <c r="P63" s="431">
        <v>0</v>
      </c>
      <c r="Q63" s="431">
        <v>3.0000000000000001E-3</v>
      </c>
      <c r="R63" s="431">
        <v>8.43E-2</v>
      </c>
    </row>
    <row r="64" spans="1:18" ht="15.5">
      <c r="A64" s="429" t="s">
        <v>723</v>
      </c>
      <c r="B64" s="430">
        <v>327</v>
      </c>
      <c r="C64" s="431">
        <v>-5.67E-2</v>
      </c>
      <c r="D64" s="431">
        <v>1.8E-3</v>
      </c>
      <c r="E64" s="431">
        <v>7.5800000000000006E-2</v>
      </c>
      <c r="F64" s="431">
        <v>4.0099999999999997E-2</v>
      </c>
      <c r="G64" s="431">
        <v>8.5800000000000001E-2</v>
      </c>
      <c r="H64" s="431">
        <v>0.12239999999999999</v>
      </c>
      <c r="I64" s="432">
        <v>0.73</v>
      </c>
      <c r="J64" s="432">
        <v>1.27</v>
      </c>
      <c r="K64" s="432">
        <v>2.2599999999999998</v>
      </c>
      <c r="L64" s="431">
        <v>9.7900000000000001E-2</v>
      </c>
      <c r="M64" s="431">
        <v>0.10100000000000001</v>
      </c>
      <c r="N64" s="431">
        <v>0.1193</v>
      </c>
      <c r="O64" s="433">
        <v>0.79</v>
      </c>
      <c r="P64" s="431">
        <v>1.2800000000000001E-2</v>
      </c>
      <c r="Q64" s="431">
        <v>0.1147</v>
      </c>
      <c r="R64" s="431">
        <v>0.34389999999999998</v>
      </c>
    </row>
    <row r="65" spans="1:18" ht="15.5">
      <c r="A65" s="429" t="s">
        <v>724</v>
      </c>
      <c r="B65" s="430">
        <v>792</v>
      </c>
      <c r="C65" s="431">
        <v>-2.5000000000000001E-2</v>
      </c>
      <c r="D65" s="431">
        <v>3.4799999999999998E-2</v>
      </c>
      <c r="E65" s="431">
        <v>0.14399999999999999</v>
      </c>
      <c r="F65" s="431">
        <v>0.34379999999999999</v>
      </c>
      <c r="G65" s="431">
        <v>0.53900000000000003</v>
      </c>
      <c r="H65" s="431">
        <v>0.68</v>
      </c>
      <c r="I65" s="432">
        <v>0.06</v>
      </c>
      <c r="J65" s="432">
        <v>0.08</v>
      </c>
      <c r="K65" s="432">
        <v>0.13</v>
      </c>
      <c r="L65" s="431">
        <v>6.7299999999999999E-2</v>
      </c>
      <c r="M65" s="431">
        <v>7.2800000000000004E-2</v>
      </c>
      <c r="N65" s="431">
        <v>8.3400000000000002E-2</v>
      </c>
      <c r="O65" s="433">
        <v>0.81</v>
      </c>
      <c r="P65" s="431">
        <v>0.2442</v>
      </c>
      <c r="Q65" s="431">
        <v>0.4037</v>
      </c>
      <c r="R65" s="431">
        <v>0.56869999999999998</v>
      </c>
    </row>
    <row r="66" spans="1:18" ht="15.5">
      <c r="A66" s="429" t="s">
        <v>725</v>
      </c>
      <c r="B66" s="430">
        <v>869</v>
      </c>
      <c r="C66" s="431">
        <v>-0.13</v>
      </c>
      <c r="D66" s="431">
        <v>1.6799999999999999E-2</v>
      </c>
      <c r="E66" s="431">
        <v>0.189</v>
      </c>
      <c r="F66" s="431">
        <v>9.7799999999999998E-2</v>
      </c>
      <c r="G66" s="431">
        <v>0.16800000000000001</v>
      </c>
      <c r="H66" s="431">
        <v>0.29139999999999999</v>
      </c>
      <c r="I66" s="432">
        <v>0.11</v>
      </c>
      <c r="J66" s="432">
        <v>0.25</v>
      </c>
      <c r="K66" s="432">
        <v>0.54</v>
      </c>
      <c r="L66" s="431">
        <v>7.4999999999999997E-2</v>
      </c>
      <c r="M66" s="431">
        <v>8.2000000000000003E-2</v>
      </c>
      <c r="N66" s="431">
        <v>8.9099999999999999E-2</v>
      </c>
      <c r="O66" s="433">
        <v>0.96</v>
      </c>
      <c r="P66" s="431">
        <v>9.5899999999999999E-2</v>
      </c>
      <c r="Q66" s="431">
        <v>0.43280000000000002</v>
      </c>
      <c r="R66" s="431">
        <v>0.72360000000000002</v>
      </c>
    </row>
    <row r="67" spans="1:18" ht="15.5">
      <c r="A67" s="429" t="s">
        <v>726</v>
      </c>
      <c r="B67" s="430">
        <v>342</v>
      </c>
      <c r="C67" s="431">
        <v>-0.105</v>
      </c>
      <c r="D67" s="431">
        <v>8.8999999999999999E-3</v>
      </c>
      <c r="E67" s="431">
        <v>0.14499999999999999</v>
      </c>
      <c r="F67" s="431">
        <v>0.1047</v>
      </c>
      <c r="G67" s="431">
        <v>0.2104</v>
      </c>
      <c r="H67" s="431">
        <v>0.41260000000000002</v>
      </c>
      <c r="I67" s="432">
        <v>7.0000000000000007E-2</v>
      </c>
      <c r="J67" s="432">
        <v>0.17</v>
      </c>
      <c r="K67" s="432">
        <v>0.4</v>
      </c>
      <c r="L67" s="431">
        <v>7.46E-2</v>
      </c>
      <c r="M67" s="431">
        <v>7.8100000000000003E-2</v>
      </c>
      <c r="N67" s="431">
        <v>9.0899999999999995E-2</v>
      </c>
      <c r="O67" s="433">
        <v>0.91</v>
      </c>
      <c r="P67" s="431">
        <v>0.1588</v>
      </c>
      <c r="Q67" s="431">
        <v>0.45229999999999998</v>
      </c>
      <c r="R67" s="431">
        <v>0.66410000000000002</v>
      </c>
    </row>
    <row r="68" spans="1:18" ht="15.5">
      <c r="A68" s="429" t="s">
        <v>727</v>
      </c>
      <c r="B68" s="430">
        <v>730</v>
      </c>
      <c r="C68" s="431">
        <v>-3.9699999999999999E-2</v>
      </c>
      <c r="D68" s="431">
        <v>4.4299999999999999E-2</v>
      </c>
      <c r="E68" s="431">
        <v>0.186</v>
      </c>
      <c r="F68" s="431">
        <v>0.1671</v>
      </c>
      <c r="G68" s="431">
        <v>0.39810000000000001</v>
      </c>
      <c r="H68" s="431">
        <v>0.62309999999999999</v>
      </c>
      <c r="I68" s="432">
        <v>0.06</v>
      </c>
      <c r="J68" s="432">
        <v>0.1</v>
      </c>
      <c r="K68" s="432">
        <v>0.34</v>
      </c>
      <c r="L68" s="431">
        <v>7.1900000000000006E-2</v>
      </c>
      <c r="M68" s="431">
        <v>7.7700000000000005E-2</v>
      </c>
      <c r="N68" s="431">
        <v>8.6199999999999999E-2</v>
      </c>
      <c r="O68" s="433">
        <v>0.81</v>
      </c>
      <c r="P68" s="431">
        <v>1.83E-2</v>
      </c>
      <c r="Q68" s="431">
        <v>0.33910000000000001</v>
      </c>
      <c r="R68" s="431">
        <v>0.59650000000000003</v>
      </c>
    </row>
    <row r="69" spans="1:18" ht="15.5">
      <c r="A69" s="429" t="s">
        <v>728</v>
      </c>
      <c r="B69" s="430">
        <v>323</v>
      </c>
      <c r="C69" s="431">
        <v>-2.8000000000000001E-2</v>
      </c>
      <c r="D69" s="431">
        <v>6.3100000000000003E-2</v>
      </c>
      <c r="E69" s="431">
        <v>0.155</v>
      </c>
      <c r="F69" s="431">
        <v>6.7900000000000002E-2</v>
      </c>
      <c r="G69" s="431">
        <v>0.1142</v>
      </c>
      <c r="H69" s="431">
        <v>0.18140000000000001</v>
      </c>
      <c r="I69" s="432">
        <v>0.52</v>
      </c>
      <c r="J69" s="432">
        <v>1.1399999999999999</v>
      </c>
      <c r="K69" s="432">
        <v>2.06</v>
      </c>
      <c r="L69" s="431">
        <v>9.7600000000000006E-2</v>
      </c>
      <c r="M69" s="431">
        <v>0.106</v>
      </c>
      <c r="N69" s="431">
        <v>0.10929999999999999</v>
      </c>
      <c r="O69" s="433">
        <v>1.07</v>
      </c>
      <c r="P69" s="431">
        <v>2.76E-2</v>
      </c>
      <c r="Q69" s="431">
        <v>0.1386</v>
      </c>
      <c r="R69" s="431">
        <v>0.37580000000000002</v>
      </c>
    </row>
    <row r="70" spans="1:18" ht="15.5">
      <c r="A70" s="429" t="s">
        <v>729</v>
      </c>
      <c r="B70" s="430">
        <v>34</v>
      </c>
      <c r="C70" s="431">
        <v>3.8600000000000002E-2</v>
      </c>
      <c r="D70" s="431">
        <v>6.08E-2</v>
      </c>
      <c r="E70" s="431">
        <v>8.8400000000000006E-2</v>
      </c>
      <c r="F70" s="431">
        <v>3.5400000000000001E-2</v>
      </c>
      <c r="G70" s="431">
        <v>6.7599999999999993E-2</v>
      </c>
      <c r="H70" s="431">
        <v>0.12970000000000001</v>
      </c>
      <c r="I70" s="432">
        <v>0.7</v>
      </c>
      <c r="J70" s="432">
        <v>1.08</v>
      </c>
      <c r="K70" s="432">
        <v>1.79</v>
      </c>
      <c r="L70" s="431">
        <v>0.1164</v>
      </c>
      <c r="M70" s="431">
        <v>0.12970000000000001</v>
      </c>
      <c r="N70" s="431">
        <v>0.13969999999999999</v>
      </c>
      <c r="O70" s="433">
        <v>1.02</v>
      </c>
      <c r="P70" s="431">
        <v>1E-4</v>
      </c>
      <c r="Q70" s="431">
        <v>0.13120000000000001</v>
      </c>
      <c r="R70" s="431">
        <v>0.31340000000000001</v>
      </c>
    </row>
    <row r="71" spans="1:18" ht="15.5">
      <c r="A71" s="429" t="s">
        <v>730</v>
      </c>
      <c r="B71" s="430">
        <v>382</v>
      </c>
      <c r="C71" s="431">
        <v>-9.1999999999999998E-2</v>
      </c>
      <c r="D71" s="431">
        <v>-1.7100000000000001E-2</v>
      </c>
      <c r="E71" s="431">
        <v>5.0200000000000002E-2</v>
      </c>
      <c r="F71" s="431">
        <v>0.03</v>
      </c>
      <c r="G71" s="431">
        <v>6.3200000000000006E-2</v>
      </c>
      <c r="H71" s="431">
        <v>0.11310000000000001</v>
      </c>
      <c r="I71" s="432">
        <v>0.99</v>
      </c>
      <c r="J71" s="432">
        <v>1.63</v>
      </c>
      <c r="K71" s="432">
        <v>2.4700000000000002</v>
      </c>
      <c r="L71" s="431">
        <v>8.8800000000000004E-2</v>
      </c>
      <c r="M71" s="431">
        <v>9.6299999999999997E-2</v>
      </c>
      <c r="N71" s="431">
        <v>9.8299999999999998E-2</v>
      </c>
      <c r="O71" s="433">
        <v>0.87</v>
      </c>
      <c r="P71" s="431">
        <v>9.74E-2</v>
      </c>
      <c r="Q71" s="431">
        <v>0.27329999999999999</v>
      </c>
      <c r="R71" s="431">
        <v>0.4657</v>
      </c>
    </row>
    <row r="72" spans="1:18" ht="15.5">
      <c r="A72" s="429" t="s">
        <v>731</v>
      </c>
      <c r="B72" s="430">
        <v>193</v>
      </c>
      <c r="C72" s="431">
        <v>3.8E-3</v>
      </c>
      <c r="D72" s="431">
        <v>6.4799999999999996E-2</v>
      </c>
      <c r="E72" s="431">
        <v>0.16</v>
      </c>
      <c r="F72" s="431">
        <v>2.6700000000000002E-2</v>
      </c>
      <c r="G72" s="431">
        <v>4.7199999999999999E-2</v>
      </c>
      <c r="H72" s="431">
        <v>7.0099999999999996E-2</v>
      </c>
      <c r="I72" s="432">
        <v>1.55</v>
      </c>
      <c r="J72" s="432">
        <v>2.64</v>
      </c>
      <c r="K72" s="432">
        <v>4.5</v>
      </c>
      <c r="L72" s="431">
        <v>8.3500000000000005E-2</v>
      </c>
      <c r="M72" s="431">
        <v>8.9599999999999999E-2</v>
      </c>
      <c r="N72" s="431">
        <v>0.1061</v>
      </c>
      <c r="O72" s="433">
        <v>0.93</v>
      </c>
      <c r="P72" s="431">
        <v>9.64E-2</v>
      </c>
      <c r="Q72" s="431">
        <v>0.31669999999999998</v>
      </c>
      <c r="R72" s="431">
        <v>0.58960000000000001</v>
      </c>
    </row>
    <row r="73" spans="1:18" ht="15.5">
      <c r="A73" s="429" t="s">
        <v>732</v>
      </c>
      <c r="B73" s="430">
        <v>98</v>
      </c>
      <c r="C73" s="431">
        <v>3.2000000000000002E-3</v>
      </c>
      <c r="D73" s="431">
        <v>5.5199999999999999E-2</v>
      </c>
      <c r="E73" s="431">
        <v>0.10199999999999999</v>
      </c>
      <c r="F73" s="431">
        <v>4.7199999999999999E-2</v>
      </c>
      <c r="G73" s="431">
        <v>7.5600000000000001E-2</v>
      </c>
      <c r="H73" s="431">
        <v>0.12759999999999999</v>
      </c>
      <c r="I73" s="432">
        <v>1.24</v>
      </c>
      <c r="J73" s="432">
        <v>1.78</v>
      </c>
      <c r="K73" s="432">
        <v>3.09</v>
      </c>
      <c r="L73" s="431">
        <v>9.2799999999999994E-2</v>
      </c>
      <c r="M73" s="431">
        <v>0.1007</v>
      </c>
      <c r="N73" s="431">
        <v>0.10589999999999999</v>
      </c>
      <c r="O73" s="433">
        <v>1.0900000000000001</v>
      </c>
      <c r="P73" s="431">
        <v>0.17929999999999999</v>
      </c>
      <c r="Q73" s="431">
        <v>0.34160000000000001</v>
      </c>
      <c r="R73" s="431">
        <v>0.56920000000000004</v>
      </c>
    </row>
    <row r="74" spans="1:18" ht="15.5">
      <c r="A74" s="429" t="s">
        <v>733</v>
      </c>
      <c r="B74" s="430">
        <v>1006</v>
      </c>
      <c r="C74" s="431">
        <v>-2.69E-2</v>
      </c>
      <c r="D74" s="431">
        <v>5.0700000000000002E-2</v>
      </c>
      <c r="E74" s="431">
        <v>0.156</v>
      </c>
      <c r="F74" s="431">
        <v>2.7400000000000001E-2</v>
      </c>
      <c r="G74" s="431">
        <v>5.91E-2</v>
      </c>
      <c r="H74" s="431">
        <v>0.10580000000000001</v>
      </c>
      <c r="I74" s="432">
        <v>0.68</v>
      </c>
      <c r="J74" s="432">
        <v>1.75</v>
      </c>
      <c r="K74" s="432">
        <v>3.38</v>
      </c>
      <c r="L74" s="431">
        <v>7.9600000000000004E-2</v>
      </c>
      <c r="M74" s="431">
        <v>8.3299999999999999E-2</v>
      </c>
      <c r="N74" s="431">
        <v>9.74E-2</v>
      </c>
      <c r="O74" s="433">
        <v>0.77</v>
      </c>
      <c r="P74" s="431">
        <v>2.1700000000000001E-2</v>
      </c>
      <c r="Q74" s="431">
        <v>0.18490000000000001</v>
      </c>
      <c r="R74" s="431">
        <v>0.45540000000000003</v>
      </c>
    </row>
    <row r="75" spans="1:18" ht="15.5">
      <c r="A75" s="429" t="s">
        <v>659</v>
      </c>
      <c r="B75" s="430">
        <v>189</v>
      </c>
      <c r="C75" s="431">
        <v>-0.153</v>
      </c>
      <c r="D75" s="431">
        <v>-3.3999999999999998E-3</v>
      </c>
      <c r="E75" s="431">
        <v>6.3600000000000004E-2</v>
      </c>
      <c r="F75" s="431">
        <v>3.6499999999999998E-2</v>
      </c>
      <c r="G75" s="431">
        <v>6.7599999999999993E-2</v>
      </c>
      <c r="H75" s="431">
        <v>0.10589999999999999</v>
      </c>
      <c r="I75" s="432">
        <v>0.51</v>
      </c>
      <c r="J75" s="432">
        <v>1.3</v>
      </c>
      <c r="K75" s="432">
        <v>2.52</v>
      </c>
      <c r="L75" s="431">
        <v>8.6400000000000005E-2</v>
      </c>
      <c r="M75" s="431">
        <v>8.9899999999999994E-2</v>
      </c>
      <c r="N75" s="431">
        <v>9.2799999999999994E-2</v>
      </c>
      <c r="O75" s="433">
        <v>0.79</v>
      </c>
      <c r="P75" s="431">
        <v>0.19059999999999999</v>
      </c>
      <c r="Q75" s="431">
        <v>0.40150000000000002</v>
      </c>
      <c r="R75" s="431">
        <v>0.64400000000000002</v>
      </c>
    </row>
    <row r="76" spans="1:18" ht="15.5">
      <c r="A76" s="429" t="s">
        <v>734</v>
      </c>
      <c r="B76" s="430">
        <v>181</v>
      </c>
      <c r="C76" s="431">
        <v>4.0000000000000001E-3</v>
      </c>
      <c r="D76" s="431">
        <v>4.7E-2</v>
      </c>
      <c r="E76" s="431">
        <v>0.105</v>
      </c>
      <c r="F76" s="431">
        <v>2.3199999999999998E-2</v>
      </c>
      <c r="G76" s="431">
        <v>4.0399999999999998E-2</v>
      </c>
      <c r="H76" s="431">
        <v>6.0699999999999997E-2</v>
      </c>
      <c r="I76" s="432">
        <v>1.85</v>
      </c>
      <c r="J76" s="432">
        <v>2.75</v>
      </c>
      <c r="K76" s="432">
        <v>4.1399999999999997</v>
      </c>
      <c r="L76" s="431">
        <v>7.4200000000000002E-2</v>
      </c>
      <c r="M76" s="431">
        <v>7.6399999999999996E-2</v>
      </c>
      <c r="N76" s="431">
        <v>8.2000000000000003E-2</v>
      </c>
      <c r="O76" s="433">
        <v>0.56999999999999995</v>
      </c>
      <c r="P76" s="431">
        <v>0.13109999999999999</v>
      </c>
      <c r="Q76" s="431">
        <v>0.2772</v>
      </c>
      <c r="R76" s="431">
        <v>0.4602</v>
      </c>
    </row>
    <row r="77" spans="1:18" ht="15.5">
      <c r="A77" s="429" t="s">
        <v>735</v>
      </c>
      <c r="B77" s="430">
        <v>342</v>
      </c>
      <c r="C77" s="431">
        <v>-9.7999999999999997E-3</v>
      </c>
      <c r="D77" s="431">
        <v>8.6999999999999994E-2</v>
      </c>
      <c r="E77" s="431">
        <v>0.26200000000000001</v>
      </c>
      <c r="F77" s="431">
        <v>2.4199999999999999E-2</v>
      </c>
      <c r="G77" s="431">
        <v>4.9500000000000002E-2</v>
      </c>
      <c r="H77" s="431">
        <v>9.5899999999999999E-2</v>
      </c>
      <c r="I77" s="432">
        <v>1.56</v>
      </c>
      <c r="J77" s="432">
        <v>3.45</v>
      </c>
      <c r="K77" s="432">
        <v>8.08</v>
      </c>
      <c r="L77" s="431">
        <v>0.12720000000000001</v>
      </c>
      <c r="M77" s="431">
        <v>0.14000000000000001</v>
      </c>
      <c r="N77" s="431">
        <v>0.1457</v>
      </c>
      <c r="O77" s="433">
        <v>1.49</v>
      </c>
      <c r="P77" s="431">
        <v>1.18E-2</v>
      </c>
      <c r="Q77" s="431">
        <v>0.1431</v>
      </c>
      <c r="R77" s="431">
        <v>0.36770000000000003</v>
      </c>
    </row>
    <row r="78" spans="1:18" ht="15.5">
      <c r="A78" s="429" t="s">
        <v>736</v>
      </c>
      <c r="B78" s="430">
        <v>495</v>
      </c>
      <c r="C78" s="431">
        <v>-5.2400000000000002E-2</v>
      </c>
      <c r="D78" s="431">
        <v>2.63E-2</v>
      </c>
      <c r="E78" s="431">
        <v>0.105</v>
      </c>
      <c r="F78" s="431">
        <v>3.2899999999999999E-2</v>
      </c>
      <c r="G78" s="431">
        <v>6.08E-2</v>
      </c>
      <c r="H78" s="431">
        <v>0.1082</v>
      </c>
      <c r="I78" s="432">
        <v>1.32</v>
      </c>
      <c r="J78" s="432">
        <v>2.2599999999999998</v>
      </c>
      <c r="K78" s="432">
        <v>3.54</v>
      </c>
      <c r="L78" s="431">
        <v>9.5699999999999993E-2</v>
      </c>
      <c r="M78" s="431">
        <v>0.10489999999999999</v>
      </c>
      <c r="N78" s="431">
        <v>0.1099</v>
      </c>
      <c r="O78" s="433">
        <v>1.01</v>
      </c>
      <c r="P78" s="431">
        <v>9.2999999999999999E-2</v>
      </c>
      <c r="Q78" s="431">
        <v>0.2636</v>
      </c>
      <c r="R78" s="431">
        <v>0.51570000000000005</v>
      </c>
    </row>
    <row r="79" spans="1:18" ht="15.5">
      <c r="A79" s="429" t="s">
        <v>737</v>
      </c>
      <c r="B79" s="430">
        <v>89</v>
      </c>
      <c r="C79" s="431">
        <v>3.7199999999999997E-2</v>
      </c>
      <c r="D79" s="431">
        <v>6.7100000000000007E-2</v>
      </c>
      <c r="E79" s="431">
        <v>0.11799999999999999</v>
      </c>
      <c r="F79" s="431">
        <v>2.86E-2</v>
      </c>
      <c r="G79" s="431">
        <v>5.96E-2</v>
      </c>
      <c r="H79" s="431">
        <v>0.10780000000000001</v>
      </c>
      <c r="I79" s="432">
        <v>0.91</v>
      </c>
      <c r="J79" s="432">
        <v>1.21</v>
      </c>
      <c r="K79" s="432">
        <v>1.6</v>
      </c>
      <c r="L79" s="431">
        <v>0.1009</v>
      </c>
      <c r="M79" s="431">
        <v>0.10829999999999999</v>
      </c>
      <c r="N79" s="431">
        <v>0.1288</v>
      </c>
      <c r="O79" s="433">
        <v>1.06</v>
      </c>
      <c r="P79" s="431">
        <v>0.1129</v>
      </c>
      <c r="Q79" s="431">
        <v>0.28389999999999999</v>
      </c>
      <c r="R79" s="431">
        <v>0.50509999999999999</v>
      </c>
    </row>
    <row r="80" spans="1:18" ht="15.5">
      <c r="A80" s="429" t="s">
        <v>738</v>
      </c>
      <c r="B80" s="430">
        <v>624</v>
      </c>
      <c r="C80" s="431">
        <v>2.3400000000000001E-2</v>
      </c>
      <c r="D80" s="431">
        <v>0.128</v>
      </c>
      <c r="E80" s="431">
        <v>0.24399999999999999</v>
      </c>
      <c r="F80" s="431">
        <v>6.7699999999999996E-2</v>
      </c>
      <c r="G80" s="431">
        <v>0.1363</v>
      </c>
      <c r="H80" s="431">
        <v>0.22850000000000001</v>
      </c>
      <c r="I80" s="432">
        <v>0.7</v>
      </c>
      <c r="J80" s="432">
        <v>1.1499999999999999</v>
      </c>
      <c r="K80" s="432">
        <v>1.94</v>
      </c>
      <c r="L80" s="431">
        <v>0.14879999999999999</v>
      </c>
      <c r="M80" s="431">
        <v>0.15440000000000001</v>
      </c>
      <c r="N80" s="431">
        <v>0.15640000000000001</v>
      </c>
      <c r="O80" s="433">
        <v>1.7</v>
      </c>
      <c r="P80" s="431">
        <v>4.8999999999999998E-3</v>
      </c>
      <c r="Q80" s="431">
        <v>5.7099999999999998E-2</v>
      </c>
      <c r="R80" s="431">
        <v>0.18790000000000001</v>
      </c>
    </row>
    <row r="81" spans="1:18" ht="15.5">
      <c r="A81" s="429" t="s">
        <v>739</v>
      </c>
      <c r="B81" s="430">
        <v>342</v>
      </c>
      <c r="C81" s="431">
        <v>5.5199999999999999E-2</v>
      </c>
      <c r="D81" s="431">
        <v>0.161</v>
      </c>
      <c r="E81" s="431">
        <v>0.27200000000000002</v>
      </c>
      <c r="F81" s="431">
        <v>9.69E-2</v>
      </c>
      <c r="G81" s="431">
        <v>0.16739999999999999</v>
      </c>
      <c r="H81" s="431">
        <v>0.24940000000000001</v>
      </c>
      <c r="I81" s="432">
        <v>0.78</v>
      </c>
      <c r="J81" s="432">
        <v>1.21</v>
      </c>
      <c r="K81" s="432">
        <v>1.89</v>
      </c>
      <c r="L81" s="431">
        <v>0.1673</v>
      </c>
      <c r="M81" s="431">
        <v>0.17319999999999999</v>
      </c>
      <c r="N81" s="431">
        <v>0.17760000000000001</v>
      </c>
      <c r="O81" s="433">
        <v>2.0699999999999998</v>
      </c>
      <c r="P81" s="431">
        <v>0.01</v>
      </c>
      <c r="Q81" s="431">
        <v>8.3199999999999996E-2</v>
      </c>
      <c r="R81" s="431">
        <v>0.193</v>
      </c>
    </row>
    <row r="82" spans="1:18" ht="15.5">
      <c r="A82" s="429" t="s">
        <v>740</v>
      </c>
      <c r="B82" s="430">
        <v>349</v>
      </c>
      <c r="C82" s="431">
        <v>3.7000000000000002E-3</v>
      </c>
      <c r="D82" s="431">
        <v>9.8100000000000007E-2</v>
      </c>
      <c r="E82" s="431">
        <v>0.217</v>
      </c>
      <c r="F82" s="431">
        <v>0.1051</v>
      </c>
      <c r="G82" s="431">
        <v>0.1933</v>
      </c>
      <c r="H82" s="431">
        <v>0.36840000000000001</v>
      </c>
      <c r="I82" s="432">
        <v>0.34</v>
      </c>
      <c r="J82" s="432">
        <v>0.56999999999999995</v>
      </c>
      <c r="K82" s="432">
        <v>1.1100000000000001</v>
      </c>
      <c r="L82" s="431">
        <v>0.1084</v>
      </c>
      <c r="M82" s="431">
        <v>0.11409999999999999</v>
      </c>
      <c r="N82" s="431">
        <v>0.1401</v>
      </c>
      <c r="O82" s="433">
        <v>1.04</v>
      </c>
      <c r="P82" s="431">
        <v>8.5199999999999998E-2</v>
      </c>
      <c r="Q82" s="431">
        <v>0.30120000000000002</v>
      </c>
      <c r="R82" s="431">
        <v>0.49430000000000002</v>
      </c>
    </row>
    <row r="83" spans="1:18" ht="15.5">
      <c r="A83" s="429" t="s">
        <v>741</v>
      </c>
      <c r="B83" s="430">
        <v>85</v>
      </c>
      <c r="C83" s="431">
        <v>-0.106</v>
      </c>
      <c r="D83" s="431">
        <v>2.24E-2</v>
      </c>
      <c r="E83" s="431">
        <v>0.13900000000000001</v>
      </c>
      <c r="F83" s="431">
        <v>6.3200000000000006E-2</v>
      </c>
      <c r="G83" s="431">
        <v>0.105</v>
      </c>
      <c r="H83" s="431">
        <v>0.15</v>
      </c>
      <c r="I83" s="432">
        <v>0.86</v>
      </c>
      <c r="J83" s="432">
        <v>1.45</v>
      </c>
      <c r="K83" s="432">
        <v>2.15</v>
      </c>
      <c r="L83" s="431">
        <v>0.1047</v>
      </c>
      <c r="M83" s="431">
        <v>0.1085</v>
      </c>
      <c r="N83" s="431">
        <v>0.1318</v>
      </c>
      <c r="O83" s="433">
        <v>1.03</v>
      </c>
      <c r="P83" s="431">
        <v>3.1E-2</v>
      </c>
      <c r="Q83" s="431">
        <v>0.12920000000000001</v>
      </c>
      <c r="R83" s="431">
        <v>0.42149999999999999</v>
      </c>
    </row>
    <row r="84" spans="1:18" ht="15.5">
      <c r="A84" s="429" t="s">
        <v>742</v>
      </c>
      <c r="B84" s="430">
        <v>320</v>
      </c>
      <c r="C84" s="431">
        <v>-3.1199999999999999E-2</v>
      </c>
      <c r="D84" s="431">
        <v>9.1800000000000007E-2</v>
      </c>
      <c r="E84" s="431">
        <v>0.25600000000000001</v>
      </c>
      <c r="F84" s="431">
        <v>5.9200000000000003E-2</v>
      </c>
      <c r="G84" s="431">
        <v>0.1258</v>
      </c>
      <c r="H84" s="431">
        <v>0.25190000000000001</v>
      </c>
      <c r="I84" s="432">
        <v>1.04</v>
      </c>
      <c r="J84" s="432">
        <v>2.38</v>
      </c>
      <c r="K84" s="432">
        <v>6.01</v>
      </c>
      <c r="L84" s="431">
        <v>0.12559999999999999</v>
      </c>
      <c r="M84" s="431">
        <v>0.13320000000000001</v>
      </c>
      <c r="N84" s="431">
        <v>0.14319999999999999</v>
      </c>
      <c r="O84" s="433">
        <v>1.39</v>
      </c>
      <c r="P84" s="431">
        <v>8.9999999999999998E-4</v>
      </c>
      <c r="Q84" s="431">
        <v>3.3500000000000002E-2</v>
      </c>
      <c r="R84" s="431">
        <v>0.1658</v>
      </c>
    </row>
    <row r="85" spans="1:18" ht="15.5">
      <c r="A85" s="429" t="s">
        <v>743</v>
      </c>
      <c r="B85" s="430">
        <v>152</v>
      </c>
      <c r="C85" s="431">
        <v>3.6999999999999998E-2</v>
      </c>
      <c r="D85" s="431">
        <v>0.128</v>
      </c>
      <c r="E85" s="431">
        <v>0.35499999999999998</v>
      </c>
      <c r="F85" s="431">
        <v>4.6899999999999997E-2</v>
      </c>
      <c r="G85" s="431">
        <v>9.6100000000000005E-2</v>
      </c>
      <c r="H85" s="431">
        <v>0.188</v>
      </c>
      <c r="I85" s="432">
        <v>0.71</v>
      </c>
      <c r="J85" s="432">
        <v>1.49</v>
      </c>
      <c r="K85" s="432">
        <v>3.24</v>
      </c>
      <c r="L85" s="431">
        <v>0.1135</v>
      </c>
      <c r="M85" s="431">
        <v>0.1239</v>
      </c>
      <c r="N85" s="431">
        <v>0.12909999999999999</v>
      </c>
      <c r="O85" s="433">
        <v>1.3</v>
      </c>
      <c r="P85" s="431">
        <v>1.7000000000000001E-2</v>
      </c>
      <c r="Q85" s="431">
        <v>8.3599999999999994E-2</v>
      </c>
      <c r="R85" s="431">
        <v>0.23910000000000001</v>
      </c>
    </row>
    <row r="86" spans="1:18" ht="15.5">
      <c r="A86" s="429" t="s">
        <v>744</v>
      </c>
      <c r="B86" s="430">
        <v>1648</v>
      </c>
      <c r="C86" s="431">
        <v>6.7999999999999996E-3</v>
      </c>
      <c r="D86" s="431">
        <v>0.107</v>
      </c>
      <c r="E86" s="431">
        <v>0.24399999999999999</v>
      </c>
      <c r="F86" s="431">
        <v>5.57E-2</v>
      </c>
      <c r="G86" s="431">
        <v>0.1157</v>
      </c>
      <c r="H86" s="431">
        <v>0.1958</v>
      </c>
      <c r="I86" s="432">
        <v>0.78</v>
      </c>
      <c r="J86" s="432">
        <v>1.79</v>
      </c>
      <c r="K86" s="432">
        <v>3.71</v>
      </c>
      <c r="L86" s="431">
        <v>0.1169</v>
      </c>
      <c r="M86" s="431">
        <v>0.126</v>
      </c>
      <c r="N86" s="431">
        <v>0.1331</v>
      </c>
      <c r="O86" s="433">
        <v>1.22</v>
      </c>
      <c r="P86" s="431">
        <v>2.2000000000000001E-3</v>
      </c>
      <c r="Q86" s="431">
        <v>3.0499999999999999E-2</v>
      </c>
      <c r="R86" s="431">
        <v>0.14369999999999999</v>
      </c>
    </row>
    <row r="87" spans="1:18" ht="15.5">
      <c r="A87" s="429" t="s">
        <v>745</v>
      </c>
      <c r="B87" s="430">
        <v>710</v>
      </c>
      <c r="C87" s="431">
        <v>2.7E-2</v>
      </c>
      <c r="D87" s="431">
        <v>0.107</v>
      </c>
      <c r="E87" s="431">
        <v>0.187</v>
      </c>
      <c r="F87" s="431">
        <v>3.7100000000000001E-2</v>
      </c>
      <c r="G87" s="431">
        <v>7.4200000000000002E-2</v>
      </c>
      <c r="H87" s="431">
        <v>0.12889999999999999</v>
      </c>
      <c r="I87" s="432">
        <v>0.95</v>
      </c>
      <c r="J87" s="432">
        <v>1.44</v>
      </c>
      <c r="K87" s="432">
        <v>2.35</v>
      </c>
      <c r="L87" s="431">
        <v>0.1074</v>
      </c>
      <c r="M87" s="431">
        <v>0.1132</v>
      </c>
      <c r="N87" s="431">
        <v>0.13739999999999999</v>
      </c>
      <c r="O87" s="433">
        <v>1.18</v>
      </c>
      <c r="P87" s="431">
        <v>5.2699999999999997E-2</v>
      </c>
      <c r="Q87" s="431">
        <v>0.26960000000000001</v>
      </c>
      <c r="R87" s="431">
        <v>0.49880000000000002</v>
      </c>
    </row>
    <row r="88" spans="1:18" ht="15.5">
      <c r="A88" s="429" t="s">
        <v>746</v>
      </c>
      <c r="B88" s="430">
        <v>99</v>
      </c>
      <c r="C88" s="431">
        <v>-3.2800000000000003E-2</v>
      </c>
      <c r="D88" s="431">
        <v>2.3900000000000001E-2</v>
      </c>
      <c r="E88" s="431">
        <v>0.10100000000000001</v>
      </c>
      <c r="F88" s="431">
        <v>9.2200000000000004E-2</v>
      </c>
      <c r="G88" s="431">
        <v>0.13689999999999999</v>
      </c>
      <c r="H88" s="431">
        <v>0.20680000000000001</v>
      </c>
      <c r="I88" s="432">
        <v>0.55000000000000004</v>
      </c>
      <c r="J88" s="432">
        <v>0.8</v>
      </c>
      <c r="K88" s="432">
        <v>1.45</v>
      </c>
      <c r="L88" s="431">
        <v>7.8E-2</v>
      </c>
      <c r="M88" s="431">
        <v>8.2000000000000003E-2</v>
      </c>
      <c r="N88" s="431">
        <v>9.7199999999999995E-2</v>
      </c>
      <c r="O88" s="433">
        <v>0.72</v>
      </c>
      <c r="P88" s="431">
        <v>5.5300000000000002E-2</v>
      </c>
      <c r="Q88" s="431">
        <v>0.187</v>
      </c>
      <c r="R88" s="431">
        <v>0.438</v>
      </c>
    </row>
    <row r="89" spans="1:18" ht="15.5">
      <c r="A89" s="429" t="s">
        <v>747</v>
      </c>
      <c r="B89" s="430">
        <v>461</v>
      </c>
      <c r="C89" s="431">
        <v>-5.45E-2</v>
      </c>
      <c r="D89" s="431">
        <v>3.8800000000000001E-2</v>
      </c>
      <c r="E89" s="431">
        <v>0.129</v>
      </c>
      <c r="F89" s="431">
        <v>4.4900000000000002E-2</v>
      </c>
      <c r="G89" s="431">
        <v>8.7300000000000003E-2</v>
      </c>
      <c r="H89" s="431">
        <v>0.15740000000000001</v>
      </c>
      <c r="I89" s="432">
        <v>0.81</v>
      </c>
      <c r="J89" s="432">
        <v>1.3</v>
      </c>
      <c r="K89" s="432">
        <v>2.48</v>
      </c>
      <c r="L89" s="431">
        <v>0.1087</v>
      </c>
      <c r="M89" s="431">
        <v>0.1195</v>
      </c>
      <c r="N89" s="431">
        <v>0.1226</v>
      </c>
      <c r="O89" s="433">
        <v>1.05</v>
      </c>
      <c r="P89" s="431">
        <v>1.5900000000000001E-2</v>
      </c>
      <c r="Q89" s="431">
        <v>8.9899999999999994E-2</v>
      </c>
      <c r="R89" s="431">
        <v>0.2742</v>
      </c>
    </row>
    <row r="90" spans="1:18" ht="15.5">
      <c r="A90" s="429" t="s">
        <v>748</v>
      </c>
      <c r="B90" s="430">
        <v>295</v>
      </c>
      <c r="C90" s="431">
        <v>-1.38E-2</v>
      </c>
      <c r="D90" s="431">
        <v>4.4499999999999998E-2</v>
      </c>
      <c r="E90" s="431">
        <v>0.14399999999999999</v>
      </c>
      <c r="F90" s="431">
        <v>7.0000000000000007E-2</v>
      </c>
      <c r="G90" s="431">
        <v>0.1404</v>
      </c>
      <c r="H90" s="431">
        <v>0.23050000000000001</v>
      </c>
      <c r="I90" s="432">
        <v>0.48</v>
      </c>
      <c r="J90" s="432">
        <v>0.82</v>
      </c>
      <c r="K90" s="432">
        <v>1.6</v>
      </c>
      <c r="L90" s="431">
        <v>7.0699999999999999E-2</v>
      </c>
      <c r="M90" s="431">
        <v>7.7700000000000005E-2</v>
      </c>
      <c r="N90" s="431">
        <v>9.1499999999999998E-2</v>
      </c>
      <c r="O90" s="433">
        <v>0.81</v>
      </c>
      <c r="P90" s="431">
        <v>4.8800000000000003E-2</v>
      </c>
      <c r="Q90" s="431">
        <v>0.20380000000000001</v>
      </c>
      <c r="R90" s="431">
        <v>0.42549999999999999</v>
      </c>
    </row>
    <row r="91" spans="1:18" ht="15.5">
      <c r="A91" s="429" t="s">
        <v>749</v>
      </c>
      <c r="B91" s="430">
        <v>56</v>
      </c>
      <c r="C91" s="431">
        <v>3.0700000000000002E-2</v>
      </c>
      <c r="D91" s="431">
        <v>6.4799999999999996E-2</v>
      </c>
      <c r="E91" s="431">
        <v>0.14199999999999999</v>
      </c>
      <c r="F91" s="431">
        <v>0.18579999999999999</v>
      </c>
      <c r="G91" s="431">
        <v>0.22700000000000001</v>
      </c>
      <c r="H91" s="431">
        <v>0.36580000000000001</v>
      </c>
      <c r="I91" s="432">
        <v>1.0900000000000001</v>
      </c>
      <c r="J91" s="432">
        <v>1.58</v>
      </c>
      <c r="K91" s="432">
        <v>2.88</v>
      </c>
      <c r="L91" s="431">
        <v>8.5000000000000006E-2</v>
      </c>
      <c r="M91" s="431">
        <v>0.1</v>
      </c>
      <c r="N91" s="431">
        <v>0.12889999999999999</v>
      </c>
      <c r="O91" s="433">
        <v>0.59</v>
      </c>
      <c r="P91" s="431">
        <v>8.9999999999999998E-4</v>
      </c>
      <c r="Q91" s="431">
        <v>3.9300000000000002E-2</v>
      </c>
      <c r="R91" s="431">
        <v>0.3322</v>
      </c>
    </row>
    <row r="92" spans="1:18" ht="15.5">
      <c r="A92" s="429" t="s">
        <v>750</v>
      </c>
      <c r="B92" s="430">
        <v>302</v>
      </c>
      <c r="C92" s="431">
        <v>1.77E-2</v>
      </c>
      <c r="D92" s="431">
        <v>9.0999999999999998E-2</v>
      </c>
      <c r="E92" s="431">
        <v>0.20300000000000001</v>
      </c>
      <c r="F92" s="431">
        <v>3.9899999999999998E-2</v>
      </c>
      <c r="G92" s="431">
        <v>7.3700000000000002E-2</v>
      </c>
      <c r="H92" s="431">
        <v>0.19220000000000001</v>
      </c>
      <c r="I92" s="432">
        <v>0.45</v>
      </c>
      <c r="J92" s="432">
        <v>1.56</v>
      </c>
      <c r="K92" s="432">
        <v>3.25</v>
      </c>
      <c r="L92" s="431">
        <v>9.3100000000000002E-2</v>
      </c>
      <c r="M92" s="431">
        <v>9.8299999999999998E-2</v>
      </c>
      <c r="N92" s="431">
        <v>0.11799999999999999</v>
      </c>
      <c r="O92" s="433">
        <v>0.94</v>
      </c>
      <c r="P92" s="431">
        <v>8.5199999999999998E-2</v>
      </c>
      <c r="Q92" s="431">
        <v>0.26300000000000001</v>
      </c>
      <c r="R92" s="431">
        <v>0.49769999999999998</v>
      </c>
    </row>
    <row r="93" spans="1:18" ht="15.5">
      <c r="A93" s="429" t="s">
        <v>751</v>
      </c>
      <c r="B93" s="430">
        <v>50</v>
      </c>
      <c r="C93" s="431">
        <v>-7.9000000000000001E-2</v>
      </c>
      <c r="D93" s="431">
        <v>-3.0599999999999999E-2</v>
      </c>
      <c r="E93" s="431">
        <v>2.7799999999999998E-2</v>
      </c>
      <c r="F93" s="431">
        <v>4.3299999999999998E-2</v>
      </c>
      <c r="G93" s="431">
        <v>0.1028</v>
      </c>
      <c r="H93" s="431">
        <v>0.24829999999999999</v>
      </c>
      <c r="I93" s="432">
        <v>0.26</v>
      </c>
      <c r="J93" s="432">
        <v>0.38</v>
      </c>
      <c r="K93" s="432">
        <v>0.56000000000000005</v>
      </c>
      <c r="L93" s="431">
        <v>7.46E-2</v>
      </c>
      <c r="M93" s="431">
        <v>7.6399999999999996E-2</v>
      </c>
      <c r="N93" s="431">
        <v>7.9600000000000004E-2</v>
      </c>
      <c r="O93" s="433">
        <v>0.54</v>
      </c>
      <c r="P93" s="431">
        <v>0.16239999999999999</v>
      </c>
      <c r="Q93" s="431">
        <v>0.39340000000000003</v>
      </c>
      <c r="R93" s="431">
        <v>0.56140000000000001</v>
      </c>
    </row>
    <row r="94" spans="1:18" ht="15.5">
      <c r="A94" s="429" t="s">
        <v>752</v>
      </c>
      <c r="B94" s="430">
        <v>220</v>
      </c>
      <c r="C94" s="431">
        <v>-6.1400000000000003E-2</v>
      </c>
      <c r="D94" s="431">
        <v>3.09E-2</v>
      </c>
      <c r="E94" s="431">
        <v>0.12</v>
      </c>
      <c r="F94" s="431">
        <v>4.2700000000000002E-2</v>
      </c>
      <c r="G94" s="431">
        <v>7.7100000000000002E-2</v>
      </c>
      <c r="H94" s="431">
        <v>0.127</v>
      </c>
      <c r="I94" s="432">
        <v>0.64</v>
      </c>
      <c r="J94" s="432">
        <v>1.26</v>
      </c>
      <c r="K94" s="432">
        <v>2.29</v>
      </c>
      <c r="L94" s="431">
        <v>8.7499999999999994E-2</v>
      </c>
      <c r="M94" s="431">
        <v>9.5000000000000001E-2</v>
      </c>
      <c r="N94" s="431">
        <v>0.1154</v>
      </c>
      <c r="O94" s="433">
        <v>1.05</v>
      </c>
      <c r="P94" s="431">
        <v>0.1033</v>
      </c>
      <c r="Q94" s="431">
        <v>0.29220000000000002</v>
      </c>
      <c r="R94" s="431">
        <v>0.55869999999999997</v>
      </c>
    </row>
    <row r="95" spans="1:18" ht="15.5">
      <c r="A95" s="429" t="s">
        <v>753</v>
      </c>
      <c r="B95" s="430">
        <v>51</v>
      </c>
      <c r="C95" s="431">
        <v>1.41E-2</v>
      </c>
      <c r="D95" s="431">
        <v>7.6499999999999999E-2</v>
      </c>
      <c r="E95" s="431">
        <v>0.16500000000000001</v>
      </c>
      <c r="F95" s="431">
        <v>8.4900000000000003E-2</v>
      </c>
      <c r="G95" s="431">
        <v>0.17330000000000001</v>
      </c>
      <c r="H95" s="431">
        <v>0.21329999999999999</v>
      </c>
      <c r="I95" s="432">
        <v>0.32</v>
      </c>
      <c r="J95" s="432">
        <v>0.43</v>
      </c>
      <c r="K95" s="432">
        <v>1.54</v>
      </c>
      <c r="L95" s="431">
        <v>6.4100000000000004E-2</v>
      </c>
      <c r="M95" s="431">
        <v>6.5000000000000002E-2</v>
      </c>
      <c r="N95" s="431">
        <v>7.2400000000000006E-2</v>
      </c>
      <c r="O95" s="433">
        <v>0.63</v>
      </c>
      <c r="P95" s="431">
        <v>0.34889999999999999</v>
      </c>
      <c r="Q95" s="431">
        <v>0.4526</v>
      </c>
      <c r="R95" s="431">
        <v>0.57020000000000004</v>
      </c>
    </row>
    <row r="96" spans="1:18" ht="15.5">
      <c r="A96" s="429" t="s">
        <v>754</v>
      </c>
      <c r="B96" s="430">
        <v>104</v>
      </c>
      <c r="C96" s="431">
        <v>6.4000000000000003E-3</v>
      </c>
      <c r="D96" s="431">
        <v>5.11E-2</v>
      </c>
      <c r="E96" s="431">
        <v>0.114</v>
      </c>
      <c r="F96" s="431">
        <v>0.13009999999999999</v>
      </c>
      <c r="G96" s="431">
        <v>0.25319999999999998</v>
      </c>
      <c r="H96" s="431">
        <v>0.31159999999999999</v>
      </c>
      <c r="I96" s="432">
        <v>0.2</v>
      </c>
      <c r="J96" s="432">
        <v>0.31</v>
      </c>
      <c r="K96" s="432">
        <v>0.52</v>
      </c>
      <c r="L96" s="431">
        <v>6.9199999999999998E-2</v>
      </c>
      <c r="M96" s="431">
        <v>7.3899999999999993E-2</v>
      </c>
      <c r="N96" s="431">
        <v>8.2199999999999995E-2</v>
      </c>
      <c r="O96" s="433">
        <v>0.69</v>
      </c>
      <c r="P96" s="431">
        <v>6.6799999999999998E-2</v>
      </c>
      <c r="Q96" s="431">
        <v>0.31769999999999998</v>
      </c>
      <c r="R96" s="431">
        <v>0.5544</v>
      </c>
    </row>
  </sheetData>
  <mergeCells count="5">
    <mergeCell ref="C1:E1"/>
    <mergeCell ref="F1:H1"/>
    <mergeCell ref="I1:K1"/>
    <mergeCell ref="L1:N1"/>
    <mergeCell ref="P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5"/>
  <sheetViews>
    <sheetView topLeftCell="F1" workbookViewId="0">
      <selection sqref="A1:AA95"/>
    </sheetView>
  </sheetViews>
  <sheetFormatPr defaultColWidth="11.19921875" defaultRowHeight="11.5"/>
  <cols>
    <col min="1" max="1" width="20.296875" bestFit="1" customWidth="1"/>
    <col min="2" max="2" width="11.5" bestFit="1" customWidth="1"/>
    <col min="3" max="3" width="9.5" bestFit="1" customWidth="1"/>
    <col min="4" max="4" width="11.796875" bestFit="1" customWidth="1"/>
    <col min="5" max="5" width="12.5" customWidth="1"/>
    <col min="6" max="6" width="10.5" bestFit="1" customWidth="1"/>
    <col min="7" max="7" width="11.5" bestFit="1" customWidth="1"/>
    <col min="8" max="8" width="22.5" bestFit="1" customWidth="1"/>
  </cols>
  <sheetData>
    <row r="1" spans="1:27" s="189" customFormat="1" ht="72">
      <c r="A1" s="155" t="s">
        <v>86</v>
      </c>
      <c r="B1" s="113" t="s">
        <v>158</v>
      </c>
      <c r="C1" s="156" t="s">
        <v>146</v>
      </c>
      <c r="D1" s="156" t="s">
        <v>611</v>
      </c>
      <c r="E1" s="156" t="s">
        <v>165</v>
      </c>
      <c r="F1" s="113" t="s">
        <v>147</v>
      </c>
      <c r="G1" s="113" t="s">
        <v>195</v>
      </c>
      <c r="H1" s="113" t="s">
        <v>148</v>
      </c>
      <c r="I1" s="113" t="s">
        <v>149</v>
      </c>
      <c r="J1" s="113" t="s">
        <v>150</v>
      </c>
      <c r="K1" s="113" t="s">
        <v>151</v>
      </c>
      <c r="L1" s="113" t="s">
        <v>152</v>
      </c>
      <c r="M1" s="113" t="s">
        <v>135</v>
      </c>
      <c r="N1" s="157" t="s">
        <v>89</v>
      </c>
      <c r="O1" s="113" t="s">
        <v>153</v>
      </c>
      <c r="P1" s="113" t="s">
        <v>154</v>
      </c>
      <c r="Q1" s="113" t="s">
        <v>155</v>
      </c>
      <c r="R1" s="113" t="s">
        <v>156</v>
      </c>
      <c r="S1" s="113" t="s">
        <v>157</v>
      </c>
      <c r="T1" s="113" t="s">
        <v>474</v>
      </c>
      <c r="U1" s="113" t="s">
        <v>475</v>
      </c>
      <c r="V1" s="113" t="s">
        <v>476</v>
      </c>
      <c r="W1" s="113" t="s">
        <v>477</v>
      </c>
      <c r="X1" s="155" t="s">
        <v>461</v>
      </c>
      <c r="Y1" s="155" t="s">
        <v>478</v>
      </c>
      <c r="Z1" s="155" t="s">
        <v>479</v>
      </c>
      <c r="AA1" s="113" t="s">
        <v>619</v>
      </c>
    </row>
    <row r="2" spans="1:27" s="142" customFormat="1" ht="12.5">
      <c r="A2" s="158" t="s">
        <v>87</v>
      </c>
      <c r="B2" s="77">
        <v>362</v>
      </c>
      <c r="C2" s="159">
        <v>7.349679425837323E-2</v>
      </c>
      <c r="D2" s="159">
        <v>9.0308890940185002E-2</v>
      </c>
      <c r="E2" s="159">
        <v>0.21338723126336392</v>
      </c>
      <c r="F2" s="159">
        <v>0.25072105287374769</v>
      </c>
      <c r="G2" s="160">
        <v>1.1743473424289956</v>
      </c>
      <c r="H2" s="160">
        <v>1.2935834925393561</v>
      </c>
      <c r="I2" s="159">
        <v>0.14202796270464063</v>
      </c>
      <c r="J2" s="159">
        <v>0.39695739619251297</v>
      </c>
      <c r="K2" s="159">
        <v>6.9500000000000006E-2</v>
      </c>
      <c r="L2" s="159">
        <v>0.26559116619465917</v>
      </c>
      <c r="M2" s="159">
        <v>0.11821144332952692</v>
      </c>
      <c r="N2" s="160">
        <v>2.7111386724556512</v>
      </c>
      <c r="O2" s="160">
        <v>1.5118171161470773</v>
      </c>
      <c r="P2" s="160">
        <v>10.549458319666552</v>
      </c>
      <c r="Q2" s="160">
        <v>15.504367980070299</v>
      </c>
      <c r="R2" s="160">
        <v>2.3354620711493479</v>
      </c>
      <c r="S2" s="160">
        <v>39.759159058984224</v>
      </c>
      <c r="T2" s="159">
        <v>-2.6059629574481019E-2</v>
      </c>
      <c r="U2" s="159">
        <v>2.1484748482409471E-2</v>
      </c>
      <c r="V2" s="159">
        <v>7.2159828874774857E-3</v>
      </c>
      <c r="W2" s="159">
        <v>0.27774109940881886</v>
      </c>
      <c r="X2" s="159">
        <v>0.10200864604262225</v>
      </c>
      <c r="Y2" s="159">
        <v>0.44451143385934094</v>
      </c>
      <c r="Z2" s="159">
        <v>0.444511433859341</v>
      </c>
      <c r="AA2" s="161">
        <v>9.2224502832059602E-2</v>
      </c>
    </row>
    <row r="3" spans="1:27" s="142" customFormat="1" ht="12.5">
      <c r="A3" s="158" t="s">
        <v>670</v>
      </c>
      <c r="B3" s="77">
        <v>278</v>
      </c>
      <c r="C3" s="159">
        <v>7.3714201183431957E-2</v>
      </c>
      <c r="D3" s="159">
        <v>8.0244040953254395E-2</v>
      </c>
      <c r="E3" s="159">
        <v>0.12143702063274998</v>
      </c>
      <c r="F3" s="159">
        <v>0.16363578286229677</v>
      </c>
      <c r="G3" s="160">
        <v>1.0573692747052328</v>
      </c>
      <c r="H3" s="160">
        <v>1.1580552633554024</v>
      </c>
      <c r="I3" s="159">
        <v>0.13121281001576113</v>
      </c>
      <c r="J3" s="159">
        <v>0.36229340257411924</v>
      </c>
      <c r="K3" s="159">
        <v>6.9500000000000006E-2</v>
      </c>
      <c r="L3" s="159">
        <v>0.18855316790308613</v>
      </c>
      <c r="M3" s="159">
        <v>0.11634379756383052</v>
      </c>
      <c r="N3" s="160">
        <v>1.6921275153858071</v>
      </c>
      <c r="O3" s="160">
        <v>2.2626356260667349</v>
      </c>
      <c r="P3" s="160">
        <v>15.266315053274221</v>
      </c>
      <c r="Q3" s="160">
        <v>24.545448469832731</v>
      </c>
      <c r="R3" s="160">
        <v>4.3573233797524988</v>
      </c>
      <c r="S3" s="160">
        <v>69.873885510145371</v>
      </c>
      <c r="T3" s="159">
        <v>0.42343101384561821</v>
      </c>
      <c r="U3" s="159">
        <v>3.3915170439337512E-2</v>
      </c>
      <c r="V3" s="159">
        <v>9.3530759960407574E-3</v>
      </c>
      <c r="W3" s="159">
        <v>0.41378426559560244</v>
      </c>
      <c r="X3" s="159">
        <v>8.0355181939871512E-2</v>
      </c>
      <c r="Y3" s="159">
        <v>0.72951493462206618</v>
      </c>
      <c r="Z3" s="159">
        <v>0.72951493462206618</v>
      </c>
      <c r="AA3" s="161">
        <v>7.9981930247242136E-2</v>
      </c>
    </row>
    <row r="4" spans="1:27" s="142" customFormat="1" ht="12.5">
      <c r="A4" s="158" t="s">
        <v>671</v>
      </c>
      <c r="B4" s="77">
        <v>155</v>
      </c>
      <c r="C4" s="159">
        <v>-2.4202561983471073E-2</v>
      </c>
      <c r="D4" s="159">
        <v>1.2353378911390047E-2</v>
      </c>
      <c r="E4" s="159">
        <v>9.0355252665947575E-3</v>
      </c>
      <c r="F4" s="159">
        <v>0.1308370077254517</v>
      </c>
      <c r="G4" s="160">
        <v>0.76161422717292737</v>
      </c>
      <c r="H4" s="160">
        <v>1.2354206917515256</v>
      </c>
      <c r="I4" s="159">
        <v>0.13738657120177172</v>
      </c>
      <c r="J4" s="159">
        <v>0.30863311861967929</v>
      </c>
      <c r="K4" s="159">
        <v>6.9500000000000006E-2</v>
      </c>
      <c r="L4" s="159">
        <v>0.52376822281143809</v>
      </c>
      <c r="M4" s="159">
        <v>9.2849395821210656E-2</v>
      </c>
      <c r="N4" s="160">
        <v>0.80542277986245103</v>
      </c>
      <c r="O4" s="160">
        <v>1.9367510184926524</v>
      </c>
      <c r="P4" s="160">
        <v>10.980475195113629</v>
      </c>
      <c r="Q4" s="160">
        <v>106.6657342055652</v>
      </c>
      <c r="R4" s="160">
        <v>2.9382894788056628</v>
      </c>
      <c r="S4" s="160">
        <v>75.856092154903067</v>
      </c>
      <c r="T4" s="159">
        <v>-3.5817592352555154E-2</v>
      </c>
      <c r="U4" s="159">
        <v>9.6693065490875751E-2</v>
      </c>
      <c r="V4" s="159">
        <v>3.2559147510088392E-2</v>
      </c>
      <c r="W4" s="159">
        <v>9.5547125985183889</v>
      </c>
      <c r="X4" s="159">
        <v>-9.3242946827625517E-2</v>
      </c>
      <c r="Y4" s="159">
        <v>4.4191751889956421E-3</v>
      </c>
      <c r="Z4" s="159">
        <v>4.4191751889955944E-3</v>
      </c>
      <c r="AA4" s="161">
        <v>1.2274593703366197E-2</v>
      </c>
    </row>
    <row r="5" spans="1:27" s="142" customFormat="1" ht="12.5">
      <c r="A5" s="158" t="s">
        <v>672</v>
      </c>
      <c r="B5" s="77">
        <v>1146</v>
      </c>
      <c r="C5" s="159">
        <v>4.6189893238434081E-2</v>
      </c>
      <c r="D5" s="159">
        <v>0.14743627276755109</v>
      </c>
      <c r="E5" s="159">
        <v>0.20093422274465472</v>
      </c>
      <c r="F5" s="159">
        <v>0.23781863623580107</v>
      </c>
      <c r="G5" s="160">
        <v>0.84193602052433447</v>
      </c>
      <c r="H5" s="160">
        <v>0.90237888995411852</v>
      </c>
      <c r="I5" s="159">
        <v>0.11080983541833865</v>
      </c>
      <c r="J5" s="159">
        <v>0.34781354412233134</v>
      </c>
      <c r="K5" s="159">
        <v>6.9500000000000006E-2</v>
      </c>
      <c r="L5" s="159">
        <v>0.15361852401854517</v>
      </c>
      <c r="M5" s="159">
        <v>0.10182999002758587</v>
      </c>
      <c r="N5" s="160">
        <v>1.5806190152148958</v>
      </c>
      <c r="O5" s="160">
        <v>2.3572313228368644</v>
      </c>
      <c r="P5" s="160">
        <v>12.584665934703455</v>
      </c>
      <c r="Q5" s="160">
        <v>15.486602949046972</v>
      </c>
      <c r="R5" s="160">
        <v>3.6309023837854668</v>
      </c>
      <c r="S5" s="160">
        <v>73.56324390422597</v>
      </c>
      <c r="T5" s="159">
        <v>0.21493944316933722</v>
      </c>
      <c r="U5" s="159">
        <v>3.6609584078790343E-2</v>
      </c>
      <c r="V5" s="159">
        <v>1.6666737691856361E-2</v>
      </c>
      <c r="W5" s="159">
        <v>0.4898760232758958</v>
      </c>
      <c r="X5" s="159">
        <v>0.15307722601657631</v>
      </c>
      <c r="Y5" s="159">
        <v>0.4288308576857397</v>
      </c>
      <c r="Z5" s="159">
        <v>0.4288308576857397</v>
      </c>
      <c r="AA5" s="161">
        <v>0.14943657631895677</v>
      </c>
    </row>
    <row r="6" spans="1:27" s="142" customFormat="1" ht="12.5">
      <c r="A6" s="158" t="s">
        <v>673</v>
      </c>
      <c r="B6" s="77">
        <v>154</v>
      </c>
      <c r="C6" s="159">
        <v>8.2065959595959595E-2</v>
      </c>
      <c r="D6" s="159">
        <v>6.584576381061448E-2</v>
      </c>
      <c r="E6" s="159">
        <v>5.3357693453791086E-2</v>
      </c>
      <c r="F6" s="159">
        <v>0.21365745874896358</v>
      </c>
      <c r="G6" s="160">
        <v>1.0338355926371079</v>
      </c>
      <c r="H6" s="160">
        <v>1.3526231349119202</v>
      </c>
      <c r="I6" s="159">
        <v>0.14673932616597124</v>
      </c>
      <c r="J6" s="159">
        <v>0.33896789399772925</v>
      </c>
      <c r="K6" s="159">
        <v>6.9500000000000006E-2</v>
      </c>
      <c r="L6" s="159">
        <v>0.42427592940792425</v>
      </c>
      <c r="M6" s="159">
        <v>0.10669405268100901</v>
      </c>
      <c r="N6" s="160">
        <v>0.92471336879470623</v>
      </c>
      <c r="O6" s="160">
        <v>1.082392518093318</v>
      </c>
      <c r="P6" s="160">
        <v>9.2030884541139262</v>
      </c>
      <c r="Q6" s="160">
        <v>15.835554573844876</v>
      </c>
      <c r="R6" s="160">
        <v>1.2924319609024459</v>
      </c>
      <c r="S6" s="160">
        <v>27.781838175350082</v>
      </c>
      <c r="T6" s="159">
        <v>7.9713074350257086E-3</v>
      </c>
      <c r="U6" s="159">
        <v>6.0423265071670167E-2</v>
      </c>
      <c r="V6" s="159">
        <v>2.7560794421056058E-2</v>
      </c>
      <c r="W6" s="159">
        <v>0.501947218801582</v>
      </c>
      <c r="X6" s="159">
        <v>0.11518174528970851</v>
      </c>
      <c r="Y6" s="159">
        <v>0.22505595545281412</v>
      </c>
      <c r="Z6" s="159">
        <v>0.22505595545281409</v>
      </c>
      <c r="AA6" s="161">
        <v>6.5170323760650503E-2</v>
      </c>
    </row>
    <row r="7" spans="1:27" s="142" customFormat="1" ht="12.5">
      <c r="A7" s="158" t="s">
        <v>674</v>
      </c>
      <c r="B7" s="77">
        <v>746</v>
      </c>
      <c r="C7" s="159">
        <v>5.157986111111109E-2</v>
      </c>
      <c r="D7" s="159">
        <v>3.6479009561434891E-2</v>
      </c>
      <c r="E7" s="159">
        <v>4.222860068434426E-2</v>
      </c>
      <c r="F7" s="159">
        <v>0.25746757422962119</v>
      </c>
      <c r="G7" s="160">
        <v>1.2875467841381958</v>
      </c>
      <c r="H7" s="160">
        <v>1.4130101599580891</v>
      </c>
      <c r="I7" s="159">
        <v>0.1515582107646555</v>
      </c>
      <c r="J7" s="159">
        <v>0.31499751482799093</v>
      </c>
      <c r="K7" s="159">
        <v>6.9500000000000006E-2</v>
      </c>
      <c r="L7" s="159">
        <v>0.26055904721279227</v>
      </c>
      <c r="M7" s="159">
        <v>0.12570974732398635</v>
      </c>
      <c r="N7" s="160">
        <v>1.4689858860581844</v>
      </c>
      <c r="O7" s="160">
        <v>0.8305830591776443</v>
      </c>
      <c r="P7" s="160">
        <v>9.4666196581639355</v>
      </c>
      <c r="Q7" s="160">
        <v>21.860840601324096</v>
      </c>
      <c r="R7" s="160">
        <v>1.3917099071259258</v>
      </c>
      <c r="S7" s="160">
        <v>39.301868735316567</v>
      </c>
      <c r="T7" s="159">
        <v>0.13142619927912766</v>
      </c>
      <c r="U7" s="159">
        <v>5.1411946122316261E-2</v>
      </c>
      <c r="V7" s="159">
        <v>3.1668608532252063E-2</v>
      </c>
      <c r="W7" s="159">
        <v>2.0647634316505332</v>
      </c>
      <c r="X7" s="159">
        <v>5.2512079188338168E-2</v>
      </c>
      <c r="Y7" s="159">
        <v>0.51852413385931106</v>
      </c>
      <c r="Z7" s="159">
        <v>0.51852413385931106</v>
      </c>
      <c r="AA7" s="161">
        <v>3.4943488463797939E-2</v>
      </c>
    </row>
    <row r="8" spans="1:27" s="142" customFormat="1" ht="12.5">
      <c r="A8" s="158" t="s">
        <v>675</v>
      </c>
      <c r="B8" s="77">
        <v>596</v>
      </c>
      <c r="C8" s="159">
        <v>0.10534848197343455</v>
      </c>
      <c r="D8" s="159">
        <v>4.1764766200202448E-5</v>
      </c>
      <c r="E8" s="159">
        <v>4.1684616383614826E-5</v>
      </c>
      <c r="F8" s="159">
        <v>0.18677332609619868</v>
      </c>
      <c r="G8" s="160">
        <v>0.43761147216067758</v>
      </c>
      <c r="H8" s="160">
        <v>0.87521547410293199</v>
      </c>
      <c r="I8" s="159">
        <v>0.10864219483341397</v>
      </c>
      <c r="J8" s="159">
        <v>0.21675380851065218</v>
      </c>
      <c r="K8" s="159">
        <v>6.1800000000000001E-2</v>
      </c>
      <c r="L8" s="159">
        <v>0.75025597377956421</v>
      </c>
      <c r="M8" s="159">
        <v>6.2060110743097238E-2</v>
      </c>
      <c r="N8" s="160">
        <v>0.14023331329651406</v>
      </c>
      <c r="O8" s="160">
        <v>6.6890452219127399</v>
      </c>
      <c r="P8" s="160" t="s">
        <v>88</v>
      </c>
      <c r="Q8" s="160" t="s">
        <v>88</v>
      </c>
      <c r="R8" s="160">
        <v>0.81285190398027118</v>
      </c>
      <c r="S8" s="160">
        <v>13.739133910974902</v>
      </c>
      <c r="T8" s="159" t="s">
        <v>88</v>
      </c>
      <c r="U8" s="159">
        <v>3.2404484108969081E-2</v>
      </c>
      <c r="V8" s="159">
        <v>3.4360841059937627E-2</v>
      </c>
      <c r="W8" s="159">
        <v>84.189822596779209</v>
      </c>
      <c r="X8" s="159">
        <v>1.033504286307702E-2</v>
      </c>
      <c r="Y8" s="159">
        <v>0.33483400470597052</v>
      </c>
      <c r="Z8" s="159">
        <v>0.33483400470597058</v>
      </c>
      <c r="AA8" s="161">
        <v>3.7602747649597004E-4</v>
      </c>
    </row>
    <row r="9" spans="1:27" s="142" customFormat="1" ht="12.5">
      <c r="A9" s="158" t="s">
        <v>676</v>
      </c>
      <c r="B9" s="77">
        <v>800</v>
      </c>
      <c r="C9" s="159">
        <v>9.0058796992481246E-2</v>
      </c>
      <c r="D9" s="159">
        <v>1.0047331251049651E-4</v>
      </c>
      <c r="E9" s="159">
        <v>-3.6680349455871644E-5</v>
      </c>
      <c r="F9" s="159">
        <v>0.19825798888305474</v>
      </c>
      <c r="G9" s="160">
        <v>0.35775658622823059</v>
      </c>
      <c r="H9" s="160">
        <v>0.56387028942928497</v>
      </c>
      <c r="I9" s="159">
        <v>8.3796849096456932E-2</v>
      </c>
      <c r="J9" s="159">
        <v>0.17830180346656344</v>
      </c>
      <c r="K9" s="159">
        <v>6.1800000000000001E-2</v>
      </c>
      <c r="L9" s="159">
        <v>0.6591944805456077</v>
      </c>
      <c r="M9" s="159">
        <v>5.9246528980610717E-2</v>
      </c>
      <c r="N9" s="160">
        <v>0.19352947870025708</v>
      </c>
      <c r="O9" s="160">
        <v>5.5045747643571437</v>
      </c>
      <c r="P9" s="160" t="s">
        <v>88</v>
      </c>
      <c r="Q9" s="160" t="s">
        <v>88</v>
      </c>
      <c r="R9" s="160">
        <v>0.89188417325568681</v>
      </c>
      <c r="S9" s="160">
        <v>20.711981486924902</v>
      </c>
      <c r="T9" s="159" t="s">
        <v>88</v>
      </c>
      <c r="U9" s="159">
        <v>3.158023938571787E-2</v>
      </c>
      <c r="V9" s="159">
        <v>-1.3115480793971833E-2</v>
      </c>
      <c r="W9" s="159" t="s">
        <v>88</v>
      </c>
      <c r="X9" s="159">
        <v>9.0436939806665881E-2</v>
      </c>
      <c r="Y9" s="159">
        <v>0.27524500019645759</v>
      </c>
      <c r="Z9" s="159">
        <v>0.27524500019645759</v>
      </c>
      <c r="AA9" s="161">
        <v>-2.5409848459255068E-4</v>
      </c>
    </row>
    <row r="10" spans="1:27" s="142" customFormat="1" ht="12.5">
      <c r="A10" s="158" t="s">
        <v>677</v>
      </c>
      <c r="B10" s="77">
        <v>220</v>
      </c>
      <c r="C10" s="159">
        <v>9.1329397590361447E-2</v>
      </c>
      <c r="D10" s="159">
        <v>0.21975004183319735</v>
      </c>
      <c r="E10" s="159">
        <v>0.13930925191772361</v>
      </c>
      <c r="F10" s="159">
        <v>0.23813766776644182</v>
      </c>
      <c r="G10" s="160">
        <v>0.81071819316509697</v>
      </c>
      <c r="H10" s="160">
        <v>0.87215644318047292</v>
      </c>
      <c r="I10" s="159">
        <v>0.10839808416580174</v>
      </c>
      <c r="J10" s="159">
        <v>0.28571957625212252</v>
      </c>
      <c r="K10" s="159">
        <v>6.9500000000000006E-2</v>
      </c>
      <c r="L10" s="159">
        <v>0.14071582488908002</v>
      </c>
      <c r="M10" s="159">
        <v>0.10051184388279663</v>
      </c>
      <c r="N10" s="160">
        <v>0.76562332653538567</v>
      </c>
      <c r="O10" s="160">
        <v>4.3322948155441683</v>
      </c>
      <c r="P10" s="160">
        <v>16.172276414424015</v>
      </c>
      <c r="Q10" s="160">
        <v>19.503078091482607</v>
      </c>
      <c r="R10" s="160">
        <v>3.5736745890053765</v>
      </c>
      <c r="S10" s="160">
        <v>69.351610119440252</v>
      </c>
      <c r="T10" s="159">
        <v>8.6871480757296365E-2</v>
      </c>
      <c r="U10" s="159">
        <v>4.5801360272714885E-2</v>
      </c>
      <c r="V10" s="159">
        <v>9.4143632278324684E-3</v>
      </c>
      <c r="W10" s="159">
        <v>1.6495762907882471E-2</v>
      </c>
      <c r="X10" s="159">
        <v>0.14498308042811484</v>
      </c>
      <c r="Y10" s="159">
        <v>0.41804095988813733</v>
      </c>
      <c r="Z10" s="159">
        <v>0.41804095988813739</v>
      </c>
      <c r="AA10" s="161">
        <v>0.21965850488954478</v>
      </c>
    </row>
    <row r="11" spans="1:27" s="142" customFormat="1" ht="12.5">
      <c r="A11" s="158" t="s">
        <v>678</v>
      </c>
      <c r="B11" s="77">
        <v>100</v>
      </c>
      <c r="C11" s="159">
        <v>9.0173050847457623E-2</v>
      </c>
      <c r="D11" s="159">
        <v>0.16549489068571271</v>
      </c>
      <c r="E11" s="159">
        <v>0.22610954818560502</v>
      </c>
      <c r="F11" s="159">
        <v>0.19967869658810308</v>
      </c>
      <c r="G11" s="160">
        <v>0.79471832647132434</v>
      </c>
      <c r="H11" s="160">
        <v>0.85590019190367983</v>
      </c>
      <c r="I11" s="159">
        <v>0.10710083531391365</v>
      </c>
      <c r="J11" s="159">
        <v>0.31052361417890234</v>
      </c>
      <c r="K11" s="159">
        <v>6.9500000000000006E-2</v>
      </c>
      <c r="L11" s="159">
        <v>0.13328497731995359</v>
      </c>
      <c r="M11" s="159">
        <v>9.9803951260501497E-2</v>
      </c>
      <c r="N11" s="160">
        <v>1.5704645257815757</v>
      </c>
      <c r="O11" s="160">
        <v>3.9033785429845778</v>
      </c>
      <c r="P11" s="160">
        <v>18.728439522644482</v>
      </c>
      <c r="Q11" s="160">
        <v>23.265881943355328</v>
      </c>
      <c r="R11" s="160">
        <v>6.6110537061224148</v>
      </c>
      <c r="S11" s="160">
        <v>44.957599605279952</v>
      </c>
      <c r="T11" s="159">
        <v>-6.4905246010984075E-2</v>
      </c>
      <c r="U11" s="159">
        <v>4.5824689476554596E-2</v>
      </c>
      <c r="V11" s="159">
        <v>4.1904157836908283E-2</v>
      </c>
      <c r="W11" s="159">
        <v>0.25833730543349975</v>
      </c>
      <c r="X11" s="159">
        <v>0.24708930327847395</v>
      </c>
      <c r="Y11" s="159">
        <v>0.54691572779078046</v>
      </c>
      <c r="Z11" s="159">
        <v>0.54691572779078046</v>
      </c>
      <c r="AA11" s="161">
        <v>0.16620550043419383</v>
      </c>
    </row>
    <row r="12" spans="1:27" s="142" customFormat="1" ht="12.5">
      <c r="A12" s="158" t="s">
        <v>679</v>
      </c>
      <c r="B12" s="77">
        <v>135</v>
      </c>
      <c r="C12" s="159">
        <v>4.4277545454545458E-2</v>
      </c>
      <c r="D12" s="159">
        <v>0.1308431874962574</v>
      </c>
      <c r="E12" s="159">
        <v>0.1088653110194383</v>
      </c>
      <c r="F12" s="159">
        <v>0.23766054151835447</v>
      </c>
      <c r="G12" s="160">
        <v>0.74442956673736649</v>
      </c>
      <c r="H12" s="160">
        <v>1.0569743272387224</v>
      </c>
      <c r="I12" s="159">
        <v>0.12314655131365004</v>
      </c>
      <c r="J12" s="159">
        <v>0.34716622042674328</v>
      </c>
      <c r="K12" s="159">
        <v>6.9500000000000006E-2</v>
      </c>
      <c r="L12" s="159">
        <v>0.44641195523530475</v>
      </c>
      <c r="M12" s="159">
        <v>9.1544066309812211E-2</v>
      </c>
      <c r="N12" s="160">
        <v>0.99150565006743141</v>
      </c>
      <c r="O12" s="160">
        <v>1.2237022060163452</v>
      </c>
      <c r="P12" s="160">
        <v>6.4697537039324544</v>
      </c>
      <c r="Q12" s="160">
        <v>9.086302445486572</v>
      </c>
      <c r="R12" s="160">
        <v>0.81219028797507353</v>
      </c>
      <c r="S12" s="160">
        <v>22.857740397461747</v>
      </c>
      <c r="T12" s="159">
        <v>0.11378712797946409</v>
      </c>
      <c r="U12" s="159">
        <v>3.5670956658719617E-2</v>
      </c>
      <c r="V12" s="159">
        <v>1.7539067116144117E-2</v>
      </c>
      <c r="W12" s="159">
        <v>1.3085560327270698</v>
      </c>
      <c r="X12" s="159">
        <v>0.2978111577675327</v>
      </c>
      <c r="Y12" s="159">
        <v>0.10093323840372377</v>
      </c>
      <c r="Z12" s="159">
        <v>0.10093323840372381</v>
      </c>
      <c r="AA12" s="161">
        <v>0.13150372291132204</v>
      </c>
    </row>
    <row r="13" spans="1:27" s="142" customFormat="1" ht="12.5">
      <c r="A13" s="158" t="s">
        <v>680</v>
      </c>
      <c r="B13" s="77">
        <v>592</v>
      </c>
      <c r="C13" s="159">
        <v>0.10401919621749414</v>
      </c>
      <c r="D13" s="159">
        <v>7.2690501748205122E-3</v>
      </c>
      <c r="E13" s="159">
        <v>1.1237028657450701E-3</v>
      </c>
      <c r="F13" s="159">
        <v>0.20234958105745021</v>
      </c>
      <c r="G13" s="160">
        <v>0.4509503326169772</v>
      </c>
      <c r="H13" s="160">
        <v>0.99146242776310933</v>
      </c>
      <c r="I13" s="159">
        <v>0.11791870173549612</v>
      </c>
      <c r="J13" s="159">
        <v>0.34987613722148397</v>
      </c>
      <c r="K13" s="159">
        <v>6.9500000000000006E-2</v>
      </c>
      <c r="L13" s="159">
        <v>0.70577788318489221</v>
      </c>
      <c r="M13" s="159">
        <v>7.164483235522795E-2</v>
      </c>
      <c r="N13" s="160">
        <v>0.19322010265558867</v>
      </c>
      <c r="O13" s="160">
        <v>5.3692439869910435</v>
      </c>
      <c r="P13" s="160">
        <v>197.28291344916556</v>
      </c>
      <c r="Q13" s="160" t="s">
        <v>88</v>
      </c>
      <c r="R13" s="160">
        <v>1.2161813550455391</v>
      </c>
      <c r="S13" s="160">
        <v>60.949595545922598</v>
      </c>
      <c r="T13" s="159" t="s">
        <v>88</v>
      </c>
      <c r="U13" s="159">
        <v>2.8564235872633317E-2</v>
      </c>
      <c r="V13" s="159">
        <v>-5.0229492121968318E-3</v>
      </c>
      <c r="W13" s="159">
        <v>-39.913584925845541</v>
      </c>
      <c r="X13" s="159">
        <v>9.2032782861292586E-2</v>
      </c>
      <c r="Y13" s="159">
        <v>0.5223993223618727</v>
      </c>
      <c r="Z13" s="159">
        <v>0.5223993223618727</v>
      </c>
      <c r="AA13" s="161">
        <v>6.8733754072739317E-3</v>
      </c>
    </row>
    <row r="14" spans="1:27" s="142" customFormat="1" ht="12.5">
      <c r="A14" s="158" t="s">
        <v>681</v>
      </c>
      <c r="B14" s="77">
        <v>454</v>
      </c>
      <c r="C14" s="159">
        <v>7.6625747126436813E-2</v>
      </c>
      <c r="D14" s="159">
        <v>0.10740162701009311</v>
      </c>
      <c r="E14" s="159">
        <v>0.16368297461942438</v>
      </c>
      <c r="F14" s="159">
        <v>0.21641513739428239</v>
      </c>
      <c r="G14" s="160">
        <v>0.99755173182959556</v>
      </c>
      <c r="H14" s="160">
        <v>1.1065292223300869</v>
      </c>
      <c r="I14" s="159">
        <v>0.12710103194194095</v>
      </c>
      <c r="J14" s="159">
        <v>0.29868072216447483</v>
      </c>
      <c r="K14" s="159">
        <v>6.9500000000000006E-2</v>
      </c>
      <c r="L14" s="159">
        <v>0.20177093676880761</v>
      </c>
      <c r="M14" s="159">
        <v>0.11201932390615539</v>
      </c>
      <c r="N14" s="160">
        <v>1.851184271800939</v>
      </c>
      <c r="O14" s="160">
        <v>1.4390645957182182</v>
      </c>
      <c r="P14" s="160">
        <v>9.6623300164160995</v>
      </c>
      <c r="Q14" s="160">
        <v>13.03055848596199</v>
      </c>
      <c r="R14" s="160">
        <v>2.4062797893398473</v>
      </c>
      <c r="S14" s="160">
        <v>42.279983498123997</v>
      </c>
      <c r="T14" s="159">
        <v>0.17342708024407452</v>
      </c>
      <c r="U14" s="159">
        <v>3.8306836462944818E-2</v>
      </c>
      <c r="V14" s="159">
        <v>4.0279969081317146E-2</v>
      </c>
      <c r="W14" s="159">
        <v>0.86926825996365231</v>
      </c>
      <c r="X14" s="159">
        <v>0.15118080309483573</v>
      </c>
      <c r="Y14" s="159">
        <v>0.30296802718936278</v>
      </c>
      <c r="Z14" s="159">
        <v>0.30296802718936278</v>
      </c>
      <c r="AA14" s="161">
        <v>0.10756044602739526</v>
      </c>
    </row>
    <row r="15" spans="1:27" s="142" customFormat="1" ht="12.5">
      <c r="A15" s="158" t="s">
        <v>682</v>
      </c>
      <c r="B15" s="77">
        <v>961</v>
      </c>
      <c r="C15" s="159">
        <v>7.7030524590164018E-2</v>
      </c>
      <c r="D15" s="159">
        <v>8.5210415426435954E-2</v>
      </c>
      <c r="E15" s="159">
        <v>0.19491986939558359</v>
      </c>
      <c r="F15" s="159">
        <v>0.24146672103341693</v>
      </c>
      <c r="G15" s="160">
        <v>0.99674884417931131</v>
      </c>
      <c r="H15" s="160">
        <v>1.0942430346454961</v>
      </c>
      <c r="I15" s="159">
        <v>0.12612059416471058</v>
      </c>
      <c r="J15" s="159">
        <v>0.35508042862954164</v>
      </c>
      <c r="K15" s="159">
        <v>6.9500000000000006E-2</v>
      </c>
      <c r="L15" s="159">
        <v>0.18870553380788824</v>
      </c>
      <c r="M15" s="159">
        <v>0.11220049568260584</v>
      </c>
      <c r="N15" s="160">
        <v>2.6318315409345043</v>
      </c>
      <c r="O15" s="160">
        <v>1.796327021989877</v>
      </c>
      <c r="P15" s="160">
        <v>13.458680230874046</v>
      </c>
      <c r="Q15" s="160">
        <v>20.232652391500991</v>
      </c>
      <c r="R15" s="160">
        <v>3.5572441534696142</v>
      </c>
      <c r="S15" s="160">
        <v>43.809952874708898</v>
      </c>
      <c r="T15" s="159">
        <v>9.7639902516069341E-2</v>
      </c>
      <c r="U15" s="159">
        <v>2.6116173242196936E-2</v>
      </c>
      <c r="V15" s="159">
        <v>4.3555397829954337E-2</v>
      </c>
      <c r="W15" s="159">
        <v>0.86727780133182975</v>
      </c>
      <c r="X15" s="159">
        <v>0.10173941306387643</v>
      </c>
      <c r="Y15" s="159">
        <v>0.54671438017820373</v>
      </c>
      <c r="Z15" s="159">
        <v>0.54671438017820373</v>
      </c>
      <c r="AA15" s="161">
        <v>8.8319091504811681E-2</v>
      </c>
    </row>
    <row r="16" spans="1:27" s="142" customFormat="1" ht="12.5">
      <c r="A16" s="158" t="s">
        <v>683</v>
      </c>
      <c r="B16" s="77">
        <v>54</v>
      </c>
      <c r="C16" s="159">
        <v>4.2067906976744174E-2</v>
      </c>
      <c r="D16" s="159">
        <v>0.19268732296056873</v>
      </c>
      <c r="E16" s="159">
        <v>0.12652466179683763</v>
      </c>
      <c r="F16" s="159">
        <v>0.28390681894041569</v>
      </c>
      <c r="G16" s="160">
        <v>0.60543299464722078</v>
      </c>
      <c r="H16" s="160">
        <v>1.0239833762823261</v>
      </c>
      <c r="I16" s="159">
        <v>0.12051387342732961</v>
      </c>
      <c r="J16" s="159">
        <v>0.26282180998895055</v>
      </c>
      <c r="K16" s="159">
        <v>6.9500000000000006E-2</v>
      </c>
      <c r="L16" s="159">
        <v>0.49450981804764355</v>
      </c>
      <c r="M16" s="159">
        <v>8.680831989906676E-2</v>
      </c>
      <c r="N16" s="160">
        <v>0.76919568734944921</v>
      </c>
      <c r="O16" s="160">
        <v>2.4944078285796922</v>
      </c>
      <c r="P16" s="160">
        <v>7.497175384132114</v>
      </c>
      <c r="Q16" s="160">
        <v>12.940344181786392</v>
      </c>
      <c r="R16" s="160">
        <v>1.929850102641772</v>
      </c>
      <c r="S16" s="160">
        <v>29.820184879857429</v>
      </c>
      <c r="T16" s="159">
        <v>1.5449065581484419E-2</v>
      </c>
      <c r="U16" s="159">
        <v>0.11558223276503958</v>
      </c>
      <c r="V16" s="159">
        <v>1.1541357856634741E-3</v>
      </c>
      <c r="W16" s="159">
        <v>6.1135959638478815E-2</v>
      </c>
      <c r="X16" s="159">
        <v>0.10901267306081759</v>
      </c>
      <c r="Y16" s="159">
        <v>0.35370332420360845</v>
      </c>
      <c r="Z16" s="159">
        <v>0.3537033242036085</v>
      </c>
      <c r="AA16" s="161">
        <v>0.1895508363242917</v>
      </c>
    </row>
    <row r="17" spans="1:27" s="142" customFormat="1" ht="12.5">
      <c r="A17" s="158" t="s">
        <v>632</v>
      </c>
      <c r="B17" s="77">
        <v>879</v>
      </c>
      <c r="C17" s="159">
        <v>0.1238678778625954</v>
      </c>
      <c r="D17" s="159">
        <v>0.10020419212665564</v>
      </c>
      <c r="E17" s="159">
        <v>0.10745139617308558</v>
      </c>
      <c r="F17" s="159">
        <v>0.18832514749498638</v>
      </c>
      <c r="G17" s="160">
        <v>0.98778658397913077</v>
      </c>
      <c r="H17" s="160">
        <v>1.1399114789559386</v>
      </c>
      <c r="I17" s="159">
        <v>0.1297649360206839</v>
      </c>
      <c r="J17" s="159">
        <v>0.32649437388083069</v>
      </c>
      <c r="K17" s="159">
        <v>6.9500000000000006E-2</v>
      </c>
      <c r="L17" s="159">
        <v>0.27051844186953267</v>
      </c>
      <c r="M17" s="159">
        <v>0.10882394490616107</v>
      </c>
      <c r="N17" s="160">
        <v>1.2655741833436442</v>
      </c>
      <c r="O17" s="160">
        <v>1.2364855715506904</v>
      </c>
      <c r="P17" s="160">
        <v>8.3058673712892102</v>
      </c>
      <c r="Q17" s="160">
        <v>11.916917872618122</v>
      </c>
      <c r="R17" s="160">
        <v>1.5633404186346405</v>
      </c>
      <c r="S17" s="160">
        <v>32.461182204024411</v>
      </c>
      <c r="T17" s="159">
        <v>0.1304677165424474</v>
      </c>
      <c r="U17" s="159">
        <v>7.741641993492572E-2</v>
      </c>
      <c r="V17" s="159">
        <v>6.290271963579111E-2</v>
      </c>
      <c r="W17" s="159">
        <v>1.1979557665164933</v>
      </c>
      <c r="X17" s="159">
        <v>0.13015440695282732</v>
      </c>
      <c r="Y17" s="159">
        <v>0.46416333241579638</v>
      </c>
      <c r="Z17" s="159">
        <v>0.46416333241579633</v>
      </c>
      <c r="AA17" s="161">
        <v>0.10069812557358715</v>
      </c>
    </row>
    <row r="18" spans="1:27" s="142" customFormat="1" ht="12.5">
      <c r="A18" s="158" t="s">
        <v>684</v>
      </c>
      <c r="B18" s="77">
        <v>68</v>
      </c>
      <c r="C18" s="159">
        <v>7.925883333333332E-2</v>
      </c>
      <c r="D18" s="159">
        <v>0.10208853535516443</v>
      </c>
      <c r="E18" s="159">
        <v>8.8860578023872136E-2</v>
      </c>
      <c r="F18" s="159">
        <v>0.22109460004677506</v>
      </c>
      <c r="G18" s="160">
        <v>0.94195069531991238</v>
      </c>
      <c r="H18" s="160">
        <v>1.1958248741877604</v>
      </c>
      <c r="I18" s="159">
        <v>0.13422682496018329</v>
      </c>
      <c r="J18" s="159">
        <v>0.24921264970970231</v>
      </c>
      <c r="K18" s="159">
        <v>6.1800000000000001E-2</v>
      </c>
      <c r="L18" s="159">
        <v>0.34287939688821434</v>
      </c>
      <c r="M18" s="159">
        <v>0.10416559904158584</v>
      </c>
      <c r="N18" s="160">
        <v>1.1466338195851349</v>
      </c>
      <c r="O18" s="160">
        <v>0.94296723858016984</v>
      </c>
      <c r="P18" s="160">
        <v>6.171064177804876</v>
      </c>
      <c r="Q18" s="160">
        <v>9.1620621978144303</v>
      </c>
      <c r="R18" s="160">
        <v>1.1245367981194994</v>
      </c>
      <c r="S18" s="160">
        <v>13.508795487736551</v>
      </c>
      <c r="T18" s="159">
        <v>0.17217232791268849</v>
      </c>
      <c r="U18" s="159">
        <v>5.4474924436255449E-2</v>
      </c>
      <c r="V18" s="159">
        <v>1.968897467248543E-2</v>
      </c>
      <c r="W18" s="159">
        <v>0.80238917598445381</v>
      </c>
      <c r="X18" s="159">
        <v>0.13650087385165174</v>
      </c>
      <c r="Y18" s="159">
        <v>0.29292289982848024</v>
      </c>
      <c r="Z18" s="159">
        <v>0.2929228998284803</v>
      </c>
      <c r="AA18" s="161">
        <v>9.9179563288606054E-2</v>
      </c>
    </row>
    <row r="19" spans="1:27" s="142" customFormat="1" ht="12.5">
      <c r="A19" s="158" t="s">
        <v>633</v>
      </c>
      <c r="B19" s="77">
        <v>922</v>
      </c>
      <c r="C19" s="159">
        <v>0.12358691813804168</v>
      </c>
      <c r="D19" s="159">
        <v>0.1547255582981597</v>
      </c>
      <c r="E19" s="159">
        <v>0.17150009967531879</v>
      </c>
      <c r="F19" s="159">
        <v>0.2172107878596366</v>
      </c>
      <c r="G19" s="160">
        <v>1.0212013193407876</v>
      </c>
      <c r="H19" s="160">
        <v>1.1068628177675968</v>
      </c>
      <c r="I19" s="159">
        <v>0.12712765285785421</v>
      </c>
      <c r="J19" s="159">
        <v>0.34149187496630518</v>
      </c>
      <c r="K19" s="159">
        <v>6.9500000000000006E-2</v>
      </c>
      <c r="L19" s="159">
        <v>0.17459079391537816</v>
      </c>
      <c r="M19" s="159">
        <v>0.11407292254822643</v>
      </c>
      <c r="N19" s="160">
        <v>1.3054375504666331</v>
      </c>
      <c r="O19" s="160">
        <v>2.0157117635380177</v>
      </c>
      <c r="P19" s="160">
        <v>9.4794719480770766</v>
      </c>
      <c r="Q19" s="160">
        <v>12.823605641607234</v>
      </c>
      <c r="R19" s="160">
        <v>2.4990688320644274</v>
      </c>
      <c r="S19" s="160">
        <v>33.689947719856896</v>
      </c>
      <c r="T19" s="159">
        <v>0.18447765882815129</v>
      </c>
      <c r="U19" s="159">
        <v>6.7444849888795691E-2</v>
      </c>
      <c r="V19" s="159">
        <v>4.9838107270292677E-2</v>
      </c>
      <c r="W19" s="159">
        <v>0.75738103516745536</v>
      </c>
      <c r="X19" s="159">
        <v>0.15901047052663181</v>
      </c>
      <c r="Y19" s="159">
        <v>0.33805283025981031</v>
      </c>
      <c r="Z19" s="159">
        <v>0.33805283025981026</v>
      </c>
      <c r="AA19" s="161">
        <v>0.15610820572687148</v>
      </c>
    </row>
    <row r="20" spans="1:27" s="142" customFormat="1" ht="12.5">
      <c r="A20" s="158" t="s">
        <v>685</v>
      </c>
      <c r="B20" s="77">
        <v>212</v>
      </c>
      <c r="C20" s="159">
        <v>0.19073247787610623</v>
      </c>
      <c r="D20" s="159">
        <v>0.29123799344815227</v>
      </c>
      <c r="E20" s="159">
        <v>0.38609852291856595</v>
      </c>
      <c r="F20" s="159">
        <v>0.23084834706391377</v>
      </c>
      <c r="G20" s="160">
        <v>1.3528350871710502</v>
      </c>
      <c r="H20" s="160">
        <v>1.2119612126219459</v>
      </c>
      <c r="I20" s="159">
        <v>0.13551450476723126</v>
      </c>
      <c r="J20" s="159">
        <v>0.58726950301818248</v>
      </c>
      <c r="K20" s="159">
        <v>7.3300000000000004E-2</v>
      </c>
      <c r="L20" s="159">
        <v>0.19555045254951162</v>
      </c>
      <c r="M20" s="159">
        <v>0.11981226986085283</v>
      </c>
      <c r="N20" s="160">
        <v>1.4608803604303342</v>
      </c>
      <c r="O20" s="160">
        <v>1.0881834921399869</v>
      </c>
      <c r="P20" s="160">
        <v>3.0088957590727219</v>
      </c>
      <c r="Q20" s="160">
        <v>3.6010760403633757</v>
      </c>
      <c r="R20" s="160">
        <v>1.4159269251330795</v>
      </c>
      <c r="S20" s="160">
        <v>19.361296059901157</v>
      </c>
      <c r="T20" s="159">
        <v>-8.2957586387662659E-3</v>
      </c>
      <c r="U20" s="159">
        <v>5.8582103434174478E-2</v>
      </c>
      <c r="V20" s="159">
        <v>3.6084716364272768E-2</v>
      </c>
      <c r="W20" s="159">
        <v>0.14301394578319884</v>
      </c>
      <c r="X20" s="159">
        <v>0.31438462941240891</v>
      </c>
      <c r="Y20" s="159">
        <v>0.40895723661895989</v>
      </c>
      <c r="Z20" s="159">
        <v>0.40895723661895989</v>
      </c>
      <c r="AA20" s="161">
        <v>0.29207983405329863</v>
      </c>
    </row>
    <row r="21" spans="1:27" s="142" customFormat="1" ht="12.5">
      <c r="A21" s="158" t="s">
        <v>486</v>
      </c>
      <c r="B21" s="77">
        <v>1105</v>
      </c>
      <c r="C21" s="159">
        <v>9.3645663956639702E-2</v>
      </c>
      <c r="D21" s="159">
        <v>7.3176266927285696E-2</v>
      </c>
      <c r="E21" s="159">
        <v>0.2025293235529626</v>
      </c>
      <c r="F21" s="159">
        <v>0.23035511343444337</v>
      </c>
      <c r="G21" s="160">
        <v>1.0374271307252976</v>
      </c>
      <c r="H21" s="160">
        <v>1.0882471920280821</v>
      </c>
      <c r="I21" s="159">
        <v>0.12564212592384094</v>
      </c>
      <c r="J21" s="159">
        <v>0.33786373564723465</v>
      </c>
      <c r="K21" s="159">
        <v>6.9500000000000006E-2</v>
      </c>
      <c r="L21" s="159">
        <v>0.14049829938709574</v>
      </c>
      <c r="M21" s="159">
        <v>0.11534531804067875</v>
      </c>
      <c r="N21" s="160">
        <v>3.2818741479491207</v>
      </c>
      <c r="O21" s="160">
        <v>1.3095675699093319</v>
      </c>
      <c r="P21" s="160">
        <v>12.706719019755342</v>
      </c>
      <c r="Q21" s="160">
        <v>17.227484749698625</v>
      </c>
      <c r="R21" s="160">
        <v>3.5785994531817509</v>
      </c>
      <c r="S21" s="160">
        <v>49.676816960710156</v>
      </c>
      <c r="T21" s="159">
        <v>0.1651626702816448</v>
      </c>
      <c r="U21" s="159">
        <v>1.3489169924479476E-2</v>
      </c>
      <c r="V21" s="159">
        <v>9.8915425769399018E-3</v>
      </c>
      <c r="W21" s="159">
        <v>0.6566015328288205</v>
      </c>
      <c r="X21" s="159">
        <v>0.13814920572691777</v>
      </c>
      <c r="Y21" s="159">
        <v>0.52194735385474622</v>
      </c>
      <c r="Z21" s="159">
        <v>0.52194735385474622</v>
      </c>
      <c r="AA21" s="161">
        <v>7.4067576123768242E-2</v>
      </c>
    </row>
    <row r="22" spans="1:27" s="142" customFormat="1" ht="12.5">
      <c r="A22" s="158" t="s">
        <v>686</v>
      </c>
      <c r="B22" s="77">
        <v>333</v>
      </c>
      <c r="C22" s="159">
        <v>4.3304879999999969E-2</v>
      </c>
      <c r="D22" s="159">
        <v>0.13717096964949019</v>
      </c>
      <c r="E22" s="159">
        <v>0.20720316942953626</v>
      </c>
      <c r="F22" s="159">
        <v>0.18704179253161829</v>
      </c>
      <c r="G22" s="160">
        <v>1.2200041411476166</v>
      </c>
      <c r="H22" s="160">
        <v>1.2620051937696362</v>
      </c>
      <c r="I22" s="159">
        <v>0.13950801446281696</v>
      </c>
      <c r="J22" s="159">
        <v>0.3292446932773343</v>
      </c>
      <c r="K22" s="159">
        <v>6.9500000000000006E-2</v>
      </c>
      <c r="L22" s="159">
        <v>0.105922132128553</v>
      </c>
      <c r="M22" s="159">
        <v>0.13027651250009889</v>
      </c>
      <c r="N22" s="160">
        <v>1.7356503868390247</v>
      </c>
      <c r="O22" s="160">
        <v>2.0056137769058395</v>
      </c>
      <c r="P22" s="160">
        <v>11.199448015099572</v>
      </c>
      <c r="Q22" s="160">
        <v>14.509835707476681</v>
      </c>
      <c r="R22" s="160">
        <v>5.2021822039572259</v>
      </c>
      <c r="S22" s="160">
        <v>34.159140796002291</v>
      </c>
      <c r="T22" s="159">
        <v>3.2155484356610434E-2</v>
      </c>
      <c r="U22" s="159">
        <v>4.3997628967966884E-2</v>
      </c>
      <c r="V22" s="159">
        <v>3.2027334541902312E-2</v>
      </c>
      <c r="W22" s="159">
        <v>0.48420479578077191</v>
      </c>
      <c r="X22" s="159">
        <v>0.27940376674380923</v>
      </c>
      <c r="Y22" s="159">
        <v>0.22650677990976426</v>
      </c>
      <c r="Z22" s="159">
        <v>0.2265067799097642</v>
      </c>
      <c r="AA22" s="161">
        <v>0.13869019321666459</v>
      </c>
    </row>
    <row r="23" spans="1:27" s="142" customFormat="1" ht="12.5">
      <c r="A23" s="158" t="s">
        <v>687</v>
      </c>
      <c r="B23" s="77">
        <v>790</v>
      </c>
      <c r="C23" s="159">
        <v>8.988834162520723E-2</v>
      </c>
      <c r="D23" s="159">
        <v>7.9238137222403707E-2</v>
      </c>
      <c r="E23" s="159">
        <v>7.1457740481812526E-2</v>
      </c>
      <c r="F23" s="159">
        <v>0.22086636569910459</v>
      </c>
      <c r="G23" s="160">
        <v>0.93727399630888553</v>
      </c>
      <c r="H23" s="160">
        <v>1.1168579550772775</v>
      </c>
      <c r="I23" s="159">
        <v>0.12792526481516675</v>
      </c>
      <c r="J23" s="159">
        <v>0.30150511958275444</v>
      </c>
      <c r="K23" s="159">
        <v>6.9500000000000006E-2</v>
      </c>
      <c r="L23" s="159">
        <v>0.31133232518566467</v>
      </c>
      <c r="M23" s="159">
        <v>0.1043975961893531</v>
      </c>
      <c r="N23" s="160">
        <v>1.0671627220556099</v>
      </c>
      <c r="O23" s="160">
        <v>1.3587154692875165</v>
      </c>
      <c r="P23" s="160">
        <v>10.009606294953084</v>
      </c>
      <c r="Q23" s="160">
        <v>16.066971457506867</v>
      </c>
      <c r="R23" s="160">
        <v>1.4169331425544049</v>
      </c>
      <c r="S23" s="160">
        <v>42.499008672488294</v>
      </c>
      <c r="T23" s="159">
        <v>0.18043639079001042</v>
      </c>
      <c r="U23" s="159">
        <v>5.8090137590028013E-2</v>
      </c>
      <c r="V23" s="159">
        <v>3.8623609957872958E-2</v>
      </c>
      <c r="W23" s="159">
        <v>1.075371172802579</v>
      </c>
      <c r="X23" s="159">
        <v>8.0922460272459681E-2</v>
      </c>
      <c r="Y23" s="159">
        <v>0.51446026350372742</v>
      </c>
      <c r="Z23" s="159">
        <v>0.51446026350372742</v>
      </c>
      <c r="AA23" s="161">
        <v>7.8728013983956763E-2</v>
      </c>
    </row>
    <row r="24" spans="1:27" s="142" customFormat="1" ht="12.5">
      <c r="A24" s="158" t="s">
        <v>688</v>
      </c>
      <c r="B24" s="77">
        <v>314</v>
      </c>
      <c r="C24" s="159">
        <v>9.8170408163265194E-2</v>
      </c>
      <c r="D24" s="159">
        <v>9.3403961215025449E-2</v>
      </c>
      <c r="E24" s="159">
        <v>6.2952807030606794E-2</v>
      </c>
      <c r="F24" s="159">
        <v>0.1715193352239163</v>
      </c>
      <c r="G24" s="160">
        <v>0.73470874506873063</v>
      </c>
      <c r="H24" s="160">
        <v>0.9639252546213195</v>
      </c>
      <c r="I24" s="159">
        <v>0.1157212353187813</v>
      </c>
      <c r="J24" s="159">
        <v>0.27349373371508195</v>
      </c>
      <c r="K24" s="159">
        <v>6.9500000000000006E-2</v>
      </c>
      <c r="L24" s="159">
        <v>0.35858198888340026</v>
      </c>
      <c r="M24" s="159">
        <v>9.2999011551826355E-2</v>
      </c>
      <c r="N24" s="160">
        <v>0.7840641464318554</v>
      </c>
      <c r="O24" s="160">
        <v>1.8829530097500131</v>
      </c>
      <c r="P24" s="160">
        <v>13.155686802482316</v>
      </c>
      <c r="Q24" s="160">
        <v>19.330338827982725</v>
      </c>
      <c r="R24" s="160">
        <v>1.2135055453841528</v>
      </c>
      <c r="S24" s="160">
        <v>19.426843095216764</v>
      </c>
      <c r="T24" s="159">
        <v>-0.11650945036047462</v>
      </c>
      <c r="U24" s="159">
        <v>4.2463043866979938E-2</v>
      </c>
      <c r="V24" s="159">
        <v>7.6312329361308776E-3</v>
      </c>
      <c r="W24" s="159">
        <v>0.49580074819389314</v>
      </c>
      <c r="X24" s="159">
        <v>5.8112853136737509E-2</v>
      </c>
      <c r="Y24" s="159">
        <v>0.39840140166419818</v>
      </c>
      <c r="Z24" s="159">
        <v>0.39840140166419813</v>
      </c>
      <c r="AA24" s="161">
        <v>9.2864484379383411E-2</v>
      </c>
    </row>
    <row r="25" spans="1:27" s="142" customFormat="1" ht="12.5">
      <c r="A25" s="158" t="s">
        <v>689</v>
      </c>
      <c r="B25" s="77">
        <v>1267</v>
      </c>
      <c r="C25" s="159">
        <v>0.26030372043010735</v>
      </c>
      <c r="D25" s="159">
        <v>8.2283347542430024E-2</v>
      </c>
      <c r="E25" s="159">
        <v>4.6526913392921442E-2</v>
      </c>
      <c r="F25" s="159">
        <v>0.14795873564922327</v>
      </c>
      <c r="G25" s="160">
        <v>1.2526532845890637</v>
      </c>
      <c r="H25" s="160">
        <v>1.268267613064147</v>
      </c>
      <c r="I25" s="159">
        <v>0.14000775552251893</v>
      </c>
      <c r="J25" s="159">
        <v>0.51694194640882407</v>
      </c>
      <c r="K25" s="159">
        <v>7.3300000000000004E-2</v>
      </c>
      <c r="L25" s="159">
        <v>0.1139572454338612</v>
      </c>
      <c r="M25" s="159">
        <v>0.13034522204961971</v>
      </c>
      <c r="N25" s="160">
        <v>0.45983261646900347</v>
      </c>
      <c r="O25" s="160">
        <v>6.5588146508950045</v>
      </c>
      <c r="P25" s="160">
        <v>12.966365172864815</v>
      </c>
      <c r="Q25" s="160">
        <v>61.864204347414478</v>
      </c>
      <c r="R25" s="160">
        <v>5.0769214630631092</v>
      </c>
      <c r="S25" s="160">
        <v>126.61097345829106</v>
      </c>
      <c r="T25" s="159">
        <v>0.18476756001476305</v>
      </c>
      <c r="U25" s="159">
        <v>5.5489500531842963E-2</v>
      </c>
      <c r="V25" s="159">
        <v>2.8951510522702298E-2</v>
      </c>
      <c r="W25" s="159">
        <v>1.8806559490214771</v>
      </c>
      <c r="X25" s="159">
        <v>-1.0637065540967156E-2</v>
      </c>
      <c r="Y25" s="159">
        <v>2.2318145787477788E-3</v>
      </c>
      <c r="Z25" s="159">
        <v>2.2318145787477706E-3</v>
      </c>
      <c r="AA25" s="161">
        <v>0.1031871099641556</v>
      </c>
    </row>
    <row r="26" spans="1:27" s="142" customFormat="1" ht="12.5">
      <c r="A26" s="158" t="s">
        <v>690</v>
      </c>
      <c r="B26" s="77">
        <v>1352</v>
      </c>
      <c r="C26" s="159">
        <v>0.17139170469798656</v>
      </c>
      <c r="D26" s="159">
        <v>0.21497248584763778</v>
      </c>
      <c r="E26" s="159">
        <v>0.13957128286220502</v>
      </c>
      <c r="F26" s="159">
        <v>0.14063075584878457</v>
      </c>
      <c r="G26" s="160">
        <v>0.99546354279818405</v>
      </c>
      <c r="H26" s="160">
        <v>1.0635869533243638</v>
      </c>
      <c r="I26" s="159">
        <v>0.12367423887528423</v>
      </c>
      <c r="J26" s="159">
        <v>0.44281720798926644</v>
      </c>
      <c r="K26" s="159">
        <v>6.9500000000000006E-2</v>
      </c>
      <c r="L26" s="159">
        <v>0.13152916490130936</v>
      </c>
      <c r="M26" s="159">
        <v>0.11429359345066391</v>
      </c>
      <c r="N26" s="160">
        <v>0.71487767283195569</v>
      </c>
      <c r="O26" s="160">
        <v>3.9802709254480027</v>
      </c>
      <c r="P26" s="160">
        <v>12.690853000619033</v>
      </c>
      <c r="Q26" s="160">
        <v>17.540563493912831</v>
      </c>
      <c r="R26" s="160">
        <v>3.8038786986767983</v>
      </c>
      <c r="S26" s="160">
        <v>128.87688628734568</v>
      </c>
      <c r="T26" s="159">
        <v>0.14897338338600832</v>
      </c>
      <c r="U26" s="159">
        <v>4.6616068018540166E-2</v>
      </c>
      <c r="V26" s="159">
        <v>2.0118063231931719E-2</v>
      </c>
      <c r="W26" s="159">
        <v>0.22118800607153283</v>
      </c>
      <c r="X26" s="159">
        <v>0.16122384369938733</v>
      </c>
      <c r="Y26" s="159">
        <v>0.50405839541139608</v>
      </c>
      <c r="Z26" s="159">
        <v>0.50405839541139608</v>
      </c>
      <c r="AA26" s="161">
        <v>0.21693380846895721</v>
      </c>
    </row>
    <row r="27" spans="1:27" s="142" customFormat="1" ht="12.5">
      <c r="A27" s="158" t="s">
        <v>691</v>
      </c>
      <c r="B27" s="77">
        <v>251</v>
      </c>
      <c r="C27" s="159">
        <v>7.2462666666666703E-2</v>
      </c>
      <c r="D27" s="159">
        <v>8.5232409536615497E-2</v>
      </c>
      <c r="E27" s="159">
        <v>6.2603191520413867E-2</v>
      </c>
      <c r="F27" s="159">
        <v>0.2024249848906487</v>
      </c>
      <c r="G27" s="160">
        <v>0.79172170997592162</v>
      </c>
      <c r="H27" s="160">
        <v>0.87876725882387718</v>
      </c>
      <c r="I27" s="159">
        <v>0.1089256272541454</v>
      </c>
      <c r="J27" s="159">
        <v>0.34117555150021905</v>
      </c>
      <c r="K27" s="159">
        <v>6.9500000000000006E-2</v>
      </c>
      <c r="L27" s="159">
        <v>0.24741750017757028</v>
      </c>
      <c r="M27" s="159">
        <v>9.4928903254072494E-2</v>
      </c>
      <c r="N27" s="160">
        <v>0.85141497410935729</v>
      </c>
      <c r="O27" s="160">
        <v>2.3696146946244649</v>
      </c>
      <c r="P27" s="160">
        <v>10.001464516545653</v>
      </c>
      <c r="Q27" s="160">
        <v>21.79913089310736</v>
      </c>
      <c r="R27" s="160">
        <v>1.8555344291477101</v>
      </c>
      <c r="S27" s="160">
        <v>179.05357682042421</v>
      </c>
      <c r="T27" s="159">
        <v>7.3828679958868092E-3</v>
      </c>
      <c r="U27" s="159">
        <v>7.2712302169298734E-2</v>
      </c>
      <c r="V27" s="159">
        <v>9.4070086977542544E-2</v>
      </c>
      <c r="W27" s="159">
        <v>1.9475349905213291</v>
      </c>
      <c r="X27" s="159">
        <v>3.679776661145092E-2</v>
      </c>
      <c r="Y27" s="159">
        <v>0.71826245482073359</v>
      </c>
      <c r="Z27" s="159">
        <v>0.71826245482073359</v>
      </c>
      <c r="AA27" s="161">
        <v>8.4808026383120336E-2</v>
      </c>
    </row>
    <row r="28" spans="1:27" s="142" customFormat="1" ht="12.5">
      <c r="A28" s="158" t="s">
        <v>692</v>
      </c>
      <c r="B28" s="77">
        <v>1045</v>
      </c>
      <c r="C28" s="159">
        <v>0.12176879483500726</v>
      </c>
      <c r="D28" s="159">
        <v>6.6581915586067367E-2</v>
      </c>
      <c r="E28" s="159">
        <v>9.6069628831003812E-2</v>
      </c>
      <c r="F28" s="159">
        <v>0.18113802271357199</v>
      </c>
      <c r="G28" s="160">
        <v>1.1023236899495159</v>
      </c>
      <c r="H28" s="160">
        <v>1.1360186851537797</v>
      </c>
      <c r="I28" s="159">
        <v>0.12945429107527162</v>
      </c>
      <c r="J28" s="159">
        <v>0.37245108102966507</v>
      </c>
      <c r="K28" s="159">
        <v>6.9500000000000006E-2</v>
      </c>
      <c r="L28" s="159">
        <v>0.14301741508197188</v>
      </c>
      <c r="M28" s="159">
        <v>0.11842765679971393</v>
      </c>
      <c r="N28" s="160">
        <v>1.5879625149016394</v>
      </c>
      <c r="O28" s="160">
        <v>2.0277017833186979</v>
      </c>
      <c r="P28" s="160">
        <v>16.767282753897025</v>
      </c>
      <c r="Q28" s="160">
        <v>27.675072347786415</v>
      </c>
      <c r="R28" s="160">
        <v>2.833909558497774</v>
      </c>
      <c r="S28" s="160">
        <v>40.84984806066813</v>
      </c>
      <c r="T28" s="159">
        <v>0.22452763237582904</v>
      </c>
      <c r="U28" s="159">
        <v>6.7817033533334778E-2</v>
      </c>
      <c r="V28" s="159">
        <v>6.501200066309834E-2</v>
      </c>
      <c r="W28" s="159">
        <v>2.0550213941805726</v>
      </c>
      <c r="X28" s="159">
        <v>9.0067755168144137E-2</v>
      </c>
      <c r="Y28" s="159">
        <v>0.44354143830219317</v>
      </c>
      <c r="Z28" s="159">
        <v>0.44354143830219317</v>
      </c>
      <c r="AA28" s="161">
        <v>6.8354825796984889E-2</v>
      </c>
    </row>
    <row r="29" spans="1:27" s="142" customFormat="1" ht="12.5">
      <c r="A29" s="158" t="s">
        <v>693</v>
      </c>
      <c r="B29" s="77">
        <v>134</v>
      </c>
      <c r="C29" s="159">
        <v>2.8733333333333326E-2</v>
      </c>
      <c r="D29" s="159">
        <v>5.1856753090923656E-2</v>
      </c>
      <c r="E29" s="159">
        <v>6.0197219290322748E-2</v>
      </c>
      <c r="F29" s="159">
        <v>0.21975619593622803</v>
      </c>
      <c r="G29" s="160">
        <v>1.0955088212486108</v>
      </c>
      <c r="H29" s="160">
        <v>1.2725160060597946</v>
      </c>
      <c r="I29" s="159">
        <v>0.14034677728357159</v>
      </c>
      <c r="J29" s="159">
        <v>0.34632531120576865</v>
      </c>
      <c r="K29" s="159">
        <v>6.9500000000000006E-2</v>
      </c>
      <c r="L29" s="159">
        <v>0.30715094709946367</v>
      </c>
      <c r="M29" s="159">
        <v>0.11331981990584189</v>
      </c>
      <c r="N29" s="160">
        <v>1.288634554510691</v>
      </c>
      <c r="O29" s="160">
        <v>0.80368322443778739</v>
      </c>
      <c r="P29" s="160">
        <v>7.497978347029389</v>
      </c>
      <c r="Q29" s="160">
        <v>14.970393372901015</v>
      </c>
      <c r="R29" s="160">
        <v>1.2983108781883297</v>
      </c>
      <c r="S29" s="160">
        <v>52.425310221176993</v>
      </c>
      <c r="T29" s="159">
        <v>5.5377331814515686E-2</v>
      </c>
      <c r="U29" s="159">
        <v>5.1123632718818701E-2</v>
      </c>
      <c r="V29" s="159">
        <v>3.5786919353448146E-2</v>
      </c>
      <c r="W29" s="159">
        <v>1.6572731380834365</v>
      </c>
      <c r="X29" s="159">
        <v>7.8509104048175279E-2</v>
      </c>
      <c r="Y29" s="159">
        <v>0.30310692992960891</v>
      </c>
      <c r="Z29" s="159">
        <v>0.30310692992960897</v>
      </c>
      <c r="AA29" s="161">
        <v>5.323691462491336E-2</v>
      </c>
    </row>
    <row r="30" spans="1:27" s="142" customFormat="1" ht="12.5">
      <c r="A30" s="158" t="s">
        <v>634</v>
      </c>
      <c r="B30" s="77">
        <v>1457</v>
      </c>
      <c r="C30" s="159">
        <v>7.440767161410021E-2</v>
      </c>
      <c r="D30" s="159">
        <v>6.9719039704346605E-2</v>
      </c>
      <c r="E30" s="159">
        <v>8.7206934187178925E-2</v>
      </c>
      <c r="F30" s="159">
        <v>0.19110084825797172</v>
      </c>
      <c r="G30" s="160">
        <v>1.2905124151341338</v>
      </c>
      <c r="H30" s="160">
        <v>1.2955238162109064</v>
      </c>
      <c r="I30" s="159">
        <v>0.14218280053363033</v>
      </c>
      <c r="J30" s="159">
        <v>0.33176265991369114</v>
      </c>
      <c r="K30" s="159">
        <v>6.9500000000000006E-2</v>
      </c>
      <c r="L30" s="159">
        <v>0.16342124700338245</v>
      </c>
      <c r="M30" s="159">
        <v>0.12750292313104281</v>
      </c>
      <c r="N30" s="160">
        <v>1.4384315985614258</v>
      </c>
      <c r="O30" s="160">
        <v>1.3776033874896974</v>
      </c>
      <c r="P30" s="160">
        <v>11.273965737803852</v>
      </c>
      <c r="Q30" s="160">
        <v>18.870401996910637</v>
      </c>
      <c r="R30" s="160">
        <v>2.1250670536108807</v>
      </c>
      <c r="S30" s="160">
        <v>84.528011171204724</v>
      </c>
      <c r="T30" s="159">
        <v>0.20074499185210051</v>
      </c>
      <c r="U30" s="159">
        <v>6.1756662263336107E-2</v>
      </c>
      <c r="V30" s="159">
        <v>4.9651604052128297E-2</v>
      </c>
      <c r="W30" s="159">
        <v>1.6115539785648181</v>
      </c>
      <c r="X30" s="159">
        <v>9.5623518017835266E-2</v>
      </c>
      <c r="Y30" s="159">
        <v>0.39313439546655421</v>
      </c>
      <c r="Z30" s="159">
        <v>0.39313439546655427</v>
      </c>
      <c r="AA30" s="161">
        <v>6.9325465814361706E-2</v>
      </c>
    </row>
    <row r="31" spans="1:27" s="142" customFormat="1" ht="12.5">
      <c r="A31" s="158" t="s">
        <v>694</v>
      </c>
      <c r="B31" s="77">
        <v>1269</v>
      </c>
      <c r="C31" s="159">
        <v>7.8894370546318357E-2</v>
      </c>
      <c r="D31" s="159">
        <v>4.8271950394670499E-2</v>
      </c>
      <c r="E31" s="159">
        <v>7.3014665776993379E-2</v>
      </c>
      <c r="F31" s="159">
        <v>0.22469302350152401</v>
      </c>
      <c r="G31" s="160">
        <v>0.73013745206540159</v>
      </c>
      <c r="H31" s="160">
        <v>1.0295667164846354</v>
      </c>
      <c r="I31" s="159">
        <v>0.12095942397547391</v>
      </c>
      <c r="J31" s="159">
        <v>0.32279385986263293</v>
      </c>
      <c r="K31" s="159">
        <v>6.9500000000000006E-2</v>
      </c>
      <c r="L31" s="159">
        <v>0.51038470427563054</v>
      </c>
      <c r="M31" s="159">
        <v>8.5944443582693902E-2</v>
      </c>
      <c r="N31" s="160">
        <v>1.7980446299653665</v>
      </c>
      <c r="O31" s="160">
        <v>0.59716246513510773</v>
      </c>
      <c r="P31" s="160">
        <v>8.5602218776639774</v>
      </c>
      <c r="Q31" s="160">
        <v>11.84183341894872</v>
      </c>
      <c r="R31" s="160">
        <v>0.92438488649154593</v>
      </c>
      <c r="S31" s="160">
        <v>30.799850738194948</v>
      </c>
      <c r="T31" s="159">
        <v>0.15956663775102348</v>
      </c>
      <c r="U31" s="159">
        <v>3.1913552747535108E-2</v>
      </c>
      <c r="V31" s="159">
        <v>2.5650645849841693E-2</v>
      </c>
      <c r="W31" s="159">
        <v>1.7330707134271515</v>
      </c>
      <c r="X31" s="159">
        <v>9.1449190767282085E-2</v>
      </c>
      <c r="Y31" s="159">
        <v>0.59131516172456033</v>
      </c>
      <c r="Z31" s="159">
        <v>0.59131516172456033</v>
      </c>
      <c r="AA31" s="161">
        <v>4.8306809979186786E-2</v>
      </c>
    </row>
    <row r="32" spans="1:27" s="142" customFormat="1" ht="12.5">
      <c r="A32" s="158" t="s">
        <v>487</v>
      </c>
      <c r="B32" s="77">
        <v>752</v>
      </c>
      <c r="C32" s="159">
        <v>0.10592681498829039</v>
      </c>
      <c r="D32" s="159">
        <v>7.9870349681843311E-2</v>
      </c>
      <c r="E32" s="159">
        <v>9.6512626423388009E-2</v>
      </c>
      <c r="F32" s="159">
        <v>0.22879350569990112</v>
      </c>
      <c r="G32" s="160">
        <v>1.1016400810257481</v>
      </c>
      <c r="H32" s="160">
        <v>1.2013486787553214</v>
      </c>
      <c r="I32" s="159">
        <v>0.13466762456467463</v>
      </c>
      <c r="J32" s="159">
        <v>0.42673745588286965</v>
      </c>
      <c r="K32" s="159">
        <v>6.9500000000000006E-2</v>
      </c>
      <c r="L32" s="159">
        <v>0.20884276813170335</v>
      </c>
      <c r="M32" s="159">
        <v>0.11747709245060305</v>
      </c>
      <c r="N32" s="160">
        <v>1.2759768911988971</v>
      </c>
      <c r="O32" s="160">
        <v>2.8990443634193923</v>
      </c>
      <c r="P32" s="160">
        <v>16.734255201777739</v>
      </c>
      <c r="Q32" s="160">
        <v>33.753289488727212</v>
      </c>
      <c r="R32" s="160">
        <v>2.2420184466493001</v>
      </c>
      <c r="S32" s="160">
        <v>214.52307445927008</v>
      </c>
      <c r="T32" s="159">
        <v>4.1236187325067709E-2</v>
      </c>
      <c r="U32" s="159">
        <v>3.7769343593673718E-2</v>
      </c>
      <c r="V32" s="159">
        <v>1.8753776279506335E-2</v>
      </c>
      <c r="W32" s="159">
        <v>0.5072249381554339</v>
      </c>
      <c r="X32" s="159">
        <v>5.3343812988993114E-2</v>
      </c>
      <c r="Y32" s="159">
        <v>0.36913257422099616</v>
      </c>
      <c r="Z32" s="159">
        <v>0.3691325742209961</v>
      </c>
      <c r="AA32" s="161">
        <v>8.2532590737816963E-2</v>
      </c>
    </row>
    <row r="33" spans="1:27" s="142" customFormat="1" ht="12.5">
      <c r="A33" s="158" t="s">
        <v>695</v>
      </c>
      <c r="B33" s="77">
        <v>370</v>
      </c>
      <c r="C33" s="159">
        <v>8.3761952380952381E-2</v>
      </c>
      <c r="D33" s="159">
        <v>0.1067977168535225</v>
      </c>
      <c r="E33" s="159">
        <v>0.10618091123311392</v>
      </c>
      <c r="F33" s="159">
        <v>0.21853416170180501</v>
      </c>
      <c r="G33" s="160">
        <v>0.89640526150774003</v>
      </c>
      <c r="H33" s="160">
        <v>1.0880867288276126</v>
      </c>
      <c r="I33" s="159">
        <v>0.12562932096044349</v>
      </c>
      <c r="J33" s="159">
        <v>0.38236707668331305</v>
      </c>
      <c r="K33" s="159">
        <v>6.9500000000000006E-2</v>
      </c>
      <c r="L33" s="159">
        <v>0.27226072626110814</v>
      </c>
      <c r="M33" s="159">
        <v>0.10567942414999154</v>
      </c>
      <c r="N33" s="160">
        <v>1.1302069098777168</v>
      </c>
      <c r="O33" s="160">
        <v>2.6398509115640278</v>
      </c>
      <c r="P33" s="160">
        <v>13.452443116927057</v>
      </c>
      <c r="Q33" s="160">
        <v>23.234878408858599</v>
      </c>
      <c r="R33" s="160">
        <v>2.8428385265315317</v>
      </c>
      <c r="S33" s="160">
        <v>42.624997180350128</v>
      </c>
      <c r="T33" s="159">
        <v>0.13276798839253917</v>
      </c>
      <c r="U33" s="159">
        <v>8.4562068190636414E-2</v>
      </c>
      <c r="V33" s="159">
        <v>8.77448543218802E-2</v>
      </c>
      <c r="W33" s="159">
        <v>1.6514979421321525</v>
      </c>
      <c r="X33" s="159">
        <v>9.1371725037155543E-2</v>
      </c>
      <c r="Y33" s="159">
        <v>0.55849304447529791</v>
      </c>
      <c r="Z33" s="159">
        <v>0.55849304447529791</v>
      </c>
      <c r="AA33" s="161">
        <v>0.1076269103567748</v>
      </c>
    </row>
    <row r="34" spans="1:27" s="142" customFormat="1" ht="12.5">
      <c r="A34" s="158" t="s">
        <v>696</v>
      </c>
      <c r="B34" s="77">
        <v>426</v>
      </c>
      <c r="C34" s="159">
        <v>0.1273559602649007</v>
      </c>
      <c r="D34" s="159">
        <v>7.4276728290765592E-2</v>
      </c>
      <c r="E34" s="159">
        <v>0.10276535855905174</v>
      </c>
      <c r="F34" s="159">
        <v>0.20630778097962557</v>
      </c>
      <c r="G34" s="160">
        <v>0.65968878267504505</v>
      </c>
      <c r="H34" s="160">
        <v>0.84191689518664237</v>
      </c>
      <c r="I34" s="159">
        <v>0.10598496823589405</v>
      </c>
      <c r="J34" s="159">
        <v>0.34158621718358206</v>
      </c>
      <c r="K34" s="159">
        <v>6.9500000000000006E-2</v>
      </c>
      <c r="L34" s="159">
        <v>0.31714825367380384</v>
      </c>
      <c r="M34" s="159">
        <v>8.8976111318933793E-2</v>
      </c>
      <c r="N34" s="160">
        <v>1.5664988491796712</v>
      </c>
      <c r="O34" s="160">
        <v>1.1363326568143441</v>
      </c>
      <c r="P34" s="160">
        <v>10.531883443049173</v>
      </c>
      <c r="Q34" s="160">
        <v>14.629414005607046</v>
      </c>
      <c r="R34" s="160">
        <v>2.1504493343657427</v>
      </c>
      <c r="S34" s="160">
        <v>41.537477508611232</v>
      </c>
      <c r="T34" s="159">
        <v>0.16352430082262925</v>
      </c>
      <c r="U34" s="159">
        <v>4.2599519305417305E-2</v>
      </c>
      <c r="V34" s="159">
        <v>3.452772940859547E-2</v>
      </c>
      <c r="W34" s="159">
        <v>1.3044537684733635</v>
      </c>
      <c r="X34" s="159">
        <v>0.14362550060321239</v>
      </c>
      <c r="Y34" s="159">
        <v>0.32007015569173347</v>
      </c>
      <c r="Z34" s="159">
        <v>0.32007015569173347</v>
      </c>
      <c r="AA34" s="161">
        <v>7.5083908473903282E-2</v>
      </c>
    </row>
    <row r="35" spans="1:27" s="142" customFormat="1" ht="12.5">
      <c r="A35" s="158" t="s">
        <v>697</v>
      </c>
      <c r="B35" s="77">
        <v>1089</v>
      </c>
      <c r="C35" s="159">
        <v>0.104697216066482</v>
      </c>
      <c r="D35" s="159">
        <v>0.10651653844559901</v>
      </c>
      <c r="E35" s="159">
        <v>5.9327452725637733E-3</v>
      </c>
      <c r="F35" s="159">
        <v>0.21700378492815886</v>
      </c>
      <c r="G35" s="160">
        <v>0.15539901285715607</v>
      </c>
      <c r="H35" s="160">
        <v>0.88179367642992346</v>
      </c>
      <c r="I35" s="159">
        <v>0.1091671353791079</v>
      </c>
      <c r="J35" s="159">
        <v>0.33123687849243361</v>
      </c>
      <c r="K35" s="159">
        <v>6.9500000000000006E-2</v>
      </c>
      <c r="L35" s="159">
        <v>0.8719326375242562</v>
      </c>
      <c r="M35" s="159">
        <v>5.9630213578402848E-2</v>
      </c>
      <c r="N35" s="160">
        <v>6.4711238201554208E-2</v>
      </c>
      <c r="O35" s="160">
        <v>16.535097333814399</v>
      </c>
      <c r="P35" s="160">
        <v>63.304970355623297</v>
      </c>
      <c r="Q35" s="160">
        <v>74.383314735904918</v>
      </c>
      <c r="R35" s="160">
        <v>1.2380098214278055</v>
      </c>
      <c r="S35" s="160">
        <v>153.15694290299754</v>
      </c>
      <c r="T35" s="159" t="s">
        <v>88</v>
      </c>
      <c r="U35" s="159">
        <v>4.450338862807543E-2</v>
      </c>
      <c r="V35" s="159">
        <v>4.1852132738418361E-2</v>
      </c>
      <c r="W35" s="159">
        <v>0.49278863336413131</v>
      </c>
      <c r="X35" s="159">
        <v>0.14209285342615216</v>
      </c>
      <c r="Y35" s="159">
        <v>0.22864298056819313</v>
      </c>
      <c r="Z35" s="159">
        <v>0.2286429805681931</v>
      </c>
      <c r="AA35" s="161">
        <v>0.1082415050730236</v>
      </c>
    </row>
    <row r="36" spans="1:27" s="142" customFormat="1" ht="12.5">
      <c r="A36" s="158" t="s">
        <v>698</v>
      </c>
      <c r="B36" s="77">
        <v>1397</v>
      </c>
      <c r="C36" s="159">
        <v>9.7076004119464404E-2</v>
      </c>
      <c r="D36" s="159">
        <v>8.3213972000600517E-2</v>
      </c>
      <c r="E36" s="159">
        <v>0.1178757677853427</v>
      </c>
      <c r="F36" s="159">
        <v>0.20488868426604323</v>
      </c>
      <c r="G36" s="160">
        <v>0.69180804648805327</v>
      </c>
      <c r="H36" s="160">
        <v>0.79603809344606158</v>
      </c>
      <c r="I36" s="159">
        <v>0.10232383985699571</v>
      </c>
      <c r="J36" s="159">
        <v>0.29170887891196889</v>
      </c>
      <c r="K36" s="159">
        <v>6.9500000000000006E-2</v>
      </c>
      <c r="L36" s="159">
        <v>0.22476528833524001</v>
      </c>
      <c r="M36" s="159">
        <v>9.1092433061323225E-2</v>
      </c>
      <c r="N36" s="160">
        <v>1.6660267682211776</v>
      </c>
      <c r="O36" s="160">
        <v>1.5542804803457522</v>
      </c>
      <c r="P36" s="160">
        <v>13.042858477382078</v>
      </c>
      <c r="Q36" s="160">
        <v>18.28801310021742</v>
      </c>
      <c r="R36" s="160">
        <v>2.4990667838755436</v>
      </c>
      <c r="S36" s="160">
        <v>45.071976673902732</v>
      </c>
      <c r="T36" s="159">
        <v>0.10811631257226161</v>
      </c>
      <c r="U36" s="159">
        <v>4.5122297393227907E-2</v>
      </c>
      <c r="V36" s="159">
        <v>3.3295072764184648E-2</v>
      </c>
      <c r="W36" s="159">
        <v>0.79410782944645997</v>
      </c>
      <c r="X36" s="159">
        <v>0.11636452300326208</v>
      </c>
      <c r="Y36" s="159">
        <v>0.51559701498212285</v>
      </c>
      <c r="Z36" s="159">
        <v>0.51559701498212285</v>
      </c>
      <c r="AA36" s="161">
        <v>8.3445314652687952E-2</v>
      </c>
    </row>
    <row r="37" spans="1:27" s="142" customFormat="1" ht="12.5">
      <c r="A37" s="158" t="s">
        <v>699</v>
      </c>
      <c r="B37" s="77">
        <v>169</v>
      </c>
      <c r="C37" s="159">
        <v>6.2875454545454554E-2</v>
      </c>
      <c r="D37" s="159">
        <v>2.5794362646047259E-2</v>
      </c>
      <c r="E37" s="159">
        <v>0.11488938343353311</v>
      </c>
      <c r="F37" s="159">
        <v>0.23204263164290403</v>
      </c>
      <c r="G37" s="160">
        <v>0.48470614104865478</v>
      </c>
      <c r="H37" s="160">
        <v>0.68839747956966135</v>
      </c>
      <c r="I37" s="159">
        <v>9.3734118869658975E-2</v>
      </c>
      <c r="J37" s="159">
        <v>0.31458186609200384</v>
      </c>
      <c r="K37" s="159">
        <v>6.9500000000000006E-2</v>
      </c>
      <c r="L37" s="159">
        <v>0.40467275546799308</v>
      </c>
      <c r="M37" s="159">
        <v>7.6988853780545402E-2</v>
      </c>
      <c r="N37" s="160">
        <v>5.3695862056734871</v>
      </c>
      <c r="O37" s="160">
        <v>0.44390287260227929</v>
      </c>
      <c r="P37" s="160">
        <v>10.933264747622454</v>
      </c>
      <c r="Q37" s="160">
        <v>17.076573138249429</v>
      </c>
      <c r="R37" s="160">
        <v>2.1616053317977144</v>
      </c>
      <c r="S37" s="160">
        <v>45.479220835055926</v>
      </c>
      <c r="T37" s="159">
        <v>5.7725076685344177E-2</v>
      </c>
      <c r="U37" s="159">
        <v>1.1896848371563511E-2</v>
      </c>
      <c r="V37" s="159">
        <v>5.7544623637667347E-3</v>
      </c>
      <c r="W37" s="159">
        <v>0.85072534702466673</v>
      </c>
      <c r="X37" s="159">
        <v>0.1313375950156184</v>
      </c>
      <c r="Y37" s="159">
        <v>0.41004672915186663</v>
      </c>
      <c r="Z37" s="159">
        <v>0.41004672915186657</v>
      </c>
      <c r="AA37" s="161">
        <v>2.5686424038396192E-2</v>
      </c>
    </row>
    <row r="38" spans="1:27" s="142" customFormat="1" ht="12.5">
      <c r="A38" s="158" t="s">
        <v>700</v>
      </c>
      <c r="B38" s="77">
        <v>362</v>
      </c>
      <c r="C38" s="159">
        <v>9.0344183266932332E-2</v>
      </c>
      <c r="D38" s="159">
        <v>7.5874881186540372E-2</v>
      </c>
      <c r="E38" s="159">
        <v>0.14641279471865409</v>
      </c>
      <c r="F38" s="159">
        <v>0.19416481758070114</v>
      </c>
      <c r="G38" s="160">
        <v>1.0884231491124254</v>
      </c>
      <c r="H38" s="160">
        <v>1.0821054084407624</v>
      </c>
      <c r="I38" s="159">
        <v>0.12515201159357284</v>
      </c>
      <c r="J38" s="159">
        <v>0.30125928200266844</v>
      </c>
      <c r="K38" s="159">
        <v>6.9500000000000006E-2</v>
      </c>
      <c r="L38" s="159">
        <v>0.2042984087234449</v>
      </c>
      <c r="M38" s="159">
        <v>0.11027956517121806</v>
      </c>
      <c r="N38" s="160">
        <v>2.2818130755137274</v>
      </c>
      <c r="O38" s="160">
        <v>1.0212678274664981</v>
      </c>
      <c r="P38" s="160">
        <v>9.5672766676184544</v>
      </c>
      <c r="Q38" s="160">
        <v>12.903663047759149</v>
      </c>
      <c r="R38" s="160">
        <v>2.2027094370991782</v>
      </c>
      <c r="S38" s="160">
        <v>53.507688395259152</v>
      </c>
      <c r="T38" s="159">
        <v>7.338773485684795E-2</v>
      </c>
      <c r="U38" s="159">
        <v>3.2153880570860299E-2</v>
      </c>
      <c r="V38" s="159">
        <v>1.9103425361702391E-2</v>
      </c>
      <c r="W38" s="159">
        <v>0.80371735502561836</v>
      </c>
      <c r="X38" s="159">
        <v>0.1353404441072435</v>
      </c>
      <c r="Y38" s="159">
        <v>0.52638382360021452</v>
      </c>
      <c r="Z38" s="159">
        <v>0.52638382360021452</v>
      </c>
      <c r="AA38" s="161">
        <v>7.5655724846872219E-2</v>
      </c>
    </row>
    <row r="39" spans="1:27" s="142" customFormat="1" ht="12.5">
      <c r="A39" s="158" t="s">
        <v>701</v>
      </c>
      <c r="B39" s="77">
        <v>248</v>
      </c>
      <c r="C39" s="159">
        <v>0.15748204724409451</v>
      </c>
      <c r="D39" s="159">
        <v>0.32890130702989834</v>
      </c>
      <c r="E39" s="159">
        <v>6.7353380013681546E-2</v>
      </c>
      <c r="F39" s="159">
        <v>0.16194245636985027</v>
      </c>
      <c r="G39" s="160">
        <v>0.73909035032579629</v>
      </c>
      <c r="H39" s="160">
        <v>1.0336423067859184</v>
      </c>
      <c r="I39" s="159">
        <v>0.12128465608151628</v>
      </c>
      <c r="J39" s="159">
        <v>0.36974872492744715</v>
      </c>
      <c r="K39" s="159">
        <v>6.9500000000000006E-2</v>
      </c>
      <c r="L39" s="159">
        <v>0.38391147299077572</v>
      </c>
      <c r="M39" s="159">
        <v>9.4821520740056342E-2</v>
      </c>
      <c r="N39" s="160">
        <v>0.2293780785175985</v>
      </c>
      <c r="O39" s="160">
        <v>7.5246539792933156</v>
      </c>
      <c r="P39" s="160">
        <v>14.030011705053287</v>
      </c>
      <c r="Q39" s="160">
        <v>22.59081317615253</v>
      </c>
      <c r="R39" s="160">
        <v>1.9232200976937126</v>
      </c>
      <c r="S39" s="160">
        <v>47.369779187704324</v>
      </c>
      <c r="T39" s="159">
        <v>0.11304862660232423</v>
      </c>
      <c r="U39" s="159">
        <v>0.38572529576171299</v>
      </c>
      <c r="V39" s="159">
        <v>0.24846525569738823</v>
      </c>
      <c r="W39" s="159">
        <v>1.171130427953877</v>
      </c>
      <c r="X39" s="159">
        <v>0.19282714525293054</v>
      </c>
      <c r="Y39" s="159">
        <v>0.35813487987426063</v>
      </c>
      <c r="Z39" s="159">
        <v>0.35813487987426063</v>
      </c>
      <c r="AA39" s="161">
        <v>0.32759318005707233</v>
      </c>
    </row>
    <row r="40" spans="1:27" s="142" customFormat="1" ht="12.5">
      <c r="A40" s="158" t="s">
        <v>702</v>
      </c>
      <c r="B40" s="77">
        <v>896</v>
      </c>
      <c r="C40" s="159">
        <v>0.15152649797570858</v>
      </c>
      <c r="D40" s="159">
        <v>0.15096971096104425</v>
      </c>
      <c r="E40" s="159">
        <v>0.1352276726043494</v>
      </c>
      <c r="F40" s="159">
        <v>0.18304340165470476</v>
      </c>
      <c r="G40" s="160">
        <v>1.0775359783236322</v>
      </c>
      <c r="H40" s="160">
        <v>1.1305011645147018</v>
      </c>
      <c r="I40" s="159">
        <v>0.1290139929282732</v>
      </c>
      <c r="J40" s="159">
        <v>0.43161496413982586</v>
      </c>
      <c r="K40" s="159">
        <v>6.9500000000000006E-2</v>
      </c>
      <c r="L40" s="159">
        <v>0.11619162184556213</v>
      </c>
      <c r="M40" s="159">
        <v>0.12010678468633545</v>
      </c>
      <c r="N40" s="160">
        <v>0.95057028731285942</v>
      </c>
      <c r="O40" s="160">
        <v>4.401980924665958</v>
      </c>
      <c r="P40" s="160">
        <v>17.54319683749446</v>
      </c>
      <c r="Q40" s="160">
        <v>27.465650956358477</v>
      </c>
      <c r="R40" s="160">
        <v>3.6045967641993903</v>
      </c>
      <c r="S40" s="160">
        <v>55.299306422827527</v>
      </c>
      <c r="T40" s="159">
        <v>0.24351064396568506</v>
      </c>
      <c r="U40" s="159">
        <v>5.6535573190572848E-2</v>
      </c>
      <c r="V40" s="159">
        <v>0.10326654607578553</v>
      </c>
      <c r="W40" s="159">
        <v>1.1082463831838485</v>
      </c>
      <c r="X40" s="159">
        <v>7.8992341195298507E-2</v>
      </c>
      <c r="Y40" s="159">
        <v>0.47892134430038719</v>
      </c>
      <c r="Z40" s="159">
        <v>0.47892134430038724</v>
      </c>
      <c r="AA40" s="161">
        <v>0.15422910964795478</v>
      </c>
    </row>
    <row r="41" spans="1:27" s="142" customFormat="1" ht="12.5">
      <c r="A41" s="158" t="s">
        <v>703</v>
      </c>
      <c r="B41" s="77">
        <v>460</v>
      </c>
      <c r="C41" s="159">
        <v>0.14661127906976745</v>
      </c>
      <c r="D41" s="159">
        <v>4.2303371055602383E-2</v>
      </c>
      <c r="E41" s="159">
        <v>0.24286107738383947</v>
      </c>
      <c r="F41" s="159">
        <v>0.22635668993878802</v>
      </c>
      <c r="G41" s="160">
        <v>0.92055004436243304</v>
      </c>
      <c r="H41" s="160">
        <v>1.0131363720531945</v>
      </c>
      <c r="I41" s="159">
        <v>0.11964828248984492</v>
      </c>
      <c r="J41" s="159">
        <v>0.38241271592555787</v>
      </c>
      <c r="K41" s="159">
        <v>6.9500000000000006E-2</v>
      </c>
      <c r="L41" s="159">
        <v>0.21480632072052405</v>
      </c>
      <c r="M41" s="159">
        <v>0.105193120444886</v>
      </c>
      <c r="N41" s="160">
        <v>6.7790063689414541</v>
      </c>
      <c r="O41" s="160">
        <v>0.68587290219167485</v>
      </c>
      <c r="P41" s="160">
        <v>11.670725837391533</v>
      </c>
      <c r="Q41" s="160">
        <v>15.975037197614578</v>
      </c>
      <c r="R41" s="160">
        <v>2.8275940639627919</v>
      </c>
      <c r="S41" s="160">
        <v>41.59070570653649</v>
      </c>
      <c r="T41" s="159">
        <v>-3.4790745486122918E-2</v>
      </c>
      <c r="U41" s="159">
        <v>1.1193000384593066E-2</v>
      </c>
      <c r="V41" s="159">
        <v>1.147731795337012E-2</v>
      </c>
      <c r="W41" s="159">
        <v>0.46684760161861932</v>
      </c>
      <c r="X41" s="159">
        <v>0.10886237618760991</v>
      </c>
      <c r="Y41" s="159">
        <v>0.37539624729138682</v>
      </c>
      <c r="Z41" s="159">
        <v>0.37539624729138676</v>
      </c>
      <c r="AA41" s="161">
        <v>4.1825760899788428E-2</v>
      </c>
    </row>
    <row r="42" spans="1:27" s="142" customFormat="1" ht="12.5">
      <c r="A42" s="158" t="s">
        <v>704</v>
      </c>
      <c r="B42" s="77">
        <v>447</v>
      </c>
      <c r="C42" s="159">
        <v>0.20462864035087733</v>
      </c>
      <c r="D42" s="159">
        <v>0.16006819885448872</v>
      </c>
      <c r="E42" s="159">
        <v>0.16356639499180595</v>
      </c>
      <c r="F42" s="159">
        <v>0.16972013476926534</v>
      </c>
      <c r="G42" s="160">
        <v>1.2736117177372563</v>
      </c>
      <c r="H42" s="160">
        <v>1.3377797757878629</v>
      </c>
      <c r="I42" s="159">
        <v>0.14555482610787146</v>
      </c>
      <c r="J42" s="159">
        <v>0.45081477143098153</v>
      </c>
      <c r="K42" s="159">
        <v>6.9500000000000006E-2</v>
      </c>
      <c r="L42" s="159">
        <v>0.10660654390272724</v>
      </c>
      <c r="M42" s="159">
        <v>0.13561904545992257</v>
      </c>
      <c r="N42" s="160">
        <v>1.0682277315056228</v>
      </c>
      <c r="O42" s="160">
        <v>5.5013594716637444</v>
      </c>
      <c r="P42" s="160">
        <v>20.992704781338507</v>
      </c>
      <c r="Q42" s="160">
        <v>33.022761124162685</v>
      </c>
      <c r="R42" s="160">
        <v>4.3589307174771452</v>
      </c>
      <c r="S42" s="160">
        <v>52.052376257643353</v>
      </c>
      <c r="T42" s="159">
        <v>0.22881100885747016</v>
      </c>
      <c r="U42" s="159">
        <v>7.3463697611661272E-2</v>
      </c>
      <c r="V42" s="159">
        <v>0.14879751394370175</v>
      </c>
      <c r="W42" s="159">
        <v>1.4410021525209946</v>
      </c>
      <c r="X42" s="159">
        <v>3.5050016747700995E-2</v>
      </c>
      <c r="Y42" s="159">
        <v>0.35753705040317413</v>
      </c>
      <c r="Z42" s="159">
        <v>0.35753705040317407</v>
      </c>
      <c r="AA42" s="161">
        <v>0.16553367467046465</v>
      </c>
    </row>
    <row r="43" spans="1:27" s="142" customFormat="1" ht="12.5">
      <c r="A43" s="158" t="s">
        <v>705</v>
      </c>
      <c r="B43" s="77">
        <v>171</v>
      </c>
      <c r="C43" s="159">
        <v>7.5865362318840626E-2</v>
      </c>
      <c r="D43" s="159">
        <v>0.15495719798118576</v>
      </c>
      <c r="E43" s="159">
        <v>0.17576561641927174</v>
      </c>
      <c r="F43" s="159">
        <v>0.23537488242222698</v>
      </c>
      <c r="G43" s="160">
        <v>0.97489554506089793</v>
      </c>
      <c r="H43" s="160">
        <v>1.1397794466928413</v>
      </c>
      <c r="I43" s="159">
        <v>0.12975439984608872</v>
      </c>
      <c r="J43" s="159">
        <v>0.28509702105698664</v>
      </c>
      <c r="K43" s="159">
        <v>6.9500000000000006E-2</v>
      </c>
      <c r="L43" s="159">
        <v>0.31532837433795108</v>
      </c>
      <c r="M43" s="159">
        <v>0.10534796795444518</v>
      </c>
      <c r="N43" s="160">
        <v>1.4588857872173531</v>
      </c>
      <c r="O43" s="160">
        <v>0.85443294966352978</v>
      </c>
      <c r="P43" s="160">
        <v>5.0324708317726499</v>
      </c>
      <c r="Q43" s="160">
        <v>5.6291972439872957</v>
      </c>
      <c r="R43" s="160">
        <v>1.1140152455630299</v>
      </c>
      <c r="S43" s="160">
        <v>26.850355328605822</v>
      </c>
      <c r="T43" s="159">
        <v>0.61661866840206481</v>
      </c>
      <c r="U43" s="159">
        <v>6.9779275561657446E-3</v>
      </c>
      <c r="V43" s="159">
        <v>1.1182492565286405E-2</v>
      </c>
      <c r="W43" s="159">
        <v>0.74946002329353456</v>
      </c>
      <c r="X43" s="159">
        <v>0.19431222567463893</v>
      </c>
      <c r="Y43" s="159">
        <v>0.16051300014034145</v>
      </c>
      <c r="Z43" s="159">
        <v>0.16051300014034142</v>
      </c>
      <c r="AA43" s="161">
        <v>0.14965402333568886</v>
      </c>
    </row>
    <row r="44" spans="1:27" s="142" customFormat="1" ht="12.5">
      <c r="A44" s="158" t="s">
        <v>706</v>
      </c>
      <c r="B44" s="77">
        <v>231</v>
      </c>
      <c r="C44" s="159">
        <v>9.0183986928104559E-2</v>
      </c>
      <c r="D44" s="159">
        <v>0.11144592137589428</v>
      </c>
      <c r="E44" s="159">
        <v>0.11635149727764249</v>
      </c>
      <c r="F44" s="159">
        <v>0.21457189962085135</v>
      </c>
      <c r="G44" s="160">
        <v>0.57071053339417088</v>
      </c>
      <c r="H44" s="160">
        <v>0.76794023174770742</v>
      </c>
      <c r="I44" s="159">
        <v>0.10008163049346705</v>
      </c>
      <c r="J44" s="159">
        <v>0.31837828004372998</v>
      </c>
      <c r="K44" s="159">
        <v>6.9500000000000006E-2</v>
      </c>
      <c r="L44" s="159">
        <v>0.33983004729540051</v>
      </c>
      <c r="M44" s="159">
        <v>8.3862466506091304E-2</v>
      </c>
      <c r="N44" s="160">
        <v>1.2424263296458609</v>
      </c>
      <c r="O44" s="160">
        <v>2.3120736886481557</v>
      </c>
      <c r="P44" s="160">
        <v>13.54146808270113</v>
      </c>
      <c r="Q44" s="160">
        <v>20.526220971974809</v>
      </c>
      <c r="R44" s="160">
        <v>3.7479687612787038</v>
      </c>
      <c r="S44" s="160">
        <v>51.882384621484761</v>
      </c>
      <c r="T44" s="159">
        <v>6.4021195070783563E-2</v>
      </c>
      <c r="U44" s="159">
        <v>6.5563767804585407E-2</v>
      </c>
      <c r="V44" s="159">
        <v>3.1508810674146785E-2</v>
      </c>
      <c r="W44" s="159">
        <v>0.56708032204861203</v>
      </c>
      <c r="X44" s="159">
        <v>0.15650807269310177</v>
      </c>
      <c r="Y44" s="159">
        <v>0.31772256372534741</v>
      </c>
      <c r="Z44" s="159">
        <v>0.31772256372534735</v>
      </c>
      <c r="AA44" s="161">
        <v>0.11084921823155379</v>
      </c>
    </row>
    <row r="45" spans="1:27" s="142" customFormat="1" ht="12.5">
      <c r="A45" s="158" t="s">
        <v>707</v>
      </c>
      <c r="B45" s="77">
        <v>650</v>
      </c>
      <c r="C45" s="159">
        <v>-1.46983857442348E-2</v>
      </c>
      <c r="D45" s="159">
        <v>5.7973344234807628E-2</v>
      </c>
      <c r="E45" s="159">
        <v>2.1470742209970764E-2</v>
      </c>
      <c r="F45" s="159">
        <v>0.23239039501910805</v>
      </c>
      <c r="G45" s="160">
        <v>0.74523740871313393</v>
      </c>
      <c r="H45" s="160">
        <v>0.97058639732290319</v>
      </c>
      <c r="I45" s="159">
        <v>0.11625279450636768</v>
      </c>
      <c r="J45" s="159">
        <v>0.34991307923365311</v>
      </c>
      <c r="K45" s="159">
        <v>6.9500000000000006E-2</v>
      </c>
      <c r="L45" s="159">
        <v>0.36056008478203067</v>
      </c>
      <c r="M45" s="159">
        <v>9.3213565937711865E-2</v>
      </c>
      <c r="N45" s="160">
        <v>0.56318485275992658</v>
      </c>
      <c r="O45" s="160">
        <v>3.8920959066172398</v>
      </c>
      <c r="P45" s="160">
        <v>16.455046468185142</v>
      </c>
      <c r="Q45" s="160">
        <v>74.007529132549607</v>
      </c>
      <c r="R45" s="160">
        <v>3.1356479827955788</v>
      </c>
      <c r="S45" s="160">
        <v>71.886708344430716</v>
      </c>
      <c r="T45" s="159">
        <v>7.4461963202217115E-3</v>
      </c>
      <c r="U45" s="159">
        <v>7.4369482110962185E-2</v>
      </c>
      <c r="V45" s="159">
        <v>1.6421566811355561E-2</v>
      </c>
      <c r="W45" s="159">
        <v>1.1479792696025544</v>
      </c>
      <c r="X45" s="159">
        <v>2.2693214706000397E-2</v>
      </c>
      <c r="Y45" s="159">
        <v>0.76205189764877668</v>
      </c>
      <c r="Z45" s="159">
        <v>0.76205189764877668</v>
      </c>
      <c r="AA45" s="161">
        <v>4.1681343831587121E-2</v>
      </c>
    </row>
    <row r="46" spans="1:27" s="142" customFormat="1" ht="12.5">
      <c r="A46" s="158" t="s">
        <v>708</v>
      </c>
      <c r="B46" s="77">
        <v>589</v>
      </c>
      <c r="C46" s="159">
        <v>6.8795195530726189E-2</v>
      </c>
      <c r="D46" s="159">
        <v>0.14889539541413527</v>
      </c>
      <c r="E46" s="159">
        <v>0.22892705098975522</v>
      </c>
      <c r="F46" s="159">
        <v>0.21653101556185894</v>
      </c>
      <c r="G46" s="160">
        <v>0.95925072154323698</v>
      </c>
      <c r="H46" s="160">
        <v>1.0240740179746777</v>
      </c>
      <c r="I46" s="159">
        <v>0.12052110663437927</v>
      </c>
      <c r="J46" s="159">
        <v>0.37891980080211041</v>
      </c>
      <c r="K46" s="159">
        <v>6.9500000000000006E-2</v>
      </c>
      <c r="L46" s="159">
        <v>0.12288598649272289</v>
      </c>
      <c r="M46" s="159">
        <v>0.11214436749935422</v>
      </c>
      <c r="N46" s="160">
        <v>1.748546760596642</v>
      </c>
      <c r="O46" s="160">
        <v>3.3530050782266416</v>
      </c>
      <c r="P46" s="160">
        <v>17.791187993381833</v>
      </c>
      <c r="Q46" s="160">
        <v>22.186521995295013</v>
      </c>
      <c r="R46" s="160">
        <v>5.2426976351351451</v>
      </c>
      <c r="S46" s="160">
        <v>74.726398649483642</v>
      </c>
      <c r="T46" s="159">
        <v>6.5154198848333789E-2</v>
      </c>
      <c r="U46" s="159">
        <v>3.4365605995926057E-2</v>
      </c>
      <c r="V46" s="159">
        <v>2.6033477826032644E-2</v>
      </c>
      <c r="W46" s="159">
        <v>0.35417315095367757</v>
      </c>
      <c r="X46" s="159">
        <v>0.19391815619878336</v>
      </c>
      <c r="Y46" s="159">
        <v>0.59982517906400279</v>
      </c>
      <c r="Z46" s="159">
        <v>0.59982517906400279</v>
      </c>
      <c r="AA46" s="161">
        <v>0.14841624764038996</v>
      </c>
    </row>
    <row r="47" spans="1:27" s="142" customFormat="1" ht="12.5">
      <c r="A47" s="158" t="s">
        <v>709</v>
      </c>
      <c r="B47" s="77">
        <v>242</v>
      </c>
      <c r="C47" s="159">
        <v>0.1099322137404581</v>
      </c>
      <c r="D47" s="159">
        <v>0.20798720231291662</v>
      </c>
      <c r="E47" s="159">
        <v>0.28674950161733914</v>
      </c>
      <c r="F47" s="159">
        <v>0.19823094621386078</v>
      </c>
      <c r="G47" s="160">
        <v>1.341638572668401</v>
      </c>
      <c r="H47" s="160">
        <v>1.4107202256089806</v>
      </c>
      <c r="I47" s="159">
        <v>0.15137547400359663</v>
      </c>
      <c r="J47" s="159">
        <v>0.40765639840290036</v>
      </c>
      <c r="K47" s="159">
        <v>6.9500000000000006E-2</v>
      </c>
      <c r="L47" s="159">
        <v>0.12308124671080803</v>
      </c>
      <c r="M47" s="159">
        <v>0.13918783061052845</v>
      </c>
      <c r="N47" s="160">
        <v>1.5812475805660275</v>
      </c>
      <c r="O47" s="160">
        <v>5.4754784425523511</v>
      </c>
      <c r="P47" s="160">
        <v>18.24986278020042</v>
      </c>
      <c r="Q47" s="160">
        <v>24.826073772056251</v>
      </c>
      <c r="R47" s="160">
        <v>5.2587903039288859</v>
      </c>
      <c r="S47" s="160">
        <v>54.49701097519528</v>
      </c>
      <c r="T47" s="159">
        <v>2.9592502219401365E-2</v>
      </c>
      <c r="U47" s="159">
        <v>3.1231663406059016E-2</v>
      </c>
      <c r="V47" s="159">
        <v>2.5610685683135626E-2</v>
      </c>
      <c r="W47" s="159">
        <v>0.36520338073701031</v>
      </c>
      <c r="X47" s="159">
        <v>0.14456373910874776</v>
      </c>
      <c r="Y47" s="159">
        <v>0.30606857936674892</v>
      </c>
      <c r="Z47" s="159">
        <v>0.30606857936674892</v>
      </c>
      <c r="AA47" s="161">
        <v>0.21436307387873141</v>
      </c>
    </row>
    <row r="48" spans="1:27" s="142" customFormat="1" ht="12.5">
      <c r="A48" s="158" t="s">
        <v>710</v>
      </c>
      <c r="B48" s="77">
        <v>206</v>
      </c>
      <c r="C48" s="159">
        <v>6.3152899408284016E-2</v>
      </c>
      <c r="D48" s="159">
        <v>0.10406830157075771</v>
      </c>
      <c r="E48" s="159">
        <v>0.11101717127867118</v>
      </c>
      <c r="F48" s="159">
        <v>0.20597412821067834</v>
      </c>
      <c r="G48" s="160">
        <v>0.60929069819651416</v>
      </c>
      <c r="H48" s="160">
        <v>0.69066681475722358</v>
      </c>
      <c r="I48" s="159">
        <v>9.3915211817626437E-2</v>
      </c>
      <c r="J48" s="159">
        <v>0.25272166193104129</v>
      </c>
      <c r="K48" s="159">
        <v>6.9500000000000006E-2</v>
      </c>
      <c r="L48" s="159">
        <v>0.2918827858410955</v>
      </c>
      <c r="M48" s="159">
        <v>8.1784311688340827E-2</v>
      </c>
      <c r="N48" s="160">
        <v>1.24965626436614</v>
      </c>
      <c r="O48" s="160">
        <v>1.188008263499676</v>
      </c>
      <c r="P48" s="160">
        <v>8.9022015071971357</v>
      </c>
      <c r="Q48" s="160">
        <v>11.079319418780047</v>
      </c>
      <c r="R48" s="160">
        <v>1.7521574454494151</v>
      </c>
      <c r="S48" s="160">
        <v>38.508132037411606</v>
      </c>
      <c r="T48" s="159">
        <v>4.5398911100244445E-2</v>
      </c>
      <c r="U48" s="159">
        <v>8.6173960957734216E-3</v>
      </c>
      <c r="V48" s="159">
        <v>6.7555680333910902E-3</v>
      </c>
      <c r="W48" s="159">
        <v>0.40041511839985872</v>
      </c>
      <c r="X48" s="159">
        <v>0.1109472421073442</v>
      </c>
      <c r="Y48" s="159">
        <v>0.3914994014939252</v>
      </c>
      <c r="Z48" s="159">
        <v>0.39149940149392526</v>
      </c>
      <c r="AA48" s="161">
        <v>0.10471297824825589</v>
      </c>
    </row>
    <row r="49" spans="1:27" s="142" customFormat="1" ht="12.5">
      <c r="A49" s="158" t="s">
        <v>711</v>
      </c>
      <c r="B49" s="77">
        <v>142</v>
      </c>
      <c r="C49" s="159">
        <v>0.10457288288288295</v>
      </c>
      <c r="D49" s="159">
        <v>5.656509696153738E-2</v>
      </c>
      <c r="E49" s="159">
        <v>3.9384734913749324E-2</v>
      </c>
      <c r="F49" s="159">
        <v>0.15749385810310829</v>
      </c>
      <c r="G49" s="160">
        <v>0.79627620062989934</v>
      </c>
      <c r="H49" s="160">
        <v>0.90378650219753498</v>
      </c>
      <c r="I49" s="159">
        <v>0.11092216287536329</v>
      </c>
      <c r="J49" s="159">
        <v>0.23901505811759377</v>
      </c>
      <c r="K49" s="159">
        <v>6.1800000000000001E-2</v>
      </c>
      <c r="L49" s="159">
        <v>0.49617651063680412</v>
      </c>
      <c r="M49" s="159">
        <v>7.8984162653173415E-2</v>
      </c>
      <c r="N49" s="160">
        <v>0.80201760425906587</v>
      </c>
      <c r="O49" s="160">
        <v>1.1271766774918102</v>
      </c>
      <c r="P49" s="160">
        <v>11.129244835533825</v>
      </c>
      <c r="Q49" s="160">
        <v>16.271411386726815</v>
      </c>
      <c r="R49" s="160">
        <v>1.2578747095304454</v>
      </c>
      <c r="S49" s="160">
        <v>27.359392745137853</v>
      </c>
      <c r="T49" s="159">
        <v>-1.0607068814046108</v>
      </c>
      <c r="U49" s="159">
        <v>6.3281639818224232E-3</v>
      </c>
      <c r="V49" s="159">
        <v>1.2637845656328256E-2</v>
      </c>
      <c r="W49" s="159">
        <v>0.24419652289647661</v>
      </c>
      <c r="X49" s="159">
        <v>7.0183178984228919E-2</v>
      </c>
      <c r="Y49" s="159">
        <v>0.45904302814741293</v>
      </c>
      <c r="Z49" s="159">
        <v>0.45904302814741293</v>
      </c>
      <c r="AA49" s="161">
        <v>5.6689336985043741E-2</v>
      </c>
    </row>
    <row r="50" spans="1:27" s="142" customFormat="1" ht="12.5">
      <c r="A50" s="158" t="s">
        <v>712</v>
      </c>
      <c r="B50" s="77">
        <v>235</v>
      </c>
      <c r="C50" s="159">
        <v>6.4738636363636318E-2</v>
      </c>
      <c r="D50" s="159">
        <v>6.3788599358268291E-2</v>
      </c>
      <c r="E50" s="159">
        <v>6.7197915070148037E-2</v>
      </c>
      <c r="F50" s="159">
        <v>0.19491625264670201</v>
      </c>
      <c r="G50" s="160">
        <v>0.69069421823593102</v>
      </c>
      <c r="H50" s="160">
        <v>0.74575047892416713</v>
      </c>
      <c r="I50" s="159">
        <v>9.831088821814854E-2</v>
      </c>
      <c r="J50" s="159">
        <v>0.26692529380793906</v>
      </c>
      <c r="K50" s="159">
        <v>6.9500000000000006E-2</v>
      </c>
      <c r="L50" s="159">
        <v>0.20181381932143566</v>
      </c>
      <c r="M50" s="159">
        <v>8.903622371755246E-2</v>
      </c>
      <c r="N50" s="160">
        <v>1.2439988186908715</v>
      </c>
      <c r="O50" s="160">
        <v>1.1056855730020798</v>
      </c>
      <c r="P50" s="160">
        <v>12.606428708454226</v>
      </c>
      <c r="Q50" s="160">
        <v>16.619567458404536</v>
      </c>
      <c r="R50" s="160">
        <v>1.5933275666493296</v>
      </c>
      <c r="S50" s="160">
        <v>20.316274143034072</v>
      </c>
      <c r="T50" s="159">
        <v>-0.41454863611787118</v>
      </c>
      <c r="U50" s="159">
        <v>6.8210247518077595E-3</v>
      </c>
      <c r="V50" s="159">
        <v>2.7305540715448855E-3</v>
      </c>
      <c r="W50" s="159">
        <v>0.34426103752747311</v>
      </c>
      <c r="X50" s="159">
        <v>6.7870937712370794E-2</v>
      </c>
      <c r="Y50" s="159">
        <v>0.54947809797432756</v>
      </c>
      <c r="Z50" s="159">
        <v>0.54947809797432756</v>
      </c>
      <c r="AA50" s="161">
        <v>6.4158674737517296E-2</v>
      </c>
    </row>
    <row r="51" spans="1:27" s="142" customFormat="1" ht="12.5">
      <c r="A51" s="158" t="s">
        <v>713</v>
      </c>
      <c r="B51" s="77">
        <v>1660</v>
      </c>
      <c r="C51" s="159">
        <v>0.11960795744680854</v>
      </c>
      <c r="D51" s="159">
        <v>0.2024143572291584</v>
      </c>
      <c r="E51" s="159">
        <v>6.2599876476218549E-2</v>
      </c>
      <c r="F51" s="159">
        <v>0.16368981033632454</v>
      </c>
      <c r="G51" s="160">
        <v>0.56519706406152803</v>
      </c>
      <c r="H51" s="160">
        <v>0.79218334924212164</v>
      </c>
      <c r="I51" s="159">
        <v>0.10201623126952131</v>
      </c>
      <c r="J51" s="159">
        <v>0.26550357638295474</v>
      </c>
      <c r="K51" s="159">
        <v>6.9500000000000006E-2</v>
      </c>
      <c r="L51" s="159">
        <v>0.43258015946052009</v>
      </c>
      <c r="M51" s="159">
        <v>8.0533486750842362E-2</v>
      </c>
      <c r="N51" s="160">
        <v>0.32929523205310735</v>
      </c>
      <c r="O51" s="160">
        <v>4.6387887741941149</v>
      </c>
      <c r="P51" s="160">
        <v>12.510631400512599</v>
      </c>
      <c r="Q51" s="160">
        <v>15.16699627760411</v>
      </c>
      <c r="R51" s="160">
        <v>1.4294350080625697</v>
      </c>
      <c r="S51" s="160">
        <v>237.99123963506088</v>
      </c>
      <c r="T51" s="159" t="s">
        <v>88</v>
      </c>
      <c r="U51" s="159">
        <v>3.8934740984049025E-2</v>
      </c>
      <c r="V51" s="159">
        <v>0.13382356189944222</v>
      </c>
      <c r="W51" s="159">
        <v>0.92376896892922944</v>
      </c>
      <c r="X51" s="159">
        <v>0.12311740738383642</v>
      </c>
      <c r="Y51" s="159">
        <v>0.47729614764336215</v>
      </c>
      <c r="Z51" s="159">
        <v>0.47729614764336215</v>
      </c>
      <c r="AA51" s="161">
        <v>0.20171069068869443</v>
      </c>
    </row>
    <row r="52" spans="1:27" s="142" customFormat="1" ht="12.5">
      <c r="A52" s="158" t="s">
        <v>714</v>
      </c>
      <c r="B52" s="77">
        <v>1463</v>
      </c>
      <c r="C52" s="159">
        <v>7.4357194780987929E-2</v>
      </c>
      <c r="D52" s="159">
        <v>9.6838342723796836E-2</v>
      </c>
      <c r="E52" s="159">
        <v>0.11441000402524393</v>
      </c>
      <c r="F52" s="159">
        <v>0.22190417208531613</v>
      </c>
      <c r="G52" s="160">
        <v>1.0629501446657796</v>
      </c>
      <c r="H52" s="160">
        <v>1.1021402522422057</v>
      </c>
      <c r="I52" s="159">
        <v>0.12675079212892801</v>
      </c>
      <c r="J52" s="159">
        <v>0.31622845943757366</v>
      </c>
      <c r="K52" s="159">
        <v>6.9500000000000006E-2</v>
      </c>
      <c r="L52" s="159">
        <v>0.14718270181512369</v>
      </c>
      <c r="M52" s="159">
        <v>0.11580092277095988</v>
      </c>
      <c r="N52" s="160">
        <v>1.4166874133694627</v>
      </c>
      <c r="O52" s="160">
        <v>1.9747841954393592</v>
      </c>
      <c r="P52" s="160">
        <v>13.995107287843217</v>
      </c>
      <c r="Q52" s="160">
        <v>19.532098995488457</v>
      </c>
      <c r="R52" s="160">
        <v>2.7467697368619257</v>
      </c>
      <c r="S52" s="160">
        <v>38.913964145792391</v>
      </c>
      <c r="T52" s="159">
        <v>0.28268996472541225</v>
      </c>
      <c r="U52" s="159">
        <v>4.0581086874037518E-2</v>
      </c>
      <c r="V52" s="159">
        <v>5.2782923233098585E-2</v>
      </c>
      <c r="W52" s="159">
        <v>1.3529004573697616</v>
      </c>
      <c r="X52" s="159">
        <v>0.10790104842911155</v>
      </c>
      <c r="Y52" s="159">
        <v>0.39724065432609074</v>
      </c>
      <c r="Z52" s="159">
        <v>0.39724065432609068</v>
      </c>
      <c r="AA52" s="161">
        <v>9.6250648014029647E-2</v>
      </c>
    </row>
    <row r="53" spans="1:27" s="142" customFormat="1" ht="12.5">
      <c r="A53" s="158" t="s">
        <v>635</v>
      </c>
      <c r="B53" s="77">
        <v>1783</v>
      </c>
      <c r="C53" s="159">
        <v>0.14998445360824739</v>
      </c>
      <c r="D53" s="159">
        <v>0.16457676118489492</v>
      </c>
      <c r="E53" s="159">
        <v>0.24562183011742217</v>
      </c>
      <c r="F53" s="159">
        <v>0.26996966231622316</v>
      </c>
      <c r="G53" s="160">
        <v>1.109674282355319</v>
      </c>
      <c r="H53" s="160">
        <v>1.1980661936405959</v>
      </c>
      <c r="I53" s="159">
        <v>0.13440568225251953</v>
      </c>
      <c r="J53" s="159">
        <v>0.61690411142274737</v>
      </c>
      <c r="K53" s="159">
        <v>7.3300000000000004E-2</v>
      </c>
      <c r="L53" s="159">
        <v>0.21009308863775686</v>
      </c>
      <c r="M53" s="159">
        <v>0.11776866430269403</v>
      </c>
      <c r="N53" s="160">
        <v>1.5541907800285226</v>
      </c>
      <c r="O53" s="160">
        <v>1.1859212203390777</v>
      </c>
      <c r="P53" s="160">
        <v>5.300524863110458</v>
      </c>
      <c r="Q53" s="160">
        <v>6.8194393583688351</v>
      </c>
      <c r="R53" s="160">
        <v>1.8251328688458563</v>
      </c>
      <c r="S53" s="160">
        <v>76.701735519732694</v>
      </c>
      <c r="T53" s="159">
        <v>0.10964360197616566</v>
      </c>
      <c r="U53" s="159">
        <v>6.3028044378982268E-2</v>
      </c>
      <c r="V53" s="159">
        <v>3.6642012812418592E-2</v>
      </c>
      <c r="W53" s="159">
        <v>0.57132784278564519</v>
      </c>
      <c r="X53" s="159">
        <v>0.2395479215961703</v>
      </c>
      <c r="Y53" s="159">
        <v>0.47218810263430189</v>
      </c>
      <c r="Z53" s="159">
        <v>0.47218810263430189</v>
      </c>
      <c r="AA53" s="161">
        <v>0.16521247908868061</v>
      </c>
    </row>
    <row r="54" spans="1:27" s="142" customFormat="1" ht="12.5">
      <c r="A54" s="158" t="s">
        <v>715</v>
      </c>
      <c r="B54" s="77">
        <v>144</v>
      </c>
      <c r="C54" s="159">
        <v>6.0780172413793132E-2</v>
      </c>
      <c r="D54" s="159">
        <v>6.8751325899671492E-2</v>
      </c>
      <c r="E54" s="159">
        <v>0.10525106285728021</v>
      </c>
      <c r="F54" s="159">
        <v>0.24108157389181584</v>
      </c>
      <c r="G54" s="160">
        <v>0.83449438172372425</v>
      </c>
      <c r="H54" s="160">
        <v>0.92524147810104651</v>
      </c>
      <c r="I54" s="159">
        <v>0.11263426995246351</v>
      </c>
      <c r="J54" s="159">
        <v>0.33105972711523934</v>
      </c>
      <c r="K54" s="159">
        <v>6.9500000000000006E-2</v>
      </c>
      <c r="L54" s="159">
        <v>0.25131553911848697</v>
      </c>
      <c r="M54" s="159">
        <v>9.7484989371590905E-2</v>
      </c>
      <c r="N54" s="160">
        <v>1.8244325968890227</v>
      </c>
      <c r="O54" s="160">
        <v>0.9905845551087058</v>
      </c>
      <c r="P54" s="160">
        <v>8.5271118915928348</v>
      </c>
      <c r="Q54" s="160">
        <v>13.298596323993481</v>
      </c>
      <c r="R54" s="160">
        <v>1.7846844806000841</v>
      </c>
      <c r="S54" s="160">
        <v>38.12834128674367</v>
      </c>
      <c r="T54" s="159">
        <v>0.12932312282789618</v>
      </c>
      <c r="U54" s="159">
        <v>2.3926107503514194E-2</v>
      </c>
      <c r="V54" s="159">
        <v>2.8513177071206312E-2</v>
      </c>
      <c r="W54" s="159">
        <v>1.093383155296316</v>
      </c>
      <c r="X54" s="159">
        <v>5.7369127188005534E-2</v>
      </c>
      <c r="Y54" s="159">
        <v>0.63488890541059773</v>
      </c>
      <c r="Z54" s="159">
        <v>0.63488890541059773</v>
      </c>
      <c r="AA54" s="161">
        <v>6.9942584144654221E-2</v>
      </c>
    </row>
    <row r="55" spans="1:27" s="142" customFormat="1" ht="12.5">
      <c r="A55" s="158" t="s">
        <v>716</v>
      </c>
      <c r="B55" s="77">
        <v>36</v>
      </c>
      <c r="C55" s="159">
        <v>0.14567833333333333</v>
      </c>
      <c r="D55" s="159">
        <v>0.20335295617346388</v>
      </c>
      <c r="E55" s="159">
        <v>0.27004010102815007</v>
      </c>
      <c r="F55" s="159">
        <v>0.41991138498909009</v>
      </c>
      <c r="G55" s="160">
        <v>1.0257376245751695</v>
      </c>
      <c r="H55" s="160">
        <v>1.084261071514385</v>
      </c>
      <c r="I55" s="159">
        <v>0.12532403350684793</v>
      </c>
      <c r="J55" s="159">
        <v>0.290654684170079</v>
      </c>
      <c r="K55" s="159">
        <v>6.9500000000000006E-2</v>
      </c>
      <c r="L55" s="159">
        <v>0.16268470683281316</v>
      </c>
      <c r="M55" s="159">
        <v>0.11345298193785319</v>
      </c>
      <c r="N55" s="160">
        <v>1.7857895827693153</v>
      </c>
      <c r="O55" s="160">
        <v>1.1058383997115753</v>
      </c>
      <c r="P55" s="160">
        <v>4.3448854858449613</v>
      </c>
      <c r="Q55" s="160">
        <v>5.4280645644302892</v>
      </c>
      <c r="R55" s="160">
        <v>2.0049151503678555</v>
      </c>
      <c r="S55" s="160">
        <v>9.0007964734467958</v>
      </c>
      <c r="T55" s="159">
        <v>3.1817707137746329E-2</v>
      </c>
      <c r="U55" s="159">
        <v>5.7508156555064825E-2</v>
      </c>
      <c r="V55" s="159">
        <v>1.0887406636895138E-2</v>
      </c>
      <c r="W55" s="159">
        <v>0.25434157304490956</v>
      </c>
      <c r="X55" s="159">
        <v>0.27383892566202067</v>
      </c>
      <c r="Y55" s="159">
        <v>0.37303344260196158</v>
      </c>
      <c r="Z55" s="159">
        <v>0.37303344260196158</v>
      </c>
      <c r="AA55" s="161">
        <v>0.20370003311353505</v>
      </c>
    </row>
    <row r="56" spans="1:27" s="142" customFormat="1" ht="12.5">
      <c r="A56" s="158" t="s">
        <v>636</v>
      </c>
      <c r="B56" s="77">
        <v>616</v>
      </c>
      <c r="C56" s="159">
        <v>0.30223883792048944</v>
      </c>
      <c r="D56" s="159">
        <v>0.39369866847384061</v>
      </c>
      <c r="E56" s="159">
        <v>0.31379162613860156</v>
      </c>
      <c r="F56" s="159">
        <v>0.28580178705791059</v>
      </c>
      <c r="G56" s="160">
        <v>1.1719532510287904</v>
      </c>
      <c r="H56" s="160">
        <v>1.3064445801888949</v>
      </c>
      <c r="I56" s="159">
        <v>0.14305427749907379</v>
      </c>
      <c r="J56" s="159">
        <v>0.5761526246802835</v>
      </c>
      <c r="K56" s="159">
        <v>7.3300000000000004E-2</v>
      </c>
      <c r="L56" s="159">
        <v>0.20768151674921126</v>
      </c>
      <c r="M56" s="159">
        <v>0.12481207563597795</v>
      </c>
      <c r="N56" s="160">
        <v>0.86121731092209874</v>
      </c>
      <c r="O56" s="160">
        <v>2.0731720837297396</v>
      </c>
      <c r="P56" s="160">
        <v>3.7472101694724449</v>
      </c>
      <c r="Q56" s="160">
        <v>5.1624357278110722</v>
      </c>
      <c r="R56" s="160">
        <v>1.7300606771239979</v>
      </c>
      <c r="S56" s="160">
        <v>15.176434666764806</v>
      </c>
      <c r="T56" s="159">
        <v>-3.4048080229958685E-2</v>
      </c>
      <c r="U56" s="159">
        <v>0.19112684090849405</v>
      </c>
      <c r="V56" s="159">
        <v>0.10412878403283038</v>
      </c>
      <c r="W56" s="159">
        <v>0.39979108991661882</v>
      </c>
      <c r="X56" s="159">
        <v>0.34554609990982482</v>
      </c>
      <c r="Y56" s="159">
        <v>0.23995987250134324</v>
      </c>
      <c r="Z56" s="159">
        <v>0.23995987250134321</v>
      </c>
      <c r="AA56" s="161">
        <v>0.39485854644800417</v>
      </c>
    </row>
    <row r="57" spans="1:27" s="142" customFormat="1" ht="12.5">
      <c r="A57" s="158" t="s">
        <v>717</v>
      </c>
      <c r="B57" s="77">
        <v>166</v>
      </c>
      <c r="C57" s="159">
        <v>0.16448449152542369</v>
      </c>
      <c r="D57" s="159">
        <v>0.10430118720988638</v>
      </c>
      <c r="E57" s="159">
        <v>6.7858428077638394E-2</v>
      </c>
      <c r="F57" s="159">
        <v>0.15515930094367683</v>
      </c>
      <c r="G57" s="160">
        <v>0.64089564623933604</v>
      </c>
      <c r="H57" s="160">
        <v>0.95988331574324681</v>
      </c>
      <c r="I57" s="159">
        <v>0.1153986885963111</v>
      </c>
      <c r="J57" s="159">
        <v>0.31692919401817637</v>
      </c>
      <c r="K57" s="159">
        <v>6.9500000000000006E-2</v>
      </c>
      <c r="L57" s="159">
        <v>0.42266188084582412</v>
      </c>
      <c r="M57" s="159">
        <v>8.8752249868513267E-2</v>
      </c>
      <c r="N57" s="160">
        <v>0.73009263082634401</v>
      </c>
      <c r="O57" s="160">
        <v>2.1330247885411833</v>
      </c>
      <c r="P57" s="160">
        <v>11.700012064245559</v>
      </c>
      <c r="Q57" s="160">
        <v>18.500278519062103</v>
      </c>
      <c r="R57" s="160">
        <v>1.8164371624196047</v>
      </c>
      <c r="S57" s="160">
        <v>40.136513779731757</v>
      </c>
      <c r="T57" s="159">
        <v>3.9146025407527839E-2</v>
      </c>
      <c r="U57" s="159">
        <v>8.237881928404911E-2</v>
      </c>
      <c r="V57" s="159">
        <v>4.9080369154499467E-2</v>
      </c>
      <c r="W57" s="159">
        <v>0.72807608387840983</v>
      </c>
      <c r="X57" s="159">
        <v>8.4745790010922972E-2</v>
      </c>
      <c r="Y57" s="159">
        <v>1.1059354092352709</v>
      </c>
      <c r="Z57" s="159">
        <v>1.1059354092352709</v>
      </c>
      <c r="AA57" s="161">
        <v>0.1052863696769992</v>
      </c>
    </row>
    <row r="58" spans="1:27" s="142" customFormat="1" ht="12.5">
      <c r="A58" s="158" t="s">
        <v>718</v>
      </c>
      <c r="B58" s="77">
        <v>455</v>
      </c>
      <c r="C58" s="159">
        <v>7.2712420749279513E-2</v>
      </c>
      <c r="D58" s="159">
        <v>6.4183350193997971E-2</v>
      </c>
      <c r="E58" s="159">
        <v>0.14865827167185494</v>
      </c>
      <c r="F58" s="159">
        <v>0.22426511994986614</v>
      </c>
      <c r="G58" s="160">
        <v>0.91861441331163474</v>
      </c>
      <c r="H58" s="160">
        <v>1.1458047060134187</v>
      </c>
      <c r="I58" s="159">
        <v>0.1302352155398708</v>
      </c>
      <c r="J58" s="159">
        <v>0.38678554871410087</v>
      </c>
      <c r="K58" s="159">
        <v>6.9500000000000006E-2</v>
      </c>
      <c r="L58" s="159">
        <v>0.31780520070676432</v>
      </c>
      <c r="M58" s="159">
        <v>0.10548427143575564</v>
      </c>
      <c r="N58" s="160">
        <v>2.613156854484068</v>
      </c>
      <c r="O58" s="160">
        <v>0.61013809104337946</v>
      </c>
      <c r="P58" s="160">
        <v>6.7162676456444652</v>
      </c>
      <c r="Q58" s="160">
        <v>9.1737290125335438</v>
      </c>
      <c r="R58" s="160">
        <v>1.5357699086396315</v>
      </c>
      <c r="S58" s="160">
        <v>28.410647467275698</v>
      </c>
      <c r="T58" s="159">
        <v>6.9270716342897679E-2</v>
      </c>
      <c r="U58" s="159">
        <v>3.0825023367356891E-2</v>
      </c>
      <c r="V58" s="159">
        <v>1.7349901508777407E-2</v>
      </c>
      <c r="W58" s="159">
        <v>0.87249783797510927</v>
      </c>
      <c r="X58" s="159">
        <v>0.16953802063524387</v>
      </c>
      <c r="Y58" s="159">
        <v>0.2379445180748172</v>
      </c>
      <c r="Z58" s="159">
        <v>0.2379445180748172</v>
      </c>
      <c r="AA58" s="161">
        <v>6.4755034205025944E-2</v>
      </c>
    </row>
    <row r="59" spans="1:27" s="142" customFormat="1" ht="12.5">
      <c r="A59" s="158" t="s">
        <v>719</v>
      </c>
      <c r="B59" s="77">
        <v>414</v>
      </c>
      <c r="C59" s="159">
        <v>7.7229067524115708E-2</v>
      </c>
      <c r="D59" s="159">
        <v>8.5726621940880904E-2</v>
      </c>
      <c r="E59" s="159">
        <v>0.11313229318848557</v>
      </c>
      <c r="F59" s="159">
        <v>0.21261531513898216</v>
      </c>
      <c r="G59" s="160">
        <v>0.64542329085878691</v>
      </c>
      <c r="H59" s="160">
        <v>0.83576683531576557</v>
      </c>
      <c r="I59" s="159">
        <v>0.10549419345819809</v>
      </c>
      <c r="J59" s="159">
        <v>0.29449832942613408</v>
      </c>
      <c r="K59" s="159">
        <v>6.9500000000000006E-2</v>
      </c>
      <c r="L59" s="159">
        <v>0.32860706063842687</v>
      </c>
      <c r="M59" s="159">
        <v>8.8032065696613482E-2</v>
      </c>
      <c r="N59" s="160">
        <v>1.5638858386300616</v>
      </c>
      <c r="O59" s="160">
        <v>1.2245297647229045</v>
      </c>
      <c r="P59" s="160">
        <v>8.8060241920088291</v>
      </c>
      <c r="Q59" s="160">
        <v>14.003272248254996</v>
      </c>
      <c r="R59" s="160">
        <v>1.940650938180684</v>
      </c>
      <c r="S59" s="160">
        <v>125.25944123508474</v>
      </c>
      <c r="T59" s="159">
        <v>0.13395356814912099</v>
      </c>
      <c r="U59" s="159">
        <v>6.1565857660402623E-2</v>
      </c>
      <c r="V59" s="159">
        <v>4.4226653802734196E-2</v>
      </c>
      <c r="W59" s="159">
        <v>0.99286044008723728</v>
      </c>
      <c r="X59" s="159">
        <v>0.12941444561462065</v>
      </c>
      <c r="Y59" s="159">
        <v>0.39149024112254632</v>
      </c>
      <c r="Z59" s="159">
        <v>0.39149024112254627</v>
      </c>
      <c r="AA59" s="161">
        <v>8.6636757613466842E-2</v>
      </c>
    </row>
    <row r="60" spans="1:27" s="142" customFormat="1" ht="12.5">
      <c r="A60" s="158" t="s">
        <v>720</v>
      </c>
      <c r="B60" s="77">
        <v>268</v>
      </c>
      <c r="C60" s="159">
        <v>9.0147203791469191E-2</v>
      </c>
      <c r="D60" s="159">
        <v>0.13562433135317445</v>
      </c>
      <c r="E60" s="159">
        <v>0.10812075767476295</v>
      </c>
      <c r="F60" s="159">
        <v>0.20345272338936696</v>
      </c>
      <c r="G60" s="160">
        <v>0.75235968116666097</v>
      </c>
      <c r="H60" s="160">
        <v>0.9932645149292465</v>
      </c>
      <c r="I60" s="159">
        <v>0.11806250829135387</v>
      </c>
      <c r="J60" s="159">
        <v>0.3119027435891214</v>
      </c>
      <c r="K60" s="159">
        <v>6.9500000000000006E-2</v>
      </c>
      <c r="L60" s="159">
        <v>0.38038958402186268</v>
      </c>
      <c r="M60" s="159">
        <v>9.3067809292063056E-2</v>
      </c>
      <c r="N60" s="160">
        <v>0.95057512290737167</v>
      </c>
      <c r="O60" s="160">
        <v>1.1570645686768584</v>
      </c>
      <c r="P60" s="160">
        <v>6.0428359160203389</v>
      </c>
      <c r="Q60" s="160">
        <v>8.3351860224089958</v>
      </c>
      <c r="R60" s="160">
        <v>1.0735483341618237</v>
      </c>
      <c r="S60" s="160">
        <v>22.787221865495614</v>
      </c>
      <c r="T60" s="159">
        <v>0.1982744747226807</v>
      </c>
      <c r="U60" s="159">
        <v>8.1713371575624832E-2</v>
      </c>
      <c r="V60" s="159">
        <v>5.5442508522972618E-2</v>
      </c>
      <c r="W60" s="159">
        <v>0.76547067575041072</v>
      </c>
      <c r="X60" s="159">
        <v>0.15075339671662341</v>
      </c>
      <c r="Y60" s="159">
        <v>0.227065803635393</v>
      </c>
      <c r="Z60" s="159">
        <v>0.22706580363539297</v>
      </c>
      <c r="AA60" s="161">
        <v>0.13522755335680517</v>
      </c>
    </row>
    <row r="61" spans="1:27" s="142" customFormat="1" ht="12.5">
      <c r="A61" s="158" t="s">
        <v>721</v>
      </c>
      <c r="B61" s="77">
        <v>485</v>
      </c>
      <c r="C61" s="159">
        <v>0.13698196428571432</v>
      </c>
      <c r="D61" s="159">
        <v>8.8952020356594975E-3</v>
      </c>
      <c r="E61" s="159">
        <v>5.6379509581119501E-3</v>
      </c>
      <c r="F61" s="159">
        <v>0.19309502380562807</v>
      </c>
      <c r="G61" s="160">
        <v>0.44330464743495768</v>
      </c>
      <c r="H61" s="160">
        <v>0.72851850030208987</v>
      </c>
      <c r="I61" s="159">
        <v>9.693577632410677E-2</v>
      </c>
      <c r="J61" s="159">
        <v>0.25944771221610685</v>
      </c>
      <c r="K61" s="159">
        <v>6.9500000000000006E-2</v>
      </c>
      <c r="L61" s="159">
        <v>0.49018534791706631</v>
      </c>
      <c r="M61" s="159">
        <v>7.5082614350785434E-2</v>
      </c>
      <c r="N61" s="160">
        <v>0.72896487550187217</v>
      </c>
      <c r="O61" s="160">
        <v>1.7852315254855147</v>
      </c>
      <c r="P61" s="160">
        <v>11.802718510592392</v>
      </c>
      <c r="Q61" s="160">
        <v>185.00972997805684</v>
      </c>
      <c r="R61" s="160">
        <v>1.4577656930951783</v>
      </c>
      <c r="S61" s="160">
        <v>35.263872090999307</v>
      </c>
      <c r="T61" s="159">
        <v>-6.4300492957312716E-2</v>
      </c>
      <c r="U61" s="159">
        <v>0.12634435319825676</v>
      </c>
      <c r="V61" s="159">
        <v>6.8802991514656131E-2</v>
      </c>
      <c r="W61" s="159" t="s">
        <v>88</v>
      </c>
      <c r="X61" s="159">
        <v>2.5145559391345728E-2</v>
      </c>
      <c r="Y61" s="159">
        <v>2.3563791476947751</v>
      </c>
      <c r="Z61" s="159">
        <v>2.3563791476947751</v>
      </c>
      <c r="AA61" s="161">
        <v>9.0650879058015495E-3</v>
      </c>
    </row>
    <row r="62" spans="1:27" s="142" customFormat="1" ht="12.5">
      <c r="A62" s="158" t="s">
        <v>722</v>
      </c>
      <c r="B62" s="77">
        <v>930</v>
      </c>
      <c r="C62" s="159">
        <v>0.22946125628140696</v>
      </c>
      <c r="D62" s="159">
        <v>0.16469671534866936</v>
      </c>
      <c r="E62" s="159">
        <v>0.1313128227330175</v>
      </c>
      <c r="F62" s="159">
        <v>0.27927098666383909</v>
      </c>
      <c r="G62" s="160">
        <v>1.1011319908908235</v>
      </c>
      <c r="H62" s="160">
        <v>1.1408458156282186</v>
      </c>
      <c r="I62" s="159">
        <v>0.12983949608713186</v>
      </c>
      <c r="J62" s="159">
        <v>0.62912563546076816</v>
      </c>
      <c r="K62" s="159">
        <v>7.3300000000000004E-2</v>
      </c>
      <c r="L62" s="159">
        <v>0.15433126027989771</v>
      </c>
      <c r="M62" s="159">
        <v>0.11832289524433443</v>
      </c>
      <c r="N62" s="160">
        <v>0.82760527587667976</v>
      </c>
      <c r="O62" s="160">
        <v>2.2398890646875773</v>
      </c>
      <c r="P62" s="160">
        <v>6.9681846412865802</v>
      </c>
      <c r="Q62" s="160">
        <v>12.579527614682526</v>
      </c>
      <c r="R62" s="160">
        <v>1.5934497426010152</v>
      </c>
      <c r="S62" s="160">
        <v>627.22580291642339</v>
      </c>
      <c r="T62" s="159">
        <v>0.11475012262399167</v>
      </c>
      <c r="U62" s="159">
        <v>0.17449080042263629</v>
      </c>
      <c r="V62" s="159">
        <v>0.11013130656603419</v>
      </c>
      <c r="W62" s="159">
        <v>1.0172987135360556</v>
      </c>
      <c r="X62" s="159">
        <v>7.8535027733689977E-2</v>
      </c>
      <c r="Y62" s="159">
        <v>0.73625171843106163</v>
      </c>
      <c r="Z62" s="159">
        <v>0.73625171843106163</v>
      </c>
      <c r="AA62" s="161">
        <v>0.16545429871456141</v>
      </c>
    </row>
    <row r="63" spans="1:27" s="142" customFormat="1" ht="12.5">
      <c r="A63" s="158" t="s">
        <v>723</v>
      </c>
      <c r="B63" s="77">
        <v>327</v>
      </c>
      <c r="C63" s="159">
        <v>1.6786992481203009E-2</v>
      </c>
      <c r="D63" s="159">
        <v>6.8047405467743752E-2</v>
      </c>
      <c r="E63" s="159">
        <v>6.9816045888240669E-2</v>
      </c>
      <c r="F63" s="159">
        <v>0.16412591831025117</v>
      </c>
      <c r="G63" s="160">
        <v>0.86903952851253174</v>
      </c>
      <c r="H63" s="160">
        <v>0.88913332691145819</v>
      </c>
      <c r="I63" s="159">
        <v>0.10975283948753436</v>
      </c>
      <c r="J63" s="159">
        <v>0.31440209547156556</v>
      </c>
      <c r="K63" s="159">
        <v>6.9500000000000006E-2</v>
      </c>
      <c r="L63" s="159">
        <v>0.22992110847420524</v>
      </c>
      <c r="M63" s="159">
        <v>9.6555715159815453E-2</v>
      </c>
      <c r="N63" s="160">
        <v>1.2217649449167178</v>
      </c>
      <c r="O63" s="160">
        <v>1.1602232971528561</v>
      </c>
      <c r="P63" s="160">
        <v>9.6468280876694159</v>
      </c>
      <c r="Q63" s="160">
        <v>16.151701374998392</v>
      </c>
      <c r="R63" s="160">
        <v>1.3219210745300178</v>
      </c>
      <c r="S63" s="160">
        <v>33.167267570476426</v>
      </c>
      <c r="T63" s="159">
        <v>0.11020902121217334</v>
      </c>
      <c r="U63" s="159">
        <v>3.2449887861531329E-2</v>
      </c>
      <c r="V63" s="159">
        <v>2.5056726303420367E-2</v>
      </c>
      <c r="W63" s="159">
        <v>0.61457801131291045</v>
      </c>
      <c r="X63" s="159">
        <v>2.9633954369228457E-2</v>
      </c>
      <c r="Y63" s="159">
        <v>0.89648700518886948</v>
      </c>
      <c r="Z63" s="159">
        <v>0.89648700518886948</v>
      </c>
      <c r="AA63" s="161">
        <v>6.6598008587568716E-2</v>
      </c>
    </row>
    <row r="64" spans="1:27" s="142" customFormat="1" ht="12.5">
      <c r="A64" s="158" t="s">
        <v>724</v>
      </c>
      <c r="B64" s="77">
        <v>792</v>
      </c>
      <c r="C64" s="159">
        <v>9.401075971731436E-2</v>
      </c>
      <c r="D64" s="159">
        <v>0.33803600955498653</v>
      </c>
      <c r="E64" s="159">
        <v>3.5771025211289796E-2</v>
      </c>
      <c r="F64" s="159">
        <v>4.4876200270087915E-2</v>
      </c>
      <c r="G64" s="160">
        <v>0.50916998451540341</v>
      </c>
      <c r="H64" s="160">
        <v>0.79260643027832334</v>
      </c>
      <c r="I64" s="159">
        <v>0.1020499931362102</v>
      </c>
      <c r="J64" s="159">
        <v>0.188502700447128</v>
      </c>
      <c r="K64" s="159">
        <v>6.1800000000000001E-2</v>
      </c>
      <c r="L64" s="159">
        <v>0.4393257428399891</v>
      </c>
      <c r="M64" s="159">
        <v>7.7669148367457155E-2</v>
      </c>
      <c r="N64" s="160">
        <v>0.11475356271315791</v>
      </c>
      <c r="O64" s="160">
        <v>11.531042195662517</v>
      </c>
      <c r="P64" s="160">
        <v>20.236307238218217</v>
      </c>
      <c r="Q64" s="160">
        <v>31.551898219621943</v>
      </c>
      <c r="R64" s="160">
        <v>1.3917441013942691</v>
      </c>
      <c r="S64" s="160">
        <v>29.010844155919504</v>
      </c>
      <c r="T64" s="159">
        <v>0.88906144737506287</v>
      </c>
      <c r="U64" s="159">
        <v>5.1005426695245375E-2</v>
      </c>
      <c r="V64" s="159">
        <v>2.5883461310246391E-2</v>
      </c>
      <c r="W64" s="159">
        <v>9.464086024167101E-2</v>
      </c>
      <c r="X64" s="159">
        <v>9.2519075438043677E-2</v>
      </c>
      <c r="Y64" s="159">
        <v>0.70088392829994195</v>
      </c>
      <c r="Z64" s="159">
        <v>0.70088392829994195</v>
      </c>
      <c r="AA64" s="161">
        <v>0.32145434499735054</v>
      </c>
    </row>
    <row r="65" spans="1:27" s="142" customFormat="1" ht="12.5">
      <c r="A65" s="158" t="s">
        <v>725</v>
      </c>
      <c r="B65" s="77">
        <v>869</v>
      </c>
      <c r="C65" s="159">
        <v>7.3651298076923083E-2</v>
      </c>
      <c r="D65" s="159">
        <v>0.10490271872236499</v>
      </c>
      <c r="E65" s="159">
        <v>4.6488813199838747E-2</v>
      </c>
      <c r="F65" s="159">
        <v>0.32537487639676393</v>
      </c>
      <c r="G65" s="160">
        <v>0.50125460232442209</v>
      </c>
      <c r="H65" s="160">
        <v>1.0176524508975406</v>
      </c>
      <c r="I65" s="159">
        <v>0.12000866558162374</v>
      </c>
      <c r="J65" s="159">
        <v>0.32556181158049086</v>
      </c>
      <c r="K65" s="159">
        <v>6.9500000000000006E-2</v>
      </c>
      <c r="L65" s="159">
        <v>0.66950390839006624</v>
      </c>
      <c r="M65" s="159">
        <v>7.4713836880271695E-2</v>
      </c>
      <c r="N65" s="160">
        <v>0.52893270500810741</v>
      </c>
      <c r="O65" s="160">
        <v>1.5312131208338273</v>
      </c>
      <c r="P65" s="160">
        <v>10.217278961542926</v>
      </c>
      <c r="Q65" s="160">
        <v>12.510382289782783</v>
      </c>
      <c r="R65" s="160">
        <v>0.47581440970018868</v>
      </c>
      <c r="S65" s="160">
        <v>93.428636892287287</v>
      </c>
      <c r="T65" s="159">
        <v>1.8806993528177163</v>
      </c>
      <c r="U65" s="159">
        <v>2.2769633151219978E-2</v>
      </c>
      <c r="V65" s="159">
        <v>1.7039267244275656E-2</v>
      </c>
      <c r="W65" s="159">
        <v>0.16278381269454029</v>
      </c>
      <c r="X65" s="159">
        <v>4.5763966797147754E-2</v>
      </c>
      <c r="Y65" s="159">
        <v>1.0751257428507728</v>
      </c>
      <c r="Z65" s="159">
        <v>1.0751257428507728</v>
      </c>
      <c r="AA65" s="161">
        <v>0.10454275297579443</v>
      </c>
    </row>
    <row r="66" spans="1:27" s="142" customFormat="1" ht="12.5">
      <c r="A66" s="158" t="s">
        <v>726</v>
      </c>
      <c r="B66" s="77">
        <v>342</v>
      </c>
      <c r="C66" s="159">
        <v>4.9859999999999995E-2</v>
      </c>
      <c r="D66" s="159">
        <v>0.14757079111695964</v>
      </c>
      <c r="E66" s="159">
        <v>3.0628603680595022E-2</v>
      </c>
      <c r="F66" s="159">
        <v>0.2669365744455201</v>
      </c>
      <c r="G66" s="160">
        <v>0.52970275755712826</v>
      </c>
      <c r="H66" s="160">
        <v>0.93422776635121907</v>
      </c>
      <c r="I66" s="159">
        <v>0.11335137575482727</v>
      </c>
      <c r="J66" s="159">
        <v>0.26803347575607533</v>
      </c>
      <c r="K66" s="159">
        <v>6.9500000000000006E-2</v>
      </c>
      <c r="L66" s="159">
        <v>0.5549975323855354</v>
      </c>
      <c r="M66" s="159">
        <v>7.949817697804118E-2</v>
      </c>
      <c r="N66" s="160">
        <v>0.23569371461739638</v>
      </c>
      <c r="O66" s="160">
        <v>3.4160312457346205</v>
      </c>
      <c r="P66" s="160">
        <v>13.346468325691228</v>
      </c>
      <c r="Q66" s="160">
        <v>20.678663385063345</v>
      </c>
      <c r="R66" s="160">
        <v>0.64268461730126691</v>
      </c>
      <c r="S66" s="160">
        <v>44.690395758888215</v>
      </c>
      <c r="T66" s="159">
        <v>1.1832741086452718</v>
      </c>
      <c r="U66" s="159">
        <v>9.1111875376455473E-2</v>
      </c>
      <c r="V66" s="159">
        <v>7.1706126778043278E-2</v>
      </c>
      <c r="W66" s="159">
        <v>0.93134238136231007</v>
      </c>
      <c r="X66" s="159">
        <v>4.0329748272550953E-2</v>
      </c>
      <c r="Y66" s="159">
        <v>0.54498146633642408</v>
      </c>
      <c r="Z66" s="159">
        <v>0.54498146633642408</v>
      </c>
      <c r="AA66" s="161">
        <v>0.15380910896269037</v>
      </c>
    </row>
    <row r="67" spans="1:27" s="142" customFormat="1" ht="12.5">
      <c r="A67" s="158" t="s">
        <v>727</v>
      </c>
      <c r="B67" s="77">
        <v>730</v>
      </c>
      <c r="C67" s="159">
        <v>9.9823312500000122E-2</v>
      </c>
      <c r="D67" s="159">
        <v>0.1442484586934426</v>
      </c>
      <c r="E67" s="159">
        <v>3.2149555025986189E-2</v>
      </c>
      <c r="F67" s="159">
        <v>0.22618473161019664</v>
      </c>
      <c r="G67" s="160">
        <v>0.55215535355669476</v>
      </c>
      <c r="H67" s="160">
        <v>0.90118806772324567</v>
      </c>
      <c r="I67" s="159">
        <v>0.110714807804315</v>
      </c>
      <c r="J67" s="159">
        <v>0.29972973723472146</v>
      </c>
      <c r="K67" s="159">
        <v>6.9500000000000006E-2</v>
      </c>
      <c r="L67" s="159">
        <v>0.49710493526141969</v>
      </c>
      <c r="M67" s="159">
        <v>8.1703536205674179E-2</v>
      </c>
      <c r="N67" s="160">
        <v>0.25341437544914164</v>
      </c>
      <c r="O67" s="160">
        <v>3.7203359838466712</v>
      </c>
      <c r="P67" s="160">
        <v>16.148892324279235</v>
      </c>
      <c r="Q67" s="160">
        <v>23.69469503174183</v>
      </c>
      <c r="R67" s="160">
        <v>0.8197490370417182</v>
      </c>
      <c r="S67" s="160">
        <v>23.760402106394217</v>
      </c>
      <c r="T67" s="159">
        <v>0.21232391694041827</v>
      </c>
      <c r="U67" s="159">
        <v>2.3909758518659972E-2</v>
      </c>
      <c r="V67" s="159">
        <v>7.7174872024271202E-2</v>
      </c>
      <c r="W67" s="159">
        <v>0.88999270872123326</v>
      </c>
      <c r="X67" s="159">
        <v>6.5265588445008613E-2</v>
      </c>
      <c r="Y67" s="159">
        <v>0.53211526909566764</v>
      </c>
      <c r="Z67" s="159">
        <v>0.53211526909566764</v>
      </c>
      <c r="AA67" s="161">
        <v>0.14816464671686094</v>
      </c>
    </row>
    <row r="68" spans="1:27" s="142" customFormat="1" ht="12.5">
      <c r="A68" s="158" t="s">
        <v>728</v>
      </c>
      <c r="B68" s="77">
        <v>323</v>
      </c>
      <c r="C68" s="159">
        <v>5.1076739130434812E-2</v>
      </c>
      <c r="D68" s="159">
        <v>0.10008498258676168</v>
      </c>
      <c r="E68" s="159">
        <v>8.731459038120859E-2</v>
      </c>
      <c r="F68" s="159">
        <v>0.23260571570121216</v>
      </c>
      <c r="G68" s="160">
        <v>0.98589762336376341</v>
      </c>
      <c r="H68" s="160">
        <v>1.1091960963190381</v>
      </c>
      <c r="I68" s="159">
        <v>0.12731384848625923</v>
      </c>
      <c r="J68" s="159">
        <v>0.33179399049670577</v>
      </c>
      <c r="K68" s="159">
        <v>6.9500000000000006E-2</v>
      </c>
      <c r="L68" s="159">
        <v>0.24702270915957644</v>
      </c>
      <c r="M68" s="159">
        <v>0.10879715009294032</v>
      </c>
      <c r="N68" s="160">
        <v>1.0486354163424807</v>
      </c>
      <c r="O68" s="160">
        <v>2.0974276344108858</v>
      </c>
      <c r="P68" s="160">
        <v>12.274712507193845</v>
      </c>
      <c r="Q68" s="160">
        <v>20.530732767244604</v>
      </c>
      <c r="R68" s="160">
        <v>2.5725258921040592</v>
      </c>
      <c r="S68" s="160">
        <v>47.175784717711394</v>
      </c>
      <c r="T68" s="159">
        <v>0.31389391948549566</v>
      </c>
      <c r="U68" s="159">
        <v>6.850083656836245E-2</v>
      </c>
      <c r="V68" s="159">
        <v>6.1053441623273752E-2</v>
      </c>
      <c r="W68" s="159">
        <v>1.3640377199332356</v>
      </c>
      <c r="X68" s="159">
        <v>7.5242702559188704E-2</v>
      </c>
      <c r="Y68" s="159">
        <v>0.56847876316386725</v>
      </c>
      <c r="Z68" s="159">
        <v>0.56847876316386725</v>
      </c>
      <c r="AA68" s="161">
        <v>9.6808973253023456E-2</v>
      </c>
    </row>
    <row r="69" spans="1:27" s="142" customFormat="1" ht="12.5">
      <c r="A69" s="158" t="s">
        <v>729</v>
      </c>
      <c r="B69" s="77">
        <v>34</v>
      </c>
      <c r="C69" s="159">
        <v>3.1153928571428572E-2</v>
      </c>
      <c r="D69" s="159">
        <v>1.6007690019154888E-2</v>
      </c>
      <c r="E69" s="159">
        <v>2.2689180850825514E-2</v>
      </c>
      <c r="F69" s="159">
        <v>0.17978159203569749</v>
      </c>
      <c r="G69" s="160">
        <v>1.0895323174584777</v>
      </c>
      <c r="H69" s="160">
        <v>1.1599096579998216</v>
      </c>
      <c r="I69" s="159">
        <v>0.13136079070838574</v>
      </c>
      <c r="J69" s="159">
        <v>0.28323303408098666</v>
      </c>
      <c r="K69" s="159">
        <v>6.9500000000000006E-2</v>
      </c>
      <c r="L69" s="159">
        <v>0.2601501525257125</v>
      </c>
      <c r="M69" s="159">
        <v>0.11080725310758553</v>
      </c>
      <c r="N69" s="160">
        <v>1.5733691708079169</v>
      </c>
      <c r="O69" s="160">
        <v>0.69619790925658542</v>
      </c>
      <c r="P69" s="160">
        <v>17.766280415975285</v>
      </c>
      <c r="Q69" s="160">
        <v>37.829126562955587</v>
      </c>
      <c r="R69" s="160">
        <v>1.3931599445632008</v>
      </c>
      <c r="S69" s="160">
        <v>15.643852704032815</v>
      </c>
      <c r="T69" s="159">
        <v>-0.52624383723667811</v>
      </c>
      <c r="U69" s="159">
        <v>7.5924451645731437E-4</v>
      </c>
      <c r="V69" s="159">
        <v>1.6224944864916987E-2</v>
      </c>
      <c r="W69" s="159">
        <v>2.8942118934640808</v>
      </c>
      <c r="X69" s="159">
        <v>1.9833468303193061E-2</v>
      </c>
      <c r="Y69" s="159">
        <v>1.15165212446575</v>
      </c>
      <c r="Z69" s="159">
        <v>1.15165212446575</v>
      </c>
      <c r="AA69" s="161">
        <v>1.5999325835102884E-2</v>
      </c>
    </row>
    <row r="70" spans="1:27" s="142" customFormat="1" ht="12.5">
      <c r="A70" s="158" t="s">
        <v>730</v>
      </c>
      <c r="B70" s="77">
        <v>382</v>
      </c>
      <c r="C70" s="159">
        <v>-2.8214814814814916E-3</v>
      </c>
      <c r="D70" s="159">
        <v>0.10371730864332976</v>
      </c>
      <c r="E70" s="159">
        <v>0.12983632228962561</v>
      </c>
      <c r="F70" s="159">
        <v>0.20821250637663763</v>
      </c>
      <c r="G70" s="160">
        <v>0.82892528781008357</v>
      </c>
      <c r="H70" s="160">
        <v>0.99532073680959354</v>
      </c>
      <c r="I70" s="159">
        <v>0.11822659479740556</v>
      </c>
      <c r="J70" s="159">
        <v>0.31360962157416999</v>
      </c>
      <c r="K70" s="159">
        <v>6.9500000000000006E-2</v>
      </c>
      <c r="L70" s="159">
        <v>0.24614511902439928</v>
      </c>
      <c r="M70" s="159">
        <v>0.10201246326134381</v>
      </c>
      <c r="N70" s="160">
        <v>1.6243248607297194</v>
      </c>
      <c r="O70" s="160">
        <v>2.8684616918327772</v>
      </c>
      <c r="P70" s="160">
        <v>16.545467724021872</v>
      </c>
      <c r="Q70" s="160">
        <v>30.621314288660123</v>
      </c>
      <c r="R70" s="160">
        <v>14.381817822236322</v>
      </c>
      <c r="S70" s="160">
        <v>55.544561710281627</v>
      </c>
      <c r="T70" s="159">
        <v>-7.7442229665044505E-3</v>
      </c>
      <c r="U70" s="159">
        <v>4.5756035907612375E-2</v>
      </c>
      <c r="V70" s="159">
        <v>2.4723541317790931E-2</v>
      </c>
      <c r="W70" s="159">
        <v>0.37280426770845015</v>
      </c>
      <c r="X70" s="159">
        <v>0.36850752125706215</v>
      </c>
      <c r="Y70" s="159">
        <v>0.6213721003208682</v>
      </c>
      <c r="Z70" s="159">
        <v>0.6213721003208682</v>
      </c>
      <c r="AA70" s="161">
        <v>9.1942554059624565E-2</v>
      </c>
    </row>
    <row r="71" spans="1:27" s="142" customFormat="1" ht="12.5">
      <c r="A71" s="158" t="s">
        <v>731</v>
      </c>
      <c r="B71" s="77">
        <v>193</v>
      </c>
      <c r="C71" s="159">
        <v>8.8188805970149248E-2</v>
      </c>
      <c r="D71" s="159">
        <v>5.0574673529283576E-2</v>
      </c>
      <c r="E71" s="159">
        <v>0.12384134362101419</v>
      </c>
      <c r="F71" s="159">
        <v>0.23668024474890867</v>
      </c>
      <c r="G71" s="160">
        <v>0.71856893323128923</v>
      </c>
      <c r="H71" s="160">
        <v>0.98313395219463651</v>
      </c>
      <c r="I71" s="159">
        <v>0.11725408938513199</v>
      </c>
      <c r="J71" s="159">
        <v>0.30421163829693049</v>
      </c>
      <c r="K71" s="159">
        <v>6.9500000000000006E-2</v>
      </c>
      <c r="L71" s="159">
        <v>0.36886129425022746</v>
      </c>
      <c r="M71" s="159">
        <v>9.3315087519029755E-2</v>
      </c>
      <c r="N71" s="160">
        <v>3.174007342761481</v>
      </c>
      <c r="O71" s="160">
        <v>0.71672834524414897</v>
      </c>
      <c r="P71" s="160">
        <v>9.6320449463007645</v>
      </c>
      <c r="Q71" s="160">
        <v>14.248870595972095</v>
      </c>
      <c r="R71" s="160">
        <v>3.1314193213403589</v>
      </c>
      <c r="S71" s="160">
        <v>24.10470482847775</v>
      </c>
      <c r="T71" s="159">
        <v>9.6236266427468103E-2</v>
      </c>
      <c r="U71" s="159">
        <v>1.7901244840279967E-2</v>
      </c>
      <c r="V71" s="159">
        <v>3.3179051086357797E-2</v>
      </c>
      <c r="W71" s="159">
        <v>1.269679651746447</v>
      </c>
      <c r="X71" s="159">
        <v>0.21267051934563361</v>
      </c>
      <c r="Y71" s="159">
        <v>0.25656588413790438</v>
      </c>
      <c r="Z71" s="159">
        <v>0.25656588413790438</v>
      </c>
      <c r="AA71" s="161">
        <v>4.8343338883621523E-2</v>
      </c>
    </row>
    <row r="72" spans="1:27" s="142" customFormat="1" ht="12.5">
      <c r="A72" s="158" t="s">
        <v>732</v>
      </c>
      <c r="B72" s="77">
        <v>98</v>
      </c>
      <c r="C72" s="159">
        <v>4.9730985915492958E-2</v>
      </c>
      <c r="D72" s="159">
        <v>0.12456492607372097</v>
      </c>
      <c r="E72" s="159">
        <v>0.29843243697346</v>
      </c>
      <c r="F72" s="159">
        <v>0.24858851652914152</v>
      </c>
      <c r="G72" s="160">
        <v>0.93437765921000759</v>
      </c>
      <c r="H72" s="160">
        <v>1.0792224241204762</v>
      </c>
      <c r="I72" s="159">
        <v>0.124921949444814</v>
      </c>
      <c r="J72" s="159">
        <v>0.27792365922032364</v>
      </c>
      <c r="K72" s="159">
        <v>6.9500000000000006E-2</v>
      </c>
      <c r="L72" s="159">
        <v>0.19388701670171191</v>
      </c>
      <c r="M72" s="159">
        <v>0.1108520340792542</v>
      </c>
      <c r="N72" s="160">
        <v>3.0101136822043171</v>
      </c>
      <c r="O72" s="160">
        <v>1.7330803063087947</v>
      </c>
      <c r="P72" s="160">
        <v>11.182812043204136</v>
      </c>
      <c r="Q72" s="160">
        <v>13.9844036785419</v>
      </c>
      <c r="R72" s="160">
        <v>16.942098977439436</v>
      </c>
      <c r="S72" s="160">
        <v>20.808375889952647</v>
      </c>
      <c r="T72" s="159">
        <v>0.10268186081306206</v>
      </c>
      <c r="U72" s="159">
        <v>2.3713589272572867E-2</v>
      </c>
      <c r="V72" s="159">
        <v>5.5379604041460315E-3</v>
      </c>
      <c r="W72" s="159">
        <v>0.4152885052448525</v>
      </c>
      <c r="X72" s="159">
        <v>0.62069170974216659</v>
      </c>
      <c r="Y72" s="159">
        <v>0.40523933459490058</v>
      </c>
      <c r="Z72" s="159">
        <v>0.40523933459490058</v>
      </c>
      <c r="AA72" s="161">
        <v>0.12376877725925094</v>
      </c>
    </row>
    <row r="73" spans="1:27" s="142" customFormat="1" ht="12.5">
      <c r="A73" s="158" t="s">
        <v>733</v>
      </c>
      <c r="B73" s="77">
        <v>1006</v>
      </c>
      <c r="C73" s="159">
        <v>7.3500151933701671E-2</v>
      </c>
      <c r="D73" s="159">
        <v>5.4783056960455628E-2</v>
      </c>
      <c r="E73" s="159">
        <v>8.9652886701252557E-2</v>
      </c>
      <c r="F73" s="159">
        <v>0.22892357039635011</v>
      </c>
      <c r="G73" s="160">
        <v>0.59760159969496118</v>
      </c>
      <c r="H73" s="160">
        <v>0.82885193903775201</v>
      </c>
      <c r="I73" s="159">
        <v>0.10494238473521261</v>
      </c>
      <c r="J73" s="159">
        <v>0.3263950009608495</v>
      </c>
      <c r="K73" s="159">
        <v>6.9500000000000006E-2</v>
      </c>
      <c r="L73" s="159">
        <v>0.40906163103204718</v>
      </c>
      <c r="M73" s="159">
        <v>8.3430637473656588E-2</v>
      </c>
      <c r="N73" s="160">
        <v>1.961608220217619</v>
      </c>
      <c r="O73" s="160">
        <v>0.73383443433382778</v>
      </c>
      <c r="P73" s="160">
        <v>10.202912254657335</v>
      </c>
      <c r="Q73" s="160">
        <v>12.808650887242223</v>
      </c>
      <c r="R73" s="160">
        <v>1.5112950518177228</v>
      </c>
      <c r="S73" s="160">
        <v>51.298192963003395</v>
      </c>
      <c r="T73" s="159">
        <v>0.16339131497172923</v>
      </c>
      <c r="U73" s="159">
        <v>2.5127813159468149E-2</v>
      </c>
      <c r="V73" s="159">
        <v>3.5509615216160868E-2</v>
      </c>
      <c r="W73" s="159">
        <v>1.2620694542181561</v>
      </c>
      <c r="X73" s="159">
        <v>0.14904706797430581</v>
      </c>
      <c r="Y73" s="159">
        <v>0.30974771474443691</v>
      </c>
      <c r="Z73" s="159">
        <v>0.30974771474443696</v>
      </c>
      <c r="AA73" s="161">
        <v>5.5210020602748142E-2</v>
      </c>
    </row>
    <row r="74" spans="1:27" s="142" customFormat="1" ht="12.5">
      <c r="A74" s="158" t="s">
        <v>659</v>
      </c>
      <c r="B74" s="77">
        <v>189</v>
      </c>
      <c r="C74" s="159">
        <v>-2.8960848484848482E-2</v>
      </c>
      <c r="D74" s="159">
        <v>4.7344064491521044E-2</v>
      </c>
      <c r="E74" s="159">
        <v>0.11649691349253601</v>
      </c>
      <c r="F74" s="159">
        <v>0.25420587989524052</v>
      </c>
      <c r="G74" s="160">
        <v>0.73476065744121066</v>
      </c>
      <c r="H74" s="160">
        <v>0.89053705625931245</v>
      </c>
      <c r="I74" s="159">
        <v>0.10986485708949313</v>
      </c>
      <c r="J74" s="159">
        <v>0.27275967897216363</v>
      </c>
      <c r="K74" s="159">
        <v>6.9500000000000006E-2</v>
      </c>
      <c r="L74" s="159">
        <v>0.26731537858518772</v>
      </c>
      <c r="M74" s="159">
        <v>9.4491414114239156E-2</v>
      </c>
      <c r="N74" s="160">
        <v>3.0944631955801012</v>
      </c>
      <c r="O74" s="160">
        <v>0.86456494951190732</v>
      </c>
      <c r="P74" s="160">
        <v>11.278125345956994</v>
      </c>
      <c r="Q74" s="160">
        <v>18.60676665621412</v>
      </c>
      <c r="R74" s="160">
        <v>3.3512422579158496</v>
      </c>
      <c r="S74" s="160">
        <v>36.680357857768897</v>
      </c>
      <c r="T74" s="159">
        <v>5.1208978463735495E-3</v>
      </c>
      <c r="U74" s="159">
        <v>3.0384482805711776E-2</v>
      </c>
      <c r="V74" s="159">
        <v>1.2404123717395098E-2</v>
      </c>
      <c r="W74" s="159">
        <v>0.79241997634249972</v>
      </c>
      <c r="X74" s="159">
        <v>0.12667539417897708</v>
      </c>
      <c r="Y74" s="159">
        <v>0.46569953644887679</v>
      </c>
      <c r="Z74" s="159">
        <v>0.46569953644887674</v>
      </c>
      <c r="AA74" s="161">
        <v>4.611346599102132E-2</v>
      </c>
    </row>
    <row r="75" spans="1:27" s="142" customFormat="1" ht="12.5">
      <c r="A75" s="158" t="s">
        <v>734</v>
      </c>
      <c r="B75" s="77">
        <v>181</v>
      </c>
      <c r="C75" s="159">
        <v>4.6530136054421807E-2</v>
      </c>
      <c r="D75" s="159">
        <v>4.5257568991636785E-2</v>
      </c>
      <c r="E75" s="159">
        <v>0.109306157945409</v>
      </c>
      <c r="F75" s="159">
        <v>0.23438924127155367</v>
      </c>
      <c r="G75" s="160">
        <v>0.52854536395017226</v>
      </c>
      <c r="H75" s="160">
        <v>0.70540273569157119</v>
      </c>
      <c r="I75" s="159">
        <v>9.5091138308187384E-2</v>
      </c>
      <c r="J75" s="159">
        <v>0.2395250060619005</v>
      </c>
      <c r="K75" s="159">
        <v>6.1800000000000001E-2</v>
      </c>
      <c r="L75" s="159">
        <v>0.36670130796647049</v>
      </c>
      <c r="M75" s="159">
        <v>7.7292484203547118E-2</v>
      </c>
      <c r="N75" s="160">
        <v>3.1264014495235903</v>
      </c>
      <c r="O75" s="160">
        <v>0.64814723325310775</v>
      </c>
      <c r="P75" s="160">
        <v>9.0398278110872159</v>
      </c>
      <c r="Q75" s="160">
        <v>14.284968868266562</v>
      </c>
      <c r="R75" s="160">
        <v>2.3047587413431696</v>
      </c>
      <c r="S75" s="160">
        <v>35.317018895544528</v>
      </c>
      <c r="T75" s="159">
        <v>-2.9975171328978954E-2</v>
      </c>
      <c r="U75" s="159">
        <v>2.7134911493777378E-2</v>
      </c>
      <c r="V75" s="159">
        <v>7.8426614836429581E-3</v>
      </c>
      <c r="W75" s="159">
        <v>0.26020992647242941</v>
      </c>
      <c r="X75" s="159">
        <v>0.14692867887469693</v>
      </c>
      <c r="Y75" s="159">
        <v>0.33680698768837153</v>
      </c>
      <c r="Z75" s="159">
        <v>0.33680698768837147</v>
      </c>
      <c r="AA75" s="161">
        <v>4.4358506222621961E-2</v>
      </c>
    </row>
    <row r="76" spans="1:27" s="142" customFormat="1" ht="12.5">
      <c r="A76" s="158" t="s">
        <v>735</v>
      </c>
      <c r="B76" s="77">
        <v>342</v>
      </c>
      <c r="C76" s="159">
        <v>0.16550980645161301</v>
      </c>
      <c r="D76" s="159">
        <v>1.7967025086749759E-3</v>
      </c>
      <c r="E76" s="159">
        <v>1.9274102795920161E-2</v>
      </c>
      <c r="F76" s="159">
        <v>4.0840600088227999E-2</v>
      </c>
      <c r="G76" s="160">
        <v>1.490503406647991</v>
      </c>
      <c r="H76" s="160">
        <v>1.5920102722913301</v>
      </c>
      <c r="I76" s="159">
        <v>0.16584241972884814</v>
      </c>
      <c r="J76" s="159">
        <v>0.46350736287125799</v>
      </c>
      <c r="K76" s="159">
        <v>6.9500000000000006E-2</v>
      </c>
      <c r="L76" s="159">
        <v>0.17038387188172086</v>
      </c>
      <c r="M76" s="159">
        <v>0.14650588299606426</v>
      </c>
      <c r="N76" s="160">
        <v>1.3082127267773387</v>
      </c>
      <c r="O76" s="160">
        <v>2.0433500802590556</v>
      </c>
      <c r="P76" s="160">
        <v>16.998339824456181</v>
      </c>
      <c r="Q76" s="160" t="s">
        <v>88</v>
      </c>
      <c r="R76" s="160">
        <v>4.2425838010175134</v>
      </c>
      <c r="S76" s="160">
        <v>90.302588284217236</v>
      </c>
      <c r="T76" s="159">
        <v>-2.2871400697795554E-2</v>
      </c>
      <c r="U76" s="159">
        <v>9.4952242949320712E-2</v>
      </c>
      <c r="V76" s="159">
        <v>6.433562988524151E-2</v>
      </c>
      <c r="W76" s="159" t="s">
        <v>88</v>
      </c>
      <c r="X76" s="159">
        <v>-1.2913862822285392E-3</v>
      </c>
      <c r="Y76" s="159">
        <v>3.8494175802843227E-3</v>
      </c>
      <c r="Z76" s="159">
        <v>3.8494175802843422E-3</v>
      </c>
      <c r="AA76" s="161">
        <v>1.4596961257935463E-2</v>
      </c>
    </row>
    <row r="77" spans="1:27" s="142" customFormat="1" ht="12.5">
      <c r="A77" s="158" t="s">
        <v>736</v>
      </c>
      <c r="B77" s="77">
        <v>495</v>
      </c>
      <c r="C77" s="159">
        <v>2.7746815642458116E-2</v>
      </c>
      <c r="D77" s="159">
        <v>5.6411119653417642E-2</v>
      </c>
      <c r="E77" s="159">
        <v>0.12108557504627562</v>
      </c>
      <c r="F77" s="159">
        <v>0.23039497643783879</v>
      </c>
      <c r="G77" s="160">
        <v>0.95617888872243273</v>
      </c>
      <c r="H77" s="160">
        <v>1.0901256163386903</v>
      </c>
      <c r="I77" s="159">
        <v>0.12579202418382748</v>
      </c>
      <c r="J77" s="159">
        <v>0.31791100266989658</v>
      </c>
      <c r="K77" s="159">
        <v>6.9500000000000006E-2</v>
      </c>
      <c r="L77" s="159">
        <v>0.23738748343322327</v>
      </c>
      <c r="M77" s="159">
        <v>0.10835883952013969</v>
      </c>
      <c r="N77" s="160">
        <v>2.5174585784193328</v>
      </c>
      <c r="O77" s="160">
        <v>1.1055168146420087</v>
      </c>
      <c r="P77" s="160">
        <v>10.562927567967403</v>
      </c>
      <c r="Q77" s="160">
        <v>18.29261382753738</v>
      </c>
      <c r="R77" s="160">
        <v>3.3664874019124715</v>
      </c>
      <c r="S77" s="160">
        <v>29.906383975982227</v>
      </c>
      <c r="T77" s="159">
        <v>8.3668947606292884E-2</v>
      </c>
      <c r="U77" s="159">
        <v>2.245102870529796E-2</v>
      </c>
      <c r="V77" s="159">
        <v>6.8208137188517049E-3</v>
      </c>
      <c r="W77" s="159">
        <v>0.6221607841938781</v>
      </c>
      <c r="X77" s="159">
        <v>0.12040782319843941</v>
      </c>
      <c r="Y77" s="159">
        <v>0.525527360937459</v>
      </c>
      <c r="Z77" s="159">
        <v>0.525527360937459</v>
      </c>
      <c r="AA77" s="161">
        <v>5.8366703266215236E-2</v>
      </c>
    </row>
    <row r="78" spans="1:27" s="142" customFormat="1" ht="12.5">
      <c r="A78" s="158" t="s">
        <v>737</v>
      </c>
      <c r="B78" s="77">
        <v>89</v>
      </c>
      <c r="C78" s="159">
        <v>5.632847222222228E-2</v>
      </c>
      <c r="D78" s="159">
        <v>7.506181514407724E-2</v>
      </c>
      <c r="E78" s="159">
        <v>6.7278924218009309E-2</v>
      </c>
      <c r="F78" s="159">
        <v>0.21697853221406468</v>
      </c>
      <c r="G78" s="160">
        <v>0.93006424566882906</v>
      </c>
      <c r="H78" s="160">
        <v>1.1594988998620432</v>
      </c>
      <c r="I78" s="159">
        <v>0.13132801220899104</v>
      </c>
      <c r="J78" s="159">
        <v>0.27734767794889681</v>
      </c>
      <c r="K78" s="159">
        <v>6.9500000000000006E-2</v>
      </c>
      <c r="L78" s="159">
        <v>0.3385984307682709</v>
      </c>
      <c r="M78" s="159">
        <v>0.10458765411300318</v>
      </c>
      <c r="N78" s="160">
        <v>1.0936166560589926</v>
      </c>
      <c r="O78" s="160">
        <v>0.97477368100522854</v>
      </c>
      <c r="P78" s="160">
        <v>7.1119579931066124</v>
      </c>
      <c r="Q78" s="160">
        <v>12.765153148732912</v>
      </c>
      <c r="R78" s="160">
        <v>1.1120791343085825</v>
      </c>
      <c r="S78" s="160">
        <v>60.490352513412041</v>
      </c>
      <c r="T78" s="159">
        <v>0.24507414707859465</v>
      </c>
      <c r="U78" s="159">
        <v>6.2484383129195534E-2</v>
      </c>
      <c r="V78" s="159">
        <v>2.2036302112200399E-2</v>
      </c>
      <c r="W78" s="159">
        <v>1.2578311950085885</v>
      </c>
      <c r="X78" s="159">
        <v>6.9080050211145549E-2</v>
      </c>
      <c r="Y78" s="159">
        <v>0.45219331797462237</v>
      </c>
      <c r="Z78" s="159">
        <v>0.45219331797462237</v>
      </c>
      <c r="AA78" s="161">
        <v>7.3578562426349539E-2</v>
      </c>
    </row>
    <row r="79" spans="1:27" s="142" customFormat="1" ht="12.5">
      <c r="A79" s="158" t="s">
        <v>738</v>
      </c>
      <c r="B79" s="77">
        <v>624</v>
      </c>
      <c r="C79" s="159">
        <v>8.8133280898876495E-2</v>
      </c>
      <c r="D79" s="159">
        <v>0.22958951515279774</v>
      </c>
      <c r="E79" s="159">
        <v>0.18215285247984078</v>
      </c>
      <c r="F79" s="159">
        <v>0.12833630069414675</v>
      </c>
      <c r="G79" s="160">
        <v>1.6715997850986177</v>
      </c>
      <c r="H79" s="160">
        <v>1.6915425349552258</v>
      </c>
      <c r="I79" s="159">
        <v>0.17378509428942701</v>
      </c>
      <c r="J79" s="159">
        <v>0.37344951833670342</v>
      </c>
      <c r="K79" s="159">
        <v>6.9500000000000006E-2</v>
      </c>
      <c r="L79" s="159">
        <v>0.10404370853456175</v>
      </c>
      <c r="M79" s="159">
        <v>0.16115098932344296</v>
      </c>
      <c r="N79" s="160">
        <v>0.83496770904191153</v>
      </c>
      <c r="O79" s="160">
        <v>3.7548796165230502</v>
      </c>
      <c r="P79" s="160">
        <v>10.50343169900737</v>
      </c>
      <c r="Q79" s="160">
        <v>15.996951092288359</v>
      </c>
      <c r="R79" s="160">
        <v>3.261468298173543</v>
      </c>
      <c r="S79" s="160">
        <v>74.133120315946627</v>
      </c>
      <c r="T79" s="159">
        <v>0.16627221479469054</v>
      </c>
      <c r="U79" s="159">
        <v>0.18860060299516715</v>
      </c>
      <c r="V79" s="159">
        <v>0.12206170568941127</v>
      </c>
      <c r="W79" s="159">
        <v>0.87615023789822055</v>
      </c>
      <c r="X79" s="159">
        <v>0.22004463854331047</v>
      </c>
      <c r="Y79" s="159">
        <v>0.32598202249818786</v>
      </c>
      <c r="Z79" s="159">
        <v>0.32598202249818786</v>
      </c>
      <c r="AA79" s="161">
        <v>0.24193399820083566</v>
      </c>
    </row>
    <row r="80" spans="1:27" s="142" customFormat="1" ht="12.5">
      <c r="A80" s="158" t="s">
        <v>739</v>
      </c>
      <c r="B80" s="77">
        <v>342</v>
      </c>
      <c r="C80" s="159">
        <v>0.10496736842105271</v>
      </c>
      <c r="D80" s="159">
        <v>0.24370132674286299</v>
      </c>
      <c r="E80" s="159">
        <v>0.26386467981679268</v>
      </c>
      <c r="F80" s="159">
        <v>0.16461321416951447</v>
      </c>
      <c r="G80" s="160">
        <v>1.9829052012920763</v>
      </c>
      <c r="H80" s="160">
        <v>1.9625184452168636</v>
      </c>
      <c r="I80" s="159">
        <v>0.1954089719283057</v>
      </c>
      <c r="J80" s="159">
        <v>0.33267871506038227</v>
      </c>
      <c r="K80" s="159">
        <v>6.9500000000000006E-2</v>
      </c>
      <c r="L80" s="159">
        <v>6.6204624535447815E-2</v>
      </c>
      <c r="M80" s="159">
        <v>0.18593809439548178</v>
      </c>
      <c r="N80" s="160">
        <v>1.2343126023017275</v>
      </c>
      <c r="O80" s="160">
        <v>4.1441869993736047</v>
      </c>
      <c r="P80" s="160">
        <v>14.386690785614098</v>
      </c>
      <c r="Q80" s="160">
        <v>16.622260371440802</v>
      </c>
      <c r="R80" s="160">
        <v>5.367884030333931</v>
      </c>
      <c r="S80" s="160">
        <v>28.744369420890074</v>
      </c>
      <c r="T80" s="159">
        <v>0.29309898081044888</v>
      </c>
      <c r="U80" s="159">
        <v>8.2518511943681719E-2</v>
      </c>
      <c r="V80" s="159">
        <v>0.11219404476537231</v>
      </c>
      <c r="W80" s="159">
        <v>0.89577065377444465</v>
      </c>
      <c r="X80" s="159">
        <v>0.30321818101232301</v>
      </c>
      <c r="Y80" s="159">
        <v>0.24045618885891673</v>
      </c>
      <c r="Z80" s="159">
        <v>0.24045618885891673</v>
      </c>
      <c r="AA80" s="161">
        <v>0.24894160017681496</v>
      </c>
    </row>
    <row r="81" spans="1:27" s="142" customFormat="1" ht="12.5">
      <c r="A81" s="158" t="s">
        <v>740</v>
      </c>
      <c r="B81" s="77">
        <v>349</v>
      </c>
      <c r="C81" s="159">
        <v>0.1134618587360595</v>
      </c>
      <c r="D81" s="159">
        <v>0.33192029756440922</v>
      </c>
      <c r="E81" s="159">
        <v>0.32699317521985316</v>
      </c>
      <c r="F81" s="159">
        <v>9.2904370765916289E-2</v>
      </c>
      <c r="G81" s="160">
        <v>1.0486074968125012</v>
      </c>
      <c r="H81" s="160">
        <v>1.095060022552661</v>
      </c>
      <c r="I81" s="159">
        <v>0.12618578979970235</v>
      </c>
      <c r="J81" s="159">
        <v>0.33913461678437984</v>
      </c>
      <c r="K81" s="159">
        <v>6.9500000000000006E-2</v>
      </c>
      <c r="L81" s="159">
        <v>0.3334209359136372</v>
      </c>
      <c r="M81" s="159">
        <v>0.10156884204183424</v>
      </c>
      <c r="N81" s="160">
        <v>1.1192465562494063</v>
      </c>
      <c r="O81" s="160">
        <v>1.0044824108835042</v>
      </c>
      <c r="P81" s="160">
        <v>2.5752079359512443</v>
      </c>
      <c r="Q81" s="160">
        <v>2.9370669871985133</v>
      </c>
      <c r="R81" s="160">
        <v>0.90298360986176784</v>
      </c>
      <c r="S81" s="160">
        <v>17.544139036158338</v>
      </c>
      <c r="T81" s="159">
        <v>3.2629919851120501E-2</v>
      </c>
      <c r="U81" s="159">
        <v>6.8500068023270466E-2</v>
      </c>
      <c r="V81" s="159">
        <v>3.711561558510823E-2</v>
      </c>
      <c r="W81" s="159">
        <v>0.10442336279857994</v>
      </c>
      <c r="X81" s="159">
        <v>0.52203977353633646</v>
      </c>
      <c r="Y81" s="159">
        <v>0.31311541565817647</v>
      </c>
      <c r="Z81" s="159">
        <v>0.31311541565817647</v>
      </c>
      <c r="AA81" s="161">
        <v>0.33302425887017123</v>
      </c>
    </row>
    <row r="82" spans="1:27" s="142" customFormat="1" ht="12.5">
      <c r="A82" s="158" t="s">
        <v>741</v>
      </c>
      <c r="B82" s="77">
        <v>85</v>
      </c>
      <c r="C82" s="159">
        <v>2.7776190476190526E-3</v>
      </c>
      <c r="D82" s="159">
        <v>9.940805273593413E-2</v>
      </c>
      <c r="E82" s="159">
        <v>0.17156391646728414</v>
      </c>
      <c r="F82" s="159">
        <v>0.16296001845602212</v>
      </c>
      <c r="G82" s="160">
        <v>0.97918154671132795</v>
      </c>
      <c r="H82" s="160">
        <v>1.0205314602380813</v>
      </c>
      <c r="I82" s="159">
        <v>0.12023841052699888</v>
      </c>
      <c r="J82" s="159">
        <v>0.35254293112020701</v>
      </c>
      <c r="K82" s="159">
        <v>6.9500000000000006E-2</v>
      </c>
      <c r="L82" s="159">
        <v>0.11028060105470616</v>
      </c>
      <c r="M82" s="159">
        <v>0.11275211553004739</v>
      </c>
      <c r="N82" s="160">
        <v>2.0177263229114235</v>
      </c>
      <c r="O82" s="160">
        <v>2.4223029557587625</v>
      </c>
      <c r="P82" s="160">
        <v>17.712472761700401</v>
      </c>
      <c r="Q82" s="160">
        <v>23.47411167886975</v>
      </c>
      <c r="R82" s="160">
        <v>5.25688738442242</v>
      </c>
      <c r="S82" s="160">
        <v>44.479428183203773</v>
      </c>
      <c r="T82" s="159">
        <v>0.23433778345356734</v>
      </c>
      <c r="U82" s="159">
        <v>1.8699871340976237E-2</v>
      </c>
      <c r="V82" s="159">
        <v>1.3903215448473651E-2</v>
      </c>
      <c r="W82" s="159">
        <v>0.55734544636254946</v>
      </c>
      <c r="X82" s="159">
        <v>0.21068525458903517</v>
      </c>
      <c r="Y82" s="159">
        <v>0.30772156513652943</v>
      </c>
      <c r="Z82" s="159">
        <v>0.30772156513652948</v>
      </c>
      <c r="AA82" s="161">
        <v>9.9308561479847096E-2</v>
      </c>
    </row>
    <row r="83" spans="1:27" s="142" customFormat="1" ht="12.5">
      <c r="A83" s="158" t="s">
        <v>742</v>
      </c>
      <c r="B83" s="77">
        <v>320</v>
      </c>
      <c r="C83" s="159">
        <v>0.14282</v>
      </c>
      <c r="D83" s="159">
        <v>0.22953463962982901</v>
      </c>
      <c r="E83" s="159">
        <v>0.15976086690423852</v>
      </c>
      <c r="F83" s="159">
        <v>0.15681674531735063</v>
      </c>
      <c r="G83" s="160">
        <v>1.4648921606853302</v>
      </c>
      <c r="H83" s="160">
        <v>1.4800451918455317</v>
      </c>
      <c r="I83" s="159">
        <v>0.15690760630927342</v>
      </c>
      <c r="J83" s="159">
        <v>0.47746935346140246</v>
      </c>
      <c r="K83" s="159">
        <v>6.9500000000000006E-2</v>
      </c>
      <c r="L83" s="159">
        <v>6.7282894806011295E-2</v>
      </c>
      <c r="M83" s="159">
        <v>0.14987296056339064</v>
      </c>
      <c r="N83" s="160">
        <v>0.68847708198285007</v>
      </c>
      <c r="O83" s="160">
        <v>3.8511078295195338</v>
      </c>
      <c r="P83" s="160">
        <v>12.118199448898602</v>
      </c>
      <c r="Q83" s="160">
        <v>16.402238187938835</v>
      </c>
      <c r="R83" s="160">
        <v>3.5083472685377823</v>
      </c>
      <c r="S83" s="160">
        <v>127.3905077202935</v>
      </c>
      <c r="T83" s="159">
        <v>3.1636797197512549E-2</v>
      </c>
      <c r="U83" s="159">
        <v>0.11085585663611436</v>
      </c>
      <c r="V83" s="159">
        <v>0.12181383405728993</v>
      </c>
      <c r="W83" s="159">
        <v>0.6400453768028459</v>
      </c>
      <c r="X83" s="159">
        <v>0.18663687839130547</v>
      </c>
      <c r="Y83" s="159">
        <v>2.7321544447000384E-2</v>
      </c>
      <c r="Z83" s="159">
        <v>2.7321544447000412E-2</v>
      </c>
      <c r="AA83" s="161">
        <v>0.25356431486459097</v>
      </c>
    </row>
    <row r="84" spans="1:27" s="142" customFormat="1" ht="12.5">
      <c r="A84" s="158" t="s">
        <v>743</v>
      </c>
      <c r="B84" s="77">
        <v>152</v>
      </c>
      <c r="C84" s="159">
        <v>0.27269325301204816</v>
      </c>
      <c r="D84" s="159">
        <v>-2.010271295519131E-2</v>
      </c>
      <c r="E84" s="159">
        <v>5.5120342075433504E-3</v>
      </c>
      <c r="F84" s="159">
        <v>0.20940716004868964</v>
      </c>
      <c r="G84" s="160">
        <v>1.2628480564068731</v>
      </c>
      <c r="H84" s="160">
        <v>1.3494055466433648</v>
      </c>
      <c r="I84" s="159">
        <v>0.14648256262214049</v>
      </c>
      <c r="J84" s="159">
        <v>0.43243045103017308</v>
      </c>
      <c r="K84" s="159">
        <v>6.9500000000000006E-2</v>
      </c>
      <c r="L84" s="159">
        <v>0.14289541246400556</v>
      </c>
      <c r="M84" s="159">
        <v>0.1330320728550001</v>
      </c>
      <c r="N84" s="160">
        <v>0.87012726304513266</v>
      </c>
      <c r="O84" s="160">
        <v>4.1806294495066085</v>
      </c>
      <c r="P84" s="160">
        <v>15.881419590093561</v>
      </c>
      <c r="Q84" s="160" t="s">
        <v>88</v>
      </c>
      <c r="R84" s="160">
        <v>4.6083218345324841</v>
      </c>
      <c r="S84" s="160">
        <v>69.669400451103826</v>
      </c>
      <c r="T84" s="159">
        <v>5.014284936774209E-2</v>
      </c>
      <c r="U84" s="159">
        <v>6.8994925798208623E-2</v>
      </c>
      <c r="V84" s="159">
        <v>0.10911160059070062</v>
      </c>
      <c r="W84" s="159" t="s">
        <v>88</v>
      </c>
      <c r="X84" s="159">
        <v>-0.14640466217181433</v>
      </c>
      <c r="Y84" s="159">
        <v>4.1529204862765573E-3</v>
      </c>
      <c r="Z84" s="159">
        <v>4.1529204862765789E-3</v>
      </c>
      <c r="AA84" s="161">
        <v>4.6187908283204715E-3</v>
      </c>
    </row>
    <row r="85" spans="1:27" s="142" customFormat="1" ht="12.5">
      <c r="A85" s="158" t="s">
        <v>744</v>
      </c>
      <c r="B85" s="77">
        <v>1648</v>
      </c>
      <c r="C85" s="159">
        <v>0.16911827995255052</v>
      </c>
      <c r="D85" s="159">
        <v>0.17725169673656516</v>
      </c>
      <c r="E85" s="159">
        <v>0.173054641209129</v>
      </c>
      <c r="F85" s="159">
        <v>0.18564555974970864</v>
      </c>
      <c r="G85" s="160">
        <v>1.3178605209622307</v>
      </c>
      <c r="H85" s="160">
        <v>1.3540948759786284</v>
      </c>
      <c r="I85" s="159">
        <v>0.14685677110309453</v>
      </c>
      <c r="J85" s="159">
        <v>0.44540749279606739</v>
      </c>
      <c r="K85" s="159">
        <v>6.9500000000000006E-2</v>
      </c>
      <c r="L85" s="159">
        <v>8.207902347015307E-2</v>
      </c>
      <c r="M85" s="159">
        <v>0.13910010466338735</v>
      </c>
      <c r="N85" s="160">
        <v>0.94647831787590087</v>
      </c>
      <c r="O85" s="160">
        <v>6.7180138013623134</v>
      </c>
      <c r="P85" s="160">
        <v>21.774817579847788</v>
      </c>
      <c r="Q85" s="160">
        <v>33.846686642289974</v>
      </c>
      <c r="R85" s="160">
        <v>6.7650917422035324</v>
      </c>
      <c r="S85" s="160">
        <v>81.170186502471253</v>
      </c>
      <c r="T85" s="159">
        <v>0.14041979304897989</v>
      </c>
      <c r="U85" s="159">
        <v>7.1717567851905251E-2</v>
      </c>
      <c r="V85" s="159">
        <v>0.17698341089820932</v>
      </c>
      <c r="W85" s="159">
        <v>1.4772666888447972</v>
      </c>
      <c r="X85" s="159">
        <v>0.13415189960739474</v>
      </c>
      <c r="Y85" s="159">
        <v>0.42167938062996485</v>
      </c>
      <c r="Z85" s="159">
        <v>0.4216793806299648</v>
      </c>
      <c r="AA85" s="161">
        <v>0.19688448580761525</v>
      </c>
    </row>
    <row r="86" spans="1:27" s="142" customFormat="1" ht="12.5">
      <c r="A86" s="158" t="s">
        <v>745</v>
      </c>
      <c r="B86" s="77">
        <v>710</v>
      </c>
      <c r="C86" s="159">
        <v>0.17691252873563204</v>
      </c>
      <c r="D86" s="159">
        <v>0.11983144761390822</v>
      </c>
      <c r="E86" s="159">
        <v>0.15474452778417921</v>
      </c>
      <c r="F86" s="159">
        <v>0.2080865325449755</v>
      </c>
      <c r="G86" s="160">
        <v>1.0387463631868152</v>
      </c>
      <c r="H86" s="160">
        <v>1.2339858111510127</v>
      </c>
      <c r="I86" s="159">
        <v>0.13727206772985079</v>
      </c>
      <c r="J86" s="159">
        <v>0.36054916600984277</v>
      </c>
      <c r="K86" s="159">
        <v>6.9500000000000006E-2</v>
      </c>
      <c r="L86" s="159">
        <v>0.32124888739024365</v>
      </c>
      <c r="M86" s="159">
        <v>0.10999234538941745</v>
      </c>
      <c r="N86" s="160">
        <v>1.5324538849846425</v>
      </c>
      <c r="O86" s="160">
        <v>0.68252630940677284</v>
      </c>
      <c r="P86" s="160">
        <v>4.2421310055380514</v>
      </c>
      <c r="Q86" s="160">
        <v>5.4961468710107608</v>
      </c>
      <c r="R86" s="160">
        <v>1.0334392437356485</v>
      </c>
      <c r="S86" s="160">
        <v>34.010112280980266</v>
      </c>
      <c r="T86" s="159">
        <v>0.1414384207393182</v>
      </c>
      <c r="U86" s="159">
        <v>4.6986460400492681E-2</v>
      </c>
      <c r="V86" s="159">
        <v>3.1233063526508904E-2</v>
      </c>
      <c r="W86" s="159">
        <v>0.69060940526576531</v>
      </c>
      <c r="X86" s="159">
        <v>0.19513585801447908</v>
      </c>
      <c r="Y86" s="159">
        <v>0.34425266167339813</v>
      </c>
      <c r="Z86" s="159">
        <v>0.34425266167339807</v>
      </c>
      <c r="AA86" s="161">
        <v>0.11976279919759207</v>
      </c>
    </row>
    <row r="87" spans="1:27" s="142" customFormat="1" ht="12.5">
      <c r="A87" s="158" t="s">
        <v>746</v>
      </c>
      <c r="B87" s="77">
        <v>99</v>
      </c>
      <c r="C87" s="159">
        <v>3.9863866666666657E-2</v>
      </c>
      <c r="D87" s="159">
        <v>0.14612907847070811</v>
      </c>
      <c r="E87" s="159">
        <v>7.1853804995165846E-2</v>
      </c>
      <c r="F87" s="159">
        <v>0.26856038903020835</v>
      </c>
      <c r="G87" s="160">
        <v>0.59944869496241837</v>
      </c>
      <c r="H87" s="160">
        <v>0.8356105248266873</v>
      </c>
      <c r="I87" s="159">
        <v>0.10548171988116964</v>
      </c>
      <c r="J87" s="159">
        <v>0.27376891988486907</v>
      </c>
      <c r="K87" s="159">
        <v>6.9500000000000006E-2</v>
      </c>
      <c r="L87" s="159">
        <v>0.40997135229477483</v>
      </c>
      <c r="M87" s="159">
        <v>8.3701020207121835E-2</v>
      </c>
      <c r="N87" s="160">
        <v>0.59875669525319775</v>
      </c>
      <c r="O87" s="160">
        <v>2.1639337464462898</v>
      </c>
      <c r="P87" s="160">
        <v>6.7674351253486078</v>
      </c>
      <c r="Q87" s="160">
        <v>14.969037905540716</v>
      </c>
      <c r="R87" s="160">
        <v>1.4016862038068374</v>
      </c>
      <c r="S87" s="160">
        <v>24.327805212795383</v>
      </c>
      <c r="T87" s="159">
        <v>-6.568226483759157E-2</v>
      </c>
      <c r="U87" s="159">
        <v>0.17045118193113834</v>
      </c>
      <c r="V87" s="159">
        <v>1.0045620758875377E-2</v>
      </c>
      <c r="W87" s="159">
        <v>0.23431849746915523</v>
      </c>
      <c r="X87" s="159">
        <v>5.9656101073844982E-2</v>
      </c>
      <c r="Y87" s="159">
        <v>0.94566204010401345</v>
      </c>
      <c r="Z87" s="159">
        <v>0.94566204010401345</v>
      </c>
      <c r="AA87" s="161">
        <v>0.14331345320592245</v>
      </c>
    </row>
    <row r="88" spans="1:27" s="142" customFormat="1" ht="12.5">
      <c r="A88" s="158" t="s">
        <v>747</v>
      </c>
      <c r="B88" s="77">
        <v>461</v>
      </c>
      <c r="C88" s="159">
        <v>4.4529398907103827E-2</v>
      </c>
      <c r="D88" s="159">
        <v>0.10803883058790111</v>
      </c>
      <c r="E88" s="159">
        <v>0.12105446393642671</v>
      </c>
      <c r="F88" s="159">
        <v>0.16798552646066092</v>
      </c>
      <c r="G88" s="160">
        <v>1.1754366702843682</v>
      </c>
      <c r="H88" s="160">
        <v>1.1987978378632358</v>
      </c>
      <c r="I88" s="159">
        <v>0.1344640674614862</v>
      </c>
      <c r="J88" s="159">
        <v>0.35575957529107116</v>
      </c>
      <c r="K88" s="159">
        <v>6.9500000000000006E-2</v>
      </c>
      <c r="L88" s="159">
        <v>0.12271568825108702</v>
      </c>
      <c r="M88" s="159">
        <v>0.12438791697109762</v>
      </c>
      <c r="N88" s="160">
        <v>1.2296782460866211</v>
      </c>
      <c r="O88" s="160">
        <v>2.2056685736550157</v>
      </c>
      <c r="P88" s="160">
        <v>13.982133050228981</v>
      </c>
      <c r="Q88" s="160">
        <v>19.267327671178666</v>
      </c>
      <c r="R88" s="160">
        <v>3.2789066545616312</v>
      </c>
      <c r="S88" s="160">
        <v>48.329999560360697</v>
      </c>
      <c r="T88" s="159">
        <v>0.24547671050793304</v>
      </c>
      <c r="U88" s="159">
        <v>3.0967972014556554E-2</v>
      </c>
      <c r="V88" s="159">
        <v>3.5067191787542577E-2</v>
      </c>
      <c r="W88" s="159">
        <v>0.80979020806717117</v>
      </c>
      <c r="X88" s="159">
        <v>0.12699399947863158</v>
      </c>
      <c r="Y88" s="159">
        <v>0.48118218970957899</v>
      </c>
      <c r="Z88" s="159">
        <v>0.48118218970957893</v>
      </c>
      <c r="AA88" s="161">
        <v>0.1076245089719039</v>
      </c>
    </row>
    <row r="89" spans="1:27" s="142" customFormat="1" ht="12.5">
      <c r="A89" s="158" t="s">
        <v>748</v>
      </c>
      <c r="B89" s="77">
        <v>295</v>
      </c>
      <c r="C89" s="159">
        <v>9.3719248826291068E-2</v>
      </c>
      <c r="D89" s="159">
        <v>0.14564770212095915</v>
      </c>
      <c r="E89" s="159">
        <v>8.3002848233363569E-2</v>
      </c>
      <c r="F89" s="159">
        <v>0.20636862175772658</v>
      </c>
      <c r="G89" s="160">
        <v>0.53286343841338268</v>
      </c>
      <c r="H89" s="160">
        <v>0.83120448295402005</v>
      </c>
      <c r="I89" s="159">
        <v>0.1051301177397308</v>
      </c>
      <c r="J89" s="159">
        <v>0.33234588224425837</v>
      </c>
      <c r="K89" s="159">
        <v>6.9500000000000006E-2</v>
      </c>
      <c r="L89" s="159">
        <v>0.45523285018801557</v>
      </c>
      <c r="M89" s="159">
        <v>8.1104854570712426E-2</v>
      </c>
      <c r="N89" s="160">
        <v>0.66302528624879975</v>
      </c>
      <c r="O89" s="160">
        <v>2.0938341981018391</v>
      </c>
      <c r="P89" s="160">
        <v>6.8143143019397634</v>
      </c>
      <c r="Q89" s="160">
        <v>14.316491404336567</v>
      </c>
      <c r="R89" s="160">
        <v>1.3406890906280109</v>
      </c>
      <c r="S89" s="160">
        <v>38.642893253116668</v>
      </c>
      <c r="T89" s="159">
        <v>8.4981712220580687E-3</v>
      </c>
      <c r="U89" s="159">
        <v>0.15451691162113007</v>
      </c>
      <c r="V89" s="159">
        <v>1.8398303676254975E-3</v>
      </c>
      <c r="W89" s="159">
        <v>6.3041372120910863E-2</v>
      </c>
      <c r="X89" s="159">
        <v>9.7927580759062105E-2</v>
      </c>
      <c r="Y89" s="159">
        <v>0.63969274552605071</v>
      </c>
      <c r="Z89" s="159">
        <v>0.63969274552605071</v>
      </c>
      <c r="AA89" s="161">
        <v>0.145102802727752</v>
      </c>
    </row>
    <row r="90" spans="1:27" s="142" customFormat="1" ht="12.5">
      <c r="A90" s="158" t="s">
        <v>749</v>
      </c>
      <c r="B90" s="77">
        <v>56</v>
      </c>
      <c r="C90" s="159">
        <v>9.822864864864865E-2</v>
      </c>
      <c r="D90" s="159">
        <v>0.33474559408861121</v>
      </c>
      <c r="E90" s="159">
        <v>0.20013728578995296</v>
      </c>
      <c r="F90" s="159">
        <v>0.26807548682122645</v>
      </c>
      <c r="G90" s="160">
        <v>0.77526113772172134</v>
      </c>
      <c r="H90" s="160">
        <v>0.89286131889100684</v>
      </c>
      <c r="I90" s="159">
        <v>0.11005033324750234</v>
      </c>
      <c r="J90" s="159">
        <v>0.28815132980992253</v>
      </c>
      <c r="K90" s="159">
        <v>6.9500000000000006E-2</v>
      </c>
      <c r="L90" s="159">
        <v>0.21150591899864943</v>
      </c>
      <c r="M90" s="159">
        <v>9.7847291288208668E-2</v>
      </c>
      <c r="N90" s="160">
        <v>0.73483182839642613</v>
      </c>
      <c r="O90" s="160">
        <v>3.7714885665907185</v>
      </c>
      <c r="P90" s="160">
        <v>10.157432415100599</v>
      </c>
      <c r="Q90" s="160">
        <v>11.217270381251886</v>
      </c>
      <c r="R90" s="160">
        <v>3.4958341314125998</v>
      </c>
      <c r="S90" s="160">
        <v>12.602231253306266</v>
      </c>
      <c r="T90" s="159">
        <v>0.14326577092025009</v>
      </c>
      <c r="U90" s="159">
        <v>2.7114026871894421E-2</v>
      </c>
      <c r="V90" s="159">
        <v>1.2922319142159418E-2</v>
      </c>
      <c r="W90" s="159">
        <v>5.4294763263544675E-2</v>
      </c>
      <c r="X90" s="159">
        <v>0.22341989038959192</v>
      </c>
      <c r="Y90" s="159">
        <v>0.91180748886312335</v>
      </c>
      <c r="Z90" s="159">
        <v>0.91180748886312335</v>
      </c>
      <c r="AA90" s="161">
        <v>0.3353339430515232</v>
      </c>
    </row>
    <row r="91" spans="1:27" s="142" customFormat="1" ht="12.5">
      <c r="A91" s="158" t="s">
        <v>750</v>
      </c>
      <c r="B91" s="77">
        <v>302</v>
      </c>
      <c r="C91" s="159">
        <v>0.10729344497607662</v>
      </c>
      <c r="D91" s="159">
        <v>7.8816807017395477E-2</v>
      </c>
      <c r="E91" s="159">
        <v>0.12720264109772611</v>
      </c>
      <c r="F91" s="159">
        <v>0.23989417549818295</v>
      </c>
      <c r="G91" s="160">
        <v>0.83086798417579999</v>
      </c>
      <c r="H91" s="160">
        <v>1.0148110401540846</v>
      </c>
      <c r="I91" s="159">
        <v>0.11978192100429595</v>
      </c>
      <c r="J91" s="159">
        <v>0.31084297302653918</v>
      </c>
      <c r="K91" s="159">
        <v>6.9500000000000006E-2</v>
      </c>
      <c r="L91" s="159">
        <v>0.31145967209766678</v>
      </c>
      <c r="M91" s="159">
        <v>9.87809518489558E-2</v>
      </c>
      <c r="N91" s="160">
        <v>1.9460842931032309</v>
      </c>
      <c r="O91" s="160">
        <v>0.98900039785159</v>
      </c>
      <c r="P91" s="160">
        <v>7.8927592818396839</v>
      </c>
      <c r="Q91" s="160">
        <v>12.289046954707567</v>
      </c>
      <c r="R91" s="160">
        <v>1.9154341025484678</v>
      </c>
      <c r="S91" s="160">
        <v>27.907558356540434</v>
      </c>
      <c r="T91" s="159">
        <v>4.6289247811254666E-2</v>
      </c>
      <c r="U91" s="159">
        <v>4.1407170879204931E-2</v>
      </c>
      <c r="V91" s="159">
        <v>2.1304357895726649E-2</v>
      </c>
      <c r="W91" s="159">
        <v>0.56371293751510465</v>
      </c>
      <c r="X91" s="159">
        <v>0.18047586417013964</v>
      </c>
      <c r="Y91" s="159">
        <v>0.3759045643575265</v>
      </c>
      <c r="Z91" s="159">
        <v>0.3759045643575265</v>
      </c>
      <c r="AA91" s="161">
        <v>7.901879530087233E-2</v>
      </c>
    </row>
    <row r="92" spans="1:27" s="142" customFormat="1" ht="12.5">
      <c r="A92" s="158" t="s">
        <v>751</v>
      </c>
      <c r="B92" s="77">
        <v>50</v>
      </c>
      <c r="C92" s="159">
        <v>5.1318604651162747E-3</v>
      </c>
      <c r="D92" s="159">
        <v>0.22937544917128982</v>
      </c>
      <c r="E92" s="159">
        <v>6.3106474006416002E-2</v>
      </c>
      <c r="F92" s="159">
        <v>0.23455439053515723</v>
      </c>
      <c r="G92" s="160">
        <v>0.53771205524892773</v>
      </c>
      <c r="H92" s="160">
        <v>0.67261472581248538</v>
      </c>
      <c r="I92" s="159">
        <v>9.2474655119836324E-2</v>
      </c>
      <c r="J92" s="159">
        <v>0.1904649831765268</v>
      </c>
      <c r="K92" s="159">
        <v>6.1800000000000001E-2</v>
      </c>
      <c r="L92" s="159">
        <v>0.28093173916735564</v>
      </c>
      <c r="M92" s="159">
        <v>7.957406875741202E-2</v>
      </c>
      <c r="N92" s="160">
        <v>0.35264141209829214</v>
      </c>
      <c r="O92" s="160">
        <v>4.9514550191904148</v>
      </c>
      <c r="P92" s="160">
        <v>14.391882936833516</v>
      </c>
      <c r="Q92" s="160">
        <v>21.521720661372516</v>
      </c>
      <c r="R92" s="160">
        <v>2.5233071875662696</v>
      </c>
      <c r="S92" s="160">
        <v>47.926146065216102</v>
      </c>
      <c r="T92" s="159">
        <v>5.6540294359728252E-2</v>
      </c>
      <c r="U92" s="159">
        <v>0.15530197652565753</v>
      </c>
      <c r="V92" s="159">
        <v>8.1073848062129403E-2</v>
      </c>
      <c r="W92" s="159">
        <v>0.49777850427936171</v>
      </c>
      <c r="X92" s="159">
        <v>0.10779442786699867</v>
      </c>
      <c r="Y92" s="159">
        <v>0.42288213474408926</v>
      </c>
      <c r="Z92" s="159">
        <v>0.4228821347440892</v>
      </c>
      <c r="AA92" s="161">
        <v>0.22782025938466396</v>
      </c>
    </row>
    <row r="93" spans="1:27" s="142" customFormat="1" ht="12.5">
      <c r="A93" s="158" t="s">
        <v>752</v>
      </c>
      <c r="B93" s="77">
        <v>220</v>
      </c>
      <c r="C93" s="159">
        <v>6.7412287581699343E-2</v>
      </c>
      <c r="D93" s="159">
        <v>8.1825960469875447E-2</v>
      </c>
      <c r="E93" s="159">
        <v>9.325941401187661E-2</v>
      </c>
      <c r="F93" s="159">
        <v>0.25137746140461076</v>
      </c>
      <c r="G93" s="160">
        <v>0.80103060507905366</v>
      </c>
      <c r="H93" s="160">
        <v>1.0796626585301576</v>
      </c>
      <c r="I93" s="159">
        <v>0.12495708015070657</v>
      </c>
      <c r="J93" s="159">
        <v>0.31796488514967647</v>
      </c>
      <c r="K93" s="159">
        <v>6.9500000000000006E-2</v>
      </c>
      <c r="L93" s="159">
        <v>0.37028006138641539</v>
      </c>
      <c r="M93" s="159">
        <v>9.8073736773681586E-2</v>
      </c>
      <c r="N93" s="160">
        <v>1.2683662093737476</v>
      </c>
      <c r="O93" s="160">
        <v>1.4582532006532531</v>
      </c>
      <c r="P93" s="160">
        <v>7.1812178949304286</v>
      </c>
      <c r="Q93" s="160">
        <v>13.577420148175593</v>
      </c>
      <c r="R93" s="160">
        <v>2.3093625400302482</v>
      </c>
      <c r="S93" s="160">
        <v>20.393774092471542</v>
      </c>
      <c r="T93" s="159">
        <v>6.1631284750963661E-2</v>
      </c>
      <c r="U93" s="159">
        <v>9.0572486207290609E-2</v>
      </c>
      <c r="V93" s="159">
        <v>6.5333099457492758E-2</v>
      </c>
      <c r="W93" s="159">
        <v>1.2953650987044991</v>
      </c>
      <c r="X93" s="159">
        <v>4.8007666832446935E-2</v>
      </c>
      <c r="Y93" s="159">
        <v>0.47214545338387454</v>
      </c>
      <c r="Z93" s="159">
        <v>0.47214545338387448</v>
      </c>
      <c r="AA93" s="161">
        <v>8.7971142690093859E-2</v>
      </c>
    </row>
    <row r="94" spans="1:27" s="142" customFormat="1" ht="12.5">
      <c r="A94" s="158" t="s">
        <v>753</v>
      </c>
      <c r="B94" s="77">
        <v>51</v>
      </c>
      <c r="C94" s="159">
        <v>7.792022222222221E-2</v>
      </c>
      <c r="D94" s="159">
        <v>0.11456119771994193</v>
      </c>
      <c r="E94" s="159">
        <v>7.6714423003748339E-2</v>
      </c>
      <c r="F94" s="159">
        <v>0.18951235707131556</v>
      </c>
      <c r="G94" s="160">
        <v>0.44555229098762261</v>
      </c>
      <c r="H94" s="160">
        <v>0.68093285394007141</v>
      </c>
      <c r="I94" s="159">
        <v>9.3138441744417697E-2</v>
      </c>
      <c r="J94" s="159">
        <v>0.18373338360033689</v>
      </c>
      <c r="K94" s="159">
        <v>6.1800000000000001E-2</v>
      </c>
      <c r="L94" s="159">
        <v>0.44647469066862239</v>
      </c>
      <c r="M94" s="159">
        <v>7.2339640738126904E-2</v>
      </c>
      <c r="N94" s="160">
        <v>0.79592572670996531</v>
      </c>
      <c r="O94" s="160">
        <v>2.0587197648578983</v>
      </c>
      <c r="P94" s="160">
        <v>11.022432960755802</v>
      </c>
      <c r="Q94" s="160">
        <v>17.920870096933381</v>
      </c>
      <c r="R94" s="160">
        <v>1.6077812288677511</v>
      </c>
      <c r="S94" s="160">
        <v>19.959924071772317</v>
      </c>
      <c r="T94" s="159">
        <v>2.1882787338106589E-2</v>
      </c>
      <c r="U94" s="159">
        <v>0.1391916397622712</v>
      </c>
      <c r="V94" s="159">
        <v>7.4413848046799388E-2</v>
      </c>
      <c r="W94" s="159">
        <v>1.1281129759412232</v>
      </c>
      <c r="X94" s="159">
        <v>0.12706804579670924</v>
      </c>
      <c r="Y94" s="159">
        <v>0.56808177867298026</v>
      </c>
      <c r="Z94" s="159">
        <v>0.56808177867298026</v>
      </c>
      <c r="AA94" s="161">
        <v>0.11417047367535862</v>
      </c>
    </row>
    <row r="95" spans="1:27" s="142" customFormat="1" ht="12.5">
      <c r="A95" s="158" t="s">
        <v>754</v>
      </c>
      <c r="B95" s="77">
        <v>104</v>
      </c>
      <c r="C95" s="159">
        <v>7.9921733333333342E-2</v>
      </c>
      <c r="D95" s="159">
        <v>0.23308027198201001</v>
      </c>
      <c r="E95" s="159">
        <v>6.0083722599385478E-2</v>
      </c>
      <c r="F95" s="159">
        <v>0.19550644712298801</v>
      </c>
      <c r="G95" s="160">
        <v>0.48577767777887526</v>
      </c>
      <c r="H95" s="160">
        <v>0.74037836279006486</v>
      </c>
      <c r="I95" s="159">
        <v>9.7882193350647184E-2</v>
      </c>
      <c r="J95" s="159">
        <v>0.29170204736386413</v>
      </c>
      <c r="K95" s="159">
        <v>6.9500000000000006E-2</v>
      </c>
      <c r="L95" s="159">
        <v>0.45258505055032439</v>
      </c>
      <c r="M95" s="159">
        <v>7.7276972066347274E-2</v>
      </c>
      <c r="N95" s="160">
        <v>0.2960000594907215</v>
      </c>
      <c r="O95" s="160">
        <v>4.7535462364637491</v>
      </c>
      <c r="P95" s="160">
        <v>12.93134872040161</v>
      </c>
      <c r="Q95" s="160">
        <v>20.069056769362522</v>
      </c>
      <c r="R95" s="160">
        <v>1.5000124500603853</v>
      </c>
      <c r="S95" s="160">
        <v>27.005335813319128</v>
      </c>
      <c r="T95" s="159">
        <v>4.2979439477294483E-2</v>
      </c>
      <c r="U95" s="159">
        <v>0.21460584021765075</v>
      </c>
      <c r="V95" s="159">
        <v>0.11132379540777157</v>
      </c>
      <c r="W95" s="159">
        <v>0.99074678758901424</v>
      </c>
      <c r="X95" s="159">
        <v>5.007048841854516E-2</v>
      </c>
      <c r="Y95" s="159">
        <v>0.80660637410407132</v>
      </c>
      <c r="Z95" s="159">
        <v>0.41572668892840536</v>
      </c>
      <c r="AA95" s="161">
        <v>0.23300787604616452</v>
      </c>
    </row>
  </sheetData>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defaultColWidth="11.19921875" defaultRowHeight="11.5"/>
  <cols>
    <col min="1" max="1" width="34" bestFit="1" customWidth="1"/>
    <col min="2" max="2" width="16" style="94" customWidth="1"/>
    <col min="3" max="3" width="19.796875" style="94" bestFit="1" customWidth="1"/>
    <col min="4" max="4" width="22.19921875" style="94" bestFit="1" customWidth="1"/>
    <col min="5" max="5" width="14.19921875" bestFit="1" customWidth="1"/>
  </cols>
  <sheetData>
    <row r="1" spans="1:5">
      <c r="B1" s="81" t="s">
        <v>375</v>
      </c>
      <c r="C1" s="81" t="s">
        <v>406</v>
      </c>
      <c r="D1" s="81" t="s">
        <v>407</v>
      </c>
      <c r="E1" s="81" t="s">
        <v>376</v>
      </c>
    </row>
    <row r="2" spans="1:5" ht="13">
      <c r="A2" s="37" t="s">
        <v>5</v>
      </c>
      <c r="B2" s="98">
        <v>15794.34</v>
      </c>
      <c r="C2" s="98">
        <v>7608.13</v>
      </c>
      <c r="D2" s="98">
        <v>9444.11</v>
      </c>
      <c r="E2" s="99">
        <f>B2-C2+D2</f>
        <v>17630.32</v>
      </c>
    </row>
    <row r="3" spans="1:5" ht="13">
      <c r="A3" s="37" t="s">
        <v>613</v>
      </c>
      <c r="B3" s="98">
        <v>1221.81</v>
      </c>
      <c r="C3" s="98">
        <v>581.41</v>
      </c>
      <c r="D3" s="98">
        <v>756</v>
      </c>
      <c r="E3" s="99">
        <f>B3-C3+D3</f>
        <v>1396.4</v>
      </c>
    </row>
    <row r="4" spans="1:5" ht="13">
      <c r="A4" s="37" t="s">
        <v>23</v>
      </c>
      <c r="B4" s="98">
        <v>1605.23</v>
      </c>
      <c r="C4" s="98">
        <v>908.79</v>
      </c>
      <c r="D4" s="98">
        <v>1165.5</v>
      </c>
      <c r="E4" s="99">
        <f>B4-C4+D4</f>
        <v>1861.94</v>
      </c>
    </row>
    <row r="5" spans="1:5" ht="13">
      <c r="A5" s="37" t="s">
        <v>417</v>
      </c>
      <c r="B5" s="98">
        <v>420.49</v>
      </c>
      <c r="C5" s="98">
        <v>182.82</v>
      </c>
      <c r="D5" s="98">
        <v>287.56</v>
      </c>
      <c r="E5" s="99">
        <f>B5-C5+D5</f>
        <v>525.23</v>
      </c>
    </row>
    <row r="6" spans="1:5" ht="13">
      <c r="A6" s="37" t="s">
        <v>24</v>
      </c>
      <c r="B6" s="98">
        <v>5238.7700000000004</v>
      </c>
      <c r="C6" s="98"/>
      <c r="D6" s="98">
        <v>6105.55</v>
      </c>
      <c r="E6" s="99"/>
    </row>
    <row r="7" spans="1:5" ht="13">
      <c r="A7" s="37" t="s">
        <v>25</v>
      </c>
      <c r="B7" s="98">
        <v>10360</v>
      </c>
      <c r="C7" s="98"/>
      <c r="D7" s="98">
        <v>12594.14</v>
      </c>
      <c r="E7" s="99"/>
    </row>
    <row r="8" spans="1:5" ht="13">
      <c r="A8" s="37" t="s">
        <v>227</v>
      </c>
      <c r="B8" s="98"/>
      <c r="C8" s="98"/>
      <c r="D8" s="98"/>
      <c r="E8" s="99"/>
    </row>
    <row r="9" spans="1:5" ht="13">
      <c r="A9" s="37" t="s">
        <v>228</v>
      </c>
      <c r="B9" s="98">
        <v>3794.48</v>
      </c>
      <c r="C9" s="98"/>
      <c r="D9" s="98">
        <v>5004.25</v>
      </c>
      <c r="E9" s="99"/>
    </row>
    <row r="10" spans="1:5" ht="13">
      <c r="A10" s="37" t="s">
        <v>367</v>
      </c>
      <c r="B10" s="98">
        <v>0</v>
      </c>
      <c r="C10" s="98"/>
      <c r="D10" s="98">
        <v>0</v>
      </c>
      <c r="E10" s="99"/>
    </row>
    <row r="11" spans="1:5" ht="13">
      <c r="A11" s="37" t="s">
        <v>371</v>
      </c>
      <c r="B11" s="98">
        <v>0</v>
      </c>
      <c r="C11" s="98"/>
      <c r="D11" s="98">
        <v>0</v>
      </c>
      <c r="E11" s="99"/>
    </row>
    <row r="12" spans="1:5" ht="13">
      <c r="A12" s="37" t="s">
        <v>26</v>
      </c>
      <c r="B12" s="98"/>
      <c r="C12" s="98"/>
      <c r="D12" s="98"/>
      <c r="E12" s="99"/>
    </row>
    <row r="13" spans="1:5" ht="13">
      <c r="A13" s="37" t="s">
        <v>27</v>
      </c>
      <c r="B13" s="100"/>
      <c r="C13" s="98"/>
      <c r="D13" s="98"/>
      <c r="E13" s="99"/>
    </row>
    <row r="14" spans="1:5" ht="13">
      <c r="A14" s="37" t="s">
        <v>94</v>
      </c>
      <c r="B14" s="95">
        <f>15885/61372</f>
        <v>0.25883138890699342</v>
      </c>
      <c r="C14" s="95">
        <f>6965/27030</f>
        <v>0.25767665556788755</v>
      </c>
      <c r="D14" s="95">
        <f>3941/23906</f>
        <v>0.16485401154521878</v>
      </c>
      <c r="E14" s="1"/>
    </row>
    <row r="15" spans="1:5" ht="13">
      <c r="A15" s="37" t="s">
        <v>95</v>
      </c>
      <c r="B15" s="81"/>
      <c r="C15" s="81"/>
      <c r="D15" s="81"/>
      <c r="E15" s="1"/>
    </row>
    <row r="16" spans="1:5" s="2" customFormat="1" ht="13">
      <c r="A16" s="38" t="s">
        <v>377</v>
      </c>
      <c r="B16" s="103"/>
      <c r="C16" s="103"/>
      <c r="D16" s="103"/>
      <c r="E16" s="104"/>
    </row>
    <row r="17" spans="1:5" ht="13">
      <c r="A17" s="36" t="s">
        <v>378</v>
      </c>
      <c r="B17" s="147">
        <v>172.47</v>
      </c>
      <c r="C17" s="101"/>
      <c r="D17" s="101" t="s">
        <v>88</v>
      </c>
      <c r="E17" s="102"/>
    </row>
    <row r="18" spans="1:5" ht="13">
      <c r="A18" s="36" t="s">
        <v>379</v>
      </c>
      <c r="B18" s="147">
        <v>139.4</v>
      </c>
      <c r="C18" s="629" t="s">
        <v>537</v>
      </c>
      <c r="D18" s="101" t="s">
        <v>88</v>
      </c>
      <c r="E18" s="102"/>
    </row>
    <row r="19" spans="1:5" ht="13">
      <c r="A19" s="36" t="s">
        <v>380</v>
      </c>
      <c r="B19" s="147">
        <v>145.18</v>
      </c>
      <c r="C19" s="629"/>
      <c r="D19" s="101" t="s">
        <v>88</v>
      </c>
      <c r="E19" s="102"/>
    </row>
    <row r="20" spans="1:5" ht="13">
      <c r="A20" s="36" t="s">
        <v>381</v>
      </c>
      <c r="B20" s="147">
        <v>156.53</v>
      </c>
      <c r="C20" s="629"/>
      <c r="D20" s="101" t="s">
        <v>88</v>
      </c>
      <c r="E20" s="102"/>
    </row>
    <row r="21" spans="1:5" ht="13">
      <c r="A21" s="36" t="s">
        <v>382</v>
      </c>
      <c r="B21" s="147">
        <v>151.19999999999999</v>
      </c>
      <c r="C21" s="629"/>
      <c r="D21" s="101" t="s">
        <v>88</v>
      </c>
      <c r="E21" s="102"/>
    </row>
    <row r="22" spans="1:5" ht="13">
      <c r="A22" s="36" t="s">
        <v>383</v>
      </c>
      <c r="B22" s="146">
        <v>943.63</v>
      </c>
      <c r="C22" s="629"/>
      <c r="D22" s="101" t="s">
        <v>88</v>
      </c>
      <c r="E22" s="102"/>
    </row>
    <row r="23" spans="1:5">
      <c r="B23" s="96"/>
      <c r="C23" s="629"/>
    </row>
    <row r="25" spans="1:5" ht="13">
      <c r="A25" s="36" t="s">
        <v>536</v>
      </c>
      <c r="B25" s="145">
        <v>107</v>
      </c>
    </row>
    <row r="29" spans="1:5">
      <c r="D29" s="98">
        <v>75872</v>
      </c>
    </row>
    <row r="30" spans="1:5">
      <c r="D30" s="98">
        <v>2404</v>
      </c>
    </row>
    <row r="31" spans="1:5">
      <c r="D31" s="98">
        <v>24171</v>
      </c>
    </row>
    <row r="32" spans="1:5">
      <c r="D32" s="98">
        <v>276</v>
      </c>
    </row>
    <row r="36" spans="1:5">
      <c r="A36" t="s">
        <v>614</v>
      </c>
      <c r="B36" s="94">
        <v>630.29</v>
      </c>
      <c r="C36" s="94">
        <v>286.14</v>
      </c>
      <c r="D36" s="94">
        <v>426.61</v>
      </c>
      <c r="E36">
        <f>B36-C36+D36</f>
        <v>770.76</v>
      </c>
    </row>
    <row r="37" spans="1:5">
      <c r="A37" t="s">
        <v>615</v>
      </c>
      <c r="B37" s="94">
        <v>2369.4699999999998</v>
      </c>
      <c r="C37" s="94">
        <v>1128.78</v>
      </c>
      <c r="D37" s="94">
        <v>1219.73</v>
      </c>
      <c r="E37">
        <f>B37-C37+D37</f>
        <v>2460.42</v>
      </c>
    </row>
    <row r="38" spans="1:5">
      <c r="A38" t="s">
        <v>616</v>
      </c>
      <c r="B38" s="94">
        <v>9967.5400000000009</v>
      </c>
      <c r="C38" s="94">
        <v>4703.01</v>
      </c>
      <c r="D38" s="94">
        <v>5876.21</v>
      </c>
      <c r="E38">
        <f>B38-C38+D38</f>
        <v>11140.740000000002</v>
      </c>
    </row>
    <row r="40" spans="1:5">
      <c r="A40" t="s">
        <v>617</v>
      </c>
      <c r="B40" s="94">
        <v>13043</v>
      </c>
      <c r="C40" s="94">
        <v>6020.47</v>
      </c>
      <c r="D40" s="94">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7" sqref="H7"/>
    </sheetView>
  </sheetViews>
  <sheetFormatPr defaultColWidth="11.19921875" defaultRowHeight="11.5"/>
  <cols>
    <col min="1" max="1" width="6.296875" bestFit="1" customWidth="1"/>
    <col min="2" max="2" width="16.5" bestFit="1" customWidth="1"/>
    <col min="3" max="3" width="18.296875" bestFit="1" customWidth="1"/>
    <col min="4" max="5" width="12.296875" bestFit="1" customWidth="1"/>
    <col min="6" max="6" width="17.69921875" bestFit="1" customWidth="1"/>
    <col min="9" max="9" width="20.296875" customWidth="1"/>
    <col min="10" max="10" width="18.796875" customWidth="1"/>
  </cols>
  <sheetData>
    <row r="1" spans="1:10" s="151" customFormat="1">
      <c r="A1" s="151" t="s">
        <v>224</v>
      </c>
      <c r="B1" s="151" t="s">
        <v>225</v>
      </c>
      <c r="C1" s="151" t="s">
        <v>419</v>
      </c>
      <c r="D1" s="151" t="s">
        <v>427</v>
      </c>
      <c r="E1" s="151" t="s">
        <v>429</v>
      </c>
      <c r="F1" s="151" t="s">
        <v>453</v>
      </c>
      <c r="G1" t="s">
        <v>215</v>
      </c>
      <c r="H1" s="151" t="s">
        <v>337</v>
      </c>
      <c r="I1" s="151" t="s">
        <v>768</v>
      </c>
      <c r="J1" s="151" t="s">
        <v>880</v>
      </c>
    </row>
    <row r="2" spans="1:10">
      <c r="A2" t="s">
        <v>49</v>
      </c>
      <c r="B2" t="s">
        <v>92</v>
      </c>
      <c r="C2" t="s">
        <v>420</v>
      </c>
      <c r="D2" t="s">
        <v>428</v>
      </c>
      <c r="E2">
        <v>1</v>
      </c>
      <c r="F2" t="s">
        <v>428</v>
      </c>
      <c r="G2" t="s">
        <v>448</v>
      </c>
      <c r="H2" t="s">
        <v>764</v>
      </c>
      <c r="I2" t="s">
        <v>779</v>
      </c>
      <c r="J2" s="81">
        <v>0</v>
      </c>
    </row>
    <row r="3" spans="1:10">
      <c r="A3" t="s">
        <v>44</v>
      </c>
      <c r="B3" t="s">
        <v>221</v>
      </c>
      <c r="C3" t="s">
        <v>423</v>
      </c>
      <c r="D3" t="s">
        <v>429</v>
      </c>
      <c r="E3">
        <v>2</v>
      </c>
      <c r="F3" t="s">
        <v>458</v>
      </c>
      <c r="G3" t="s">
        <v>447</v>
      </c>
      <c r="H3" t="s">
        <v>766</v>
      </c>
      <c r="I3" t="s">
        <v>769</v>
      </c>
      <c r="J3" s="81">
        <v>1</v>
      </c>
    </row>
    <row r="4" spans="1:10">
      <c r="C4" t="s">
        <v>421</v>
      </c>
      <c r="D4" t="s">
        <v>430</v>
      </c>
      <c r="F4" t="s">
        <v>459</v>
      </c>
      <c r="G4" t="s">
        <v>446</v>
      </c>
      <c r="H4" t="s">
        <v>472</v>
      </c>
      <c r="I4" t="s">
        <v>780</v>
      </c>
      <c r="J4" s="81">
        <v>2</v>
      </c>
    </row>
    <row r="5" spans="1:10">
      <c r="C5" t="s">
        <v>422</v>
      </c>
      <c r="F5" t="s">
        <v>460</v>
      </c>
      <c r="G5" t="s">
        <v>445</v>
      </c>
      <c r="I5" t="s">
        <v>781</v>
      </c>
      <c r="J5" s="81">
        <v>3</v>
      </c>
    </row>
    <row r="6" spans="1:10">
      <c r="F6" t="s">
        <v>457</v>
      </c>
      <c r="G6" t="s">
        <v>444</v>
      </c>
    </row>
    <row r="7" spans="1:10">
      <c r="G7" t="s">
        <v>443</v>
      </c>
    </row>
    <row r="8" spans="1:10">
      <c r="G8" t="s">
        <v>442</v>
      </c>
    </row>
    <row r="9" spans="1:10">
      <c r="G9" t="s">
        <v>441</v>
      </c>
    </row>
    <row r="10" spans="1:10">
      <c r="G10" t="s">
        <v>440</v>
      </c>
    </row>
    <row r="11" spans="1:10">
      <c r="G11" t="s">
        <v>439</v>
      </c>
    </row>
    <row r="12" spans="1:10">
      <c r="G12" t="s">
        <v>438</v>
      </c>
    </row>
    <row r="13" spans="1:10">
      <c r="G13" t="s">
        <v>437</v>
      </c>
    </row>
    <row r="14" spans="1:10">
      <c r="G14" t="s">
        <v>436</v>
      </c>
    </row>
    <row r="15" spans="1:10">
      <c r="G15" t="s">
        <v>435</v>
      </c>
    </row>
    <row r="16" spans="1:10">
      <c r="G16" t="s">
        <v>434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D4A5-6C44-45C6-8A7E-B4EBD54095E1}">
  <dimension ref="A2:D8"/>
  <sheetViews>
    <sheetView workbookViewId="0">
      <selection activeCell="A2" sqref="A2:D8"/>
    </sheetView>
  </sheetViews>
  <sheetFormatPr defaultRowHeight="11.5"/>
  <cols>
    <col min="1" max="1" width="17.3984375" style="630" customWidth="1"/>
    <col min="2" max="2" width="25.69921875" style="630" customWidth="1"/>
    <col min="3" max="3" width="13.59765625" style="630" customWidth="1"/>
    <col min="4" max="4" width="13.09765625" style="630" customWidth="1"/>
    <col min="5" max="16384" width="8.796875" style="630"/>
  </cols>
  <sheetData>
    <row r="2" spans="1:4" ht="23">
      <c r="A2" s="631" t="s">
        <v>108</v>
      </c>
      <c r="B2" s="631" t="s">
        <v>915</v>
      </c>
      <c r="C2" s="631" t="s">
        <v>917</v>
      </c>
      <c r="D2" s="630" t="s">
        <v>918</v>
      </c>
    </row>
    <row r="3" spans="1:4">
      <c r="A3" s="630" t="s">
        <v>916</v>
      </c>
      <c r="B3" s="630">
        <v>16.8</v>
      </c>
      <c r="C3" s="630">
        <v>630</v>
      </c>
      <c r="D3" s="630">
        <f>B3*C3</f>
        <v>10584</v>
      </c>
    </row>
    <row r="4" spans="1:4">
      <c r="A4" s="630">
        <v>2022</v>
      </c>
      <c r="B4" s="630">
        <v>14.2</v>
      </c>
      <c r="C4" s="630">
        <v>1403</v>
      </c>
      <c r="D4" s="630">
        <f t="shared" ref="D4:D6" si="0">B4*C4</f>
        <v>19922.599999999999</v>
      </c>
    </row>
    <row r="5" spans="1:4">
      <c r="A5" s="630">
        <v>2021</v>
      </c>
      <c r="B5" s="630">
        <v>16.399999999999999</v>
      </c>
      <c r="C5" s="630">
        <v>1585</v>
      </c>
      <c r="D5" s="630">
        <f t="shared" si="0"/>
        <v>25993.999999999996</v>
      </c>
    </row>
    <row r="6" spans="1:4">
      <c r="A6" s="630">
        <v>2020</v>
      </c>
      <c r="B6" s="630">
        <v>16.399999999999999</v>
      </c>
      <c r="C6" s="630">
        <v>1729</v>
      </c>
      <c r="D6" s="630">
        <f t="shared" si="0"/>
        <v>28355.599999999999</v>
      </c>
    </row>
    <row r="7" spans="1:4">
      <c r="B7" s="630" t="s">
        <v>920</v>
      </c>
      <c r="C7" s="630">
        <f>SUM(C3:C6)</f>
        <v>5347</v>
      </c>
      <c r="D7" s="630">
        <f>SUM(D3:D6)</f>
        <v>84856.199999999983</v>
      </c>
    </row>
    <row r="8" spans="1:4" ht="23">
      <c r="B8" s="630" t="s">
        <v>919</v>
      </c>
      <c r="C8" s="630">
        <f>D7/C7</f>
        <v>15.869870955676078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BC99-A706-423F-B9B1-47A033268EAD}">
  <dimension ref="A1"/>
  <sheetViews>
    <sheetView workbookViewId="0"/>
  </sheetViews>
  <sheetFormatPr defaultRowHeight="1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D997-ABCD-46CD-B7E4-9FDFFCA94623}">
  <dimension ref="A1"/>
  <sheetViews>
    <sheetView workbookViewId="0"/>
  </sheetViews>
  <sheetFormatPr defaultRowHeight="1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B19" zoomScale="125" zoomScaleNormal="125" workbookViewId="0">
      <selection activeCell="X8" sqref="X8"/>
    </sheetView>
  </sheetViews>
  <sheetFormatPr defaultColWidth="11.19921875" defaultRowHeight="15.5"/>
  <cols>
    <col min="1" max="1" width="23" style="32" bestFit="1" customWidth="1"/>
    <col min="2" max="2" width="21.296875" style="32" customWidth="1"/>
    <col min="3" max="13" width="15.796875" style="35" bestFit="1" customWidth="1"/>
    <col min="14" max="14" width="12.69921875" bestFit="1" customWidth="1"/>
  </cols>
  <sheetData>
    <row r="1" spans="1:14">
      <c r="A1" s="29"/>
      <c r="B1" s="30" t="s">
        <v>8</v>
      </c>
      <c r="C1" s="30">
        <v>1</v>
      </c>
      <c r="D1" s="30">
        <v>2</v>
      </c>
      <c r="E1" s="30">
        <v>3</v>
      </c>
      <c r="F1" s="30">
        <v>4</v>
      </c>
      <c r="G1" s="30">
        <v>5</v>
      </c>
      <c r="H1" s="30">
        <v>6</v>
      </c>
      <c r="I1" s="30">
        <v>7</v>
      </c>
      <c r="J1" s="30">
        <v>8</v>
      </c>
      <c r="K1" s="30">
        <v>9</v>
      </c>
      <c r="L1" s="30">
        <v>10</v>
      </c>
      <c r="M1" s="34" t="s">
        <v>38</v>
      </c>
    </row>
    <row r="2" spans="1:14">
      <c r="A2" s="32" t="s">
        <v>14</v>
      </c>
      <c r="B2" s="41"/>
      <c r="C2" s="42">
        <f>'Input sheet'!B25</f>
        <v>5.9799999999999999E-2</v>
      </c>
      <c r="D2" s="42">
        <f>'Input sheet'!B27</f>
        <v>5.9799999999999999E-2</v>
      </c>
      <c r="E2" s="42">
        <f>D2</f>
        <v>5.9799999999999999E-2</v>
      </c>
      <c r="F2" s="42">
        <f>E2</f>
        <v>5.9799999999999999E-2</v>
      </c>
      <c r="G2" s="42">
        <f>F2</f>
        <v>5.9799999999999999E-2</v>
      </c>
      <c r="H2" s="42">
        <f>G2-((G2-$M$2)/5)</f>
        <v>5.6059999999999999E-2</v>
      </c>
      <c r="I2" s="42">
        <f>G2-((G2-$M$2)/5)*2</f>
        <v>5.2319999999999998E-2</v>
      </c>
      <c r="J2" s="42">
        <f>G2-((G2-$M$2)/5)*3</f>
        <v>4.8579999999999998E-2</v>
      </c>
      <c r="K2" s="42">
        <f>G2-((G2-$M$2)/5)*4</f>
        <v>4.4839999999999998E-2</v>
      </c>
      <c r="L2" s="42">
        <f>G2-((G2-$M$2)/5)*5</f>
        <v>4.1099999999999998E-2</v>
      </c>
      <c r="M2" s="43">
        <f>IF('Input sheet'!B66="Yes",'Input sheet'!B67,IF('Input sheet'!B63="Yes",'Input sheet'!B64,'Input sheet'!B33))</f>
        <v>4.1099999999999998E-2</v>
      </c>
    </row>
    <row r="3" spans="1:14" ht="15" customHeight="1">
      <c r="A3" s="32" t="s">
        <v>5</v>
      </c>
      <c r="B3" s="44">
        <f>'Input sheet'!B10</f>
        <v>67393</v>
      </c>
      <c r="C3" s="45">
        <f>B3*(1+C2)</f>
        <v>71423.1014</v>
      </c>
      <c r="D3" s="45">
        <f t="shared" ref="D3:L3" si="0">C3*(1+D2)</f>
        <v>75694.202863719998</v>
      </c>
      <c r="E3" s="45">
        <f t="shared" si="0"/>
        <v>80220.71619497046</v>
      </c>
      <c r="F3" s="45">
        <f t="shared" si="0"/>
        <v>85017.915023429698</v>
      </c>
      <c r="G3" s="45">
        <f t="shared" si="0"/>
        <v>90101.986341830794</v>
      </c>
      <c r="H3" s="45">
        <f t="shared" si="0"/>
        <v>95153.103696153834</v>
      </c>
      <c r="I3" s="45">
        <f t="shared" si="0"/>
        <v>100131.51408153659</v>
      </c>
      <c r="J3" s="45">
        <f t="shared" si="0"/>
        <v>104995.90303561764</v>
      </c>
      <c r="K3" s="45">
        <f t="shared" si="0"/>
        <v>109703.91932773474</v>
      </c>
      <c r="L3" s="45">
        <f t="shared" si="0"/>
        <v>114212.75041210462</v>
      </c>
      <c r="M3" s="440">
        <f>L3*(1+M2)</f>
        <v>118906.89445404211</v>
      </c>
    </row>
    <row r="4" spans="1:14" ht="15" customHeight="1">
      <c r="A4" s="32" t="s">
        <v>20</v>
      </c>
      <c r="B4" s="46">
        <f ca="1">B5/B3</f>
        <v>0.13960374310331589</v>
      </c>
      <c r="C4" s="42">
        <f>'Input sheet'!B26</f>
        <v>0.1396</v>
      </c>
      <c r="D4" s="42">
        <f>IF(D1&gt;'Input sheet'!$B$29,'Input sheet'!$B$28,'Input sheet'!$B$28-(('Input sheet'!$B$28-$C$4)/'Input sheet'!$B$29)*('Input sheet'!$B$29-D1))</f>
        <v>0.13605333333333333</v>
      </c>
      <c r="E4" s="42">
        <f>IF(E1&gt;'Input sheet'!$B$29,'Input sheet'!$B$28,'Input sheet'!$B$28-(('Input sheet'!$B$28-$C$4)/'Input sheet'!$B$29)*('Input sheet'!$B$29-E1))</f>
        <v>0.13428000000000001</v>
      </c>
      <c r="F4" s="42">
        <f>IF(F1&gt;'Input sheet'!$B$29,'Input sheet'!$B$28,'Input sheet'!$B$28-(('Input sheet'!$B$28-$C$4)/'Input sheet'!$B$29)*('Input sheet'!$B$29-F1))</f>
        <v>0.13250666666666666</v>
      </c>
      <c r="G4" s="42">
        <f>IF(G1&gt;'Input sheet'!$B$29,'Input sheet'!$B$28,'Input sheet'!$B$28-(('Input sheet'!$B$28-$C$4)/'Input sheet'!$B$29)*('Input sheet'!$B$29-G1))</f>
        <v>0.13073333333333334</v>
      </c>
      <c r="H4" s="42">
        <f>IF(H1&gt;'Input sheet'!$B$29,'Input sheet'!$B$28,'Input sheet'!$B$28-(('Input sheet'!$B$28-$C$4)/'Input sheet'!$B$29)*('Input sheet'!$B$29-H1))</f>
        <v>0.12895999999999999</v>
      </c>
      <c r="I4" s="42">
        <f>IF(I1&gt;'Input sheet'!$B$29,'Input sheet'!$B$28,'Input sheet'!$B$28-(('Input sheet'!$B$28-$C$4)/'Input sheet'!$B$29)*('Input sheet'!$B$29-I1))</f>
        <v>0.12718666666666667</v>
      </c>
      <c r="J4" s="42">
        <f>IF(J1&gt;'Input sheet'!$B$29,'Input sheet'!$B$28,'Input sheet'!$B$28-(('Input sheet'!$B$28-$C$4)/'Input sheet'!$B$29)*('Input sheet'!$B$29-J1))</f>
        <v>0.12541333333333332</v>
      </c>
      <c r="K4" s="42">
        <f>IF(K1&gt;'Input sheet'!$B$29,'Input sheet'!$B$28,'Input sheet'!$B$28-(('Input sheet'!$B$28-$C$4)/'Input sheet'!$B$29)*('Input sheet'!$B$29-K1))</f>
        <v>0.12364</v>
      </c>
      <c r="L4" s="42">
        <f>IF(L1&gt;'Input sheet'!$B$29,'Input sheet'!$B$28,'Input sheet'!$B$28-(('Input sheet'!$B$28-$C$4)/'Input sheet'!$B$29)*('Input sheet'!$B$29-L1))</f>
        <v>0.12186666666666666</v>
      </c>
      <c r="M4" s="43">
        <f>L4</f>
        <v>0.12186666666666666</v>
      </c>
    </row>
    <row r="5" spans="1:14" ht="15" customHeight="1">
      <c r="A5" s="32" t="s">
        <v>19</v>
      </c>
      <c r="B5" s="44">
        <f ca="1">IF('Input sheet'!B16="Yes",IF('Input sheet'!B15="Yes",'Input sheet'!B11+'Operating lease converter'!F32+'R&amp; D converter'!D39,'Input sheet'!B11+'Operating lease converter'!F32),IF('Input sheet'!B15="Yes",'Input sheet'!B11+'R&amp; D converter'!D39,'Input sheet'!B11))</f>
        <v>9408.3150589617671</v>
      </c>
      <c r="C5" s="45">
        <f t="shared" ref="C5:M5" si="1">C4*C3</f>
        <v>9970.6649554399992</v>
      </c>
      <c r="D5" s="45">
        <f t="shared" si="1"/>
        <v>10298.448613618652</v>
      </c>
      <c r="E5" s="45">
        <f t="shared" si="1"/>
        <v>10772.037770660634</v>
      </c>
      <c r="F5" s="45">
        <f t="shared" si="1"/>
        <v>11265.440526704591</v>
      </c>
      <c r="G5" s="45">
        <f t="shared" si="1"/>
        <v>11779.333014422013</v>
      </c>
      <c r="H5" s="45">
        <f t="shared" si="1"/>
        <v>12270.944252655998</v>
      </c>
      <c r="I5" s="45">
        <f t="shared" si="1"/>
        <v>12735.393504317033</v>
      </c>
      <c r="J5" s="45">
        <f t="shared" si="1"/>
        <v>13167.886186040259</v>
      </c>
      <c r="K5" s="45">
        <f t="shared" si="1"/>
        <v>13563.792585681123</v>
      </c>
      <c r="L5" s="45">
        <f t="shared" si="1"/>
        <v>13918.727183555149</v>
      </c>
      <c r="M5" s="440">
        <f t="shared" si="1"/>
        <v>14490.786870799264</v>
      </c>
      <c r="N5" s="441">
        <f ca="1">M5-B5</f>
        <v>5082.4718118374967</v>
      </c>
    </row>
    <row r="6" spans="1:14" ht="15" customHeight="1">
      <c r="A6" s="32" t="s">
        <v>130</v>
      </c>
      <c r="B6" s="47">
        <f>'Input sheet'!B22</f>
        <v>0.15859999999999999</v>
      </c>
      <c r="C6" s="48">
        <f>B6</f>
        <v>0.15859999999999999</v>
      </c>
      <c r="D6" s="48">
        <f>C6</f>
        <v>0.15859999999999999</v>
      </c>
      <c r="E6" s="48">
        <f>D6</f>
        <v>0.15859999999999999</v>
      </c>
      <c r="F6" s="48">
        <f>E6</f>
        <v>0.15859999999999999</v>
      </c>
      <c r="G6" s="48">
        <f>F6</f>
        <v>0.15859999999999999</v>
      </c>
      <c r="H6" s="48">
        <f>G6+($M$6-$G$6)/5</f>
        <v>0.16888</v>
      </c>
      <c r="I6" s="48">
        <f>H6+($M$6-$G$6)/5</f>
        <v>0.17916000000000001</v>
      </c>
      <c r="J6" s="48">
        <f>I6+($M$6-$G$6)/5</f>
        <v>0.18944000000000003</v>
      </c>
      <c r="K6" s="48">
        <f>J6+($M$6-$G$6)/5</f>
        <v>0.19972000000000004</v>
      </c>
      <c r="L6" s="48">
        <f>K6+($M$6-$G$6)/5</f>
        <v>0.21000000000000005</v>
      </c>
      <c r="M6" s="48">
        <f>IF('Input sheet'!B58="Yes",'Input sheet'!B22,'Input sheet'!B23)</f>
        <v>0.21</v>
      </c>
    </row>
    <row r="7" spans="1:14" ht="15" customHeight="1">
      <c r="A7" s="32" t="s">
        <v>6</v>
      </c>
      <c r="B7" s="44">
        <f ca="1">IF(B5&gt;0,B5*(1-B6),B5)</f>
        <v>7916.1562906104309</v>
      </c>
      <c r="C7" s="45">
        <f>IF(C5&gt;0,IF(C5&lt;B10,C5,C5-(C5-B10)*C6),C5)</f>
        <v>8389.3174935072147</v>
      </c>
      <c r="D7" s="45">
        <f t="shared" ref="D7:L7" si="2">IF(D5&gt;0,IF(D5&lt;C10,D5,D5-(D5-C10)*D6),D5)</f>
        <v>8665.1146634987344</v>
      </c>
      <c r="E7" s="45">
        <f t="shared" si="2"/>
        <v>9063.592580233857</v>
      </c>
      <c r="F7" s="45">
        <f t="shared" si="2"/>
        <v>9478.7416591692436</v>
      </c>
      <c r="G7" s="45">
        <f t="shared" si="2"/>
        <v>9911.1307983346815</v>
      </c>
      <c r="H7" s="45">
        <f t="shared" si="2"/>
        <v>10198.627187267453</v>
      </c>
      <c r="I7" s="45">
        <f t="shared" si="2"/>
        <v>10453.720404083593</v>
      </c>
      <c r="J7" s="45">
        <f t="shared" si="2"/>
        <v>10673.361826956792</v>
      </c>
      <c r="K7" s="45">
        <f t="shared" si="2"/>
        <v>10854.831930468888</v>
      </c>
      <c r="L7" s="45">
        <f t="shared" si="2"/>
        <v>10995.794475008566</v>
      </c>
      <c r="M7" s="45">
        <f>M5*(1-M6)</f>
        <v>11447.72162793142</v>
      </c>
    </row>
    <row r="8" spans="1:14" ht="15" customHeight="1">
      <c r="A8" s="32" t="s">
        <v>9</v>
      </c>
      <c r="B8" s="44"/>
      <c r="C8" s="45">
        <f>IF('Input sheet'!$B$55="No",(D3-C3)/C38,IF('Input sheet'!$B$56=0,(C3-B3)/C38,IF('Input sheet'!$B$56=2,(E3-D3)/C38,IF('Input sheet'!$B$56=3,(F3-E3)/C38,(D3-C3)/C38))))</f>
        <v>2005.2119547981215</v>
      </c>
      <c r="D8" s="45">
        <f>IF('Input sheet'!$B$55="No",(E3-D3)/D38,IF('Input sheet'!$B$56=0,(D3-C3)/D38,IF('Input sheet'!$B$56=2,(F3-E3)/D38,IF('Input sheet'!$B$56=3,(G3-F3)/D38,(E3-D3)/D38))))</f>
        <v>2125.1236296950528</v>
      </c>
      <c r="E8" s="45">
        <f>IF('Input sheet'!$B$55="No",(F3-E3)/E38,IF('Input sheet'!$B$56=0,(E3-D3)/E38,IF('Input sheet'!$B$56=2,(G3-F3)/E38,IF('Input sheet'!$B$56=3,(H3-G3)/E38,(F3-E3)/E38))))</f>
        <v>2252.2060227508155</v>
      </c>
      <c r="F8" s="45">
        <f>IF('Input sheet'!$B$55="No",(G3-F3)/F38,IF('Input sheet'!$B$56=0,(F3-E3)/F38,IF('Input sheet'!$B$56=2,(H3-G3)/F38,IF('Input sheet'!$B$56=3,(I3-H3)/F38,(G3-F3)/F38))))</f>
        <v>2386.8879429113131</v>
      </c>
      <c r="G8" s="45">
        <f>IF('Input sheet'!$B$55="No",(H3-G3)/G38,IF('Input sheet'!$B$56=0,(G3-F3)/G38,IF('Input sheet'!$B$56=2,(I3-H3)/G38,IF('Input sheet'!$B$56=3,(J3-I3)/G38,(H3-G3)/G38))))</f>
        <v>2672.5488647211851</v>
      </c>
      <c r="H8" s="45">
        <f>IF('Input sheet'!$B$55="No",(I3-H3)/H38,IF('Input sheet'!$B$56=0,(H3-G3)/H38,IF('Input sheet'!$B$56=2,(J3-I3)/H38,IF('Input sheet'!$B$56=3,(K3-J3)/H38,(I3-H3)/H38))))</f>
        <v>2634.0795689855845</v>
      </c>
      <c r="I8" s="45">
        <f>IF('Input sheet'!$B$55="No",(J3-I3)/I38,IF('Input sheet'!$B$56=0,(I3-H3)/I38,IF('Input sheet'!$B$56=2,(K3-J3)/I38,IF('Input sheet'!$B$56=3,(L3-K3)/I38,(J3-I3)/I38))))</f>
        <v>2573.7507693550524</v>
      </c>
      <c r="J8" s="45">
        <f>IF('Input sheet'!$B$55="No",(K3-J3)/J38,IF('Input sheet'!$B$56=0,(J3-I3)/J38,IF('Input sheet'!$B$56=2,(L3-K3)/J38,IF('Input sheet'!$B$56=3,(M3-L3)/J38,(K3-J3)/J38))))</f>
        <v>2491.0139111730687</v>
      </c>
      <c r="K8" s="45">
        <f>IF('Input sheet'!$B$55="No",(L3-K3)/K38,IF('Input sheet'!$B$56=0,(K3-J3)/K38,IF('Input sheet'!$B$56=2,L3*L2/K38,IF('Input sheet'!$B$56=3,M3*M2/K38,(L3-K3)/K38))))</f>
        <v>2385.6249123650191</v>
      </c>
      <c r="L8" s="45">
        <f>IF('Input sheet'!$B$55="No",(M3-L3)/L38,IF('Input sheet'!$B$56=0,(L3-K3)/L38,IF('Input sheet'!$B$56=2,M3*M2/L38,IF('Input sheet'!$B$56=3,K8*(1+M2),(M3-L3)/L38))))</f>
        <v>2483.6740962632198</v>
      </c>
      <c r="M8" s="49">
        <f>IF(M2&gt;0,(M2/M40)*M7,0)</f>
        <v>3244.8369579860773</v>
      </c>
      <c r="N8" s="441">
        <f>SUM(C8:M8)</f>
        <v>27254.958631004512</v>
      </c>
    </row>
    <row r="9" spans="1:14" ht="15" customHeight="1">
      <c r="A9" s="32" t="s">
        <v>10</v>
      </c>
      <c r="B9" s="44"/>
      <c r="C9" s="45">
        <f t="shared" ref="C9:L9" si="3">C7-C8</f>
        <v>6384.1055387090928</v>
      </c>
      <c r="D9" s="45">
        <f t="shared" si="3"/>
        <v>6539.9910338036816</v>
      </c>
      <c r="E9" s="45">
        <f t="shared" si="3"/>
        <v>6811.3865574830415</v>
      </c>
      <c r="F9" s="45">
        <f t="shared" si="3"/>
        <v>7091.8537162579305</v>
      </c>
      <c r="G9" s="45">
        <f t="shared" si="3"/>
        <v>7238.5819336134964</v>
      </c>
      <c r="H9" s="45">
        <f t="shared" si="3"/>
        <v>7564.5476182818693</v>
      </c>
      <c r="I9" s="45">
        <f t="shared" si="3"/>
        <v>7879.9696347285408</v>
      </c>
      <c r="J9" s="45">
        <f t="shared" si="3"/>
        <v>8182.3479157837237</v>
      </c>
      <c r="K9" s="45">
        <f t="shared" si="3"/>
        <v>8469.2070181038689</v>
      </c>
      <c r="L9" s="45">
        <f t="shared" si="3"/>
        <v>8512.1203787453469</v>
      </c>
      <c r="M9" s="49">
        <f>M7-M8</f>
        <v>8202.8846699453425</v>
      </c>
    </row>
    <row r="10" spans="1:14" ht="15" customHeight="1">
      <c r="A10" s="32" t="s">
        <v>41</v>
      </c>
      <c r="B10" s="44">
        <f>IF('Input sheet'!B60="Yes",'Input sheet'!B61,0)</f>
        <v>0</v>
      </c>
      <c r="C10" s="45">
        <f>IF(C5&lt;0,B10-C5,IF(B10&gt;C5,B10-C5,0))</f>
        <v>0</v>
      </c>
      <c r="D10" s="45">
        <f t="shared" ref="D10:M10" si="4">IF(D5&lt;0,C10-D5,IF(C10&gt;D5,C10-D5,0))</f>
        <v>0</v>
      </c>
      <c r="E10" s="45">
        <f t="shared" si="4"/>
        <v>0</v>
      </c>
      <c r="F10" s="45">
        <f t="shared" si="4"/>
        <v>0</v>
      </c>
      <c r="G10" s="45">
        <f t="shared" si="4"/>
        <v>0</v>
      </c>
      <c r="H10" s="45">
        <f t="shared" si="4"/>
        <v>0</v>
      </c>
      <c r="I10" s="45">
        <f t="shared" si="4"/>
        <v>0</v>
      </c>
      <c r="J10" s="45">
        <f t="shared" si="4"/>
        <v>0</v>
      </c>
      <c r="K10" s="45">
        <f t="shared" si="4"/>
        <v>0</v>
      </c>
      <c r="L10" s="45">
        <f t="shared" si="4"/>
        <v>0</v>
      </c>
      <c r="M10" s="45">
        <f t="shared" si="4"/>
        <v>0</v>
      </c>
    </row>
    <row r="11" spans="1:14" ht="15" customHeight="1">
      <c r="B11" s="41"/>
      <c r="C11" s="50"/>
      <c r="D11" s="50"/>
      <c r="E11" s="50"/>
      <c r="F11" s="50"/>
      <c r="G11" s="50"/>
      <c r="H11" s="50"/>
      <c r="I11" s="50"/>
      <c r="J11" s="50"/>
      <c r="K11" s="50"/>
      <c r="L11" s="50"/>
      <c r="M11" s="50"/>
    </row>
    <row r="12" spans="1:14" ht="15" customHeight="1">
      <c r="A12" s="32" t="s">
        <v>135</v>
      </c>
      <c r="B12" s="46"/>
      <c r="C12" s="42">
        <f ca="1">'Input sheet'!B34</f>
        <v>9.9503321400523079E-2</v>
      </c>
      <c r="D12" s="42">
        <f ca="1">C12</f>
        <v>9.9503321400523079E-2</v>
      </c>
      <c r="E12" s="42">
        <f ca="1">D12</f>
        <v>9.9503321400523079E-2</v>
      </c>
      <c r="F12" s="42">
        <f ca="1">E12</f>
        <v>9.9503321400523079E-2</v>
      </c>
      <c r="G12" s="42">
        <f ca="1">F12</f>
        <v>9.9503321400523079E-2</v>
      </c>
      <c r="H12" s="42">
        <f ca="1">G12-($G$12-$M$12)/5</f>
        <v>9.7642657120418461E-2</v>
      </c>
      <c r="I12" s="42">
        <f ca="1">H12-($G$12-$M$12)/5</f>
        <v>9.5781992840313843E-2</v>
      </c>
      <c r="J12" s="42">
        <f ca="1">I12-($G$12-$M$12)/5</f>
        <v>9.3921328560209225E-2</v>
      </c>
      <c r="K12" s="42">
        <f ca="1">J12-($G$12-$M$12)/5</f>
        <v>9.2060664280104607E-2</v>
      </c>
      <c r="L12" s="42">
        <f ca="1">K12-($G$12-$M$12)/5</f>
        <v>9.0199999999999989E-2</v>
      </c>
      <c r="M12" s="43">
        <f>IF('Input sheet'!B44="Yes",'Input sheet'!B45,IF('Input sheet'!B63="Yes",'Input sheet'!B64+'Country equity risk premiums'!B1,'Input sheet'!B33+'Country equity risk premiums'!B1))</f>
        <v>9.0200000000000002E-2</v>
      </c>
    </row>
    <row r="13" spans="1:14" ht="15" customHeight="1">
      <c r="A13" s="32" t="s">
        <v>136</v>
      </c>
      <c r="B13" s="41"/>
      <c r="C13" s="80">
        <f ca="1">1/(1+C12)</f>
        <v>0.90950157269759058</v>
      </c>
      <c r="D13" s="80">
        <f ca="1">C13*(1/(1+D12))</f>
        <v>0.82719311073939061</v>
      </c>
      <c r="E13" s="80">
        <f t="shared" ref="E13:L13" ca="1" si="5">D13*(1/(1+E12))</f>
        <v>0.75233343514208795</v>
      </c>
      <c r="F13" s="80">
        <f t="shared" ca="1" si="5"/>
        <v>0.68424844245470973</v>
      </c>
      <c r="G13" s="80">
        <f t="shared" ca="1" si="5"/>
        <v>0.62232503452843535</v>
      </c>
      <c r="H13" s="80">
        <f t="shared" ca="1" si="5"/>
        <v>0.5669650596133512</v>
      </c>
      <c r="I13" s="80">
        <f t="shared" ca="1" si="5"/>
        <v>0.51740680474567158</v>
      </c>
      <c r="J13" s="80">
        <f t="shared" ca="1" si="5"/>
        <v>0.47298356036870493</v>
      </c>
      <c r="K13" s="80">
        <f t="shared" ca="1" si="5"/>
        <v>0.43311106776334596</v>
      </c>
      <c r="L13" s="80">
        <f t="shared" ca="1" si="5"/>
        <v>0.39727670864368553</v>
      </c>
      <c r="M13" s="50"/>
    </row>
    <row r="14" spans="1:14" ht="15" customHeight="1">
      <c r="A14" s="32" t="s">
        <v>15</v>
      </c>
      <c r="B14" s="41"/>
      <c r="C14" s="45">
        <f t="shared" ref="C14:L14" ca="1" si="6">C9*C13</f>
        <v>5806.3540277233187</v>
      </c>
      <c r="D14" s="45">
        <f t="shared" ca="1" si="6"/>
        <v>5409.8355274597907</v>
      </c>
      <c r="E14" s="45">
        <f t="shared" ca="1" si="6"/>
        <v>5124.4338468718579</v>
      </c>
      <c r="F14" s="45">
        <f t="shared" ca="1" si="6"/>
        <v>4852.5898594661339</v>
      </c>
      <c r="G14" s="45">
        <f t="shared" ca="1" si="6"/>
        <v>4504.7507517729273</v>
      </c>
      <c r="H14" s="45">
        <f t="shared" ca="1" si="6"/>
        <v>4288.8341913472141</v>
      </c>
      <c r="I14" s="45">
        <f t="shared" ca="1" si="6"/>
        <v>4077.1499101978111</v>
      </c>
      <c r="J14" s="45">
        <f t="shared" ca="1" si="6"/>
        <v>3870.1160493828379</v>
      </c>
      <c r="K14" s="45">
        <f t="shared" ca="1" si="6"/>
        <v>3668.1072947197899</v>
      </c>
      <c r="L14" s="45">
        <f t="shared" ca="1" si="6"/>
        <v>3381.6671676467931</v>
      </c>
      <c r="M14" s="50"/>
    </row>
    <row r="15" spans="1:14" ht="15" customHeight="1"/>
    <row r="16" spans="1:14" ht="15" customHeight="1">
      <c r="A16" s="31" t="s">
        <v>16</v>
      </c>
      <c r="B16" s="44">
        <f>M9</f>
        <v>8202.8846699453425</v>
      </c>
    </row>
    <row r="17" spans="1:13" ht="15" customHeight="1">
      <c r="A17" s="31" t="s">
        <v>132</v>
      </c>
      <c r="B17" s="46">
        <f>M12</f>
        <v>9.0200000000000002E-2</v>
      </c>
      <c r="D17" s="445"/>
    </row>
    <row r="18" spans="1:13">
      <c r="A18" s="31" t="s">
        <v>17</v>
      </c>
      <c r="B18" s="44">
        <f>B16/(B17-M2)</f>
        <v>167064.86089501713</v>
      </c>
      <c r="D18" s="446"/>
      <c r="M18" s="445"/>
    </row>
    <row r="19" spans="1:13">
      <c r="A19" s="31" t="s">
        <v>18</v>
      </c>
      <c r="B19" s="51">
        <f ca="1">B18*L13</f>
        <v>66370.978066387572</v>
      </c>
      <c r="D19" s="445"/>
    </row>
    <row r="20" spans="1:13">
      <c r="A20" s="31" t="s">
        <v>39</v>
      </c>
      <c r="B20" s="51">
        <f ca="1">SUM(C14:L14)</f>
        <v>44983.838626588476</v>
      </c>
    </row>
    <row r="21" spans="1:13">
      <c r="A21" s="31" t="s">
        <v>40</v>
      </c>
      <c r="B21" s="51">
        <f ca="1">B19+B20</f>
        <v>111354.81669297605</v>
      </c>
    </row>
    <row r="22" spans="1:13">
      <c r="A22" s="31" t="s">
        <v>100</v>
      </c>
      <c r="B22" s="52">
        <f>IF('Input sheet'!B50="Yes",'Input sheet'!B51,0)</f>
        <v>0</v>
      </c>
      <c r="E22" s="445"/>
    </row>
    <row r="23" spans="1:13">
      <c r="A23" s="31" t="s">
        <v>101</v>
      </c>
      <c r="B23" s="53">
        <f ca="1">IF('Input sheet'!B52="B",('Input sheet'!B13+'Input sheet'!B14)*'Input sheet'!B53,'Valuation output'!B21*'Input sheet'!B53)</f>
        <v>55677.408346488024</v>
      </c>
    </row>
    <row r="24" spans="1:13">
      <c r="A24" s="31" t="s">
        <v>37</v>
      </c>
      <c r="B24" s="44">
        <f ca="1">B21*(1-B22)+B23*B22</f>
        <v>111354.81669297605</v>
      </c>
    </row>
    <row r="25" spans="1:13">
      <c r="A25" s="31" t="s">
        <v>370</v>
      </c>
      <c r="B25" s="44">
        <f ca="1">IF('Input sheet'!B16="Yes",'Input sheet'!B14+'Operating lease converter'!C28,'Input sheet'!B14)</f>
        <v>18837.679528305867</v>
      </c>
    </row>
    <row r="26" spans="1:13">
      <c r="A26" s="31" t="s">
        <v>372</v>
      </c>
      <c r="B26" s="44">
        <f>'Input sheet'!B19</f>
        <v>0</v>
      </c>
    </row>
    <row r="27" spans="1:13">
      <c r="A27" s="31" t="s">
        <v>369</v>
      </c>
      <c r="B27" s="44">
        <f>IF('Input sheet'!B69="YES",'Input sheet'!B17-'Input sheet'!B70*('Input sheet'!B23-'Input sheet'!B71),'Input sheet'!B17)</f>
        <v>3673</v>
      </c>
    </row>
    <row r="28" spans="1:13">
      <c r="A28" s="31" t="s">
        <v>368</v>
      </c>
      <c r="B28" s="44">
        <f>'Input sheet'!B18</f>
        <v>2348</v>
      </c>
    </row>
    <row r="29" spans="1:13">
      <c r="A29" s="31" t="s">
        <v>45</v>
      </c>
      <c r="B29" s="51">
        <f ca="1">B24-B25-B26+B27+B28</f>
        <v>98538.137164670188</v>
      </c>
    </row>
    <row r="30" spans="1:13">
      <c r="A30" s="31" t="s">
        <v>50</v>
      </c>
      <c r="B30" s="54">
        <f>IF('Input sheet'!B36="No",0,'Option value'!B29)</f>
        <v>0</v>
      </c>
    </row>
    <row r="31" spans="1:13">
      <c r="A31" s="31" t="s">
        <v>51</v>
      </c>
      <c r="B31" s="51">
        <f ca="1">B29-B30</f>
        <v>98538.137164670188</v>
      </c>
    </row>
    <row r="32" spans="1:13">
      <c r="A32" s="31" t="s">
        <v>7</v>
      </c>
      <c r="B32" s="55">
        <f>'Input sheet'!B20</f>
        <v>251.83068399999999</v>
      </c>
    </row>
    <row r="33" spans="1:13">
      <c r="A33" s="31" t="s">
        <v>85</v>
      </c>
      <c r="B33" s="56">
        <f ca="1">B31/B32</f>
        <v>391.28725538731487</v>
      </c>
    </row>
    <row r="34" spans="1:13">
      <c r="A34" s="31" t="s">
        <v>91</v>
      </c>
      <c r="B34" s="44">
        <f>'Input sheet'!B21</f>
        <v>448.18</v>
      </c>
    </row>
    <row r="35" spans="1:13">
      <c r="A35" s="31" t="s">
        <v>43</v>
      </c>
      <c r="B35" s="47">
        <f ca="1">B34/B33</f>
        <v>1.1453989206890216</v>
      </c>
    </row>
    <row r="36" spans="1:13">
      <c r="B36" s="30" t="s">
        <v>8</v>
      </c>
      <c r="C36" s="30">
        <v>1</v>
      </c>
      <c r="D36" s="30">
        <v>2</v>
      </c>
      <c r="E36" s="30">
        <v>3</v>
      </c>
      <c r="F36" s="30">
        <v>4</v>
      </c>
      <c r="G36" s="30">
        <v>5</v>
      </c>
      <c r="H36" s="30">
        <v>6</v>
      </c>
      <c r="I36" s="30">
        <v>7</v>
      </c>
      <c r="J36" s="30">
        <v>8</v>
      </c>
      <c r="K36" s="30">
        <v>9</v>
      </c>
      <c r="L36" s="30">
        <v>10</v>
      </c>
      <c r="M36" s="34" t="s">
        <v>38</v>
      </c>
    </row>
    <row r="37" spans="1:13">
      <c r="A37" s="33" t="s">
        <v>11</v>
      </c>
      <c r="B37" s="41"/>
      <c r="C37" s="50"/>
      <c r="D37" s="50"/>
      <c r="E37" s="50"/>
      <c r="F37" s="50"/>
      <c r="G37" s="50"/>
      <c r="H37" s="50"/>
      <c r="I37" s="50"/>
      <c r="J37" s="50"/>
      <c r="K37" s="50"/>
      <c r="L37" s="50"/>
      <c r="M37" s="50" t="s">
        <v>36</v>
      </c>
    </row>
    <row r="38" spans="1:13">
      <c r="A38" s="31" t="s">
        <v>31</v>
      </c>
      <c r="B38" s="41"/>
      <c r="C38" s="57">
        <f>'Input sheet'!B30</f>
        <v>2.13</v>
      </c>
      <c r="D38" s="57">
        <f>'Input sheet'!B30</f>
        <v>2.13</v>
      </c>
      <c r="E38" s="57">
        <f t="shared" ref="E38:L38" si="7">D38</f>
        <v>2.13</v>
      </c>
      <c r="F38" s="57">
        <f t="shared" si="7"/>
        <v>2.13</v>
      </c>
      <c r="G38" s="57">
        <f>'Input sheet'!B31</f>
        <v>1.89</v>
      </c>
      <c r="H38" s="57">
        <f t="shared" si="7"/>
        <v>1.89</v>
      </c>
      <c r="I38" s="57">
        <f t="shared" si="7"/>
        <v>1.89</v>
      </c>
      <c r="J38" s="57">
        <f t="shared" si="7"/>
        <v>1.89</v>
      </c>
      <c r="K38" s="57">
        <f t="shared" si="7"/>
        <v>1.89</v>
      </c>
      <c r="L38" s="57">
        <f t="shared" si="7"/>
        <v>1.89</v>
      </c>
      <c r="M38" s="50"/>
    </row>
    <row r="39" spans="1:13">
      <c r="A39" s="31" t="s">
        <v>12</v>
      </c>
      <c r="B39" s="58">
        <f ca="1">IF('Input sheet'!B16="Yes",IF('Input sheet'!B15="Yes",'Input sheet'!B13+'Input sheet'!B14-'Input sheet'!B17+'Operating lease converter'!F33+'R&amp; D converter'!D35,'Input sheet'!B13+'Input sheet'!B14-'Input sheet'!B17+'Operating lease converter'!F33),IF('Input sheet'!B15="Yes",'Input sheet'!B13+'Input sheet'!B14-'Input sheet'!B17+'R&amp; D converter'!D35,'Input sheet'!B13+'Input sheet'!B14-'Input sheet'!B17))</f>
        <v>31651.479528305867</v>
      </c>
      <c r="C39" s="59">
        <f t="shared" ref="C39:L39" ca="1" si="8">B39+C8</f>
        <v>33656.69148310399</v>
      </c>
      <c r="D39" s="59">
        <f t="shared" ca="1" si="8"/>
        <v>35781.815112799042</v>
      </c>
      <c r="E39" s="59">
        <f t="shared" ca="1" si="8"/>
        <v>38034.021135549861</v>
      </c>
      <c r="F39" s="59">
        <f t="shared" ca="1" si="8"/>
        <v>40420.909078461176</v>
      </c>
      <c r="G39" s="59">
        <f t="shared" ca="1" si="8"/>
        <v>43093.457943182359</v>
      </c>
      <c r="H39" s="59">
        <f t="shared" ca="1" si="8"/>
        <v>45727.537512167946</v>
      </c>
      <c r="I39" s="59">
        <f t="shared" ca="1" si="8"/>
        <v>48301.288281522997</v>
      </c>
      <c r="J39" s="59">
        <f t="shared" ca="1" si="8"/>
        <v>50792.302192696065</v>
      </c>
      <c r="K39" s="59">
        <f t="shared" ca="1" si="8"/>
        <v>53177.927105061084</v>
      </c>
      <c r="L39" s="59">
        <f t="shared" ca="1" si="8"/>
        <v>55661.601201324302</v>
      </c>
      <c r="M39" s="50"/>
    </row>
    <row r="40" spans="1:13">
      <c r="A40" s="31" t="s">
        <v>13</v>
      </c>
      <c r="B40" s="46">
        <f t="shared" ref="B40" ca="1" si="9">B7/B39</f>
        <v>0.25010383111889051</v>
      </c>
      <c r="C40" s="42">
        <f ca="1">C7/B39</f>
        <v>0.26505293333932972</v>
      </c>
      <c r="D40" s="42">
        <f t="shared" ref="D40:L40" ca="1" si="10">D7/C39</f>
        <v>0.25745592575101189</v>
      </c>
      <c r="E40" s="42">
        <f t="shared" ca="1" si="10"/>
        <v>0.25330164363271329</v>
      </c>
      <c r="F40" s="42">
        <f t="shared" ca="1" si="10"/>
        <v>0.24921744733189932</v>
      </c>
      <c r="G40" s="42">
        <f t="shared" ca="1" si="10"/>
        <v>0.24519811712042766</v>
      </c>
      <c r="H40" s="42">
        <f t="shared" ca="1" si="10"/>
        <v>0.2366630034822011</v>
      </c>
      <c r="I40" s="42">
        <f t="shared" ca="1" si="10"/>
        <v>0.22860886399802072</v>
      </c>
      <c r="J40" s="42">
        <f t="shared" ca="1" si="10"/>
        <v>0.2209746821812979</v>
      </c>
      <c r="K40" s="42">
        <f t="shared" ca="1" si="10"/>
        <v>0.2137101777605547</v>
      </c>
      <c r="L40" s="42">
        <f t="shared" ca="1" si="10"/>
        <v>0.20677365729741029</v>
      </c>
      <c r="M40" s="42">
        <f>IF('Input sheet'!B47="Yes",'Input sheet'!B48,'Valuation output'!L12)</f>
        <v>0.14500000000000002</v>
      </c>
    </row>
  </sheetData>
  <phoneticPr fontId="8" type="noConversion"/>
  <pageMargins left="0.75" right="0.75" top="1" bottom="1" header="0.5" footer="0.5"/>
  <pageSetup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D13" sqref="D13:E13"/>
    </sheetView>
  </sheetViews>
  <sheetFormatPr defaultColWidth="11.19921875" defaultRowHeight="15.5"/>
  <cols>
    <col min="1" max="1" width="20.296875" style="133" customWidth="1"/>
    <col min="2" max="2" width="19.5" style="133" customWidth="1"/>
    <col min="3" max="3" width="17.69921875" style="133" customWidth="1"/>
    <col min="4" max="4" width="16.5" style="133" customWidth="1"/>
    <col min="5" max="5" width="19.19921875" style="133" customWidth="1"/>
    <col min="6" max="6" width="24.69921875" style="135" customWidth="1"/>
    <col min="7" max="7" width="37.296875" style="133" customWidth="1"/>
    <col min="8" max="8" width="17" customWidth="1"/>
    <col min="13" max="13" width="12.5" bestFit="1" customWidth="1"/>
  </cols>
  <sheetData>
    <row r="1" spans="1:11">
      <c r="A1" s="494" t="str">
        <f>'Input sheet'!B4</f>
        <v>Lockheed Martin</v>
      </c>
      <c r="B1" s="495"/>
      <c r="C1" s="495"/>
      <c r="D1" s="495"/>
      <c r="E1" s="495"/>
      <c r="F1" s="496"/>
      <c r="G1" s="163">
        <f>'Input sheet'!B3</f>
        <v>43708</v>
      </c>
    </row>
    <row r="2" spans="1:11">
      <c r="A2" s="548" t="s">
        <v>660</v>
      </c>
      <c r="B2" s="548"/>
      <c r="C2" s="548"/>
      <c r="D2" s="548"/>
      <c r="E2" s="548"/>
      <c r="F2" s="548"/>
      <c r="G2" s="548"/>
    </row>
    <row r="3" spans="1:11" ht="16" customHeight="1">
      <c r="A3" s="503" t="s">
        <v>661</v>
      </c>
      <c r="B3" s="504"/>
      <c r="C3" s="504"/>
      <c r="D3" s="504"/>
      <c r="E3" s="504"/>
      <c r="F3" s="504"/>
      <c r="G3" s="505"/>
      <c r="H3" s="512" t="s">
        <v>528</v>
      </c>
      <c r="I3" s="513"/>
      <c r="J3" s="513"/>
      <c r="K3" s="514"/>
    </row>
    <row r="4" spans="1:11" ht="16" customHeight="1">
      <c r="A4" s="506"/>
      <c r="B4" s="507"/>
      <c r="C4" s="507"/>
      <c r="D4" s="507"/>
      <c r="E4" s="507"/>
      <c r="F4" s="507"/>
      <c r="G4" s="508"/>
      <c r="H4" s="515"/>
      <c r="I4" s="516"/>
      <c r="J4" s="516"/>
      <c r="K4" s="517"/>
    </row>
    <row r="5" spans="1:11" ht="12" customHeight="1">
      <c r="A5" s="506"/>
      <c r="B5" s="507"/>
      <c r="C5" s="507"/>
      <c r="D5" s="507"/>
      <c r="E5" s="507"/>
      <c r="F5" s="507"/>
      <c r="G5" s="508"/>
      <c r="H5" s="515"/>
      <c r="I5" s="516"/>
      <c r="J5" s="516"/>
      <c r="K5" s="517"/>
    </row>
    <row r="6" spans="1:11" ht="17" customHeight="1">
      <c r="A6" s="509"/>
      <c r="B6" s="510"/>
      <c r="C6" s="510"/>
      <c r="D6" s="510"/>
      <c r="E6" s="510"/>
      <c r="F6" s="510"/>
      <c r="G6" s="511"/>
      <c r="H6" s="518"/>
      <c r="I6" s="519"/>
      <c r="J6" s="519"/>
      <c r="K6" s="520"/>
    </row>
    <row r="7" spans="1:11">
      <c r="A7" s="549" t="s">
        <v>508</v>
      </c>
      <c r="B7" s="550"/>
      <c r="C7" s="550"/>
      <c r="D7" s="550"/>
      <c r="E7" s="550"/>
      <c r="F7" s="550"/>
      <c r="G7" s="551"/>
    </row>
    <row r="8" spans="1:11">
      <c r="A8" s="118"/>
      <c r="B8" s="115" t="s">
        <v>509</v>
      </c>
      <c r="C8" s="190" t="s">
        <v>646</v>
      </c>
      <c r="D8" s="116" t="s">
        <v>644</v>
      </c>
      <c r="E8" s="115" t="s">
        <v>510</v>
      </c>
      <c r="F8" s="115" t="s">
        <v>36</v>
      </c>
      <c r="G8" s="117" t="s">
        <v>517</v>
      </c>
    </row>
    <row r="9" spans="1:11">
      <c r="A9" s="119" t="s">
        <v>518</v>
      </c>
      <c r="B9" s="178">
        <f>'Valuation output'!B3</f>
        <v>67393</v>
      </c>
      <c r="C9" s="191">
        <f>'Input sheet'!B25</f>
        <v>5.9799999999999999E-2</v>
      </c>
      <c r="D9" s="168">
        <f>'Input sheet'!B27</f>
        <v>5.9799999999999999E-2</v>
      </c>
      <c r="E9" s="168" t="s">
        <v>910</v>
      </c>
      <c r="F9" s="120">
        <f>'Valuation output'!M2</f>
        <v>4.1099999999999998E-2</v>
      </c>
      <c r="G9" s="300" t="s">
        <v>662</v>
      </c>
      <c r="H9" s="521" t="s">
        <v>529</v>
      </c>
      <c r="I9" s="522"/>
      <c r="J9" s="522"/>
      <c r="K9" s="523"/>
    </row>
    <row r="10" spans="1:11" ht="46.5">
      <c r="A10" s="119" t="s">
        <v>519</v>
      </c>
      <c r="B10" s="120">
        <f ca="1">'Valuation output'!B4</f>
        <v>0.13960374310331589</v>
      </c>
      <c r="C10" s="191">
        <f>'Input sheet'!B26</f>
        <v>0.1396</v>
      </c>
      <c r="D10" s="169" t="s">
        <v>911</v>
      </c>
      <c r="E10" s="170">
        <f>'Valuation output'!G4</f>
        <v>0.13073333333333334</v>
      </c>
      <c r="F10" s="120">
        <f>'Valuation output'!M4</f>
        <v>0.12186666666666666</v>
      </c>
      <c r="G10" s="301" t="s">
        <v>663</v>
      </c>
      <c r="H10" s="524"/>
      <c r="I10" s="525"/>
      <c r="J10" s="525"/>
      <c r="K10" s="526"/>
    </row>
    <row r="11" spans="1:11">
      <c r="A11" s="119" t="s">
        <v>130</v>
      </c>
      <c r="B11" s="120">
        <f>'Valuation output'!B6</f>
        <v>0.15859999999999999</v>
      </c>
      <c r="C11" s="192"/>
      <c r="D11" s="168">
        <f>B11</f>
        <v>0.15859999999999999</v>
      </c>
      <c r="E11" s="168" t="s">
        <v>910</v>
      </c>
      <c r="F11" s="120">
        <f>'Valuation output'!M6</f>
        <v>0.21</v>
      </c>
      <c r="G11" s="302" t="s">
        <v>664</v>
      </c>
      <c r="H11" s="524"/>
      <c r="I11" s="525"/>
      <c r="J11" s="525"/>
      <c r="K11" s="526"/>
    </row>
    <row r="12" spans="1:11">
      <c r="A12" s="119" t="s">
        <v>912</v>
      </c>
      <c r="B12" s="121"/>
      <c r="C12" s="193">
        <f>'Input sheet'!B30</f>
        <v>2.13</v>
      </c>
      <c r="D12" s="167">
        <f>'Input sheet'!B30</f>
        <v>2.13</v>
      </c>
      <c r="E12" s="166">
        <f>'Input sheet'!B31</f>
        <v>1.89</v>
      </c>
      <c r="F12" s="122">
        <f>'Valuation output'!M2/'Valuation output'!M40</f>
        <v>0.28344827586206889</v>
      </c>
      <c r="G12" s="302" t="s">
        <v>875</v>
      </c>
      <c r="H12" s="524"/>
      <c r="I12" s="525"/>
      <c r="J12" s="525"/>
      <c r="K12" s="526"/>
    </row>
    <row r="13" spans="1:11">
      <c r="A13" s="136" t="s">
        <v>531</v>
      </c>
      <c r="B13" s="138">
        <f ca="1">'Valuation output'!B40</f>
        <v>0.25010383111889051</v>
      </c>
      <c r="C13" s="120" t="s">
        <v>532</v>
      </c>
      <c r="D13" s="553">
        <f ca="1">Diagnostics!C27</f>
        <v>0.1282641640195811</v>
      </c>
      <c r="E13" s="554"/>
      <c r="F13" s="137">
        <f>'Valuation output'!M40</f>
        <v>0.14500000000000002</v>
      </c>
      <c r="G13" s="303" t="s">
        <v>876</v>
      </c>
      <c r="H13" s="524"/>
      <c r="I13" s="525"/>
      <c r="J13" s="525"/>
      <c r="K13" s="526"/>
    </row>
    <row r="14" spans="1:11" ht="16" thickBot="1">
      <c r="A14" s="123" t="s">
        <v>520</v>
      </c>
      <c r="B14" s="139"/>
      <c r="C14" s="121"/>
      <c r="D14" s="169">
        <f ca="1">'Valuation output'!C12</f>
        <v>9.9503321400523079E-2</v>
      </c>
      <c r="E14" s="170"/>
      <c r="F14" s="124">
        <f>'Valuation output'!M12</f>
        <v>9.0200000000000002E-2</v>
      </c>
      <c r="G14" s="304" t="s">
        <v>665</v>
      </c>
      <c r="H14" s="527"/>
      <c r="I14" s="528"/>
      <c r="J14" s="528"/>
      <c r="K14" s="529"/>
    </row>
    <row r="15" spans="1:11" ht="16" thickBot="1">
      <c r="A15" s="552" t="s">
        <v>512</v>
      </c>
      <c r="B15" s="552"/>
      <c r="C15" s="552"/>
      <c r="D15" s="552"/>
      <c r="E15" s="552"/>
      <c r="F15" s="552"/>
      <c r="G15" s="552"/>
    </row>
    <row r="16" spans="1:11">
      <c r="A16" s="114"/>
      <c r="B16" s="175" t="s">
        <v>5</v>
      </c>
      <c r="C16" s="175" t="s">
        <v>511</v>
      </c>
      <c r="D16" s="176" t="s">
        <v>523</v>
      </c>
      <c r="E16" s="176" t="s">
        <v>513</v>
      </c>
      <c r="F16" s="176" t="s">
        <v>521</v>
      </c>
      <c r="G16" s="177" t="s">
        <v>10</v>
      </c>
      <c r="H16" s="530" t="s">
        <v>530</v>
      </c>
      <c r="I16" s="531"/>
      <c r="J16" s="531"/>
      <c r="K16" s="532"/>
    </row>
    <row r="17" spans="1:11">
      <c r="A17" s="125">
        <v>1</v>
      </c>
      <c r="B17" s="178">
        <f>'Valuation output'!C3</f>
        <v>71423.1014</v>
      </c>
      <c r="C17" s="126">
        <f>'Valuation output'!C4</f>
        <v>0.1396</v>
      </c>
      <c r="D17" s="178">
        <f>B17*C17</f>
        <v>9970.6649554399992</v>
      </c>
      <c r="E17" s="178">
        <f>'Valuation output'!C7</f>
        <v>8389.3174935072147</v>
      </c>
      <c r="F17" s="178">
        <f>'Valuation output'!C8</f>
        <v>2005.2119547981215</v>
      </c>
      <c r="G17" s="180">
        <f>E17-F17</f>
        <v>6384.1055387090928</v>
      </c>
      <c r="H17" s="533"/>
      <c r="I17" s="534"/>
      <c r="J17" s="534"/>
      <c r="K17" s="535"/>
    </row>
    <row r="18" spans="1:11">
      <c r="A18" s="125">
        <v>2</v>
      </c>
      <c r="B18" s="178">
        <f>'Valuation output'!D3</f>
        <v>75694.202863719998</v>
      </c>
      <c r="C18" s="126">
        <f>'Valuation output'!D4</f>
        <v>0.13605333333333333</v>
      </c>
      <c r="D18" s="178">
        <f t="shared" ref="D18:D27" si="0">B18*C18</f>
        <v>10298.448613618652</v>
      </c>
      <c r="E18" s="178">
        <f>'Valuation output'!D7</f>
        <v>8665.1146634987344</v>
      </c>
      <c r="F18" s="178">
        <f>'Valuation output'!D8</f>
        <v>2125.1236296950528</v>
      </c>
      <c r="G18" s="180">
        <f t="shared" ref="G18:G27" si="1">E18-F18</f>
        <v>6539.9910338036816</v>
      </c>
      <c r="H18" s="533"/>
      <c r="I18" s="534"/>
      <c r="J18" s="534"/>
      <c r="K18" s="535"/>
    </row>
    <row r="19" spans="1:11">
      <c r="A19" s="125">
        <v>3</v>
      </c>
      <c r="B19" s="178">
        <f>'Valuation output'!E3</f>
        <v>80220.71619497046</v>
      </c>
      <c r="C19" s="126">
        <f>'Valuation output'!E4</f>
        <v>0.13428000000000001</v>
      </c>
      <c r="D19" s="178">
        <f t="shared" si="0"/>
        <v>10772.037770660634</v>
      </c>
      <c r="E19" s="178">
        <f>'Valuation output'!E7</f>
        <v>9063.592580233857</v>
      </c>
      <c r="F19" s="178">
        <f>'Valuation output'!E8</f>
        <v>2252.2060227508155</v>
      </c>
      <c r="G19" s="180">
        <f t="shared" si="1"/>
        <v>6811.3865574830415</v>
      </c>
      <c r="H19" s="533"/>
      <c r="I19" s="534"/>
      <c r="J19" s="534"/>
      <c r="K19" s="535"/>
    </row>
    <row r="20" spans="1:11">
      <c r="A20" s="125">
        <v>4</v>
      </c>
      <c r="B20" s="178">
        <f>'Valuation output'!F3</f>
        <v>85017.915023429698</v>
      </c>
      <c r="C20" s="126">
        <f>'Valuation output'!F4</f>
        <v>0.13250666666666666</v>
      </c>
      <c r="D20" s="178">
        <f t="shared" si="0"/>
        <v>11265.440526704591</v>
      </c>
      <c r="E20" s="178">
        <f>'Valuation output'!F7</f>
        <v>9478.7416591692436</v>
      </c>
      <c r="F20" s="178">
        <f>'Valuation output'!F8</f>
        <v>2386.8879429113131</v>
      </c>
      <c r="G20" s="180">
        <f t="shared" si="1"/>
        <v>7091.8537162579305</v>
      </c>
      <c r="H20" s="533"/>
      <c r="I20" s="534"/>
      <c r="J20" s="534"/>
      <c r="K20" s="535"/>
    </row>
    <row r="21" spans="1:11">
      <c r="A21" s="125">
        <v>5</v>
      </c>
      <c r="B21" s="178">
        <f>'Valuation output'!G3</f>
        <v>90101.986341830794</v>
      </c>
      <c r="C21" s="126">
        <f>'Valuation output'!G4</f>
        <v>0.13073333333333334</v>
      </c>
      <c r="D21" s="178">
        <f t="shared" si="0"/>
        <v>11779.333014422013</v>
      </c>
      <c r="E21" s="178">
        <f>'Valuation output'!G7</f>
        <v>9911.1307983346815</v>
      </c>
      <c r="F21" s="178">
        <f>'Valuation output'!G8</f>
        <v>2672.5488647211851</v>
      </c>
      <c r="G21" s="180">
        <f t="shared" si="1"/>
        <v>7238.5819336134964</v>
      </c>
      <c r="H21" s="533"/>
      <c r="I21" s="534"/>
      <c r="J21" s="534"/>
      <c r="K21" s="535"/>
    </row>
    <row r="22" spans="1:11">
      <c r="A22" s="125">
        <v>6</v>
      </c>
      <c r="B22" s="178">
        <f>'Valuation output'!H3</f>
        <v>95153.103696153834</v>
      </c>
      <c r="C22" s="126">
        <f>'Valuation output'!H4</f>
        <v>0.12895999999999999</v>
      </c>
      <c r="D22" s="178">
        <f t="shared" si="0"/>
        <v>12270.944252655998</v>
      </c>
      <c r="E22" s="178">
        <f>'Valuation output'!H7</f>
        <v>10198.627187267453</v>
      </c>
      <c r="F22" s="178">
        <f>'Valuation output'!H8</f>
        <v>2634.0795689855845</v>
      </c>
      <c r="G22" s="180">
        <f t="shared" si="1"/>
        <v>7564.5476182818693</v>
      </c>
      <c r="H22" s="533"/>
      <c r="I22" s="534"/>
      <c r="J22" s="534"/>
      <c r="K22" s="535"/>
    </row>
    <row r="23" spans="1:11">
      <c r="A23" s="125">
        <v>7</v>
      </c>
      <c r="B23" s="178">
        <f>'Valuation output'!I3</f>
        <v>100131.51408153659</v>
      </c>
      <c r="C23" s="126">
        <f>'Valuation output'!I4</f>
        <v>0.12718666666666667</v>
      </c>
      <c r="D23" s="178">
        <f t="shared" si="0"/>
        <v>12735.393504317033</v>
      </c>
      <c r="E23" s="178">
        <f>'Valuation output'!I7</f>
        <v>10453.720404083593</v>
      </c>
      <c r="F23" s="178">
        <f>'Valuation output'!I8</f>
        <v>2573.7507693550524</v>
      </c>
      <c r="G23" s="180">
        <f t="shared" si="1"/>
        <v>7879.9696347285408</v>
      </c>
      <c r="H23" s="533"/>
      <c r="I23" s="534"/>
      <c r="J23" s="534"/>
      <c r="K23" s="535"/>
    </row>
    <row r="24" spans="1:11">
      <c r="A24" s="125">
        <v>8</v>
      </c>
      <c r="B24" s="178">
        <f>'Valuation output'!J3</f>
        <v>104995.90303561764</v>
      </c>
      <c r="C24" s="126">
        <f>'Valuation output'!J4</f>
        <v>0.12541333333333332</v>
      </c>
      <c r="D24" s="178">
        <f t="shared" si="0"/>
        <v>13167.886186040259</v>
      </c>
      <c r="E24" s="178">
        <f>'Valuation output'!J7</f>
        <v>10673.361826956792</v>
      </c>
      <c r="F24" s="178">
        <f>'Valuation output'!J8</f>
        <v>2491.0139111730687</v>
      </c>
      <c r="G24" s="180">
        <f t="shared" si="1"/>
        <v>8182.3479157837237</v>
      </c>
      <c r="H24" s="533"/>
      <c r="I24" s="534"/>
      <c r="J24" s="534"/>
      <c r="K24" s="535"/>
    </row>
    <row r="25" spans="1:11">
      <c r="A25" s="125">
        <v>9</v>
      </c>
      <c r="B25" s="178">
        <f>'Valuation output'!K3</f>
        <v>109703.91932773474</v>
      </c>
      <c r="C25" s="126">
        <f>'Valuation output'!K4</f>
        <v>0.12364</v>
      </c>
      <c r="D25" s="178">
        <f t="shared" si="0"/>
        <v>13563.792585681123</v>
      </c>
      <c r="E25" s="178">
        <f>'Valuation output'!K7</f>
        <v>10854.831930468888</v>
      </c>
      <c r="F25" s="178">
        <f>'Valuation output'!K8</f>
        <v>2385.6249123650191</v>
      </c>
      <c r="G25" s="180">
        <f t="shared" si="1"/>
        <v>8469.2070181038689</v>
      </c>
      <c r="H25" s="533"/>
      <c r="I25" s="534"/>
      <c r="J25" s="534"/>
      <c r="K25" s="535"/>
    </row>
    <row r="26" spans="1:11">
      <c r="A26" s="125">
        <v>10</v>
      </c>
      <c r="B26" s="178">
        <f>'Valuation output'!L3</f>
        <v>114212.75041210462</v>
      </c>
      <c r="C26" s="126">
        <f>'Valuation output'!L4</f>
        <v>0.12186666666666666</v>
      </c>
      <c r="D26" s="178">
        <f t="shared" si="0"/>
        <v>13918.727183555149</v>
      </c>
      <c r="E26" s="178">
        <f>'Valuation output'!L7</f>
        <v>10995.794475008566</v>
      </c>
      <c r="F26" s="178">
        <f>'Valuation output'!L8</f>
        <v>2483.6740962632198</v>
      </c>
      <c r="G26" s="180">
        <f t="shared" si="1"/>
        <v>8512.1203787453469</v>
      </c>
      <c r="H26" s="533"/>
      <c r="I26" s="534"/>
      <c r="J26" s="534"/>
      <c r="K26" s="535"/>
    </row>
    <row r="27" spans="1:11" ht="16" thickBot="1">
      <c r="A27" s="127" t="s">
        <v>38</v>
      </c>
      <c r="B27" s="179">
        <f>'Valuation output'!M3</f>
        <v>118906.89445404211</v>
      </c>
      <c r="C27" s="128">
        <f>'Valuation output'!M4</f>
        <v>0.12186666666666666</v>
      </c>
      <c r="D27" s="178">
        <f t="shared" si="0"/>
        <v>14490.786870799264</v>
      </c>
      <c r="E27" s="179">
        <f>'Valuation output'!M7</f>
        <v>11447.72162793142</v>
      </c>
      <c r="F27" s="179">
        <f>'Valuation output'!M8</f>
        <v>3244.8369579860773</v>
      </c>
      <c r="G27" s="180">
        <f t="shared" si="1"/>
        <v>8202.8846699453425</v>
      </c>
      <c r="H27" s="536"/>
      <c r="I27" s="537"/>
      <c r="J27" s="537"/>
      <c r="K27" s="538"/>
    </row>
    <row r="28" spans="1:11" ht="16" thickBot="1">
      <c r="A28" s="552" t="s">
        <v>514</v>
      </c>
      <c r="B28" s="552"/>
      <c r="C28" s="552"/>
      <c r="D28" s="552"/>
      <c r="E28" s="552"/>
      <c r="F28" s="552"/>
      <c r="G28" s="552"/>
    </row>
    <row r="29" spans="1:11">
      <c r="A29" s="500" t="s">
        <v>515</v>
      </c>
      <c r="B29" s="501"/>
      <c r="C29" s="502"/>
      <c r="D29" s="194">
        <f>'Valuation output'!B18</f>
        <v>167064.86089501713</v>
      </c>
      <c r="E29" s="129"/>
      <c r="F29" s="130"/>
      <c r="G29" s="131"/>
      <c r="H29" s="539" t="s">
        <v>533</v>
      </c>
      <c r="I29" s="525"/>
      <c r="J29" s="525"/>
      <c r="K29" s="525"/>
    </row>
    <row r="30" spans="1:11">
      <c r="A30" s="497" t="s">
        <v>516</v>
      </c>
      <c r="B30" s="498"/>
      <c r="C30" s="499"/>
      <c r="D30" s="195">
        <f ca="1">'Valuation output'!B19</f>
        <v>66370.978066387572</v>
      </c>
      <c r="E30" s="132"/>
      <c r="F30" s="133"/>
      <c r="G30" s="134"/>
      <c r="H30" s="539"/>
      <c r="I30" s="525"/>
      <c r="J30" s="525"/>
      <c r="K30" s="525"/>
    </row>
    <row r="31" spans="1:11">
      <c r="A31" s="497" t="s">
        <v>39</v>
      </c>
      <c r="B31" s="498"/>
      <c r="C31" s="499"/>
      <c r="D31" s="195">
        <f ca="1">'Valuation output'!B20</f>
        <v>44983.838626588476</v>
      </c>
      <c r="E31" s="132"/>
      <c r="F31" s="133"/>
      <c r="G31" s="134"/>
      <c r="H31" s="539"/>
      <c r="I31" s="525"/>
      <c r="J31" s="525"/>
      <c r="K31" s="525"/>
    </row>
    <row r="32" spans="1:11">
      <c r="A32" s="497" t="s">
        <v>37</v>
      </c>
      <c r="B32" s="498"/>
      <c r="C32" s="499"/>
      <c r="D32" s="195">
        <f ca="1">'Valuation output'!B21</f>
        <v>111354.81669297605</v>
      </c>
      <c r="E32" s="132"/>
      <c r="F32" s="133"/>
      <c r="G32" s="134"/>
      <c r="H32" s="539"/>
      <c r="I32" s="525"/>
      <c r="J32" s="525"/>
      <c r="K32" s="525"/>
    </row>
    <row r="33" spans="1:13">
      <c r="A33" s="497" t="s">
        <v>524</v>
      </c>
      <c r="B33" s="498"/>
      <c r="C33" s="499"/>
      <c r="D33" s="196">
        <f ca="1">D32-'Valuation output'!B24</f>
        <v>0</v>
      </c>
      <c r="E33" s="540" t="s">
        <v>100</v>
      </c>
      <c r="F33" s="541"/>
      <c r="G33" s="141">
        <f>'Valuation output'!B22</f>
        <v>0</v>
      </c>
      <c r="H33" s="525"/>
      <c r="I33" s="525"/>
      <c r="J33" s="525"/>
      <c r="K33" s="525"/>
    </row>
    <row r="34" spans="1:13">
      <c r="A34" s="497" t="s">
        <v>630</v>
      </c>
      <c r="B34" s="498"/>
      <c r="C34" s="499"/>
      <c r="D34" s="195">
        <f ca="1">'Valuation output'!B25+'Valuation output'!B26</f>
        <v>18837.679528305867</v>
      </c>
      <c r="E34" s="132"/>
      <c r="F34" s="133"/>
      <c r="G34" s="134"/>
      <c r="H34" s="539"/>
      <c r="I34" s="525"/>
      <c r="J34" s="525"/>
      <c r="K34" s="525"/>
    </row>
    <row r="35" spans="1:13">
      <c r="A35" s="497" t="s">
        <v>525</v>
      </c>
      <c r="B35" s="498"/>
      <c r="C35" s="499"/>
      <c r="D35" s="195">
        <f>'Valuation output'!B27+'Valuation output'!B28</f>
        <v>6021</v>
      </c>
      <c r="E35" s="132"/>
      <c r="F35" s="133"/>
      <c r="G35" s="134"/>
      <c r="H35" s="539"/>
      <c r="I35" s="525"/>
      <c r="J35" s="525"/>
      <c r="K35" s="525"/>
    </row>
    <row r="36" spans="1:13">
      <c r="A36" s="497" t="s">
        <v>45</v>
      </c>
      <c r="B36" s="498"/>
      <c r="C36" s="499"/>
      <c r="D36" s="195">
        <f ca="1">D32-D33-D34+D35</f>
        <v>98538.137164670188</v>
      </c>
      <c r="E36" s="132"/>
      <c r="F36" s="133"/>
      <c r="G36" s="134"/>
      <c r="H36" s="539"/>
      <c r="I36" s="525"/>
      <c r="J36" s="525"/>
      <c r="K36" s="525"/>
    </row>
    <row r="37" spans="1:13">
      <c r="A37" s="497" t="s">
        <v>526</v>
      </c>
      <c r="B37" s="498"/>
      <c r="C37" s="499"/>
      <c r="D37" s="195">
        <f>'Valuation output'!B30</f>
        <v>0</v>
      </c>
      <c r="E37" s="132"/>
      <c r="F37" s="133"/>
      <c r="G37" s="134"/>
      <c r="H37" s="539"/>
      <c r="I37" s="525"/>
      <c r="J37" s="525"/>
      <c r="K37" s="525"/>
    </row>
    <row r="38" spans="1:13" ht="16" thickBot="1">
      <c r="A38" s="542" t="s">
        <v>522</v>
      </c>
      <c r="B38" s="543"/>
      <c r="C38" s="543"/>
      <c r="D38" s="197">
        <f>'Valuation output'!B32</f>
        <v>251.83068399999999</v>
      </c>
      <c r="G38" s="134"/>
      <c r="H38" s="539"/>
      <c r="I38" s="525"/>
      <c r="J38" s="525"/>
      <c r="K38" s="525"/>
    </row>
    <row r="39" spans="1:13" ht="16" thickBot="1">
      <c r="A39" s="544" t="s">
        <v>502</v>
      </c>
      <c r="B39" s="545"/>
      <c r="C39" s="545"/>
      <c r="D39" s="198">
        <f ca="1">(D36-D37)/D38</f>
        <v>391.28725538731487</v>
      </c>
      <c r="E39" s="546" t="s">
        <v>527</v>
      </c>
      <c r="F39" s="547"/>
      <c r="G39" s="140">
        <f>'Input sheet'!B21</f>
        <v>448.18</v>
      </c>
      <c r="H39" s="539"/>
      <c r="I39" s="525"/>
      <c r="J39" s="525"/>
      <c r="K39" s="525"/>
      <c r="M39" s="162"/>
    </row>
    <row r="40" spans="1:13">
      <c r="M40" s="149"/>
    </row>
  </sheetData>
  <mergeCells count="24">
    <mergeCell ref="A36:C36"/>
    <mergeCell ref="A2:G2"/>
    <mergeCell ref="A7:G7"/>
    <mergeCell ref="A15:G15"/>
    <mergeCell ref="A28:G28"/>
    <mergeCell ref="A30:C30"/>
    <mergeCell ref="A35:C35"/>
    <mergeCell ref="D13:E13"/>
    <mergeCell ref="A1:F1"/>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s>
  <pageMargins left="0.75" right="0.75" top="1" bottom="1" header="0.3" footer="0.3"/>
  <pageSetup orientation="portrait"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250C-6F9E-6446-A75C-F66BA1BAE0C3}">
  <dimension ref="A1:P38"/>
  <sheetViews>
    <sheetView zoomScale="88" zoomScaleNormal="88" workbookViewId="0">
      <selection activeCell="D33" sqref="D33:E38"/>
    </sheetView>
  </sheetViews>
  <sheetFormatPr defaultColWidth="11.19921875" defaultRowHeight="12.5"/>
  <cols>
    <col min="1" max="1" width="27.796875" style="380" customWidth="1"/>
    <col min="2" max="2" width="13" style="380" customWidth="1"/>
    <col min="3" max="3" width="10.796875" style="380"/>
    <col min="4" max="4" width="16.19921875" style="380" customWidth="1"/>
    <col min="5" max="5" width="12.69921875" style="380" bestFit="1" customWidth="1"/>
    <col min="6" max="10" width="11.5" style="380" bestFit="1" customWidth="1"/>
    <col min="11" max="13" width="13" style="380" bestFit="1" customWidth="1"/>
    <col min="14" max="14" width="13.69921875" style="380" bestFit="1" customWidth="1"/>
    <col min="15" max="15" width="16" style="380" customWidth="1"/>
    <col min="16" max="16" width="10.796875" style="380"/>
  </cols>
  <sheetData>
    <row r="1" spans="1:16" s="2" customFormat="1" ht="13">
      <c r="A1" s="379" t="s">
        <v>895</v>
      </c>
      <c r="B1" s="379"/>
      <c r="C1" s="379"/>
      <c r="D1" s="379"/>
      <c r="E1" s="379"/>
      <c r="F1" s="379"/>
      <c r="G1" s="379"/>
      <c r="H1" s="379"/>
      <c r="I1" s="379"/>
      <c r="J1" s="379"/>
      <c r="K1" s="379"/>
      <c r="L1" s="379"/>
      <c r="M1" s="379"/>
      <c r="N1" s="379"/>
      <c r="O1" s="379"/>
      <c r="P1" s="379"/>
    </row>
    <row r="2" spans="1:16" s="2" customFormat="1" ht="13.5" thickBot="1">
      <c r="A2" s="379"/>
      <c r="B2" s="379"/>
      <c r="C2" s="379"/>
      <c r="D2" s="379"/>
      <c r="E2" s="379"/>
      <c r="F2" s="379"/>
      <c r="G2" s="379"/>
      <c r="H2" s="379"/>
      <c r="I2" s="379"/>
      <c r="J2" s="379"/>
      <c r="K2" s="379"/>
      <c r="L2" s="379"/>
      <c r="M2" s="379"/>
      <c r="N2" s="379"/>
      <c r="O2" s="379"/>
      <c r="P2" s="379"/>
    </row>
    <row r="3" spans="1:16" ht="16" thickBot="1">
      <c r="A3" s="570" t="str">
        <f>'Input sheet'!B4</f>
        <v>Lockheed Martin</v>
      </c>
      <c r="B3" s="571"/>
      <c r="C3" s="571"/>
      <c r="D3" s="571"/>
      <c r="E3" s="571"/>
      <c r="F3" s="571"/>
      <c r="G3" s="571"/>
      <c r="H3" s="571"/>
      <c r="I3" s="571"/>
      <c r="J3" s="571"/>
      <c r="K3" s="571"/>
      <c r="L3" s="571"/>
      <c r="M3" s="571"/>
      <c r="N3" s="572"/>
      <c r="O3" s="562">
        <f>'Input sheet'!B3</f>
        <v>43708</v>
      </c>
      <c r="P3" s="563"/>
    </row>
    <row r="4" spans="1:16" ht="13" thickBot="1"/>
    <row r="5" spans="1:16" ht="13.5" thickBot="1">
      <c r="A5" s="559" t="s">
        <v>893</v>
      </c>
      <c r="B5" s="560"/>
      <c r="C5" s="561"/>
      <c r="E5" s="555" t="s">
        <v>889</v>
      </c>
      <c r="F5" s="556"/>
      <c r="H5" s="555" t="s">
        <v>890</v>
      </c>
      <c r="I5" s="556"/>
      <c r="K5" s="555" t="s">
        <v>891</v>
      </c>
      <c r="L5" s="556"/>
    </row>
    <row r="6" spans="1:16" ht="14" customHeight="1">
      <c r="B6" s="470" t="s">
        <v>223</v>
      </c>
      <c r="C6" s="470" t="s">
        <v>892</v>
      </c>
      <c r="E6" s="564" t="str">
        <f>'Stories to Numbers'!G9</f>
        <v>Disruption platform in multiple businesses</v>
      </c>
      <c r="F6" s="565"/>
      <c r="H6" s="564" t="str">
        <f>'Stories to Numbers'!G10</f>
        <v>Margins improve, aided by cloud business &amp; continued economies of scale.</v>
      </c>
      <c r="I6" s="565"/>
      <c r="K6" s="564" t="str">
        <f>'Stories to Numbers'!G12</f>
        <v>Maintained at Amazon's current level</v>
      </c>
      <c r="L6" s="565"/>
      <c r="O6" s="573" t="s">
        <v>556</v>
      </c>
      <c r="P6" s="573"/>
    </row>
    <row r="7" spans="1:16">
      <c r="A7" s="448" t="s">
        <v>884</v>
      </c>
      <c r="B7" s="450">
        <f>'Input sheet'!I25</f>
        <v>4.3163301846578017E-2</v>
      </c>
      <c r="C7" s="450">
        <f>'Input sheet'!K25</f>
        <v>7.3714201183431957E-2</v>
      </c>
      <c r="E7" s="566"/>
      <c r="F7" s="567"/>
      <c r="H7" s="566"/>
      <c r="I7" s="567"/>
      <c r="K7" s="566"/>
      <c r="L7" s="567"/>
      <c r="O7" s="448" t="s">
        <v>888</v>
      </c>
      <c r="P7" s="450">
        <f>O16</f>
        <v>4.1099999999999998E-2</v>
      </c>
    </row>
    <row r="8" spans="1:16">
      <c r="A8" s="448" t="s">
        <v>885</v>
      </c>
      <c r="B8" s="460">
        <f>'Valuation output'!B3</f>
        <v>67393</v>
      </c>
      <c r="E8" s="566"/>
      <c r="F8" s="567"/>
      <c r="H8" s="566"/>
      <c r="I8" s="567"/>
      <c r="K8" s="566"/>
      <c r="L8" s="567"/>
      <c r="O8" s="448" t="s">
        <v>135</v>
      </c>
      <c r="P8" s="450">
        <f>'Valuation output'!M12</f>
        <v>9.0200000000000002E-2</v>
      </c>
    </row>
    <row r="9" spans="1:16">
      <c r="A9" s="448" t="s">
        <v>511</v>
      </c>
      <c r="B9" s="450">
        <f ca="1">'Valuation output'!B4</f>
        <v>0.13960374310331589</v>
      </c>
      <c r="C9" s="450">
        <f>'Input sheet'!K26</f>
        <v>8.0244040953254395E-2</v>
      </c>
      <c r="E9" s="566"/>
      <c r="F9" s="567"/>
      <c r="H9" s="566"/>
      <c r="I9" s="567"/>
      <c r="K9" s="566"/>
      <c r="L9" s="567"/>
      <c r="O9" s="448" t="s">
        <v>531</v>
      </c>
      <c r="P9" s="450">
        <f>'Valuation output'!M40</f>
        <v>0.14500000000000002</v>
      </c>
    </row>
    <row r="10" spans="1:16">
      <c r="A10" s="448" t="s">
        <v>886</v>
      </c>
      <c r="B10" s="460">
        <f ca="1">'Valuation output'!B5</f>
        <v>9408.3150589617671</v>
      </c>
      <c r="E10" s="566"/>
      <c r="F10" s="567"/>
      <c r="H10" s="566"/>
      <c r="I10" s="567"/>
      <c r="K10" s="566"/>
      <c r="L10" s="567"/>
      <c r="O10" s="448" t="s">
        <v>477</v>
      </c>
      <c r="P10" s="450">
        <f>P7/P9</f>
        <v>0.28344827586206889</v>
      </c>
    </row>
    <row r="11" spans="1:16">
      <c r="A11" s="448" t="s">
        <v>513</v>
      </c>
      <c r="B11" s="460">
        <f ca="1">'Valuation output'!B7</f>
        <v>7916.1562906104309</v>
      </c>
      <c r="E11" s="566"/>
      <c r="F11" s="567"/>
      <c r="H11" s="566"/>
      <c r="I11" s="567"/>
      <c r="K11" s="566"/>
      <c r="L11" s="567"/>
      <c r="P11" s="457"/>
    </row>
    <row r="12" spans="1:16">
      <c r="E12" s="568"/>
      <c r="F12" s="569"/>
      <c r="H12" s="568"/>
      <c r="I12" s="569"/>
      <c r="K12" s="568"/>
      <c r="L12" s="569"/>
      <c r="P12" s="457"/>
    </row>
    <row r="13" spans="1:16">
      <c r="P13" s="457"/>
    </row>
    <row r="14" spans="1:16" ht="13" thickBot="1"/>
    <row r="15" spans="1:16">
      <c r="A15" s="461" t="str">
        <f>'Valuation output'!A19</f>
        <v>PV(Terminal value)</v>
      </c>
      <c r="B15" s="462">
        <f ca="1">'Valuation output'!B19</f>
        <v>66370.978066387572</v>
      </c>
      <c r="D15" s="448"/>
      <c r="E15" s="451">
        <f>'Valuation output'!C1</f>
        <v>1</v>
      </c>
      <c r="F15" s="451">
        <f>'Valuation output'!D1</f>
        <v>2</v>
      </c>
      <c r="G15" s="451">
        <f>'Valuation output'!E1</f>
        <v>3</v>
      </c>
      <c r="H15" s="451">
        <f>'Valuation output'!F1</f>
        <v>4</v>
      </c>
      <c r="I15" s="451">
        <f>'Valuation output'!G1</f>
        <v>5</v>
      </c>
      <c r="J15" s="451">
        <f>'Valuation output'!H1</f>
        <v>6</v>
      </c>
      <c r="K15" s="451">
        <f>'Valuation output'!I1</f>
        <v>7</v>
      </c>
      <c r="L15" s="451">
        <f>'Valuation output'!J1</f>
        <v>8</v>
      </c>
      <c r="M15" s="451">
        <f>'Valuation output'!K1</f>
        <v>9</v>
      </c>
      <c r="N15" s="451">
        <f>'Valuation output'!L1</f>
        <v>10</v>
      </c>
      <c r="O15" s="452" t="str">
        <f>'Valuation output'!M1</f>
        <v>Terminal year</v>
      </c>
      <c r="P15" s="453"/>
    </row>
    <row r="16" spans="1:16">
      <c r="A16" s="463" t="str">
        <f>'Valuation output'!A20</f>
        <v>PV (CF over next 10 years)</v>
      </c>
      <c r="B16" s="464">
        <f ca="1">'Valuation output'!B20</f>
        <v>44983.838626588476</v>
      </c>
      <c r="D16" s="448" t="s">
        <v>884</v>
      </c>
      <c r="E16" s="450">
        <f>'Valuation output'!C2</f>
        <v>5.9799999999999999E-2</v>
      </c>
      <c r="F16" s="450">
        <f>'Valuation output'!D2</f>
        <v>5.9799999999999999E-2</v>
      </c>
      <c r="G16" s="450">
        <f>'Valuation output'!E2</f>
        <v>5.9799999999999999E-2</v>
      </c>
      <c r="H16" s="450">
        <f>'Valuation output'!F2</f>
        <v>5.9799999999999999E-2</v>
      </c>
      <c r="I16" s="450">
        <f>'Valuation output'!G2</f>
        <v>5.9799999999999999E-2</v>
      </c>
      <c r="J16" s="450">
        <f>'Valuation output'!H2</f>
        <v>5.6059999999999999E-2</v>
      </c>
      <c r="K16" s="450">
        <f>'Valuation output'!I2</f>
        <v>5.2319999999999998E-2</v>
      </c>
      <c r="L16" s="450">
        <f>'Valuation output'!J2</f>
        <v>4.8579999999999998E-2</v>
      </c>
      <c r="M16" s="450">
        <f>'Valuation output'!K2</f>
        <v>4.4839999999999998E-2</v>
      </c>
      <c r="N16" s="450">
        <f>'Valuation output'!L2</f>
        <v>4.1099999999999998E-2</v>
      </c>
      <c r="O16" s="454">
        <f>'Valuation output'!M2</f>
        <v>4.1099999999999998E-2</v>
      </c>
    </row>
    <row r="17" spans="1:15">
      <c r="A17" s="465" t="str">
        <f>'Valuation output'!A22</f>
        <v>Probability of failure =</v>
      </c>
      <c r="B17" s="466">
        <f>'Valuation output'!B22</f>
        <v>0</v>
      </c>
      <c r="D17" s="448" t="s">
        <v>885</v>
      </c>
      <c r="E17" s="455">
        <f>'Valuation output'!C3</f>
        <v>71423.1014</v>
      </c>
      <c r="F17" s="455">
        <f>'Valuation output'!D3</f>
        <v>75694.202863719998</v>
      </c>
      <c r="G17" s="455">
        <f>'Valuation output'!E3</f>
        <v>80220.71619497046</v>
      </c>
      <c r="H17" s="455">
        <f>'Valuation output'!F3</f>
        <v>85017.915023429698</v>
      </c>
      <c r="I17" s="455">
        <f>'Valuation output'!G3</f>
        <v>90101.986341830794</v>
      </c>
      <c r="J17" s="455">
        <f>'Valuation output'!H3</f>
        <v>95153.103696153834</v>
      </c>
      <c r="K17" s="455">
        <f>'Valuation output'!I3</f>
        <v>100131.51408153659</v>
      </c>
      <c r="L17" s="455">
        <f>'Valuation output'!J3</f>
        <v>104995.90303561764</v>
      </c>
      <c r="M17" s="455">
        <f>'Valuation output'!K3</f>
        <v>109703.91932773474</v>
      </c>
      <c r="N17" s="455">
        <f>'Valuation output'!L3</f>
        <v>114212.75041210462</v>
      </c>
      <c r="O17" s="456">
        <f>'Valuation output'!M3</f>
        <v>118906.89445404211</v>
      </c>
    </row>
    <row r="18" spans="1:15">
      <c r="A18" s="463" t="str">
        <f>'Valuation output'!A24</f>
        <v>Value of operating assets =</v>
      </c>
      <c r="B18" s="467">
        <f ca="1">'Valuation output'!B24</f>
        <v>111354.81669297605</v>
      </c>
      <c r="D18" s="448" t="s">
        <v>511</v>
      </c>
      <c r="E18" s="450">
        <f>'Valuation output'!C4</f>
        <v>0.1396</v>
      </c>
      <c r="F18" s="450">
        <f>'Valuation output'!D4</f>
        <v>0.13605333333333333</v>
      </c>
      <c r="G18" s="450">
        <f>'Valuation output'!E4</f>
        <v>0.13428000000000001</v>
      </c>
      <c r="H18" s="450">
        <f>'Valuation output'!F4</f>
        <v>0.13250666666666666</v>
      </c>
      <c r="I18" s="450">
        <f>'Valuation output'!G4</f>
        <v>0.13073333333333334</v>
      </c>
      <c r="J18" s="450">
        <f>'Valuation output'!H4</f>
        <v>0.12895999999999999</v>
      </c>
      <c r="K18" s="450">
        <f>'Valuation output'!I4</f>
        <v>0.12718666666666667</v>
      </c>
      <c r="L18" s="450">
        <f>'Valuation output'!J4</f>
        <v>0.12541333333333332</v>
      </c>
      <c r="M18" s="450">
        <f>'Valuation output'!K4</f>
        <v>0.12364</v>
      </c>
      <c r="N18" s="450">
        <f>'Valuation output'!L4</f>
        <v>0.12186666666666666</v>
      </c>
      <c r="O18" s="454">
        <f>'Valuation output'!M4</f>
        <v>0.12186666666666666</v>
      </c>
    </row>
    <row r="19" spans="1:15">
      <c r="A19" s="463" t="str">
        <f>'Valuation output'!A25</f>
        <v xml:space="preserve"> - Debt</v>
      </c>
      <c r="B19" s="467">
        <f ca="1">'Valuation output'!B25</f>
        <v>18837.679528305867</v>
      </c>
      <c r="D19" s="448" t="s">
        <v>886</v>
      </c>
      <c r="E19" s="455">
        <f>'Valuation output'!C5</f>
        <v>9970.6649554399992</v>
      </c>
      <c r="F19" s="455">
        <f>'Valuation output'!D5</f>
        <v>10298.448613618652</v>
      </c>
      <c r="G19" s="455">
        <f>'Valuation output'!E5</f>
        <v>10772.037770660634</v>
      </c>
      <c r="H19" s="455">
        <f>'Valuation output'!F5</f>
        <v>11265.440526704591</v>
      </c>
      <c r="I19" s="455">
        <f>'Valuation output'!G5</f>
        <v>11779.333014422013</v>
      </c>
      <c r="J19" s="455">
        <f>'Valuation output'!H5</f>
        <v>12270.944252655998</v>
      </c>
      <c r="K19" s="455">
        <f>'Valuation output'!I5</f>
        <v>12735.393504317033</v>
      </c>
      <c r="L19" s="455">
        <f>'Valuation output'!J5</f>
        <v>13167.886186040259</v>
      </c>
      <c r="M19" s="455">
        <f>'Valuation output'!K5</f>
        <v>13563.792585681123</v>
      </c>
      <c r="N19" s="455">
        <f>'Valuation output'!L5</f>
        <v>13918.727183555149</v>
      </c>
      <c r="O19" s="456">
        <f>'Valuation output'!M5</f>
        <v>14490.786870799264</v>
      </c>
    </row>
    <row r="20" spans="1:15">
      <c r="A20" s="463" t="str">
        <f>'Valuation output'!A26</f>
        <v xml:space="preserve"> - Minority interests</v>
      </c>
      <c r="B20" s="467">
        <f>'Valuation output'!B26</f>
        <v>0</v>
      </c>
      <c r="D20" s="448" t="s">
        <v>513</v>
      </c>
      <c r="E20" s="455">
        <f>'Valuation output'!C7</f>
        <v>8389.3174935072147</v>
      </c>
      <c r="F20" s="455">
        <f>'Valuation output'!D7</f>
        <v>8665.1146634987344</v>
      </c>
      <c r="G20" s="455">
        <f>'Valuation output'!E7</f>
        <v>9063.592580233857</v>
      </c>
      <c r="H20" s="455">
        <f>'Valuation output'!F7</f>
        <v>9478.7416591692436</v>
      </c>
      <c r="I20" s="455">
        <f>'Valuation output'!G7</f>
        <v>9911.1307983346815</v>
      </c>
      <c r="J20" s="455">
        <f>'Valuation output'!H7</f>
        <v>10198.627187267453</v>
      </c>
      <c r="K20" s="455">
        <f>'Valuation output'!I7</f>
        <v>10453.720404083593</v>
      </c>
      <c r="L20" s="455">
        <f>'Valuation output'!J7</f>
        <v>10673.361826956792</v>
      </c>
      <c r="M20" s="455">
        <f>'Valuation output'!K7</f>
        <v>10854.831930468888</v>
      </c>
      <c r="N20" s="455">
        <f>'Valuation output'!L7</f>
        <v>10995.794475008566</v>
      </c>
      <c r="O20" s="456">
        <f>'Valuation output'!M7</f>
        <v>11447.72162793142</v>
      </c>
    </row>
    <row r="21" spans="1:15">
      <c r="A21" s="463" t="str">
        <f>'Valuation output'!A27</f>
        <v xml:space="preserve"> +  Cash</v>
      </c>
      <c r="B21" s="467">
        <f>'Valuation output'!B27</f>
        <v>3673</v>
      </c>
      <c r="D21" s="448" t="s">
        <v>544</v>
      </c>
      <c r="E21" s="455">
        <f>'Valuation output'!C8</f>
        <v>2005.2119547981215</v>
      </c>
      <c r="F21" s="455">
        <f>'Valuation output'!D8</f>
        <v>2125.1236296950528</v>
      </c>
      <c r="G21" s="455">
        <f>'Valuation output'!E8</f>
        <v>2252.2060227508155</v>
      </c>
      <c r="H21" s="455">
        <f>'Valuation output'!F8</f>
        <v>2386.8879429113131</v>
      </c>
      <c r="I21" s="455">
        <f>'Valuation output'!G8</f>
        <v>2672.5488647211851</v>
      </c>
      <c r="J21" s="455">
        <f>'Valuation output'!H8</f>
        <v>2634.0795689855845</v>
      </c>
      <c r="K21" s="455">
        <f>'Valuation output'!I8</f>
        <v>2573.7507693550524</v>
      </c>
      <c r="L21" s="455">
        <f>'Valuation output'!J8</f>
        <v>2491.0139111730687</v>
      </c>
      <c r="M21" s="455">
        <f>'Valuation output'!K8</f>
        <v>2385.6249123650191</v>
      </c>
      <c r="N21" s="455">
        <f>'Valuation output'!L8</f>
        <v>2483.6740962632198</v>
      </c>
      <c r="O21" s="456">
        <f>'Valuation output'!M8</f>
        <v>3244.8369579860773</v>
      </c>
    </row>
    <row r="22" spans="1:15">
      <c r="A22" s="463" t="str">
        <f>'Valuation output'!A28</f>
        <v xml:space="preserve"> + Non-operating assets</v>
      </c>
      <c r="B22" s="467">
        <f>'Valuation output'!B28</f>
        <v>2348</v>
      </c>
      <c r="D22" s="449" t="s">
        <v>10</v>
      </c>
      <c r="E22" s="456">
        <f>'Valuation output'!C9</f>
        <v>6384.1055387090928</v>
      </c>
      <c r="F22" s="456">
        <f>'Valuation output'!D9</f>
        <v>6539.9910338036816</v>
      </c>
      <c r="G22" s="456">
        <f>'Valuation output'!E9</f>
        <v>6811.3865574830415</v>
      </c>
      <c r="H22" s="456">
        <f>'Valuation output'!F9</f>
        <v>7091.8537162579305</v>
      </c>
      <c r="I22" s="456">
        <f>'Valuation output'!G9</f>
        <v>7238.5819336134964</v>
      </c>
      <c r="J22" s="456">
        <f>'Valuation output'!H9</f>
        <v>7564.5476182818693</v>
      </c>
      <c r="K22" s="456">
        <f>'Valuation output'!I9</f>
        <v>7879.9696347285408</v>
      </c>
      <c r="L22" s="456">
        <f>'Valuation output'!J9</f>
        <v>8182.3479157837237</v>
      </c>
      <c r="M22" s="456">
        <f>'Valuation output'!K9</f>
        <v>8469.2070181038689</v>
      </c>
      <c r="N22" s="456">
        <f>'Valuation output'!L9</f>
        <v>8512.1203787453469</v>
      </c>
      <c r="O22" s="456">
        <f>'Valuation output'!M9</f>
        <v>8202.8846699453425</v>
      </c>
    </row>
    <row r="23" spans="1:15">
      <c r="A23" s="463" t="str">
        <f>'Valuation output'!A29</f>
        <v>Value of equity</v>
      </c>
      <c r="B23" s="467">
        <f ca="1">'Valuation output'!B29</f>
        <v>98538.137164670188</v>
      </c>
      <c r="N23" s="459">
        <f>'Valuation output'!B18</f>
        <v>167064.86089501713</v>
      </c>
    </row>
    <row r="24" spans="1:15">
      <c r="A24" s="463" t="str">
        <f>'Valuation output'!A30</f>
        <v xml:space="preserve"> - Value of options</v>
      </c>
      <c r="B24" s="467">
        <f>'Valuation output'!B30</f>
        <v>0</v>
      </c>
    </row>
    <row r="25" spans="1:15">
      <c r="A25" s="463" t="str">
        <f>'Valuation output'!A31</f>
        <v>Value of equity in common stock</v>
      </c>
      <c r="B25" s="467">
        <f ca="1">'Valuation output'!B31</f>
        <v>98538.137164670188</v>
      </c>
      <c r="D25" s="449" t="s">
        <v>552</v>
      </c>
      <c r="E25" s="454">
        <f ca="1">'Valuation output'!C12</f>
        <v>9.9503321400523079E-2</v>
      </c>
      <c r="F25" s="454">
        <f ca="1">'Valuation output'!D12</f>
        <v>9.9503321400523079E-2</v>
      </c>
      <c r="G25" s="454">
        <f ca="1">'Valuation output'!E12</f>
        <v>9.9503321400523079E-2</v>
      </c>
      <c r="H25" s="454">
        <f ca="1">'Valuation output'!F12</f>
        <v>9.9503321400523079E-2</v>
      </c>
      <c r="I25" s="454">
        <f ca="1">'Valuation output'!G12</f>
        <v>9.9503321400523079E-2</v>
      </c>
      <c r="J25" s="454">
        <f ca="1">'Valuation output'!H12</f>
        <v>9.7642657120418461E-2</v>
      </c>
      <c r="K25" s="454">
        <f ca="1">'Valuation output'!I12</f>
        <v>9.5781992840313843E-2</v>
      </c>
      <c r="L25" s="454">
        <f ca="1">'Valuation output'!J12</f>
        <v>9.3921328560209225E-2</v>
      </c>
      <c r="M25" s="454">
        <f ca="1">'Valuation output'!K12</f>
        <v>9.2060664280104607E-2</v>
      </c>
      <c r="N25" s="454">
        <f ca="1">'Valuation output'!L12</f>
        <v>9.0199999999999989E-2</v>
      </c>
      <c r="O25" s="457"/>
    </row>
    <row r="26" spans="1:15">
      <c r="A26" s="468" t="str">
        <f>'Valuation output'!A32</f>
        <v>Number of shares</v>
      </c>
      <c r="B26" s="469">
        <f>'Valuation output'!B32</f>
        <v>251.83068399999999</v>
      </c>
      <c r="D26" s="448" t="s">
        <v>887</v>
      </c>
      <c r="E26" s="458">
        <f ca="1">'Valuation output'!C13</f>
        <v>0.90950157269759058</v>
      </c>
      <c r="F26" s="458">
        <f ca="1">'Valuation output'!D13</f>
        <v>0.82719311073939061</v>
      </c>
      <c r="G26" s="458">
        <f ca="1">'Valuation output'!E13</f>
        <v>0.75233343514208795</v>
      </c>
      <c r="H26" s="458">
        <f ca="1">'Valuation output'!F13</f>
        <v>0.68424844245470973</v>
      </c>
      <c r="I26" s="458">
        <f ca="1">'Valuation output'!G13</f>
        <v>0.62232503452843535</v>
      </c>
      <c r="J26" s="458">
        <f ca="1">'Valuation output'!H13</f>
        <v>0.5669650596133512</v>
      </c>
      <c r="K26" s="458">
        <f ca="1">'Valuation output'!I13</f>
        <v>0.51740680474567158</v>
      </c>
      <c r="L26" s="458">
        <f ca="1">'Valuation output'!J13</f>
        <v>0.47298356036870493</v>
      </c>
      <c r="M26" s="458">
        <f ca="1">'Valuation output'!K13</f>
        <v>0.43311106776334596</v>
      </c>
      <c r="N26" s="458">
        <f ca="1">'Valuation output'!L13</f>
        <v>0.39727670864368553</v>
      </c>
    </row>
    <row r="27" spans="1:15">
      <c r="A27" s="472" t="str">
        <f>'Valuation output'!A33</f>
        <v>Estimated value /share</v>
      </c>
      <c r="B27" s="473">
        <f ca="1">'Valuation output'!B33</f>
        <v>391.28725538731487</v>
      </c>
    </row>
    <row r="28" spans="1:15">
      <c r="A28" s="476"/>
      <c r="B28" s="477"/>
      <c r="D28" s="449" t="s">
        <v>543</v>
      </c>
      <c r="E28" s="471">
        <f>'Valuation output'!C38</f>
        <v>2.13</v>
      </c>
      <c r="F28" s="471">
        <f>'Valuation output'!D38</f>
        <v>2.13</v>
      </c>
      <c r="G28" s="471">
        <f>'Valuation output'!E38</f>
        <v>2.13</v>
      </c>
      <c r="H28" s="471">
        <f>'Valuation output'!F38</f>
        <v>2.13</v>
      </c>
      <c r="I28" s="471">
        <f>'Valuation output'!G38</f>
        <v>1.89</v>
      </c>
      <c r="J28" s="471">
        <f>'Valuation output'!H38</f>
        <v>1.89</v>
      </c>
      <c r="K28" s="471">
        <f>'Valuation output'!I38</f>
        <v>1.89</v>
      </c>
      <c r="L28" s="471">
        <f>'Valuation output'!J38</f>
        <v>1.89</v>
      </c>
      <c r="M28" s="471">
        <f>'Valuation output'!K38</f>
        <v>1.89</v>
      </c>
      <c r="N28" s="471">
        <f>'Valuation output'!L38</f>
        <v>1.89</v>
      </c>
    </row>
    <row r="29" spans="1:15">
      <c r="A29" s="449" t="s">
        <v>896</v>
      </c>
      <c r="B29" s="474">
        <f>'Stories to Numbers'!G39</f>
        <v>448.18</v>
      </c>
      <c r="D29" s="448" t="s">
        <v>894</v>
      </c>
      <c r="E29" s="450">
        <f ca="1">'Valuation output'!C40</f>
        <v>0.26505293333932972</v>
      </c>
      <c r="F29" s="450">
        <f ca="1">'Valuation output'!D40</f>
        <v>0.25745592575101189</v>
      </c>
      <c r="G29" s="450">
        <f ca="1">'Valuation output'!E40</f>
        <v>0.25330164363271329</v>
      </c>
      <c r="H29" s="450">
        <f ca="1">'Valuation output'!F40</f>
        <v>0.24921744733189932</v>
      </c>
      <c r="I29" s="450">
        <f ca="1">'Valuation output'!G40</f>
        <v>0.24519811712042766</v>
      </c>
      <c r="J29" s="450">
        <f ca="1">'Valuation output'!H40</f>
        <v>0.2366630034822011</v>
      </c>
      <c r="K29" s="450">
        <f ca="1">'Valuation output'!I40</f>
        <v>0.22860886399802072</v>
      </c>
      <c r="L29" s="450">
        <f ca="1">'Valuation output'!J40</f>
        <v>0.2209746821812979</v>
      </c>
      <c r="M29" s="450">
        <f ca="1">'Valuation output'!K40</f>
        <v>0.2137101777605547</v>
      </c>
      <c r="N29" s="450">
        <f ca="1">'Valuation output'!L40</f>
        <v>0.20677365729741029</v>
      </c>
      <c r="O29" s="450">
        <f>'Valuation output'!M40</f>
        <v>0.14500000000000002</v>
      </c>
    </row>
    <row r="30" spans="1:15">
      <c r="A30" s="449" t="s">
        <v>897</v>
      </c>
      <c r="B30" s="475">
        <f ca="1">B29/B27-1</f>
        <v>0.1453989206890216</v>
      </c>
    </row>
    <row r="31" spans="1:15" ht="13" thickBot="1"/>
    <row r="32" spans="1:15" ht="13">
      <c r="D32" s="555" t="s">
        <v>898</v>
      </c>
      <c r="E32" s="556"/>
      <c r="G32" s="555" t="s">
        <v>899</v>
      </c>
      <c r="H32" s="557"/>
      <c r="I32" s="556"/>
    </row>
    <row r="33" spans="4:9" ht="14" customHeight="1">
      <c r="D33" s="558" t="str">
        <f>'Stories to Numbers'!G14</f>
        <v>Cost of capital close to median company</v>
      </c>
      <c r="E33" s="558"/>
      <c r="G33" s="558" t="str">
        <f>'Stories to Numbers'!G13</f>
        <v>Strong competitive edges</v>
      </c>
      <c r="H33" s="558"/>
      <c r="I33" s="558"/>
    </row>
    <row r="34" spans="4:9">
      <c r="D34" s="558"/>
      <c r="E34" s="558"/>
      <c r="G34" s="558"/>
      <c r="H34" s="558"/>
      <c r="I34" s="558"/>
    </row>
    <row r="35" spans="4:9">
      <c r="D35" s="558"/>
      <c r="E35" s="558"/>
      <c r="G35" s="558"/>
      <c r="H35" s="558"/>
      <c r="I35" s="558"/>
    </row>
    <row r="36" spans="4:9">
      <c r="D36" s="558"/>
      <c r="E36" s="558"/>
      <c r="G36" s="558"/>
      <c r="H36" s="558"/>
      <c r="I36" s="558"/>
    </row>
    <row r="37" spans="4:9">
      <c r="D37" s="558"/>
      <c r="E37" s="558"/>
      <c r="G37" s="558"/>
      <c r="H37" s="558"/>
      <c r="I37" s="558"/>
    </row>
    <row r="38" spans="4:9">
      <c r="D38" s="558"/>
      <c r="E38" s="558"/>
      <c r="G38" s="558"/>
      <c r="H38" s="558"/>
      <c r="I38" s="558"/>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topLeftCell="A33" zoomScale="125" zoomScaleNormal="125" workbookViewId="0">
      <selection activeCell="C27" sqref="C27"/>
    </sheetView>
  </sheetViews>
  <sheetFormatPr defaultColWidth="10.796875" defaultRowHeight="15.5"/>
  <cols>
    <col min="1" max="1" width="61.69921875" style="5" customWidth="1"/>
    <col min="2" max="2" width="17.69921875" style="305" customWidth="1"/>
    <col min="3" max="3" width="21" style="305" customWidth="1"/>
    <col min="4" max="4" width="20.5" style="305" customWidth="1"/>
    <col min="5" max="5" width="17.69921875" style="305" customWidth="1"/>
    <col min="6" max="6" width="11.19921875" style="5" customWidth="1"/>
    <col min="7" max="7" width="72" style="5" customWidth="1"/>
    <col min="8" max="16384" width="10.796875" style="5"/>
  </cols>
  <sheetData>
    <row r="1" spans="1:7">
      <c r="A1" s="314" t="s">
        <v>817</v>
      </c>
      <c r="B1" s="315"/>
      <c r="C1" s="316"/>
      <c r="D1" s="576" t="s">
        <v>815</v>
      </c>
      <c r="E1" s="577"/>
      <c r="G1" s="306" t="s">
        <v>821</v>
      </c>
    </row>
    <row r="2" spans="1:7" ht="31">
      <c r="A2" s="317"/>
      <c r="B2" s="318" t="s">
        <v>780</v>
      </c>
      <c r="C2" s="318" t="s">
        <v>813</v>
      </c>
      <c r="D2" s="318" t="s">
        <v>646</v>
      </c>
      <c r="E2" s="319" t="s">
        <v>644</v>
      </c>
      <c r="G2" s="334" t="s">
        <v>819</v>
      </c>
    </row>
    <row r="3" spans="1:7" ht="31">
      <c r="A3" s="312" t="s">
        <v>814</v>
      </c>
      <c r="B3" s="309">
        <f>'Input sheet'!J25</f>
        <v>3.9922558139534867E-2</v>
      </c>
      <c r="C3" s="309">
        <f>'Input sheet'!I25</f>
        <v>4.3163301846578017E-2</v>
      </c>
      <c r="D3" s="309">
        <f>'Valuation output'!C2</f>
        <v>5.9799999999999999E-2</v>
      </c>
      <c r="E3" s="309">
        <f>'Valuation output'!D2</f>
        <v>5.9799999999999999E-2</v>
      </c>
      <c r="G3" s="334" t="s">
        <v>820</v>
      </c>
    </row>
    <row r="4" spans="1:7" ht="16" thickBot="1"/>
    <row r="5" spans="1:7">
      <c r="A5" s="314" t="s">
        <v>818</v>
      </c>
      <c r="B5" s="316"/>
      <c r="C5" s="316"/>
      <c r="D5" s="316"/>
      <c r="E5" s="320"/>
    </row>
    <row r="6" spans="1:7">
      <c r="A6" s="317"/>
      <c r="B6" s="305" t="s">
        <v>813</v>
      </c>
      <c r="C6" s="305" t="s">
        <v>646</v>
      </c>
      <c r="D6" s="305" t="s">
        <v>382</v>
      </c>
      <c r="E6" s="321" t="s">
        <v>816</v>
      </c>
      <c r="G6" s="312" t="s">
        <v>822</v>
      </c>
    </row>
    <row r="7" spans="1:7">
      <c r="A7" s="331" t="s">
        <v>5</v>
      </c>
      <c r="B7" s="332">
        <f>'Valuation output'!B3</f>
        <v>67393</v>
      </c>
      <c r="C7" s="332">
        <f>'Valuation output'!C3</f>
        <v>71423.1014</v>
      </c>
      <c r="D7" s="332">
        <f>'Valuation output'!G3</f>
        <v>90101.986341830794</v>
      </c>
      <c r="E7" s="332">
        <f>'Valuation output'!L3</f>
        <v>114212.75041210462</v>
      </c>
      <c r="G7" s="312" t="s">
        <v>823</v>
      </c>
    </row>
    <row r="8" spans="1:7">
      <c r="G8" s="312" t="s">
        <v>824</v>
      </c>
    </row>
    <row r="9" spans="1:7">
      <c r="G9" s="312" t="s">
        <v>825</v>
      </c>
    </row>
    <row r="10" spans="1:7" ht="16" thickBot="1"/>
    <row r="11" spans="1:7">
      <c r="A11" s="322" t="s">
        <v>829</v>
      </c>
      <c r="B11" s="323" t="s">
        <v>813</v>
      </c>
      <c r="C11" s="323" t="s">
        <v>646</v>
      </c>
      <c r="D11" s="323" t="s">
        <v>382</v>
      </c>
      <c r="E11" s="324" t="s">
        <v>816</v>
      </c>
      <c r="G11" s="312" t="s">
        <v>826</v>
      </c>
    </row>
    <row r="12" spans="1:7" ht="31">
      <c r="A12" s="331" t="s">
        <v>511</v>
      </c>
      <c r="B12" s="333">
        <f ca="1">'Valuation output'!B4</f>
        <v>0.13960374310331589</v>
      </c>
      <c r="C12" s="333">
        <f>'Valuation output'!C4</f>
        <v>0.1396</v>
      </c>
      <c r="D12" s="333">
        <f>'Valuation output'!G4</f>
        <v>0.13073333333333334</v>
      </c>
      <c r="E12" s="333">
        <f>'Valuation output'!M4</f>
        <v>0.12186666666666666</v>
      </c>
      <c r="G12" s="334" t="s">
        <v>827</v>
      </c>
    </row>
    <row r="13" spans="1:7">
      <c r="G13" s="312" t="s">
        <v>828</v>
      </c>
    </row>
    <row r="14" spans="1:7" ht="16" thickBot="1"/>
    <row r="15" spans="1:7">
      <c r="A15" s="322" t="s">
        <v>846</v>
      </c>
      <c r="B15" s="316"/>
      <c r="C15" s="316"/>
      <c r="D15" s="316"/>
      <c r="E15" s="320"/>
    </row>
    <row r="16" spans="1:7">
      <c r="A16" s="317"/>
      <c r="B16" s="318" t="s">
        <v>813</v>
      </c>
      <c r="C16" s="318" t="s">
        <v>646</v>
      </c>
      <c r="D16" s="318" t="s">
        <v>382</v>
      </c>
      <c r="E16" s="319" t="s">
        <v>816</v>
      </c>
      <c r="G16" s="312" t="s">
        <v>830</v>
      </c>
    </row>
    <row r="17" spans="1:7">
      <c r="A17" s="331" t="s">
        <v>543</v>
      </c>
      <c r="B17" s="478">
        <f ca="1">'Input sheet'!I27</f>
        <v>2.1292211613593151</v>
      </c>
      <c r="C17" s="478">
        <f>'Valuation output'!C38</f>
        <v>2.13</v>
      </c>
      <c r="D17" s="478">
        <f>'Valuation output'!G38</f>
        <v>1.89</v>
      </c>
      <c r="E17" s="478">
        <f>'Valuation output'!L38</f>
        <v>1.89</v>
      </c>
      <c r="G17" s="312" t="s">
        <v>831</v>
      </c>
    </row>
    <row r="18" spans="1:7">
      <c r="A18" s="317"/>
      <c r="E18" s="321"/>
      <c r="G18" s="312" t="s">
        <v>832</v>
      </c>
    </row>
    <row r="19" spans="1:7">
      <c r="A19" s="325" t="s">
        <v>838</v>
      </c>
      <c r="E19" s="321"/>
    </row>
    <row r="20" spans="1:7">
      <c r="A20" s="317"/>
      <c r="B20" s="313" t="s">
        <v>833</v>
      </c>
      <c r="C20" s="313" t="s">
        <v>834</v>
      </c>
      <c r="E20" s="321"/>
    </row>
    <row r="21" spans="1:7">
      <c r="A21" s="317" t="s">
        <v>835</v>
      </c>
      <c r="B21" s="307">
        <f ca="1">'Valuation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59579.560288192792</v>
      </c>
      <c r="C21" s="308">
        <f ca="1">B21/B21</f>
        <v>1</v>
      </c>
      <c r="E21" s="321"/>
      <c r="G21" s="312" t="s">
        <v>839</v>
      </c>
    </row>
    <row r="22" spans="1:7">
      <c r="A22" s="326" t="s">
        <v>836</v>
      </c>
      <c r="B22" s="310">
        <f ca="1">B21-B23</f>
        <v>14595.721661604315</v>
      </c>
      <c r="C22" s="311">
        <f ca="1">B22/B21</f>
        <v>0.24497867374319696</v>
      </c>
      <c r="E22" s="321"/>
      <c r="G22" s="312" t="s">
        <v>845</v>
      </c>
    </row>
    <row r="23" spans="1:7">
      <c r="A23" s="317" t="s">
        <v>837</v>
      </c>
      <c r="B23" s="307">
        <f ca="1">'Valuation output'!B20</f>
        <v>44983.838626588476</v>
      </c>
      <c r="C23" s="309">
        <f ca="1">C21-C22</f>
        <v>0.75502132625680307</v>
      </c>
      <c r="E23" s="321"/>
    </row>
    <row r="24" spans="1:7">
      <c r="A24" s="317"/>
      <c r="E24" s="321"/>
    </row>
    <row r="25" spans="1:7">
      <c r="A25" s="325" t="s">
        <v>840</v>
      </c>
      <c r="E25" s="321"/>
    </row>
    <row r="26" spans="1:7">
      <c r="A26" s="317"/>
      <c r="B26" s="318" t="s">
        <v>841</v>
      </c>
      <c r="C26" s="318" t="s">
        <v>842</v>
      </c>
      <c r="D26" s="318" t="s">
        <v>843</v>
      </c>
      <c r="E26" s="319" t="s">
        <v>844</v>
      </c>
    </row>
    <row r="27" spans="1:7" ht="16" thickBot="1">
      <c r="A27" s="327" t="s">
        <v>531</v>
      </c>
      <c r="B27" s="328">
        <f ca="1">'Valuation output'!B40</f>
        <v>0.25010383111889051</v>
      </c>
      <c r="C27" s="329">
        <f ca="1">('Valuation output'!L7-'Valuation output'!B7)/('Valuation output'!L39-'Valuation output'!B39)</f>
        <v>0.1282641640195811</v>
      </c>
      <c r="D27" s="328">
        <f ca="1">'Valuation output'!L40</f>
        <v>0.20677365729741029</v>
      </c>
      <c r="E27" s="330">
        <f>'Valuation output'!M40</f>
        <v>0.14500000000000002</v>
      </c>
    </row>
    <row r="28" spans="1:7" ht="16" thickBot="1"/>
    <row r="29" spans="1:7">
      <c r="A29" s="322" t="s">
        <v>847</v>
      </c>
      <c r="B29" s="316"/>
      <c r="C29" s="316"/>
      <c r="D29" s="316"/>
      <c r="E29" s="320"/>
    </row>
    <row r="30" spans="1:7">
      <c r="A30" s="317"/>
      <c r="B30" s="318" t="s">
        <v>780</v>
      </c>
      <c r="C30" s="318" t="s">
        <v>850</v>
      </c>
      <c r="D30" s="318" t="s">
        <v>851</v>
      </c>
      <c r="E30" s="319" t="s">
        <v>848</v>
      </c>
      <c r="G30" s="312" t="s">
        <v>857</v>
      </c>
    </row>
    <row r="31" spans="1:7">
      <c r="A31" s="335" t="s">
        <v>135</v>
      </c>
      <c r="B31" s="311">
        <f>'Input sheet'!J31</f>
        <v>0.10594482009093814</v>
      </c>
      <c r="C31" s="311">
        <f ca="1">(1/'Valuation output'!L13)^(1/10)-1</f>
        <v>9.6707187153042273E-2</v>
      </c>
      <c r="D31" s="311">
        <f ca="1">'Valuation output'!C12</f>
        <v>9.9503321400523079E-2</v>
      </c>
      <c r="E31" s="336">
        <f>'Valuation output'!M12</f>
        <v>9.0200000000000002E-2</v>
      </c>
      <c r="G31" s="312" t="s">
        <v>858</v>
      </c>
    </row>
    <row r="32" spans="1:7">
      <c r="A32" s="317"/>
      <c r="E32" s="321"/>
      <c r="G32" s="312" t="s">
        <v>859</v>
      </c>
    </row>
    <row r="33" spans="1:6" ht="16" thickBot="1">
      <c r="A33" s="327" t="s">
        <v>849</v>
      </c>
      <c r="B33" s="328">
        <f>'Valuation output'!B22</f>
        <v>0</v>
      </c>
      <c r="C33" s="337"/>
      <c r="D33" s="337"/>
      <c r="E33" s="338"/>
    </row>
    <row r="34" spans="1:6" ht="16" thickBot="1"/>
    <row r="35" spans="1:6">
      <c r="A35" s="322" t="s">
        <v>852</v>
      </c>
      <c r="B35" s="316"/>
      <c r="C35" s="316"/>
      <c r="D35" s="316"/>
      <c r="E35" s="320"/>
    </row>
    <row r="36" spans="1:6" s="77" customFormat="1" ht="13" thickBot="1">
      <c r="A36" s="350" t="s">
        <v>22</v>
      </c>
      <c r="B36" s="339">
        <f ca="1">'Valuation output'!B33/'Valuation output'!B34</f>
        <v>0.87305826986325774</v>
      </c>
      <c r="C36" s="351"/>
      <c r="D36" s="351"/>
      <c r="E36" s="352"/>
    </row>
    <row r="37" spans="1:6" s="77" customFormat="1" ht="16" thickBot="1">
      <c r="A37" s="79"/>
      <c r="B37" s="574" t="str">
        <f ca="1">IF(B36="NA","Value is negative. See below",IF(B36&gt;2,"Value seems high. See below",IF(B36&lt;0.5,"Value seems low. See below"," ")))</f>
        <v xml:space="preserve"> </v>
      </c>
      <c r="C37" s="575"/>
      <c r="D37" s="351"/>
      <c r="E37" s="352"/>
      <c r="F37" s="7"/>
    </row>
    <row r="38" spans="1:6" s="7" customFormat="1" ht="39">
      <c r="A38" s="357" t="s">
        <v>4</v>
      </c>
      <c r="B38" s="340" t="s">
        <v>0</v>
      </c>
      <c r="C38" s="341" t="s">
        <v>1</v>
      </c>
      <c r="D38" s="353"/>
      <c r="E38" s="354"/>
    </row>
    <row r="39" spans="1:6" s="7" customFormat="1" ht="35" customHeight="1">
      <c r="A39" s="342" t="s">
        <v>853</v>
      </c>
      <c r="B39" s="343" t="s">
        <v>2</v>
      </c>
      <c r="C39" s="344" t="s">
        <v>3</v>
      </c>
      <c r="D39" s="353"/>
      <c r="E39" s="354"/>
    </row>
    <row r="40" spans="1:6" s="7" customFormat="1" ht="37.5">
      <c r="A40" s="342" t="s">
        <v>854</v>
      </c>
      <c r="B40" s="345" t="s">
        <v>139</v>
      </c>
      <c r="C40" s="344" t="s">
        <v>140</v>
      </c>
      <c r="D40" s="353" t="s">
        <v>143</v>
      </c>
      <c r="E40" s="354"/>
    </row>
    <row r="41" spans="1:6" s="7" customFormat="1" ht="34" customHeight="1">
      <c r="A41" s="346" t="s">
        <v>855</v>
      </c>
      <c r="B41" s="343" t="s">
        <v>138</v>
      </c>
      <c r="C41" s="344" t="s">
        <v>137</v>
      </c>
      <c r="D41" s="353" t="s">
        <v>143</v>
      </c>
      <c r="E41" s="354"/>
    </row>
    <row r="42" spans="1:6" s="7" customFormat="1" ht="48" customHeight="1" thickBot="1">
      <c r="A42" s="347" t="s">
        <v>856</v>
      </c>
      <c r="B42" s="348" t="s">
        <v>141</v>
      </c>
      <c r="C42" s="349" t="s">
        <v>142</v>
      </c>
      <c r="D42" s="355" t="s">
        <v>144</v>
      </c>
      <c r="E42" s="356"/>
      <c r="F42" s="5"/>
    </row>
  </sheetData>
  <mergeCells count="2">
    <mergeCell ref="B37:C37"/>
    <mergeCell ref="D1:E1"/>
  </mergeCells>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
  <sheetViews>
    <sheetView workbookViewId="0">
      <selection activeCell="D33" sqref="D33"/>
    </sheetView>
  </sheetViews>
  <sheetFormatPr defaultColWidth="11.19921875" defaultRowHeight="15.5"/>
  <cols>
    <col min="1" max="1" width="44.296875" style="230" customWidth="1"/>
    <col min="2" max="2" width="28.19921875" style="230" customWidth="1"/>
    <col min="3" max="3" width="30.69921875" style="230" customWidth="1"/>
    <col min="4" max="4" width="24.796875" style="230" customWidth="1"/>
    <col min="5" max="7" width="44.296875" style="133" customWidth="1"/>
  </cols>
  <sheetData>
    <row r="1" spans="1:7" ht="19" customHeight="1">
      <c r="A1" s="578" t="s">
        <v>860</v>
      </c>
      <c r="B1" s="579"/>
      <c r="C1" s="579"/>
      <c r="D1" s="579"/>
    </row>
    <row r="2" spans="1:7" ht="38" customHeight="1">
      <c r="A2" s="578"/>
      <c r="B2" s="579"/>
      <c r="C2" s="579"/>
      <c r="D2" s="579"/>
    </row>
    <row r="3" spans="1:7" s="377" customFormat="1" ht="18">
      <c r="A3" s="290" t="s">
        <v>52</v>
      </c>
      <c r="B3" s="290"/>
      <c r="C3" s="290"/>
      <c r="D3" s="290"/>
      <c r="E3" s="290"/>
      <c r="F3" s="290"/>
      <c r="G3" s="290"/>
    </row>
    <row r="4" spans="1:7" s="378" customFormat="1">
      <c r="A4" s="230" t="s">
        <v>53</v>
      </c>
      <c r="B4" s="358">
        <f>'Input sheet'!B21</f>
        <v>448.18</v>
      </c>
      <c r="C4" s="230"/>
      <c r="D4" s="230"/>
      <c r="E4" s="230"/>
    </row>
    <row r="5" spans="1:7" s="378" customFormat="1">
      <c r="A5" s="230" t="s">
        <v>54</v>
      </c>
      <c r="B5" s="359">
        <f>'Input sheet'!B38</f>
        <v>1.29</v>
      </c>
      <c r="C5" s="230"/>
      <c r="D5" s="230"/>
      <c r="E5" s="230"/>
    </row>
    <row r="6" spans="1:7" s="378" customFormat="1">
      <c r="A6" s="230" t="s">
        <v>55</v>
      </c>
      <c r="B6" s="360">
        <f>'Input sheet'!B39</f>
        <v>7</v>
      </c>
      <c r="C6" s="230"/>
      <c r="D6" s="230"/>
      <c r="E6" s="230"/>
    </row>
    <row r="7" spans="1:7" s="378" customFormat="1">
      <c r="A7" s="230" t="s">
        <v>56</v>
      </c>
      <c r="B7" s="361">
        <f>'Input sheet'!B40</f>
        <v>0.45</v>
      </c>
      <c r="C7" s="230" t="s">
        <v>57</v>
      </c>
      <c r="D7" s="230"/>
      <c r="E7" s="230"/>
    </row>
    <row r="8" spans="1:7" s="378" customFormat="1">
      <c r="A8" s="230" t="s">
        <v>58</v>
      </c>
      <c r="B8" s="362">
        <v>0</v>
      </c>
      <c r="C8" s="230"/>
      <c r="D8" s="230"/>
      <c r="E8" s="230"/>
    </row>
    <row r="9" spans="1:7" s="378" customFormat="1">
      <c r="A9" s="230" t="s">
        <v>59</v>
      </c>
      <c r="B9" s="362">
        <f>'Input sheet'!B33</f>
        <v>4.1099999999999998E-2</v>
      </c>
      <c r="C9" s="230"/>
      <c r="D9" s="230"/>
      <c r="E9" s="230"/>
    </row>
    <row r="10" spans="1:7" s="378" customFormat="1">
      <c r="A10" s="230" t="s">
        <v>60</v>
      </c>
      <c r="B10" s="360">
        <f>'Input sheet'!B37</f>
        <v>7.72</v>
      </c>
      <c r="C10" s="230"/>
      <c r="D10" s="230"/>
      <c r="E10" s="230"/>
    </row>
    <row r="11" spans="1:7" s="378" customFormat="1">
      <c r="A11" s="230" t="s">
        <v>61</v>
      </c>
      <c r="B11" s="363">
        <f>'Input sheet'!B20</f>
        <v>251.83068399999999</v>
      </c>
      <c r="C11" s="230"/>
      <c r="D11" s="230"/>
      <c r="E11" s="230"/>
    </row>
    <row r="12" spans="1:7" s="378" customFormat="1">
      <c r="A12" s="230"/>
      <c r="B12" s="230"/>
      <c r="C12" s="230"/>
      <c r="D12" s="230"/>
      <c r="E12" s="230"/>
      <c r="F12" s="230"/>
      <c r="G12" s="230"/>
    </row>
    <row r="13" spans="1:7" s="379" customFormat="1">
      <c r="A13" s="364" t="s">
        <v>62</v>
      </c>
      <c r="B13" s="365"/>
      <c r="C13" s="365"/>
      <c r="D13" s="365"/>
      <c r="E13" s="365"/>
      <c r="F13" s="365"/>
      <c r="G13" s="365"/>
    </row>
    <row r="14" spans="1:7" s="380" customFormat="1">
      <c r="A14" s="290" t="s">
        <v>783</v>
      </c>
      <c r="B14" s="230"/>
      <c r="C14" s="230"/>
      <c r="D14" s="230"/>
      <c r="E14" s="230"/>
      <c r="F14" s="230"/>
      <c r="G14" s="230"/>
    </row>
    <row r="15" spans="1:7" s="380" customFormat="1">
      <c r="A15" s="366" t="s">
        <v>63</v>
      </c>
      <c r="B15" s="383">
        <f>B4</f>
        <v>448.18</v>
      </c>
      <c r="C15" s="366" t="s">
        <v>64</v>
      </c>
      <c r="D15" s="369">
        <f>B10</f>
        <v>7.72</v>
      </c>
      <c r="E15" s="381"/>
    </row>
    <row r="16" spans="1:7" s="380" customFormat="1">
      <c r="A16" s="366" t="s">
        <v>65</v>
      </c>
      <c r="B16" s="376">
        <f>B5</f>
        <v>1.29</v>
      </c>
      <c r="C16" s="366" t="s">
        <v>66</v>
      </c>
      <c r="D16" s="370">
        <f>B11</f>
        <v>251.83068399999999</v>
      </c>
      <c r="E16" s="381"/>
    </row>
    <row r="17" spans="1:7" s="380" customFormat="1">
      <c r="A17" s="366" t="s">
        <v>67</v>
      </c>
      <c r="B17" s="383" t="e">
        <f ca="1">(B15*D16+B28*D15)/(D16+D15)</f>
        <v>#REF!</v>
      </c>
      <c r="C17" s="366" t="s">
        <v>68</v>
      </c>
      <c r="D17" s="371">
        <f>B9</f>
        <v>4.1099999999999998E-2</v>
      </c>
      <c r="E17" s="230"/>
    </row>
    <row r="18" spans="1:7" s="380" customFormat="1">
      <c r="A18" s="366" t="s">
        <v>69</v>
      </c>
      <c r="B18" s="376">
        <f>B16</f>
        <v>1.29</v>
      </c>
      <c r="C18" s="366" t="s">
        <v>70</v>
      </c>
      <c r="D18" s="372">
        <f>B7^2</f>
        <v>0.20250000000000001</v>
      </c>
      <c r="E18" s="230"/>
    </row>
    <row r="19" spans="1:7" s="380" customFormat="1">
      <c r="A19" s="366" t="s">
        <v>71</v>
      </c>
      <c r="B19" s="376">
        <f>B6</f>
        <v>7</v>
      </c>
      <c r="C19" s="366" t="s">
        <v>72</v>
      </c>
      <c r="D19" s="371">
        <f>B8</f>
        <v>0</v>
      </c>
      <c r="E19" s="230"/>
    </row>
    <row r="20" spans="1:7" s="380" customFormat="1">
      <c r="A20" s="230"/>
      <c r="B20" s="230"/>
      <c r="C20" s="366" t="s">
        <v>73</v>
      </c>
      <c r="D20" s="373">
        <f>D17-D19</f>
        <v>4.1099999999999998E-2</v>
      </c>
      <c r="E20" s="230"/>
    </row>
    <row r="21" spans="1:7" s="380" customFormat="1">
      <c r="A21" s="230"/>
      <c r="B21" s="230"/>
      <c r="C21" s="230"/>
      <c r="D21" s="230"/>
      <c r="E21" s="230"/>
      <c r="F21" s="230"/>
      <c r="G21" s="230"/>
    </row>
    <row r="22" spans="1:7" s="380" customFormat="1">
      <c r="A22" s="230" t="s">
        <v>74</v>
      </c>
      <c r="B22" s="375" t="e">
        <f ca="1">(LN(B17/B18)+(D20+(D18/2))*B19)/(((D18)^(0.5))*(B19^0.5))</f>
        <v>#REF!</v>
      </c>
      <c r="C22" s="230"/>
      <c r="D22" s="230"/>
      <c r="E22" s="230"/>
      <c r="F22" s="230"/>
      <c r="G22" s="230"/>
    </row>
    <row r="23" spans="1:7" s="380" customFormat="1">
      <c r="A23" s="230" t="s">
        <v>75</v>
      </c>
      <c r="B23" s="375" t="e">
        <f ca="1">NORMSDIST(B22)</f>
        <v>#REF!</v>
      </c>
      <c r="C23" s="230"/>
      <c r="D23" s="230"/>
      <c r="E23" s="230"/>
      <c r="F23" s="230"/>
      <c r="G23" s="230"/>
    </row>
    <row r="24" spans="1:7" s="380" customFormat="1">
      <c r="A24" s="230"/>
      <c r="B24" s="374"/>
      <c r="C24" s="230"/>
      <c r="D24" s="230"/>
      <c r="E24" s="230"/>
      <c r="F24" s="230"/>
      <c r="G24" s="230"/>
    </row>
    <row r="25" spans="1:7" s="380" customFormat="1" ht="15.75" customHeight="1">
      <c r="A25" s="230" t="s">
        <v>76</v>
      </c>
      <c r="B25" s="375" t="e">
        <f ca="1">B22-((D18^0.5)*(B19^(0.5)))</f>
        <v>#REF!</v>
      </c>
      <c r="C25" s="230"/>
      <c r="D25" s="230"/>
      <c r="E25" s="230"/>
      <c r="F25" s="230"/>
      <c r="G25" s="230"/>
    </row>
    <row r="26" spans="1:7" s="380" customFormat="1">
      <c r="A26" s="230" t="s">
        <v>77</v>
      </c>
      <c r="B26" s="375" t="e">
        <f ca="1">NORMSDIST(B25)</f>
        <v>#REF!</v>
      </c>
      <c r="C26" s="230"/>
      <c r="D26" s="230"/>
      <c r="E26" s="230"/>
      <c r="F26" s="230"/>
      <c r="G26" s="230"/>
    </row>
    <row r="27" spans="1:7" s="378" customFormat="1" ht="16" thickBot="1">
      <c r="A27" s="230"/>
      <c r="B27" s="230"/>
      <c r="C27" s="230"/>
      <c r="D27" s="230"/>
      <c r="E27" s="230"/>
      <c r="F27" s="230"/>
      <c r="G27" s="230"/>
    </row>
    <row r="28" spans="1:7" s="380" customFormat="1" ht="16" thickBot="1">
      <c r="A28" s="230" t="s">
        <v>78</v>
      </c>
      <c r="B28" s="367" t="e">
        <f ca="1">((EXP((0-D19)*B19))*B17*B23-B18*(EXP((0-D17)*B19))*B26)</f>
        <v>#REF!</v>
      </c>
      <c r="C28" s="230"/>
      <c r="D28" s="230"/>
      <c r="E28" s="230"/>
      <c r="F28" s="382"/>
    </row>
    <row r="29" spans="1:7" s="380" customFormat="1" ht="16" thickBot="1">
      <c r="A29" s="230" t="s">
        <v>79</v>
      </c>
      <c r="B29" s="368" t="e">
        <f ca="1">B28*B10</f>
        <v>#REF!</v>
      </c>
      <c r="C29" s="230"/>
      <c r="D29" s="230"/>
      <c r="E29" s="230"/>
    </row>
  </sheetData>
  <mergeCells count="1">
    <mergeCell ref="A1:D2"/>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60"/>
  <sheetViews>
    <sheetView topLeftCell="A6" zoomScaleNormal="100" workbookViewId="0">
      <selection activeCell="D16" sqref="D16"/>
    </sheetView>
  </sheetViews>
  <sheetFormatPr defaultColWidth="11.19921875" defaultRowHeight="15.5"/>
  <cols>
    <col min="1" max="4" width="11.19921875" style="230" bestFit="1" customWidth="1"/>
    <col min="5" max="5" width="10.796875" style="230"/>
    <col min="6" max="6" width="19.09765625" style="230" customWidth="1"/>
    <col min="7" max="7" width="10.796875" style="230"/>
    <col min="8" max="8" width="11.19921875" style="230" bestFit="1" customWidth="1"/>
    <col min="9" max="10" width="10.796875" style="230"/>
    <col min="11" max="20" width="11.19921875" style="230" bestFit="1" customWidth="1"/>
  </cols>
  <sheetData>
    <row r="1" spans="1:20">
      <c r="A1" s="583" t="s">
        <v>812</v>
      </c>
      <c r="B1" s="584"/>
      <c r="C1" s="584"/>
      <c r="D1" s="584"/>
      <c r="E1" s="584"/>
      <c r="F1" s="584"/>
      <c r="G1" s="584"/>
      <c r="H1" s="584"/>
      <c r="I1" s="584"/>
      <c r="J1" s="584"/>
      <c r="K1" s="584"/>
      <c r="L1" s="585"/>
    </row>
    <row r="2" spans="1:20" ht="21" customHeight="1" thickBot="1">
      <c r="A2" s="586"/>
      <c r="B2" s="587"/>
      <c r="C2" s="587"/>
      <c r="D2" s="587"/>
      <c r="E2" s="587"/>
      <c r="F2" s="587"/>
      <c r="G2" s="587"/>
      <c r="H2" s="587"/>
      <c r="I2" s="587"/>
      <c r="J2" s="587"/>
      <c r="K2" s="587"/>
      <c r="L2" s="588"/>
    </row>
    <row r="4" spans="1:20">
      <c r="A4" s="290" t="s">
        <v>197</v>
      </c>
    </row>
    <row r="5" spans="1:20">
      <c r="A5" s="290" t="s">
        <v>198</v>
      </c>
    </row>
    <row r="6" spans="1:20" s="74" customFormat="1" ht="16" thickBot="1">
      <c r="A6" s="364" t="s">
        <v>199</v>
      </c>
      <c r="B6" s="365"/>
      <c r="C6" s="365"/>
      <c r="D6" s="365"/>
      <c r="E6" s="365"/>
      <c r="F6" s="365"/>
      <c r="G6" s="365"/>
      <c r="H6" s="365"/>
      <c r="I6" s="365"/>
      <c r="J6" s="365"/>
      <c r="K6" s="365"/>
      <c r="L6" s="365"/>
      <c r="M6" s="365"/>
      <c r="N6" s="365"/>
      <c r="O6" s="365"/>
      <c r="P6" s="365"/>
      <c r="Q6" s="365"/>
      <c r="R6" s="365"/>
      <c r="S6" s="365"/>
      <c r="T6" s="365"/>
    </row>
    <row r="7" spans="1:20" s="75" customFormat="1" ht="16" thickBot="1">
      <c r="A7" s="230" t="s">
        <v>200</v>
      </c>
      <c r="B7" s="230"/>
      <c r="C7" s="389">
        <f>'Cost of capital worksheet'!B36</f>
        <v>1</v>
      </c>
      <c r="D7" s="230"/>
      <c r="E7" s="230"/>
      <c r="F7" s="230"/>
      <c r="G7" s="230"/>
      <c r="H7" s="230"/>
      <c r="I7" s="230"/>
      <c r="J7" s="230"/>
      <c r="K7" s="230"/>
      <c r="L7" s="230"/>
      <c r="M7" s="230"/>
      <c r="N7" s="230"/>
      <c r="O7" s="230"/>
      <c r="P7" s="230"/>
      <c r="Q7" s="230"/>
      <c r="R7" s="230"/>
      <c r="S7" s="230"/>
      <c r="T7" s="230"/>
    </row>
    <row r="8" spans="1:20" s="75" customFormat="1" ht="16" thickBot="1">
      <c r="A8" s="230" t="s">
        <v>201</v>
      </c>
      <c r="B8" s="230"/>
      <c r="C8" s="230"/>
      <c r="D8" s="230"/>
      <c r="E8" s="230"/>
      <c r="F8" s="390">
        <f ca="1">IF('Input sheet'!B16="Yes",'Input sheet'!B11+'Operating lease converter'!F32,'Input sheet'!B11)</f>
        <v>8757.4150589617675</v>
      </c>
      <c r="G8" s="230" t="s">
        <v>202</v>
      </c>
      <c r="H8" s="230"/>
      <c r="I8" s="230"/>
      <c r="J8" s="230"/>
      <c r="K8" s="230"/>
      <c r="L8" s="230"/>
      <c r="M8" s="230"/>
      <c r="N8" s="230"/>
      <c r="O8" s="230"/>
      <c r="P8" s="230"/>
      <c r="Q8" s="230"/>
      <c r="R8" s="230"/>
      <c r="S8" s="230"/>
      <c r="T8" s="230"/>
    </row>
    <row r="9" spans="1:20" s="75" customFormat="1" ht="16" thickBot="1">
      <c r="A9" s="230" t="s">
        <v>203</v>
      </c>
      <c r="B9" s="230"/>
      <c r="C9" s="230"/>
      <c r="D9" s="230"/>
      <c r="E9" s="230"/>
      <c r="F9" s="391">
        <f ca="1">IF('Input sheet'!B16="Yes",'Cost of capital worksheet'!B31+'Operating lease converter'!C28*'Operating lease converter'!C15,'Cost of capital worksheet'!B31)</f>
        <v>702.4049571228345</v>
      </c>
      <c r="G9" s="230" t="s">
        <v>204</v>
      </c>
      <c r="H9" s="230"/>
      <c r="I9" s="230"/>
      <c r="J9" s="230"/>
      <c r="K9" s="230"/>
      <c r="L9" s="230"/>
      <c r="M9" s="230"/>
      <c r="N9" s="230"/>
      <c r="O9" s="230"/>
      <c r="P9" s="230"/>
      <c r="Q9" s="230"/>
      <c r="R9" s="230"/>
      <c r="S9" s="230"/>
      <c r="T9" s="230"/>
    </row>
    <row r="10" spans="1:20" s="75" customFormat="1" ht="16" thickBot="1">
      <c r="A10" s="230" t="s">
        <v>219</v>
      </c>
      <c r="B10" s="230"/>
      <c r="C10" s="230"/>
      <c r="D10" s="230"/>
      <c r="E10" s="230"/>
      <c r="F10" s="392">
        <f>'Input sheet'!B33</f>
        <v>4.1099999999999998E-2</v>
      </c>
      <c r="G10" s="230"/>
      <c r="H10" s="230"/>
      <c r="I10" s="230"/>
      <c r="J10" s="230"/>
      <c r="K10" s="230"/>
      <c r="L10" s="230"/>
      <c r="M10" s="230"/>
      <c r="N10" s="230"/>
      <c r="O10" s="230"/>
      <c r="P10" s="230"/>
      <c r="Q10" s="230"/>
      <c r="R10" s="230"/>
      <c r="S10" s="230"/>
      <c r="T10" s="230"/>
    </row>
    <row r="11" spans="1:20" s="75" customFormat="1" ht="16" thickBot="1">
      <c r="A11" s="290" t="s">
        <v>112</v>
      </c>
      <c r="B11" s="230"/>
      <c r="C11" s="230"/>
      <c r="D11" s="230"/>
      <c r="E11" s="230"/>
      <c r="F11" s="230"/>
      <c r="G11" s="230"/>
      <c r="H11" s="230"/>
      <c r="I11" s="230"/>
      <c r="J11" s="230"/>
      <c r="K11" s="230"/>
      <c r="L11" s="230"/>
      <c r="M11" s="230"/>
      <c r="N11" s="230"/>
      <c r="O11" s="230"/>
      <c r="P11" s="230"/>
      <c r="Q11" s="230"/>
      <c r="R11" s="230"/>
      <c r="S11" s="230"/>
      <c r="T11" s="230"/>
    </row>
    <row r="12" spans="1:20" s="75" customFormat="1" ht="16" thickBot="1">
      <c r="A12" s="230" t="s">
        <v>205</v>
      </c>
      <c r="B12" s="230"/>
      <c r="C12" s="230"/>
      <c r="D12" s="393">
        <f ca="1">IF(F9=0,1000000,IF(F8&lt;0,-100000,F8/F9))</f>
        <v>12.467758050617368</v>
      </c>
      <c r="E12" s="230"/>
      <c r="F12" s="230"/>
      <c r="G12" s="230"/>
      <c r="H12" s="230"/>
      <c r="I12" s="230"/>
      <c r="J12" s="230"/>
      <c r="K12" s="230"/>
      <c r="L12" s="230"/>
      <c r="M12" s="230"/>
      <c r="N12" s="230"/>
      <c r="O12" s="230"/>
      <c r="P12" s="230"/>
      <c r="Q12" s="230"/>
      <c r="R12" s="230"/>
      <c r="S12" s="230"/>
      <c r="T12" s="230"/>
    </row>
    <row r="13" spans="1:20" s="75" customFormat="1" ht="16" thickBot="1">
      <c r="A13" s="230" t="s">
        <v>206</v>
      </c>
      <c r="B13" s="230"/>
      <c r="C13" s="230"/>
      <c r="D13" s="394" t="str">
        <f ca="1">IF(C7=1,VLOOKUP(D12,A22:D36,3),(IF(C7=2,VLOOKUP(D12,A41:D55,3),VLOOKUP(D12,F22:I36,3))))</f>
        <v>Aaa/AAA</v>
      </c>
      <c r="E13" s="230"/>
      <c r="F13" s="365" t="s">
        <v>207</v>
      </c>
      <c r="G13" s="230"/>
      <c r="H13" s="230"/>
      <c r="I13" s="230"/>
      <c r="J13" s="230"/>
      <c r="K13" s="230"/>
      <c r="L13" s="230"/>
      <c r="M13" s="230"/>
      <c r="N13" s="230"/>
      <c r="O13" s="230"/>
      <c r="P13" s="230"/>
      <c r="Q13" s="230"/>
      <c r="R13" s="230"/>
      <c r="S13" s="230"/>
      <c r="T13" s="230"/>
    </row>
    <row r="14" spans="1:20" s="75" customFormat="1" ht="16" thickBot="1">
      <c r="A14" s="230" t="s">
        <v>450</v>
      </c>
      <c r="B14" s="230"/>
      <c r="C14" s="230"/>
      <c r="D14" s="395">
        <f ca="1">IF(C7=1,VLOOKUP(D12,A22:D36,4),(IF(C7=2,VLOOKUP(D12,A41:D55,4),VLOOKUP(D12,F22:I36,4))))</f>
        <v>7.4000000000000003E-3</v>
      </c>
      <c r="E14" s="230"/>
      <c r="F14" s="365" t="s">
        <v>208</v>
      </c>
      <c r="G14" s="230"/>
      <c r="H14" s="230"/>
      <c r="I14" s="230"/>
      <c r="J14" s="230"/>
      <c r="K14" s="230"/>
      <c r="L14" s="230"/>
      <c r="M14" s="230"/>
      <c r="N14" s="230"/>
      <c r="O14" s="230"/>
      <c r="P14" s="230"/>
      <c r="Q14" s="230"/>
      <c r="R14" s="230"/>
      <c r="S14" s="230"/>
      <c r="T14" s="230"/>
    </row>
    <row r="15" spans="1:20" s="75" customFormat="1" ht="16" thickBot="1">
      <c r="A15" s="230" t="s">
        <v>451</v>
      </c>
      <c r="B15" s="230"/>
      <c r="C15" s="230"/>
      <c r="D15" s="395">
        <f>VLOOKUP('Input sheet'!B7,'Country equity risk premiums'!A5:C181,3)</f>
        <v>0</v>
      </c>
      <c r="E15" s="230"/>
      <c r="F15" s="365"/>
      <c r="G15" s="230"/>
      <c r="H15" s="230"/>
      <c r="I15" s="230"/>
      <c r="J15" s="230"/>
      <c r="K15" s="230"/>
      <c r="L15" s="230"/>
      <c r="M15" s="230"/>
      <c r="N15" s="230"/>
      <c r="O15" s="230"/>
      <c r="P15" s="230"/>
      <c r="Q15" s="230"/>
      <c r="R15" s="230"/>
      <c r="S15" s="230"/>
      <c r="T15" s="230"/>
    </row>
    <row r="16" spans="1:20" s="7" customFormat="1" ht="16" thickBot="1">
      <c r="A16" s="230" t="s">
        <v>209</v>
      </c>
      <c r="B16" s="230"/>
      <c r="C16" s="230"/>
      <c r="D16" s="396">
        <f ca="1">F10+D14+D15</f>
        <v>4.8500000000000001E-2</v>
      </c>
      <c r="E16" s="230"/>
      <c r="F16" s="230"/>
      <c r="G16" s="230"/>
      <c r="H16" s="230"/>
      <c r="I16" s="230"/>
      <c r="J16" s="230"/>
      <c r="K16" s="230"/>
      <c r="L16" s="230"/>
      <c r="M16" s="230"/>
      <c r="N16" s="230"/>
      <c r="O16" s="230"/>
      <c r="P16" s="230"/>
      <c r="Q16" s="230"/>
      <c r="R16" s="230"/>
      <c r="S16" s="230"/>
      <c r="T16" s="230"/>
    </row>
    <row r="17" spans="1:20" s="7" customFormat="1">
      <c r="A17" s="230"/>
      <c r="B17" s="230"/>
      <c r="C17" s="230"/>
      <c r="D17" s="397"/>
      <c r="E17" s="230"/>
      <c r="F17" s="230"/>
      <c r="G17" s="230"/>
      <c r="H17" s="230"/>
      <c r="I17" s="230"/>
      <c r="J17" s="230"/>
      <c r="K17" s="230"/>
      <c r="L17" s="230"/>
      <c r="M17" s="230"/>
      <c r="N17" s="230"/>
      <c r="O17" s="230"/>
      <c r="P17" s="230"/>
      <c r="Q17" s="230"/>
      <c r="R17" s="230"/>
      <c r="S17" s="230"/>
      <c r="T17" s="230"/>
    </row>
    <row r="18" spans="1:20" s="10" customFormat="1" ht="16" thickBot="1">
      <c r="A18" s="365" t="s">
        <v>210</v>
      </c>
      <c r="B18" s="365"/>
      <c r="C18" s="365"/>
      <c r="D18" s="398"/>
      <c r="E18" s="365"/>
      <c r="F18" s="365"/>
      <c r="G18" s="365"/>
      <c r="H18" s="365"/>
      <c r="I18" s="365"/>
      <c r="J18" s="365"/>
      <c r="K18" s="365"/>
      <c r="L18" s="365"/>
      <c r="M18" s="365"/>
      <c r="N18" s="365"/>
      <c r="O18" s="365"/>
      <c r="P18" s="365"/>
      <c r="Q18" s="365"/>
      <c r="R18" s="365"/>
      <c r="S18" s="365"/>
      <c r="T18" s="365"/>
    </row>
    <row r="19" spans="1:20" s="75" customFormat="1" ht="16" thickBot="1">
      <c r="A19" s="290" t="s">
        <v>211</v>
      </c>
      <c r="B19" s="230"/>
      <c r="C19" s="230"/>
      <c r="D19" s="230"/>
      <c r="E19" s="230"/>
      <c r="F19" s="230"/>
      <c r="G19" s="230"/>
      <c r="H19" s="230"/>
      <c r="I19" s="230"/>
      <c r="J19" s="580" t="s">
        <v>645</v>
      </c>
      <c r="K19" s="581"/>
      <c r="L19" s="581"/>
      <c r="M19" s="581"/>
      <c r="N19" s="581"/>
      <c r="O19" s="581"/>
      <c r="P19" s="581"/>
      <c r="Q19" s="581"/>
      <c r="R19" s="581"/>
      <c r="S19" s="581"/>
      <c r="T19" s="582"/>
    </row>
    <row r="20" spans="1:20" s="75" customFormat="1">
      <c r="A20" s="399" t="s">
        <v>212</v>
      </c>
      <c r="B20" s="399"/>
      <c r="C20" s="400"/>
      <c r="D20" s="400"/>
      <c r="E20" s="230"/>
      <c r="F20" s="230"/>
      <c r="G20" s="230"/>
      <c r="H20" s="230"/>
      <c r="I20" s="230"/>
      <c r="J20" s="385" t="s">
        <v>637</v>
      </c>
      <c r="K20" s="386">
        <v>1</v>
      </c>
      <c r="L20" s="386">
        <v>2</v>
      </c>
      <c r="M20" s="386">
        <v>3</v>
      </c>
      <c r="N20" s="386">
        <v>4</v>
      </c>
      <c r="O20" s="386">
        <v>5</v>
      </c>
      <c r="P20" s="386">
        <v>6</v>
      </c>
      <c r="Q20" s="386">
        <v>7</v>
      </c>
      <c r="R20" s="386">
        <v>8</v>
      </c>
      <c r="S20" s="386">
        <v>9</v>
      </c>
      <c r="T20" s="386">
        <v>10</v>
      </c>
    </row>
    <row r="21" spans="1:20" s="75" customFormat="1">
      <c r="A21" s="401" t="s">
        <v>213</v>
      </c>
      <c r="B21" s="401" t="s">
        <v>214</v>
      </c>
      <c r="C21" s="401" t="s">
        <v>215</v>
      </c>
      <c r="D21" s="401" t="s">
        <v>216</v>
      </c>
      <c r="E21" s="230"/>
      <c r="F21" s="230"/>
      <c r="G21" s="230"/>
      <c r="H21" s="230"/>
      <c r="I21" s="230"/>
      <c r="J21" s="387" t="s">
        <v>638</v>
      </c>
      <c r="K21" s="388">
        <v>0</v>
      </c>
      <c r="L21" s="388">
        <v>2.9999999999999997E-4</v>
      </c>
      <c r="M21" s="388">
        <v>1.2999999999999999E-3</v>
      </c>
      <c r="N21" s="388">
        <v>2.3999999999999998E-3</v>
      </c>
      <c r="O21" s="388">
        <v>3.4999999999999996E-3</v>
      </c>
      <c r="P21" s="388">
        <v>4.5000000000000005E-3</v>
      </c>
      <c r="Q21" s="388">
        <v>5.1000000000000004E-3</v>
      </c>
      <c r="R21" s="388">
        <v>5.8999999999999999E-3</v>
      </c>
      <c r="S21" s="388">
        <v>6.4000000000000003E-3</v>
      </c>
      <c r="T21" s="388">
        <v>6.9999999999999993E-3</v>
      </c>
    </row>
    <row r="22" spans="1:20" s="75" customFormat="1">
      <c r="A22" s="369">
        <v>-100000</v>
      </c>
      <c r="B22" s="369">
        <v>0.19999900000000001</v>
      </c>
      <c r="C22" s="369" t="s">
        <v>434</v>
      </c>
      <c r="D22" s="402">
        <v>0.16</v>
      </c>
      <c r="E22" s="230"/>
      <c r="F22" s="230"/>
      <c r="G22" s="230"/>
      <c r="H22" s="230"/>
      <c r="I22" s="230"/>
      <c r="J22" s="387" t="s">
        <v>639</v>
      </c>
      <c r="K22" s="388">
        <v>2.0000000000000001E-4</v>
      </c>
      <c r="L22" s="388">
        <v>5.9999999999999995E-4</v>
      </c>
      <c r="M22" s="388">
        <v>1.1999999999999999E-3</v>
      </c>
      <c r="N22" s="388">
        <v>2.0999999999999999E-3</v>
      </c>
      <c r="O22" s="388">
        <v>3.0999999999999999E-3</v>
      </c>
      <c r="P22" s="388">
        <v>4.1999999999999997E-3</v>
      </c>
      <c r="Q22" s="388">
        <v>5.0000000000000001E-3</v>
      </c>
      <c r="R22" s="388">
        <v>5.7999999999999996E-3</v>
      </c>
      <c r="S22" s="388">
        <v>6.5000000000000006E-3</v>
      </c>
      <c r="T22" s="388">
        <v>7.1999999999999998E-3</v>
      </c>
    </row>
    <row r="23" spans="1:20" s="75" customFormat="1">
      <c r="A23" s="369">
        <v>0.2</v>
      </c>
      <c r="B23" s="369">
        <v>0.64999899999999999</v>
      </c>
      <c r="C23" s="369" t="s">
        <v>437</v>
      </c>
      <c r="D23" s="402">
        <v>0.14000000000000001</v>
      </c>
      <c r="E23" s="230"/>
      <c r="F23" s="369"/>
      <c r="G23" s="230"/>
      <c r="H23" s="230"/>
      <c r="I23" s="230"/>
      <c r="J23" s="387" t="s">
        <v>640</v>
      </c>
      <c r="K23" s="388">
        <v>5.0000000000000001E-4</v>
      </c>
      <c r="L23" s="388">
        <v>1.4000000000000002E-3</v>
      </c>
      <c r="M23" s="388">
        <v>2.3E-3</v>
      </c>
      <c r="N23" s="388">
        <v>3.4999999999999996E-3</v>
      </c>
      <c r="O23" s="388">
        <v>4.6999999999999993E-3</v>
      </c>
      <c r="P23" s="388">
        <v>6.1999999999999998E-3</v>
      </c>
      <c r="Q23" s="388">
        <v>7.9000000000000008E-3</v>
      </c>
      <c r="R23" s="388">
        <v>9.300000000000001E-3</v>
      </c>
      <c r="S23" s="388">
        <v>1.0800000000000001E-2</v>
      </c>
      <c r="T23" s="388">
        <v>1.24E-2</v>
      </c>
    </row>
    <row r="24" spans="1:20" s="75" customFormat="1">
      <c r="A24" s="369">
        <v>0.65</v>
      </c>
      <c r="B24" s="369">
        <v>0.79999900000000002</v>
      </c>
      <c r="C24" s="369" t="s">
        <v>436</v>
      </c>
      <c r="D24" s="402">
        <v>0.12809999999999999</v>
      </c>
      <c r="E24" s="230"/>
      <c r="F24" s="230"/>
      <c r="G24" s="230"/>
      <c r="H24" s="230"/>
      <c r="I24" s="230"/>
      <c r="J24" s="387" t="s">
        <v>641</v>
      </c>
      <c r="K24" s="388">
        <v>1.6000000000000001E-3</v>
      </c>
      <c r="L24" s="388">
        <v>4.5000000000000005E-3</v>
      </c>
      <c r="M24" s="388">
        <v>7.8000000000000005E-3</v>
      </c>
      <c r="N24" s="388">
        <v>1.1699999999999999E-2</v>
      </c>
      <c r="O24" s="388">
        <v>1.5800000000000002E-2</v>
      </c>
      <c r="P24" s="388">
        <v>1.9799999999999998E-2</v>
      </c>
      <c r="Q24" s="388">
        <v>2.3300000000000001E-2</v>
      </c>
      <c r="R24" s="388">
        <v>2.6699999999999998E-2</v>
      </c>
      <c r="S24" s="388">
        <v>0.03</v>
      </c>
      <c r="T24" s="388">
        <v>3.32E-2</v>
      </c>
    </row>
    <row r="25" spans="1:20" s="75" customFormat="1">
      <c r="A25" s="369">
        <v>0.8</v>
      </c>
      <c r="B25" s="369">
        <v>1.2499990000000001</v>
      </c>
      <c r="C25" s="369" t="s">
        <v>435</v>
      </c>
      <c r="D25" s="402">
        <v>9.4299999999999995E-2</v>
      </c>
      <c r="E25" s="230"/>
      <c r="F25" s="230"/>
      <c r="G25" s="230"/>
      <c r="H25" s="230"/>
      <c r="I25" s="230"/>
      <c r="J25" s="387" t="s">
        <v>642</v>
      </c>
      <c r="K25" s="388">
        <v>6.0999999999999995E-3</v>
      </c>
      <c r="L25" s="388">
        <v>1.9199999999999998E-2</v>
      </c>
      <c r="M25" s="388">
        <v>3.4799999999999998E-2</v>
      </c>
      <c r="N25" s="388">
        <v>5.0499999999999996E-2</v>
      </c>
      <c r="O25" s="388">
        <v>6.5199999999999994E-2</v>
      </c>
      <c r="P25" s="388">
        <v>7.85E-2</v>
      </c>
      <c r="Q25" s="388">
        <v>9.01E-2</v>
      </c>
      <c r="R25" s="388">
        <v>0.10039999999999999</v>
      </c>
      <c r="S25" s="388">
        <v>0.10970000000000001</v>
      </c>
      <c r="T25" s="388">
        <v>0.11779999999999999</v>
      </c>
    </row>
    <row r="26" spans="1:20" s="75" customFormat="1">
      <c r="A26" s="369">
        <v>1.25</v>
      </c>
      <c r="B26" s="369">
        <v>1.4999990000000001</v>
      </c>
      <c r="C26" s="369" t="s">
        <v>438</v>
      </c>
      <c r="D26" s="402">
        <v>6.0400000000000002E-2</v>
      </c>
      <c r="E26" s="230"/>
      <c r="F26" s="230"/>
      <c r="G26" s="230"/>
      <c r="H26" s="230"/>
      <c r="I26" s="230"/>
      <c r="J26" s="387" t="s">
        <v>92</v>
      </c>
      <c r="K26" s="388">
        <v>3.3300000000000003E-2</v>
      </c>
      <c r="L26" s="388">
        <v>7.7100000000000002E-2</v>
      </c>
      <c r="M26" s="388">
        <v>0.11550000000000001</v>
      </c>
      <c r="N26" s="388">
        <v>0.14580000000000001</v>
      </c>
      <c r="O26" s="388">
        <v>0.16930000000000001</v>
      </c>
      <c r="P26" s="388">
        <v>0.1883</v>
      </c>
      <c r="Q26" s="388">
        <v>0.2036</v>
      </c>
      <c r="R26" s="388">
        <v>0.21600000000000003</v>
      </c>
      <c r="S26" s="388">
        <v>0.22699999999999998</v>
      </c>
      <c r="T26" s="388">
        <v>0.23739999999999997</v>
      </c>
    </row>
    <row r="27" spans="1:20" s="75" customFormat="1">
      <c r="A27" s="369">
        <v>1.5</v>
      </c>
      <c r="B27" s="369">
        <v>1.7499990000000001</v>
      </c>
      <c r="C27" s="369" t="s">
        <v>439</v>
      </c>
      <c r="D27" s="402">
        <v>4.3499999999999997E-2</v>
      </c>
      <c r="E27" s="230"/>
      <c r="F27" s="230"/>
      <c r="G27" s="230"/>
      <c r="H27" s="230"/>
      <c r="I27" s="230"/>
      <c r="J27" s="387" t="s">
        <v>643</v>
      </c>
      <c r="K27" s="388">
        <v>0.27079999999999999</v>
      </c>
      <c r="L27" s="388">
        <v>0.3664</v>
      </c>
      <c r="M27" s="388">
        <v>0.41409999999999997</v>
      </c>
      <c r="N27" s="388">
        <v>0.441</v>
      </c>
      <c r="O27" s="388">
        <v>0.46189999999999998</v>
      </c>
      <c r="P27" s="388">
        <v>0.47090000000000004</v>
      </c>
      <c r="Q27" s="388">
        <v>0.48259999999999997</v>
      </c>
      <c r="R27" s="388">
        <v>0.49049999999999999</v>
      </c>
      <c r="S27" s="388">
        <v>0.49759999999999999</v>
      </c>
      <c r="T27" s="388">
        <v>0.50380000000000003</v>
      </c>
    </row>
    <row r="28" spans="1:20" s="75" customFormat="1">
      <c r="A28" s="369">
        <v>1.75</v>
      </c>
      <c r="B28" s="369">
        <v>1.9999990000000001</v>
      </c>
      <c r="C28" s="369" t="s">
        <v>440</v>
      </c>
      <c r="D28" s="402">
        <v>3.8100000000000002E-2</v>
      </c>
      <c r="E28" s="230"/>
      <c r="F28" s="230"/>
      <c r="G28" s="230"/>
      <c r="H28" s="230"/>
      <c r="I28" s="230"/>
      <c r="J28" s="230"/>
      <c r="K28" s="230"/>
      <c r="L28" s="230"/>
      <c r="M28" s="230"/>
      <c r="N28" s="230"/>
      <c r="O28" s="230"/>
      <c r="P28" s="230"/>
      <c r="Q28" s="230"/>
      <c r="R28" s="230"/>
      <c r="S28" s="230"/>
      <c r="T28" s="230"/>
    </row>
    <row r="29" spans="1:20" s="75" customFormat="1">
      <c r="A29" s="369">
        <v>2</v>
      </c>
      <c r="B29" s="369">
        <v>2.2499999000000002</v>
      </c>
      <c r="C29" s="369" t="s">
        <v>441</v>
      </c>
      <c r="D29" s="402">
        <v>2.7400000000000001E-2</v>
      </c>
      <c r="E29" s="230"/>
      <c r="F29" s="230"/>
      <c r="G29" s="230"/>
      <c r="H29" s="230"/>
      <c r="I29" s="230"/>
      <c r="J29" s="230"/>
      <c r="K29" s="230"/>
      <c r="L29" s="230"/>
      <c r="M29" s="230"/>
      <c r="N29" s="230"/>
      <c r="O29" s="230"/>
      <c r="P29" s="230"/>
      <c r="Q29" s="230"/>
      <c r="R29" s="230"/>
      <c r="S29" s="230"/>
      <c r="T29" s="230"/>
    </row>
    <row r="30" spans="1:20" s="75" customFormat="1">
      <c r="A30" s="369">
        <v>2.25</v>
      </c>
      <c r="B30" s="369">
        <v>2.4999899999999999</v>
      </c>
      <c r="C30" s="369" t="s">
        <v>442</v>
      </c>
      <c r="D30" s="402">
        <v>2.1999999999999999E-2</v>
      </c>
      <c r="E30" s="230"/>
      <c r="F30" s="230"/>
      <c r="G30" s="230"/>
      <c r="H30" s="230"/>
      <c r="I30" s="230"/>
      <c r="J30" s="230"/>
      <c r="K30" s="230"/>
      <c r="L30" s="230"/>
      <c r="M30" s="230"/>
      <c r="N30" s="230"/>
      <c r="O30" s="230"/>
      <c r="P30" s="230"/>
      <c r="Q30" s="230"/>
      <c r="R30" s="230"/>
      <c r="S30" s="230"/>
      <c r="T30" s="230"/>
    </row>
    <row r="31" spans="1:20" s="75" customFormat="1">
      <c r="A31" s="369">
        <v>2.5</v>
      </c>
      <c r="B31" s="369">
        <v>2.9999989999999999</v>
      </c>
      <c r="C31" s="369" t="s">
        <v>443</v>
      </c>
      <c r="D31" s="402">
        <v>1.89E-2</v>
      </c>
      <c r="E31" s="230"/>
      <c r="F31" s="230"/>
      <c r="G31" s="230"/>
      <c r="H31" s="230"/>
      <c r="I31" s="230"/>
      <c r="J31" s="230"/>
      <c r="K31" s="230"/>
      <c r="L31" s="230"/>
      <c r="M31" s="230"/>
      <c r="N31" s="230"/>
      <c r="O31" s="230"/>
      <c r="P31" s="230"/>
      <c r="Q31" s="230"/>
      <c r="R31" s="230"/>
      <c r="S31" s="230"/>
      <c r="T31" s="230"/>
    </row>
    <row r="32" spans="1:20" s="75" customFormat="1">
      <c r="A32" s="369">
        <v>3</v>
      </c>
      <c r="B32" s="369">
        <v>4.2499989999999999</v>
      </c>
      <c r="C32" s="369" t="s">
        <v>444</v>
      </c>
      <c r="D32" s="402">
        <v>1.54E-2</v>
      </c>
      <c r="E32" s="230"/>
      <c r="F32" s="230"/>
      <c r="G32" s="230"/>
      <c r="H32" s="230"/>
      <c r="I32" s="230"/>
      <c r="J32" s="230"/>
      <c r="K32" s="230"/>
      <c r="L32" s="230"/>
      <c r="M32" s="230"/>
      <c r="N32" s="230"/>
      <c r="O32" s="230"/>
      <c r="P32" s="230"/>
      <c r="Q32" s="230"/>
      <c r="R32" s="230"/>
      <c r="S32" s="230"/>
      <c r="T32" s="230"/>
    </row>
    <row r="33" spans="1:20" s="75" customFormat="1">
      <c r="A33" s="369">
        <v>4.25</v>
      </c>
      <c r="B33" s="369">
        <v>5.4999989999999999</v>
      </c>
      <c r="C33" s="369" t="s">
        <v>445</v>
      </c>
      <c r="D33" s="402">
        <v>1.3599999999999999E-2</v>
      </c>
      <c r="E33" s="230"/>
      <c r="F33" s="230"/>
      <c r="G33" s="230"/>
      <c r="H33" s="230"/>
      <c r="I33" s="230"/>
      <c r="J33" s="230"/>
      <c r="K33" s="230"/>
      <c r="L33" s="230"/>
      <c r="M33" s="230"/>
      <c r="N33" s="230"/>
      <c r="O33" s="230"/>
      <c r="P33" s="230"/>
      <c r="Q33" s="230"/>
      <c r="R33" s="230"/>
      <c r="S33" s="230"/>
      <c r="T33" s="230"/>
    </row>
    <row r="34" spans="1:20" s="75" customFormat="1">
      <c r="A34" s="369">
        <v>5.5</v>
      </c>
      <c r="B34" s="369">
        <v>6.4999989999999999</v>
      </c>
      <c r="C34" s="369" t="s">
        <v>446</v>
      </c>
      <c r="D34" s="402">
        <v>1.17E-2</v>
      </c>
      <c r="E34" s="230"/>
      <c r="F34" s="230"/>
      <c r="G34" s="230"/>
      <c r="H34" s="230"/>
      <c r="I34" s="230"/>
      <c r="J34" s="230"/>
      <c r="K34" s="230"/>
      <c r="L34" s="230"/>
      <c r="M34" s="230"/>
      <c r="N34" s="230"/>
      <c r="O34" s="230"/>
      <c r="P34" s="230"/>
      <c r="Q34" s="230"/>
      <c r="R34" s="230"/>
      <c r="S34" s="230"/>
      <c r="T34" s="230"/>
    </row>
    <row r="35" spans="1:20" s="75" customFormat="1">
      <c r="A35" s="369">
        <v>6.5</v>
      </c>
      <c r="B35" s="369">
        <v>8.4999990000000007</v>
      </c>
      <c r="C35" s="369" t="s">
        <v>447</v>
      </c>
      <c r="D35" s="402">
        <v>8.0000000000000002E-3</v>
      </c>
      <c r="E35" s="230"/>
      <c r="F35" s="230"/>
      <c r="G35" s="230"/>
      <c r="H35" s="230"/>
      <c r="I35" s="230"/>
      <c r="J35" s="230"/>
      <c r="K35" s="230"/>
      <c r="L35" s="230"/>
      <c r="M35" s="230"/>
      <c r="N35" s="230"/>
      <c r="O35" s="230"/>
      <c r="P35" s="230"/>
      <c r="Q35" s="230"/>
      <c r="R35" s="230"/>
      <c r="S35" s="230"/>
      <c r="T35" s="230"/>
    </row>
    <row r="36" spans="1:20" s="75" customFormat="1">
      <c r="A36" s="403">
        <v>8.5</v>
      </c>
      <c r="B36" s="369">
        <v>100000</v>
      </c>
      <c r="C36" s="369" t="s">
        <v>448</v>
      </c>
      <c r="D36" s="402">
        <v>7.4000000000000003E-3</v>
      </c>
      <c r="E36" s="230"/>
      <c r="F36" s="230"/>
      <c r="G36" s="230"/>
      <c r="H36" s="230"/>
      <c r="I36" s="230"/>
      <c r="J36" s="230"/>
      <c r="K36" s="230"/>
      <c r="L36" s="230"/>
      <c r="M36" s="230"/>
      <c r="N36" s="230"/>
      <c r="O36" s="230"/>
      <c r="P36" s="230"/>
      <c r="Q36" s="230"/>
      <c r="R36" s="230"/>
      <c r="S36" s="230"/>
      <c r="T36" s="230"/>
    </row>
    <row r="37" spans="1:20" s="75" customFormat="1">
      <c r="A37" s="230"/>
      <c r="B37" s="230"/>
      <c r="C37" s="230"/>
      <c r="D37" s="230"/>
      <c r="E37" s="230"/>
      <c r="F37" s="230"/>
      <c r="G37" s="230"/>
      <c r="H37" s="230"/>
      <c r="I37" s="230"/>
      <c r="J37" s="230"/>
      <c r="K37" s="230"/>
      <c r="L37" s="230"/>
      <c r="M37" s="230"/>
      <c r="N37" s="230"/>
      <c r="O37" s="230"/>
      <c r="P37" s="230"/>
      <c r="Q37" s="230"/>
      <c r="R37" s="230"/>
      <c r="S37" s="230"/>
      <c r="T37" s="230"/>
    </row>
    <row r="38" spans="1:20" s="75" customFormat="1">
      <c r="A38" s="290" t="s">
        <v>218</v>
      </c>
      <c r="B38" s="230"/>
      <c r="C38" s="230"/>
      <c r="D38" s="230"/>
      <c r="E38" s="230"/>
      <c r="F38" s="230"/>
      <c r="G38" s="230"/>
      <c r="H38" s="230"/>
      <c r="I38" s="230"/>
      <c r="J38" s="230"/>
      <c r="K38" s="230"/>
      <c r="L38" s="230"/>
      <c r="M38" s="230"/>
      <c r="N38" s="230"/>
      <c r="O38" s="230"/>
      <c r="P38" s="230"/>
      <c r="Q38" s="230"/>
      <c r="R38" s="230"/>
      <c r="S38" s="230"/>
      <c r="T38" s="230"/>
    </row>
    <row r="39" spans="1:20" s="75" customFormat="1">
      <c r="A39" s="399" t="s">
        <v>212</v>
      </c>
      <c r="B39" s="404"/>
      <c r="C39" s="369"/>
      <c r="D39" s="369"/>
      <c r="E39" s="230"/>
      <c r="F39" s="230"/>
      <c r="G39" s="230"/>
      <c r="H39" s="230"/>
      <c r="I39" s="230"/>
      <c r="J39" s="230"/>
      <c r="K39" s="230"/>
      <c r="L39" s="230"/>
      <c r="M39" s="230"/>
      <c r="N39" s="230"/>
      <c r="O39" s="230"/>
      <c r="P39" s="230"/>
      <c r="Q39" s="230"/>
      <c r="R39" s="230"/>
      <c r="S39" s="230"/>
      <c r="T39" s="230"/>
    </row>
    <row r="40" spans="1:20" s="75" customFormat="1">
      <c r="A40" s="369" t="s">
        <v>217</v>
      </c>
      <c r="B40" s="369" t="s">
        <v>214</v>
      </c>
      <c r="C40" s="369" t="s">
        <v>215</v>
      </c>
      <c r="D40" s="369" t="s">
        <v>216</v>
      </c>
      <c r="E40" s="230"/>
      <c r="F40" s="230"/>
      <c r="G40" s="230"/>
      <c r="H40" s="230"/>
      <c r="I40" s="230"/>
      <c r="J40" s="230"/>
      <c r="K40" s="230"/>
      <c r="L40" s="230"/>
      <c r="M40" s="230"/>
      <c r="N40" s="230"/>
      <c r="O40" s="230"/>
      <c r="P40" s="230"/>
      <c r="Q40" s="230"/>
      <c r="R40" s="230"/>
      <c r="S40" s="230"/>
      <c r="T40" s="230"/>
    </row>
    <row r="41" spans="1:20" s="75" customFormat="1">
      <c r="A41" s="369">
        <v>-100000</v>
      </c>
      <c r="B41" s="369">
        <v>0.49999900000000003</v>
      </c>
      <c r="C41" s="369" t="s">
        <v>434</v>
      </c>
      <c r="D41" s="402">
        <v>0.16</v>
      </c>
      <c r="E41" s="230"/>
      <c r="F41" s="230"/>
      <c r="G41" s="401" t="s">
        <v>215</v>
      </c>
      <c r="H41" s="401" t="s">
        <v>216</v>
      </c>
      <c r="I41" s="230"/>
      <c r="J41" s="230"/>
      <c r="K41" s="230"/>
      <c r="L41" s="230"/>
      <c r="M41" s="230"/>
      <c r="N41" s="230"/>
      <c r="O41" s="230"/>
      <c r="P41" s="230"/>
      <c r="Q41" s="230"/>
      <c r="R41" s="230"/>
      <c r="S41" s="230"/>
      <c r="T41" s="230"/>
    </row>
    <row r="42" spans="1:20" s="75" customFormat="1">
      <c r="A42" s="369">
        <v>0.5</v>
      </c>
      <c r="B42" s="369">
        <v>0.79999900000000002</v>
      </c>
      <c r="C42" s="369" t="s">
        <v>437</v>
      </c>
      <c r="D42" s="402">
        <v>0.14000000000000001</v>
      </c>
      <c r="E42" s="230"/>
      <c r="F42" s="230"/>
      <c r="G42" s="369" t="s">
        <v>446</v>
      </c>
      <c r="H42" s="402">
        <v>1.17E-2</v>
      </c>
      <c r="I42" s="230"/>
      <c r="J42" s="230"/>
      <c r="K42" s="230"/>
      <c r="L42" s="230"/>
      <c r="M42" s="230"/>
      <c r="N42" s="230"/>
      <c r="O42" s="230"/>
      <c r="P42" s="230"/>
      <c r="Q42" s="230"/>
      <c r="R42" s="230"/>
      <c r="S42" s="230"/>
      <c r="T42" s="230"/>
    </row>
    <row r="43" spans="1:20" s="75" customFormat="1">
      <c r="A43" s="369">
        <v>0.8</v>
      </c>
      <c r="B43" s="369">
        <v>1.2499990000000001</v>
      </c>
      <c r="C43" s="369" t="s">
        <v>436</v>
      </c>
      <c r="D43" s="402">
        <v>0.12809999999999999</v>
      </c>
      <c r="E43" s="230"/>
      <c r="F43" s="230"/>
      <c r="G43" s="369" t="s">
        <v>445</v>
      </c>
      <c r="H43" s="402">
        <v>1.3599999999999999E-2</v>
      </c>
      <c r="I43" s="230"/>
      <c r="J43" s="230"/>
      <c r="K43" s="230"/>
      <c r="L43" s="230"/>
      <c r="M43" s="230"/>
      <c r="N43" s="230"/>
      <c r="O43" s="230"/>
      <c r="P43" s="230"/>
      <c r="Q43" s="230"/>
      <c r="R43" s="230"/>
      <c r="S43" s="230"/>
      <c r="T43" s="230"/>
    </row>
    <row r="44" spans="1:20" s="75" customFormat="1">
      <c r="A44" s="369">
        <v>1.25</v>
      </c>
      <c r="B44" s="369">
        <v>1.4999990000000001</v>
      </c>
      <c r="C44" s="369" t="s">
        <v>435</v>
      </c>
      <c r="D44" s="402">
        <v>9.4299999999999995E-2</v>
      </c>
      <c r="E44" s="230"/>
      <c r="F44" s="230"/>
      <c r="G44" s="369" t="s">
        <v>444</v>
      </c>
      <c r="H44" s="402">
        <v>1.54E-2</v>
      </c>
      <c r="I44" s="230"/>
      <c r="J44" s="230"/>
      <c r="K44" s="230"/>
      <c r="L44" s="230"/>
      <c r="M44" s="230"/>
      <c r="N44" s="230"/>
      <c r="O44" s="230"/>
      <c r="P44" s="230"/>
      <c r="Q44" s="230"/>
      <c r="R44" s="230"/>
      <c r="S44" s="230"/>
      <c r="T44" s="230"/>
    </row>
    <row r="45" spans="1:20" s="75" customFormat="1">
      <c r="A45" s="369">
        <v>1.5</v>
      </c>
      <c r="B45" s="369">
        <v>1.9999990000000001</v>
      </c>
      <c r="C45" s="369" t="s">
        <v>438</v>
      </c>
      <c r="D45" s="402">
        <v>6.0400000000000002E-2</v>
      </c>
      <c r="E45" s="230"/>
      <c r="F45" s="230"/>
      <c r="G45" s="369" t="s">
        <v>447</v>
      </c>
      <c r="H45" s="402">
        <v>8.0000000000000002E-3</v>
      </c>
      <c r="I45" s="230"/>
      <c r="J45" s="230"/>
      <c r="K45" s="230"/>
      <c r="L45" s="230"/>
      <c r="M45" s="230"/>
      <c r="N45" s="230"/>
      <c r="O45" s="230"/>
      <c r="P45" s="230"/>
      <c r="Q45" s="230"/>
      <c r="R45" s="230"/>
      <c r="S45" s="230"/>
      <c r="T45" s="230"/>
    </row>
    <row r="46" spans="1:20" s="75" customFormat="1">
      <c r="A46" s="369">
        <v>2</v>
      </c>
      <c r="B46" s="369">
        <v>2.4999989999999999</v>
      </c>
      <c r="C46" s="369" t="s">
        <v>439</v>
      </c>
      <c r="D46" s="402">
        <v>4.3499999999999997E-2</v>
      </c>
      <c r="E46" s="230"/>
      <c r="F46" s="230"/>
      <c r="G46" s="369" t="s">
        <v>448</v>
      </c>
      <c r="H46" s="402">
        <v>7.4000000000000003E-3</v>
      </c>
      <c r="I46" s="230"/>
      <c r="J46" s="230"/>
      <c r="K46" s="230"/>
      <c r="L46" s="230"/>
      <c r="M46" s="230"/>
      <c r="N46" s="230"/>
      <c r="O46" s="230"/>
      <c r="P46" s="230"/>
      <c r="Q46" s="230"/>
      <c r="R46" s="230"/>
      <c r="S46" s="230"/>
      <c r="T46" s="230"/>
    </row>
    <row r="47" spans="1:20" s="75" customFormat="1">
      <c r="A47" s="369">
        <v>2.5</v>
      </c>
      <c r="B47" s="369">
        <v>2.9999989999999999</v>
      </c>
      <c r="C47" s="369" t="s">
        <v>440</v>
      </c>
      <c r="D47" s="402">
        <v>3.8100000000000002E-2</v>
      </c>
      <c r="E47" s="230"/>
      <c r="F47" s="230"/>
      <c r="G47" s="369" t="s">
        <v>440</v>
      </c>
      <c r="H47" s="402">
        <v>3.8100000000000002E-2</v>
      </c>
      <c r="I47" s="230"/>
      <c r="J47" s="230"/>
      <c r="K47" s="230"/>
      <c r="L47" s="230"/>
      <c r="M47" s="230"/>
      <c r="N47" s="230"/>
      <c r="O47" s="230"/>
      <c r="P47" s="230"/>
      <c r="Q47" s="230"/>
      <c r="R47" s="230"/>
      <c r="S47" s="230"/>
      <c r="T47" s="230"/>
    </row>
    <row r="48" spans="1:20" s="75" customFormat="1">
      <c r="A48" s="369">
        <v>3</v>
      </c>
      <c r="B48" s="369">
        <v>3.4999989999999999</v>
      </c>
      <c r="C48" s="369" t="s">
        <v>441</v>
      </c>
      <c r="D48" s="402">
        <v>2.7400000000000001E-2</v>
      </c>
      <c r="E48" s="230"/>
      <c r="F48" s="230"/>
      <c r="G48" s="369" t="s">
        <v>439</v>
      </c>
      <c r="H48" s="402">
        <v>4.3499999999999997E-2</v>
      </c>
      <c r="I48" s="230"/>
      <c r="J48" s="230"/>
      <c r="K48" s="230"/>
      <c r="L48" s="230"/>
      <c r="M48" s="230"/>
      <c r="N48" s="230"/>
      <c r="O48" s="230"/>
      <c r="P48" s="230"/>
      <c r="Q48" s="230"/>
      <c r="R48" s="230"/>
      <c r="S48" s="230"/>
      <c r="T48" s="230"/>
    </row>
    <row r="49" spans="1:25" s="75" customFormat="1">
      <c r="A49" s="369">
        <v>3.5</v>
      </c>
      <c r="B49" s="369">
        <v>3.9999999000000002</v>
      </c>
      <c r="C49" s="369" t="s">
        <v>442</v>
      </c>
      <c r="D49" s="402">
        <v>2.1999999999999999E-2</v>
      </c>
      <c r="E49" s="230"/>
      <c r="F49" s="230"/>
      <c r="G49" s="369" t="s">
        <v>438</v>
      </c>
      <c r="H49" s="402">
        <v>6.0400000000000002E-2</v>
      </c>
      <c r="I49" s="230"/>
      <c r="J49" s="230"/>
      <c r="K49" s="230"/>
      <c r="L49" s="230"/>
      <c r="M49" s="230"/>
      <c r="N49" s="230"/>
      <c r="O49" s="230"/>
      <c r="P49" s="230"/>
      <c r="Q49" s="230"/>
      <c r="R49" s="230"/>
      <c r="S49" s="230"/>
      <c r="T49" s="230"/>
    </row>
    <row r="50" spans="1:25" s="75" customFormat="1">
      <c r="A50" s="369">
        <v>4</v>
      </c>
      <c r="B50" s="369">
        <v>4.4999989999999999</v>
      </c>
      <c r="C50" s="369" t="s">
        <v>443</v>
      </c>
      <c r="D50" s="402">
        <v>1.89E-2</v>
      </c>
      <c r="E50" s="230"/>
      <c r="F50" s="230"/>
      <c r="G50" s="369" t="s">
        <v>442</v>
      </c>
      <c r="H50" s="402">
        <v>2.1999999999999999E-2</v>
      </c>
      <c r="I50" s="230"/>
      <c r="J50" s="230"/>
      <c r="K50" s="230"/>
      <c r="L50" s="230"/>
      <c r="M50" s="230"/>
      <c r="N50" s="230"/>
      <c r="O50" s="230"/>
      <c r="P50" s="230"/>
      <c r="Q50" s="230"/>
      <c r="R50" s="230"/>
      <c r="S50" s="230"/>
      <c r="T50" s="230"/>
    </row>
    <row r="51" spans="1:25" s="75" customFormat="1">
      <c r="A51" s="369">
        <v>4.5</v>
      </c>
      <c r="B51" s="369">
        <v>5.9999989999999999</v>
      </c>
      <c r="C51" s="369" t="s">
        <v>444</v>
      </c>
      <c r="D51" s="402">
        <v>1.54E-2</v>
      </c>
      <c r="E51" s="230"/>
      <c r="F51" s="230"/>
      <c r="G51" s="369" t="s">
        <v>441</v>
      </c>
      <c r="H51" s="402">
        <v>2.7400000000000001E-2</v>
      </c>
      <c r="I51" s="230"/>
      <c r="J51" s="230"/>
      <c r="K51" s="230"/>
      <c r="L51" s="230"/>
      <c r="M51" s="230"/>
      <c r="N51" s="230"/>
      <c r="O51" s="230"/>
      <c r="P51" s="230"/>
      <c r="Q51" s="230"/>
      <c r="R51" s="230"/>
      <c r="S51" s="230"/>
      <c r="T51" s="230"/>
    </row>
    <row r="52" spans="1:25" s="75" customFormat="1">
      <c r="A52" s="369">
        <v>6</v>
      </c>
      <c r="B52" s="369">
        <v>7.4999989999999999</v>
      </c>
      <c r="C52" s="369" t="s">
        <v>445</v>
      </c>
      <c r="D52" s="402">
        <v>1.3599999999999999E-2</v>
      </c>
      <c r="E52" s="230"/>
      <c r="F52" s="230"/>
      <c r="G52" s="369" t="s">
        <v>443</v>
      </c>
      <c r="H52" s="402">
        <v>1.89E-2</v>
      </c>
      <c r="I52" s="230"/>
      <c r="J52" s="230"/>
      <c r="K52" s="230"/>
      <c r="L52" s="230"/>
      <c r="M52" s="230"/>
      <c r="N52" s="230"/>
      <c r="O52" s="230"/>
      <c r="P52" s="230"/>
      <c r="Q52" s="230"/>
      <c r="R52" s="230"/>
      <c r="S52" s="230"/>
      <c r="T52" s="230"/>
    </row>
    <row r="53" spans="1:25" s="75" customFormat="1">
      <c r="A53" s="369">
        <v>7.5</v>
      </c>
      <c r="B53" s="369">
        <v>9.4999990000000007</v>
      </c>
      <c r="C53" s="369" t="s">
        <v>446</v>
      </c>
      <c r="D53" s="402">
        <v>1.17E-2</v>
      </c>
      <c r="E53" s="230"/>
      <c r="F53" s="230"/>
      <c r="G53" s="369" t="s">
        <v>437</v>
      </c>
      <c r="H53" s="402">
        <v>0.14000000000000001</v>
      </c>
      <c r="I53" s="230"/>
      <c r="J53" s="230"/>
      <c r="K53" s="230"/>
      <c r="L53" s="230"/>
      <c r="M53" s="230"/>
      <c r="N53" s="230"/>
      <c r="O53" s="230"/>
      <c r="P53" s="230"/>
      <c r="Q53" s="230"/>
      <c r="R53" s="230"/>
      <c r="S53" s="230"/>
      <c r="T53" s="230"/>
    </row>
    <row r="54" spans="1:25">
      <c r="A54" s="369">
        <v>9.5</v>
      </c>
      <c r="B54" s="369">
        <v>12.499999000000001</v>
      </c>
      <c r="C54" s="369" t="s">
        <v>447</v>
      </c>
      <c r="D54" s="402">
        <v>8.0000000000000002E-3</v>
      </c>
      <c r="G54" s="369" t="s">
        <v>436</v>
      </c>
      <c r="H54" s="402">
        <v>0.12809999999999999</v>
      </c>
      <c r="U54" s="75"/>
      <c r="V54" s="75"/>
      <c r="W54" s="75"/>
      <c r="X54" s="75"/>
      <c r="Y54" s="75"/>
    </row>
    <row r="55" spans="1:25">
      <c r="A55" s="369">
        <v>12.5</v>
      </c>
      <c r="B55" s="369">
        <v>100000</v>
      </c>
      <c r="C55" s="369" t="s">
        <v>448</v>
      </c>
      <c r="D55" s="402">
        <v>7.4000000000000003E-3</v>
      </c>
      <c r="G55" s="369" t="s">
        <v>435</v>
      </c>
      <c r="H55" s="402">
        <v>9.4299999999999995E-2</v>
      </c>
      <c r="U55" s="75"/>
      <c r="V55" s="75"/>
      <c r="W55" s="75"/>
      <c r="X55" s="75"/>
      <c r="Y55" s="75"/>
    </row>
    <row r="56" spans="1:25">
      <c r="G56" s="369" t="s">
        <v>434</v>
      </c>
      <c r="H56" s="402">
        <v>0.16</v>
      </c>
      <c r="U56" s="75"/>
      <c r="V56" s="75"/>
      <c r="W56" s="75"/>
      <c r="X56" s="75"/>
      <c r="Y56" s="75"/>
    </row>
    <row r="57" spans="1:25">
      <c r="U57" s="75"/>
      <c r="V57" s="75"/>
      <c r="W57" s="75"/>
      <c r="X57" s="75"/>
      <c r="Y57" s="75"/>
    </row>
    <row r="58" spans="1:25">
      <c r="U58" s="75"/>
      <c r="V58" s="75"/>
      <c r="W58" s="75"/>
      <c r="X58" s="75"/>
      <c r="Y58" s="75"/>
    </row>
    <row r="59" spans="1:25">
      <c r="U59" s="75"/>
      <c r="V59" s="75"/>
      <c r="W59" s="75"/>
      <c r="X59" s="75"/>
      <c r="Y59" s="75"/>
    </row>
    <row r="60" spans="1:25">
      <c r="U60" s="75"/>
      <c r="V60" s="75"/>
      <c r="W60" s="75"/>
      <c r="X60" s="75"/>
      <c r="Y60" s="75"/>
    </row>
  </sheetData>
  <sortState xmlns:xlrd2="http://schemas.microsoft.com/office/spreadsheetml/2017/richdata2" ref="G42:H56">
    <sortCondition ref="G42:G56"/>
  </sortState>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topLeftCell="A18" workbookViewId="0">
      <selection activeCell="D35" sqref="D35"/>
    </sheetView>
  </sheetViews>
  <sheetFormatPr defaultColWidth="11.19921875" defaultRowHeight="11.5"/>
  <cols>
    <col min="1" max="3" width="11" style="378" bestFit="1" customWidth="1"/>
    <col min="4" max="6" width="11.19921875" style="378" bestFit="1" customWidth="1"/>
    <col min="7" max="10" width="10.796875" style="378"/>
  </cols>
  <sheetData>
    <row r="1" spans="1:10" s="6" customFormat="1" ht="18">
      <c r="A1" s="406" t="s">
        <v>384</v>
      </c>
      <c r="B1" s="406"/>
      <c r="C1" s="406"/>
      <c r="D1" s="406"/>
      <c r="E1" s="406"/>
      <c r="F1" s="406"/>
      <c r="G1" s="406"/>
      <c r="H1" s="406"/>
      <c r="I1" s="406"/>
      <c r="J1" s="406"/>
    </row>
    <row r="2" spans="1:10" s="7" customFormat="1" ht="13">
      <c r="A2" s="380" t="s">
        <v>385</v>
      </c>
      <c r="B2" s="380"/>
      <c r="C2" s="380"/>
      <c r="D2" s="380"/>
      <c r="E2" s="380"/>
      <c r="F2" s="380"/>
      <c r="G2" s="380"/>
      <c r="H2" s="380"/>
      <c r="I2" s="380"/>
      <c r="J2" s="380"/>
    </row>
    <row r="3" spans="1:10" s="7" customFormat="1" ht="13">
      <c r="A3" s="380" t="s">
        <v>386</v>
      </c>
      <c r="B3" s="380"/>
      <c r="C3" s="380"/>
      <c r="D3" s="380"/>
      <c r="E3" s="380"/>
      <c r="F3" s="380"/>
      <c r="G3" s="380"/>
      <c r="H3" s="380"/>
      <c r="I3" s="380"/>
      <c r="J3" s="380"/>
    </row>
    <row r="4" spans="1:10" s="7" customFormat="1" ht="13">
      <c r="A4" s="380"/>
      <c r="B4" s="380"/>
      <c r="C4" s="380"/>
      <c r="D4" s="380"/>
      <c r="E4" s="380"/>
      <c r="F4" s="380"/>
      <c r="G4" s="380"/>
      <c r="H4" s="380"/>
      <c r="I4" s="380"/>
      <c r="J4" s="380"/>
    </row>
    <row r="5" spans="1:10" s="7" customFormat="1" ht="13">
      <c r="A5" s="384" t="s">
        <v>4</v>
      </c>
      <c r="B5" s="380"/>
      <c r="C5" s="380"/>
      <c r="D5" s="380"/>
      <c r="E5" s="380"/>
      <c r="F5" s="380"/>
      <c r="G5" s="380"/>
      <c r="H5" s="380"/>
      <c r="I5" s="380"/>
      <c r="J5" s="380"/>
    </row>
    <row r="6" spans="1:10" s="7" customFormat="1" ht="13">
      <c r="A6" s="380" t="s">
        <v>387</v>
      </c>
      <c r="B6" s="380"/>
      <c r="C6" s="380"/>
      <c r="D6" s="380"/>
      <c r="E6" s="380"/>
      <c r="F6" s="407">
        <v>10</v>
      </c>
      <c r="G6" s="380" t="s">
        <v>388</v>
      </c>
      <c r="H6" s="380"/>
      <c r="I6" s="380"/>
      <c r="J6" s="380"/>
    </row>
    <row r="7" spans="1:10" s="7" customFormat="1" ht="13">
      <c r="A7" s="380" t="s">
        <v>389</v>
      </c>
      <c r="B7" s="380"/>
      <c r="C7" s="380"/>
      <c r="D7" s="380"/>
      <c r="E7" s="380"/>
      <c r="F7" s="408">
        <v>1700</v>
      </c>
      <c r="G7" s="380" t="s">
        <v>390</v>
      </c>
      <c r="H7" s="380"/>
      <c r="I7" s="380"/>
      <c r="J7" s="380"/>
    </row>
    <row r="8" spans="1:10" s="7" customFormat="1" ht="13">
      <c r="A8" s="380" t="s">
        <v>391</v>
      </c>
      <c r="B8" s="380"/>
      <c r="C8" s="380"/>
      <c r="D8" s="380"/>
      <c r="E8" s="380"/>
      <c r="F8" s="380"/>
      <c r="G8" s="380"/>
      <c r="H8" s="380"/>
      <c r="I8" s="380"/>
      <c r="J8" s="380"/>
    </row>
    <row r="9" spans="1:10" s="7" customFormat="1" ht="13">
      <c r="A9" s="380" t="s">
        <v>392</v>
      </c>
      <c r="B9" s="380"/>
      <c r="C9" s="380"/>
      <c r="D9" s="380"/>
      <c r="E9" s="380"/>
      <c r="F9" s="380"/>
      <c r="G9" s="380"/>
      <c r="H9" s="380"/>
      <c r="I9" s="380"/>
      <c r="J9" s="380"/>
    </row>
    <row r="10" spans="1:10" s="97" customFormat="1" ht="13">
      <c r="A10" s="409" t="s">
        <v>108</v>
      </c>
      <c r="B10" s="409" t="s">
        <v>393</v>
      </c>
      <c r="C10" s="410"/>
      <c r="D10" s="410"/>
      <c r="E10" s="410"/>
      <c r="F10" s="410"/>
      <c r="G10" s="410"/>
      <c r="H10" s="410"/>
      <c r="I10" s="410"/>
      <c r="J10" s="411"/>
    </row>
    <row r="11" spans="1:10" s="97" customFormat="1" ht="13">
      <c r="A11" s="412">
        <v>-1</v>
      </c>
      <c r="B11" s="413">
        <v>1500</v>
      </c>
      <c r="C11" s="410" t="s">
        <v>394</v>
      </c>
      <c r="D11" s="410"/>
      <c r="E11" s="410"/>
      <c r="F11" s="410"/>
      <c r="G11" s="410">
        <v>2021</v>
      </c>
      <c r="H11" s="410"/>
      <c r="I11" s="410"/>
      <c r="J11" s="411"/>
    </row>
    <row r="12" spans="1:10" s="97" customFormat="1" ht="13">
      <c r="A12" s="412">
        <f>IF((0-A11)&lt;$F$6,IF(A11&gt;-1,,A11-1),)</f>
        <v>-2</v>
      </c>
      <c r="B12" s="413">
        <v>1300</v>
      </c>
      <c r="C12" s="410" t="s">
        <v>395</v>
      </c>
      <c r="D12" s="410"/>
      <c r="E12" s="410"/>
      <c r="F12" s="410"/>
      <c r="G12" s="410"/>
      <c r="H12" s="410"/>
      <c r="I12" s="410"/>
      <c r="J12" s="411"/>
    </row>
    <row r="13" spans="1:10" s="97" customFormat="1" ht="13">
      <c r="A13" s="412">
        <f t="shared" ref="A13:A20" si="0">IF((0-A12)&lt;$F$6,IF(A12&gt;-1,,A12-1),)</f>
        <v>-3</v>
      </c>
      <c r="B13" s="413">
        <v>1300</v>
      </c>
      <c r="C13" s="410"/>
      <c r="D13" s="410"/>
      <c r="E13" s="410"/>
      <c r="F13" s="410"/>
      <c r="G13" s="410"/>
      <c r="H13" s="410"/>
      <c r="I13" s="410"/>
      <c r="J13" s="411"/>
    </row>
    <row r="14" spans="1:10" s="97" customFormat="1" ht="13">
      <c r="A14" s="412">
        <f t="shared" si="0"/>
        <v>-4</v>
      </c>
      <c r="B14" s="413">
        <v>1300</v>
      </c>
      <c r="C14" s="410"/>
      <c r="D14" s="410"/>
      <c r="E14" s="410"/>
      <c r="F14" s="410"/>
      <c r="G14" s="410">
        <v>2018</v>
      </c>
      <c r="H14" s="410"/>
      <c r="I14" s="410"/>
      <c r="J14" s="411"/>
    </row>
    <row r="15" spans="1:10" s="97" customFormat="1" ht="13">
      <c r="A15" s="412">
        <f t="shared" si="0"/>
        <v>-5</v>
      </c>
      <c r="B15" s="413">
        <v>1200</v>
      </c>
      <c r="C15" s="410"/>
      <c r="D15" s="410"/>
      <c r="E15" s="410"/>
      <c r="F15" s="410"/>
      <c r="G15" s="410"/>
      <c r="H15" s="410"/>
      <c r="I15" s="410"/>
      <c r="J15" s="411"/>
    </row>
    <row r="16" spans="1:10" s="97" customFormat="1" ht="13">
      <c r="A16" s="412">
        <f t="shared" si="0"/>
        <v>-6</v>
      </c>
      <c r="B16" s="413">
        <v>988</v>
      </c>
      <c r="C16" s="410"/>
      <c r="D16" s="410"/>
      <c r="E16" s="410"/>
      <c r="F16" s="410"/>
      <c r="G16" s="410"/>
      <c r="H16" s="410"/>
      <c r="I16" s="410"/>
      <c r="J16" s="411"/>
    </row>
    <row r="17" spans="1:10" s="97" customFormat="1" ht="13">
      <c r="A17" s="412">
        <f t="shared" si="0"/>
        <v>-7</v>
      </c>
      <c r="B17" s="413">
        <v>839</v>
      </c>
      <c r="C17" s="410"/>
      <c r="D17" s="410"/>
      <c r="E17" s="410"/>
      <c r="F17" s="410"/>
      <c r="G17" s="410">
        <v>2015</v>
      </c>
      <c r="H17" s="410"/>
      <c r="I17" s="410"/>
      <c r="J17" s="411"/>
    </row>
    <row r="18" spans="1:10" s="97" customFormat="1" ht="13">
      <c r="A18" s="412">
        <f t="shared" si="0"/>
        <v>-8</v>
      </c>
      <c r="B18" s="413">
        <v>751</v>
      </c>
      <c r="C18" s="410"/>
      <c r="D18" s="410"/>
      <c r="E18" s="410"/>
      <c r="F18" s="410"/>
      <c r="G18" s="410"/>
      <c r="H18" s="410"/>
      <c r="I18" s="410"/>
      <c r="J18" s="411"/>
    </row>
    <row r="19" spans="1:10" s="97" customFormat="1" ht="13">
      <c r="A19" s="412">
        <f t="shared" si="0"/>
        <v>-9</v>
      </c>
      <c r="B19" s="413">
        <v>697</v>
      </c>
      <c r="C19" s="410"/>
      <c r="D19" s="410"/>
      <c r="E19" s="410"/>
      <c r="F19" s="410"/>
      <c r="G19" s="410"/>
      <c r="H19" s="410"/>
      <c r="I19" s="410"/>
      <c r="J19" s="411"/>
    </row>
    <row r="20" spans="1:10" s="97" customFormat="1" ht="13">
      <c r="A20" s="412">
        <f t="shared" si="0"/>
        <v>-10</v>
      </c>
      <c r="B20" s="413">
        <v>616</v>
      </c>
      <c r="C20" s="410"/>
      <c r="D20" s="410"/>
      <c r="E20" s="410"/>
      <c r="F20" s="410"/>
      <c r="G20" s="410">
        <v>2012</v>
      </c>
      <c r="H20" s="410"/>
      <c r="I20" s="410"/>
      <c r="J20" s="411"/>
    </row>
    <row r="21" spans="1:10" s="97" customFormat="1" ht="13">
      <c r="A21" s="410"/>
      <c r="B21" s="410"/>
      <c r="C21" s="410"/>
      <c r="D21" s="410"/>
      <c r="E21" s="410"/>
      <c r="F21" s="410"/>
      <c r="G21" s="410"/>
      <c r="H21" s="410"/>
      <c r="I21" s="410"/>
      <c r="J21" s="411"/>
    </row>
    <row r="22" spans="1:10" s="97" customFormat="1" ht="13">
      <c r="A22" s="414" t="s">
        <v>112</v>
      </c>
      <c r="B22" s="410"/>
      <c r="C22" s="410"/>
      <c r="D22" s="410"/>
      <c r="E22" s="410"/>
      <c r="F22" s="410"/>
      <c r="G22" s="410"/>
      <c r="H22" s="410"/>
      <c r="I22" s="410"/>
      <c r="J22" s="411"/>
    </row>
    <row r="23" spans="1:10" s="97" customFormat="1" ht="13">
      <c r="A23" s="409" t="s">
        <v>108</v>
      </c>
      <c r="B23" s="409" t="s">
        <v>396</v>
      </c>
      <c r="C23" s="415" t="s">
        <v>397</v>
      </c>
      <c r="D23" s="416"/>
      <c r="E23" s="410" t="s">
        <v>398</v>
      </c>
      <c r="F23" s="410"/>
      <c r="G23" s="410"/>
      <c r="H23" s="410"/>
      <c r="I23" s="410"/>
      <c r="J23" s="411"/>
    </row>
    <row r="24" spans="1:10" s="97" customFormat="1" ht="13">
      <c r="A24" s="409" t="s">
        <v>399</v>
      </c>
      <c r="B24" s="409">
        <f>F7</f>
        <v>1700</v>
      </c>
      <c r="C24" s="409">
        <f>1</f>
        <v>1</v>
      </c>
      <c r="D24" s="409">
        <f>B24*C24</f>
        <v>1700</v>
      </c>
      <c r="E24" s="410"/>
      <c r="F24" s="410"/>
      <c r="G24" s="410"/>
      <c r="H24" s="410"/>
      <c r="I24" s="410"/>
      <c r="J24" s="411"/>
    </row>
    <row r="25" spans="1:10" s="97" customFormat="1" ht="13">
      <c r="A25" s="412">
        <f>A11</f>
        <v>-1</v>
      </c>
      <c r="B25" s="409">
        <f>B11</f>
        <v>1500</v>
      </c>
      <c r="C25" s="409">
        <f>IF(A25&lt;0,($F$6+A25)/$F$6,0)</f>
        <v>0.9</v>
      </c>
      <c r="D25" s="409">
        <f>B25*C25</f>
        <v>1350</v>
      </c>
      <c r="E25" s="417">
        <f t="shared" ref="E25:E34" si="1">IF(A25&lt;0,B25/$F$6,0)</f>
        <v>150</v>
      </c>
      <c r="F25" s="410"/>
      <c r="G25" s="410"/>
      <c r="H25" s="410"/>
      <c r="I25" s="410"/>
      <c r="J25" s="411"/>
    </row>
    <row r="26" spans="1:10" s="97" customFormat="1" ht="13">
      <c r="A26" s="412">
        <f t="shared" ref="A26:B34" si="2">A12</f>
        <v>-2</v>
      </c>
      <c r="B26" s="409">
        <f t="shared" si="2"/>
        <v>1300</v>
      </c>
      <c r="C26" s="409">
        <f>IF(A26&lt;0,($F$6+A26)/$F$6,0)</f>
        <v>0.8</v>
      </c>
      <c r="D26" s="409">
        <f t="shared" ref="D26:D34" si="3">B26*C26</f>
        <v>1040</v>
      </c>
      <c r="E26" s="417">
        <f t="shared" si="1"/>
        <v>130</v>
      </c>
      <c r="F26" s="410"/>
      <c r="G26" s="410"/>
      <c r="H26" s="410"/>
      <c r="I26" s="410"/>
      <c r="J26" s="411"/>
    </row>
    <row r="27" spans="1:10" s="97" customFormat="1" ht="13">
      <c r="A27" s="412">
        <f t="shared" si="2"/>
        <v>-3</v>
      </c>
      <c r="B27" s="409">
        <f t="shared" si="2"/>
        <v>1300</v>
      </c>
      <c r="C27" s="409">
        <f>IF(A27&lt;0,($F$6+A27)/$F$6,0)</f>
        <v>0.7</v>
      </c>
      <c r="D27" s="409">
        <f t="shared" si="3"/>
        <v>909.99999999999989</v>
      </c>
      <c r="E27" s="417">
        <f t="shared" si="1"/>
        <v>130</v>
      </c>
      <c r="F27" s="410"/>
      <c r="G27" s="410"/>
      <c r="H27" s="410"/>
      <c r="I27" s="410"/>
      <c r="J27" s="411"/>
    </row>
    <row r="28" spans="1:10" s="97" customFormat="1" ht="13">
      <c r="A28" s="412">
        <f t="shared" si="2"/>
        <v>-4</v>
      </c>
      <c r="B28" s="409">
        <f t="shared" si="2"/>
        <v>1300</v>
      </c>
      <c r="C28" s="409">
        <f t="shared" ref="C28:C34" si="4">IF(A28&lt;0,($F$6+A28)/$F$6,0)</f>
        <v>0.6</v>
      </c>
      <c r="D28" s="409">
        <f t="shared" si="3"/>
        <v>780</v>
      </c>
      <c r="E28" s="417">
        <f t="shared" si="1"/>
        <v>130</v>
      </c>
      <c r="F28" s="410"/>
      <c r="G28" s="410"/>
      <c r="H28" s="410"/>
      <c r="I28" s="410"/>
      <c r="J28" s="411"/>
    </row>
    <row r="29" spans="1:10" s="97" customFormat="1" ht="13">
      <c r="A29" s="412">
        <f t="shared" si="2"/>
        <v>-5</v>
      </c>
      <c r="B29" s="409">
        <f t="shared" si="2"/>
        <v>1200</v>
      </c>
      <c r="C29" s="409">
        <f t="shared" si="4"/>
        <v>0.5</v>
      </c>
      <c r="D29" s="409">
        <f t="shared" si="3"/>
        <v>600</v>
      </c>
      <c r="E29" s="417">
        <f t="shared" si="1"/>
        <v>120</v>
      </c>
      <c r="F29" s="410"/>
      <c r="G29" s="410"/>
      <c r="H29" s="410"/>
      <c r="I29" s="410"/>
      <c r="J29" s="411"/>
    </row>
    <row r="30" spans="1:10" s="97" customFormat="1" ht="13">
      <c r="A30" s="412">
        <f t="shared" si="2"/>
        <v>-6</v>
      </c>
      <c r="B30" s="409">
        <f t="shared" si="2"/>
        <v>988</v>
      </c>
      <c r="C30" s="409">
        <f t="shared" si="4"/>
        <v>0.4</v>
      </c>
      <c r="D30" s="409">
        <f t="shared" si="3"/>
        <v>395.20000000000005</v>
      </c>
      <c r="E30" s="417">
        <f t="shared" si="1"/>
        <v>98.8</v>
      </c>
      <c r="F30" s="410"/>
      <c r="G30" s="410"/>
      <c r="H30" s="410"/>
      <c r="I30" s="410"/>
      <c r="J30" s="411"/>
    </row>
    <row r="31" spans="1:10" s="97" customFormat="1" ht="13">
      <c r="A31" s="412">
        <f t="shared" si="2"/>
        <v>-7</v>
      </c>
      <c r="B31" s="409">
        <f t="shared" si="2"/>
        <v>839</v>
      </c>
      <c r="C31" s="409">
        <f t="shared" si="4"/>
        <v>0.3</v>
      </c>
      <c r="D31" s="409">
        <f t="shared" si="3"/>
        <v>251.7</v>
      </c>
      <c r="E31" s="417">
        <f t="shared" si="1"/>
        <v>83.9</v>
      </c>
      <c r="F31" s="410"/>
      <c r="G31" s="410"/>
      <c r="H31" s="410"/>
      <c r="I31" s="410"/>
      <c r="J31" s="411"/>
    </row>
    <row r="32" spans="1:10" s="97" customFormat="1" ht="13">
      <c r="A32" s="412">
        <f t="shared" si="2"/>
        <v>-8</v>
      </c>
      <c r="B32" s="409">
        <f t="shared" si="2"/>
        <v>751</v>
      </c>
      <c r="C32" s="409">
        <f t="shared" si="4"/>
        <v>0.2</v>
      </c>
      <c r="D32" s="409">
        <f t="shared" si="3"/>
        <v>150.20000000000002</v>
      </c>
      <c r="E32" s="417">
        <f t="shared" si="1"/>
        <v>75.099999999999994</v>
      </c>
      <c r="F32" s="410"/>
      <c r="G32" s="410"/>
      <c r="H32" s="410"/>
      <c r="I32" s="410"/>
      <c r="J32" s="411"/>
    </row>
    <row r="33" spans="1:10" s="97" customFormat="1" ht="13">
      <c r="A33" s="412">
        <f t="shared" si="2"/>
        <v>-9</v>
      </c>
      <c r="B33" s="409">
        <f t="shared" si="2"/>
        <v>697</v>
      </c>
      <c r="C33" s="409">
        <f t="shared" si="4"/>
        <v>0.1</v>
      </c>
      <c r="D33" s="409">
        <f t="shared" si="3"/>
        <v>69.7</v>
      </c>
      <c r="E33" s="417">
        <f t="shared" si="1"/>
        <v>69.7</v>
      </c>
      <c r="F33" s="410"/>
      <c r="G33" s="410"/>
      <c r="H33" s="410"/>
      <c r="I33" s="410"/>
      <c r="J33" s="411"/>
    </row>
    <row r="34" spans="1:10" s="97" customFormat="1" ht="16" customHeight="1" thickBot="1">
      <c r="A34" s="412">
        <f t="shared" si="2"/>
        <v>-10</v>
      </c>
      <c r="B34" s="409">
        <f t="shared" si="2"/>
        <v>616</v>
      </c>
      <c r="C34" s="409">
        <f t="shared" si="4"/>
        <v>0</v>
      </c>
      <c r="D34" s="418">
        <f t="shared" si="3"/>
        <v>0</v>
      </c>
      <c r="E34" s="419">
        <f t="shared" si="1"/>
        <v>61.6</v>
      </c>
      <c r="F34" s="410"/>
      <c r="G34" s="410"/>
      <c r="H34" s="410"/>
      <c r="I34" s="410"/>
      <c r="J34" s="411"/>
    </row>
    <row r="35" spans="1:10" s="7" customFormat="1" ht="13.5" thickBot="1">
      <c r="A35" s="380" t="s">
        <v>400</v>
      </c>
      <c r="B35" s="380"/>
      <c r="C35" s="380"/>
      <c r="D35" s="420">
        <f>SUM(D24:D34)</f>
        <v>7246.7999999999993</v>
      </c>
      <c r="E35" s="420">
        <f>SUM(E25:E34)</f>
        <v>1049.0999999999999</v>
      </c>
      <c r="F35" s="380"/>
      <c r="G35" s="380"/>
      <c r="H35" s="380"/>
      <c r="I35" s="380"/>
      <c r="J35" s="380"/>
    </row>
    <row r="36" spans="1:10" ht="12" thickBot="1">
      <c r="D36" s="421"/>
      <c r="E36" s="421"/>
    </row>
    <row r="37" spans="1:10" s="7" customFormat="1" ht="13.5" thickBot="1">
      <c r="A37" s="380" t="s">
        <v>401</v>
      </c>
      <c r="B37" s="380"/>
      <c r="C37" s="380"/>
      <c r="D37" s="420">
        <f>E35</f>
        <v>1049.0999999999999</v>
      </c>
      <c r="E37" s="422"/>
      <c r="F37" s="380"/>
      <c r="G37" s="380"/>
      <c r="H37" s="380"/>
      <c r="I37" s="380"/>
      <c r="J37" s="380"/>
    </row>
    <row r="38" spans="1:10" s="7" customFormat="1" ht="13.5" thickBot="1">
      <c r="A38" s="380"/>
      <c r="B38" s="380"/>
      <c r="C38" s="380"/>
      <c r="D38" s="380"/>
      <c r="E38" s="380"/>
      <c r="F38" s="380"/>
      <c r="G38" s="380"/>
      <c r="H38" s="380"/>
      <c r="I38" s="380"/>
      <c r="J38" s="380"/>
    </row>
    <row r="39" spans="1:10" s="7" customFormat="1" ht="13">
      <c r="A39" s="380" t="s">
        <v>402</v>
      </c>
      <c r="B39" s="380"/>
      <c r="C39" s="380"/>
      <c r="D39" s="423">
        <f>F7-D37</f>
        <v>650.90000000000009</v>
      </c>
      <c r="E39" s="380" t="s">
        <v>403</v>
      </c>
      <c r="F39" s="380"/>
      <c r="G39" s="380"/>
      <c r="H39" s="380"/>
      <c r="I39" s="380"/>
      <c r="J39" s="380"/>
    </row>
    <row r="40" spans="1:10" ht="12.5">
      <c r="A40" s="378" t="s">
        <v>404</v>
      </c>
      <c r="D40" s="424">
        <f>D39*'Input sheet'!B23</f>
        <v>136.68900000000002</v>
      </c>
      <c r="E40" s="380"/>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Input sheet</vt:lpstr>
      <vt:lpstr>Sheet1</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Summary Sheet</vt:lpstr>
      <vt:lpstr>Country equity risk premiums</vt:lpstr>
      <vt:lpstr>Industry Averages(US)</vt:lpstr>
      <vt:lpstr>Input Stat Distributioons</vt:lpstr>
      <vt:lpstr>Industry Average Beta (Global)</vt:lpstr>
      <vt:lpstr>Trailing 12 month</vt:lpstr>
      <vt:lpstr>Answer keys</vt:lpstr>
      <vt:lpstr>Sheet3</vt:lpstr>
      <vt:lpstr>Sheet2</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SHIVAM S - 190909050</cp:lastModifiedBy>
  <cp:lastPrinted>2011-01-17T15:04:26Z</cp:lastPrinted>
  <dcterms:created xsi:type="dcterms:W3CDTF">2000-02-22T13:53:50Z</dcterms:created>
  <dcterms:modified xsi:type="dcterms:W3CDTF">2023-09-28T09:19:25Z</dcterms:modified>
</cp:coreProperties>
</file>