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ate1904="1"/>
  <mc:AlternateContent xmlns:mc="http://schemas.openxmlformats.org/markup-compatibility/2006">
    <mc:Choice Requires="x15">
      <x15ac:absPath xmlns:x15ac="http://schemas.microsoft.com/office/spreadsheetml/2010/11/ac" url="C:\Users\SHIVAM\Desktop\MIT Project\Finance PROJECT\LockheedMartin\"/>
    </mc:Choice>
  </mc:AlternateContent>
  <xr:revisionPtr revIDLastSave="0" documentId="13_ncr:1_{FFEDB30C-DCEB-4C40-AE3C-65757915CD8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tart here Ratings sheet" sheetId="1" r:id="rId1"/>
    <sheet name="Operating Leases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</sheets>
  <calcPr calcId="191029" iterate="1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D15" i="3"/>
  <c r="D37" i="3" s="1"/>
  <c r="D17" i="3"/>
  <c r="D19" i="3"/>
  <c r="B28" i="3" s="1"/>
  <c r="A23" i="3"/>
  <c r="A24" i="3"/>
  <c r="B24" i="3"/>
  <c r="A25" i="3"/>
  <c r="B25" i="3"/>
  <c r="A26" i="3"/>
  <c r="B26" i="3"/>
  <c r="A27" i="3"/>
  <c r="B27" i="3"/>
  <c r="A28" i="3"/>
  <c r="D38" i="3"/>
  <c r="C12" i="3" l="1"/>
  <c r="C23" i="3"/>
  <c r="C24" i="3"/>
  <c r="C25" i="3"/>
  <c r="C26" i="3"/>
  <c r="C27" i="3"/>
  <c r="C28" i="3"/>
  <c r="C29" i="3"/>
  <c r="F32" i="3"/>
  <c r="F33" i="3"/>
  <c r="D39" i="3"/>
  <c r="D40" i="3"/>
  <c r="D10" i="1"/>
  <c r="D11" i="1"/>
  <c r="D12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F5" authorId="0" shapeId="0" xr:uid="{00000000-0006-0000-0000-000001000000}">
      <text>
        <r>
          <rPr>
            <b/>
            <sz val="9"/>
            <color indexed="8"/>
            <rFont val="Geneva"/>
            <family val="2"/>
            <charset val="1"/>
          </rPr>
          <t>Aswath Damodaran:</t>
        </r>
        <r>
          <rPr>
            <sz val="9"/>
            <color indexed="8"/>
            <rFont val="Geneva"/>
            <family val="2"/>
            <charset val="1"/>
          </rPr>
          <t xml:space="preserve">
</t>
        </r>
        <r>
          <rPr>
            <sz val="9"/>
            <color indexed="8"/>
            <rFont val="Geneva"/>
            <family val="2"/>
            <charset val="1"/>
          </rPr>
          <t>If yes, fill in the attached worksheet on operating leases</t>
        </r>
      </text>
    </comment>
    <comment ref="F6" authorId="0" shapeId="0" xr:uid="{00000000-0006-0000-0000-000002000000}">
      <text>
        <r>
          <rPr>
            <b/>
            <sz val="9"/>
            <color indexed="8"/>
            <rFont val="Geneva"/>
            <family val="2"/>
            <charset val="1"/>
          </rPr>
          <t>Aswath Damodaran:</t>
        </r>
        <r>
          <rPr>
            <sz val="9"/>
            <color indexed="8"/>
            <rFont val="Geneva"/>
            <family val="2"/>
            <charset val="1"/>
          </rPr>
          <t xml:space="preserve">
</t>
        </r>
        <r>
          <rPr>
            <sz val="9"/>
            <color indexed="8"/>
            <rFont val="Geneva"/>
            <family val="2"/>
            <charset val="1"/>
          </rPr>
          <t xml:space="preserve">If your most recent year's operating income is unusually low or high, you can use the average operating income from the last few years. </t>
        </r>
      </text>
    </comment>
    <comment ref="F7" authorId="0" shapeId="0" xr:uid="{00000000-0006-0000-0000-000003000000}">
      <text>
        <r>
          <rPr>
            <b/>
            <sz val="9"/>
            <color indexed="8"/>
            <rFont val="Geneva"/>
            <family val="2"/>
            <charset val="1"/>
          </rPr>
          <t>Aswath Damodaran:</t>
        </r>
        <r>
          <rPr>
            <sz val="9"/>
            <color indexed="8"/>
            <rFont val="Geneva"/>
            <family val="2"/>
            <charset val="1"/>
          </rPr>
          <t xml:space="preserve">
</t>
        </r>
        <r>
          <rPr>
            <sz val="9"/>
            <color indexed="8"/>
            <rFont val="Geneva"/>
            <family val="2"/>
            <charset val="1"/>
          </rPr>
          <t>Enter the interest expense from the most recent income statement.</t>
        </r>
      </text>
    </comment>
    <comment ref="F8" authorId="0" shapeId="0" xr:uid="{00000000-0006-0000-0000-000004000000}">
      <text>
        <r>
          <rPr>
            <b/>
            <sz val="9"/>
            <color indexed="8"/>
            <rFont val="Geneva"/>
            <family val="2"/>
            <charset val="1"/>
          </rPr>
          <t>Aswath Damodaran:</t>
        </r>
        <r>
          <rPr>
            <sz val="9"/>
            <color indexed="8"/>
            <rFont val="Geneva"/>
            <family val="2"/>
            <charset val="1"/>
          </rPr>
          <t xml:space="preserve">
</t>
        </r>
        <r>
          <rPr>
            <sz val="9"/>
            <color indexed="8"/>
            <rFont val="Geneva"/>
            <family val="2"/>
            <charset val="1"/>
          </rPr>
          <t>I use a 10 year government bond rate.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F32" authorId="0" shapeId="0" xr:uid="{00000000-0006-0000-0100-000001000000}">
      <text>
        <r>
          <rPr>
            <b/>
            <sz val="9"/>
            <color indexed="81"/>
            <rFont val="Geneva"/>
            <family val="2"/>
            <charset val="1"/>
          </rPr>
          <t>Aswath Damodaran:</t>
        </r>
        <r>
          <rPr>
            <sz val="9"/>
            <color indexed="81"/>
            <rFont val="Geneva"/>
            <family val="2"/>
            <charset val="1"/>
          </rPr>
          <t xml:space="preserve">
I have used an approximation here. If you want to see the more complete adjustment, see below.</t>
        </r>
      </text>
    </comment>
  </commentList>
</comments>
</file>

<file path=xl/sharedStrings.xml><?xml version="1.0" encoding="utf-8"?>
<sst xmlns="http://schemas.openxmlformats.org/spreadsheetml/2006/main" count="120" uniqueCount="78">
  <si>
    <t>! If you do not have a cost of debt, use the attached ratings estimator</t>
  </si>
  <si>
    <t>Reported Debt =</t>
  </si>
  <si>
    <t>Do you have any operating lease or rental commitments?</t>
  </si>
  <si>
    <t>Restated Financials</t>
  </si>
  <si>
    <t>Operating Income with Operating leases reclassified as debt =</t>
  </si>
  <si>
    <t>Debt with Operating leases reclassified as debt =</t>
  </si>
  <si>
    <t>Full Operating lease adjustment</t>
  </si>
  <si>
    <t>Reported Operating income =</t>
  </si>
  <si>
    <t xml:space="preserve"> + Current year's operating lease expense =</t>
  </si>
  <si>
    <t xml:space="preserve"> - Depreciation on leased asset =</t>
  </si>
  <si>
    <t>Adjusted Operating Income</t>
  </si>
  <si>
    <t>Commitment</t>
  </si>
  <si>
    <t>! Year 1 is next year, ….</t>
  </si>
  <si>
    <t>6 and beyond</t>
  </si>
  <si>
    <t>Pre-tax Cost of Debt =</t>
  </si>
  <si>
    <t>For financial service firms (default spreads are slighty different)</t>
  </si>
  <si>
    <t>Enter the type of firm =</t>
  </si>
  <si>
    <t>Please read the special cases worksheet (see below) before you use this spreadsheet.</t>
  </si>
  <si>
    <t>Inputs for synthetic rating estimation</t>
  </si>
  <si>
    <t>Number of years embedded in yr 6 estimate =</t>
  </si>
  <si>
    <t>! I use the average lease expense over the first five years</t>
  </si>
  <si>
    <t>to estimate the number of years of expenses in yr 6</t>
  </si>
  <si>
    <t xml:space="preserve"> If you want to update the spreads listed below, please visit http://www.bondsonline.com</t>
    <phoneticPr fontId="13"/>
  </si>
  <si>
    <t>! This is the interest-bearing debt reported on the balance sheet</t>
  </si>
  <si>
    <t>Reported Interest Expenses =</t>
  </si>
  <si>
    <t>Converting Operating Leases into debt</t>
  </si>
  <si>
    <t>Present Value</t>
  </si>
  <si>
    <t>If long term interest coverage ratio is</t>
  </si>
  <si>
    <t>&gt;</t>
  </si>
  <si>
    <t>≤ to</t>
  </si>
  <si>
    <t>Rating is</t>
  </si>
  <si>
    <t>Spread is</t>
  </si>
  <si>
    <t>greater than</t>
  </si>
  <si>
    <t>Small: &lt;$5 billion</t>
  </si>
  <si>
    <t>Enter current long term government bond rate =</t>
  </si>
  <si>
    <t>Output</t>
  </si>
  <si>
    <t>Interest  coverage ratio =</t>
  </si>
  <si>
    <t>Estimated Bond Rating =</t>
  </si>
  <si>
    <t>Estimated Default Spread =</t>
  </si>
  <si>
    <t>Estimated Cost of Debt =</t>
  </si>
  <si>
    <t>From the current financial statements, enter the following</t>
  </si>
  <si>
    <t>Reported Operating Income (EBIT) =</t>
  </si>
  <si>
    <t>! This is the EBIT reported in the current income statement</t>
  </si>
  <si>
    <t>Yes</t>
  </si>
  <si>
    <t>Operating lease expense in current year =</t>
  </si>
  <si>
    <t>Operating Lease Commitments (From footnote to financials)</t>
  </si>
  <si>
    <t>Year</t>
  </si>
  <si>
    <t>! Commitment beyond year 6 converted into an annuity for ten years</t>
  </si>
  <si>
    <t>Note: If you get REF! All over the place, set the operating lease commitment question in cell F5</t>
  </si>
  <si>
    <t>Before you use this spreadsheet, make sure that the iteration box (under calculation options in excel) is checked.</t>
  </si>
  <si>
    <t>Debt Value of leases =</t>
  </si>
  <si>
    <t>(Enter 1 if large manufacturing firm, 2 if smaller or riskier firm, 3 if financial service firm)</t>
  </si>
  <si>
    <t>to No, and then reset it to Yes. It should work.</t>
  </si>
  <si>
    <t>Enter current Earnings before interest and taxes (EBIT) =</t>
  </si>
  <si>
    <t>(Add back only long term interest expense for financial firms)</t>
  </si>
  <si>
    <t>Enter current interest expenses =</t>
  </si>
  <si>
    <t>(Use only long term interest expense for financial firms)</t>
  </si>
  <si>
    <t>Operating lease inputs</t>
  </si>
  <si>
    <t>If interest coverage ratio is</t>
  </si>
  <si>
    <t>For smaller and riskier firms</t>
  </si>
  <si>
    <t>D2/D</t>
  </si>
  <si>
    <t>C2/C</t>
  </si>
  <si>
    <t>Ca2/CC</t>
  </si>
  <si>
    <t>Caa/CCC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</si>
  <si>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</si>
  <si>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</si>
  <si>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</si>
  <si>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</si>
  <si>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</si>
  <si>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</si>
  <si>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</si>
  <si>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</si>
  <si>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</si>
  <si>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</si>
  <si>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</si>
  <si>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Yes or No</t>
  </si>
  <si>
    <t>No</t>
  </si>
  <si>
    <t>For large non-financial service firms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</si>
</sst>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3">
    <font>
      <sz val="10"/>
      <name val="Geneva"/>
      <charset val="1"/>
    </font>
    <font>
      <b/>
      <sz val="10"/>
      <name val="Geneva"/>
      <family val="2"/>
      <charset val="1"/>
    </font>
    <font>
      <i/>
      <sz val="10"/>
      <name val="Geneva"/>
      <family val="2"/>
      <charset val="1"/>
    </font>
    <font>
      <sz val="10"/>
      <name val="Geneva"/>
      <family val="2"/>
      <charset val="1"/>
    </font>
    <font>
      <b/>
      <sz val="14"/>
      <name val="Times"/>
      <family val="1"/>
    </font>
    <font>
      <sz val="10"/>
      <name val="Times"/>
      <family val="1"/>
    </font>
    <font>
      <sz val="10"/>
      <name val="Geneva"/>
      <family val="2"/>
      <charset val="1"/>
    </font>
    <font>
      <b/>
      <sz val="10"/>
      <name val="Times"/>
      <family val="1"/>
    </font>
    <font>
      <sz val="10"/>
      <name val="Geneva"/>
      <family val="2"/>
      <charset val="1"/>
    </font>
    <font>
      <i/>
      <sz val="10"/>
      <name val="Times"/>
      <family val="1"/>
    </font>
    <font>
      <sz val="10"/>
      <name val="Geneva"/>
      <family val="2"/>
      <charset val="1"/>
    </font>
    <font>
      <sz val="9"/>
      <color indexed="81"/>
      <name val="Geneva"/>
      <family val="2"/>
      <charset val="1"/>
    </font>
    <font>
      <b/>
      <sz val="9"/>
      <color indexed="81"/>
      <name val="Geneva"/>
      <family val="2"/>
      <charset val="1"/>
    </font>
    <font>
      <sz val="8"/>
      <name val="Geneva"/>
      <family val="2"/>
      <charset val="1"/>
    </font>
    <font>
      <b/>
      <i/>
      <sz val="10"/>
      <name val="Times"/>
      <family val="1"/>
    </font>
    <font>
      <b/>
      <i/>
      <sz val="12"/>
      <name val="Times"/>
      <family val="1"/>
    </font>
    <font>
      <i/>
      <sz val="12"/>
      <name val="Geneva"/>
      <family val="2"/>
      <charset val="1"/>
    </font>
    <font>
      <b/>
      <sz val="9"/>
      <color indexed="8"/>
      <name val="Geneva"/>
      <family val="2"/>
      <charset val="1"/>
    </font>
    <font>
      <sz val="9"/>
      <color indexed="8"/>
      <name val="Geneva"/>
      <family val="2"/>
      <charset val="1"/>
    </font>
    <font>
      <i/>
      <sz val="10"/>
      <name val="Times Roman"/>
    </font>
    <font>
      <sz val="10"/>
      <name val="Times Roman"/>
    </font>
    <font>
      <sz val="10"/>
      <name val="Helvetica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7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10" fontId="7" fillId="0" borderId="1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 applyAlignment="1">
      <alignment horizontal="centerContinuous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/>
    <xf numFmtId="10" fontId="5" fillId="2" borderId="1" xfId="0" applyNumberFormat="1" applyFont="1" applyFill="1" applyBorder="1"/>
    <xf numFmtId="0" fontId="5" fillId="0" borderId="4" xfId="0" applyFont="1" applyBorder="1"/>
    <xf numFmtId="10" fontId="7" fillId="0" borderId="1" xfId="2" applyNumberFormat="1" applyFont="1" applyBorder="1" applyAlignment="1">
      <alignment horizontal="center"/>
    </xf>
    <xf numFmtId="0" fontId="5" fillId="0" borderId="3" xfId="0" applyFont="1" applyBorder="1"/>
    <xf numFmtId="0" fontId="5" fillId="2" borderId="3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5" fillId="4" borderId="3" xfId="0" applyNumberFormat="1" applyFont="1" applyFill="1" applyBorder="1"/>
    <xf numFmtId="164" fontId="5" fillId="4" borderId="4" xfId="0" applyNumberFormat="1" applyFont="1" applyFill="1" applyBorder="1"/>
    <xf numFmtId="0" fontId="5" fillId="0" borderId="1" xfId="0" applyFont="1" applyBorder="1"/>
    <xf numFmtId="164" fontId="5" fillId="4" borderId="1" xfId="0" applyNumberFormat="1" applyFont="1" applyFill="1" applyBorder="1"/>
    <xf numFmtId="164" fontId="5" fillId="3" borderId="3" xfId="1" applyFont="1" applyFill="1" applyBorder="1"/>
    <xf numFmtId="164" fontId="7" fillId="0" borderId="0" xfId="1" applyFont="1" applyBorder="1"/>
    <xf numFmtId="164" fontId="5" fillId="4" borderId="3" xfId="1" applyFont="1" applyFill="1" applyBorder="1"/>
    <xf numFmtId="164" fontId="5" fillId="4" borderId="4" xfId="1" applyFont="1" applyFill="1" applyBorder="1"/>
    <xf numFmtId="10" fontId="14" fillId="0" borderId="0" xfId="0" applyNumberFormat="1" applyFont="1" applyAlignment="1">
      <alignment horizontal="center"/>
    </xf>
    <xf numFmtId="0" fontId="2" fillId="0" borderId="0" xfId="0" applyFont="1"/>
    <xf numFmtId="0" fontId="15" fillId="0" borderId="0" xfId="0" applyFont="1"/>
    <xf numFmtId="0" fontId="16" fillId="0" borderId="0" xfId="0" applyFont="1"/>
    <xf numFmtId="164" fontId="5" fillId="4" borderId="2" xfId="0" applyNumberFormat="1" applyFont="1" applyFill="1" applyBorder="1"/>
    <xf numFmtId="0" fontId="22" fillId="0" borderId="3" xfId="0" applyFont="1" applyBorder="1" applyAlignment="1">
      <alignment horizontal="center"/>
    </xf>
    <xf numFmtId="165" fontId="0" fillId="5" borderId="3" xfId="0" applyNumberFormat="1" applyFill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0" fontId="19" fillId="0" borderId="3" xfId="0" applyFont="1" applyBorder="1" applyAlignment="1">
      <alignment horizontal="centerContinuous"/>
    </xf>
    <xf numFmtId="0" fontId="19" fillId="0" borderId="3" xfId="0" applyFont="1" applyBorder="1"/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21" fillId="0" borderId="7" xfId="2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F8" sqref="F8"/>
    </sheetView>
  </sheetViews>
  <sheetFormatPr defaultRowHeight="12.5"/>
  <cols>
    <col min="1" max="256" width="10.90625" customWidth="1"/>
  </cols>
  <sheetData>
    <row r="1" spans="1:16" ht="17.5">
      <c r="A1" s="1" t="s">
        <v>18</v>
      </c>
      <c r="O1" s="7" t="s">
        <v>43</v>
      </c>
      <c r="P1">
        <v>1</v>
      </c>
    </row>
    <row r="2" spans="1:16" ht="17.5">
      <c r="A2" s="1" t="s">
        <v>17</v>
      </c>
      <c r="O2" s="7" t="s">
        <v>76</v>
      </c>
      <c r="P2">
        <v>2</v>
      </c>
    </row>
    <row r="3" spans="1:16" s="34" customFormat="1" ht="16" thickBot="1">
      <c r="A3" s="33" t="s">
        <v>49</v>
      </c>
      <c r="P3" s="34">
        <v>3</v>
      </c>
    </row>
    <row r="4" spans="1:16" s="3" customFormat="1" ht="13.5" thickBot="1">
      <c r="A4" s="2" t="s">
        <v>16</v>
      </c>
      <c r="B4" s="2"/>
      <c r="C4" s="15">
        <v>1</v>
      </c>
      <c r="D4" s="2" t="s">
        <v>51</v>
      </c>
      <c r="E4" s="2"/>
      <c r="F4" s="2"/>
      <c r="G4" s="2"/>
      <c r="H4" s="2"/>
      <c r="I4" s="2" t="s">
        <v>33</v>
      </c>
      <c r="J4" s="2"/>
    </row>
    <row r="5" spans="1:16" s="3" customFormat="1" ht="13">
      <c r="A5" s="2" t="s">
        <v>2</v>
      </c>
      <c r="B5" s="2"/>
      <c r="C5" s="2"/>
      <c r="D5" s="2"/>
      <c r="E5" s="2"/>
      <c r="F5" s="20" t="s">
        <v>43</v>
      </c>
      <c r="G5" s="2" t="s">
        <v>75</v>
      </c>
      <c r="H5" s="2"/>
      <c r="I5" s="2"/>
      <c r="J5" s="2"/>
    </row>
    <row r="6" spans="1:16" s="3" customFormat="1" ht="13.5" thickBot="1">
      <c r="A6" s="2" t="s">
        <v>53</v>
      </c>
      <c r="B6" s="2"/>
      <c r="C6" s="2"/>
      <c r="D6" s="2"/>
      <c r="E6" s="2"/>
      <c r="F6" s="38">
        <v>8624</v>
      </c>
      <c r="G6" s="2" t="s">
        <v>54</v>
      </c>
      <c r="H6" s="2"/>
      <c r="I6" s="2"/>
      <c r="J6" s="2"/>
    </row>
    <row r="7" spans="1:16" s="3" customFormat="1" ht="13.5" thickBot="1">
      <c r="A7" s="2" t="s">
        <v>55</v>
      </c>
      <c r="B7" s="2"/>
      <c r="C7" s="2"/>
      <c r="D7" s="2"/>
      <c r="E7" s="2"/>
      <c r="F7" s="39">
        <v>772</v>
      </c>
      <c r="G7" s="2" t="s">
        <v>56</v>
      </c>
      <c r="H7" s="2"/>
      <c r="I7" s="2"/>
      <c r="J7" s="2"/>
    </row>
    <row r="8" spans="1:16" s="3" customFormat="1" ht="13.5" thickBot="1">
      <c r="A8" s="2" t="s">
        <v>34</v>
      </c>
      <c r="B8" s="2"/>
      <c r="C8" s="2"/>
      <c r="D8" s="2"/>
      <c r="E8" s="2"/>
      <c r="F8" s="16">
        <v>4.4389999999999999E-2</v>
      </c>
      <c r="G8" s="2"/>
      <c r="H8" s="2"/>
      <c r="I8" s="2"/>
      <c r="J8" s="2"/>
    </row>
    <row r="9" spans="1:16" s="3" customFormat="1" ht="13.5" thickBot="1">
      <c r="A9" s="4" t="s">
        <v>35</v>
      </c>
      <c r="B9" s="2"/>
      <c r="C9" s="2"/>
      <c r="D9" s="2"/>
      <c r="E9" s="2"/>
      <c r="F9" s="2"/>
      <c r="G9" s="2"/>
      <c r="H9" s="2"/>
      <c r="I9" s="2"/>
      <c r="J9" s="2"/>
    </row>
    <row r="10" spans="1:16" s="3" customFormat="1" ht="13.5" thickBot="1">
      <c r="A10" s="2" t="s">
        <v>36</v>
      </c>
      <c r="B10" s="2"/>
      <c r="C10" s="2"/>
      <c r="D10" s="5">
        <f ca="1">IF(F5="Yes",'Operating Leases'!F32/('Start here Ratings sheet'!F7+'Operating Leases'!C29*'Start here Ratings sheet'!D13),IF('Start here Ratings sheet'!F7&gt;0,'Start here Ratings sheet'!F6/'Start here Ratings sheet'!F7,100000))</f>
        <v>10.585905749502134</v>
      </c>
      <c r="E10" s="2"/>
      <c r="F10" s="2"/>
      <c r="G10" s="2"/>
      <c r="H10" s="2"/>
      <c r="I10" s="2"/>
      <c r="J10" s="2"/>
    </row>
    <row r="11" spans="1:16" s="7" customFormat="1" ht="13.5" thickBot="1">
      <c r="A11" s="2" t="s">
        <v>37</v>
      </c>
      <c r="B11" s="3"/>
      <c r="C11" s="3"/>
      <c r="D11" s="6" t="str">
        <f ca="1">IF(C4=1,VLOOKUP(D10,A19:D33,3),(IF(C4=2,VLOOKUP(D10,A38:D52,3),VLOOKUP(D10,F19:I33,3))))</f>
        <v>Aaa/AAA</v>
      </c>
      <c r="F11" s="32" t="s">
        <v>48</v>
      </c>
    </row>
    <row r="12" spans="1:16" s="7" customFormat="1" ht="13.5" thickBot="1">
      <c r="A12" s="2" t="s">
        <v>38</v>
      </c>
      <c r="B12" s="3"/>
      <c r="C12" s="3"/>
      <c r="D12" s="18">
        <f ca="1">IF(C4=1,VLOOKUP(D10,A19:D33,4),(IF(C4=2,VLOOKUP(D10,A38:D52,4),VLOOKUP(D10,F19:I33,4))))</f>
        <v>7.4000000000000003E-3</v>
      </c>
      <c r="F12" s="32" t="s">
        <v>52</v>
      </c>
    </row>
    <row r="13" spans="1:16" s="2" customFormat="1" ht="13.5" thickBot="1">
      <c r="A13" s="2" t="s">
        <v>39</v>
      </c>
      <c r="D13" s="8">
        <f ca="1">F8+D12</f>
        <v>5.1790000000000003E-2</v>
      </c>
    </row>
    <row r="14" spans="1:16" s="2" customFormat="1" ht="13">
      <c r="D14" s="9"/>
    </row>
    <row r="15" spans="1:16" s="12" customFormat="1" ht="13.5">
      <c r="A15" s="12" t="s">
        <v>22</v>
      </c>
      <c r="D15" s="31"/>
    </row>
    <row r="16" spans="1:16" s="10" customFormat="1" ht="13">
      <c r="A16" s="4" t="s">
        <v>77</v>
      </c>
      <c r="F16" s="4" t="s">
        <v>15</v>
      </c>
    </row>
    <row r="17" spans="1:10" s="3" customFormat="1" ht="13">
      <c r="A17" s="40" t="s">
        <v>58</v>
      </c>
      <c r="B17" s="40"/>
      <c r="C17" s="41"/>
      <c r="D17" s="41"/>
      <c r="E17" s="11"/>
      <c r="F17" s="12" t="s">
        <v>27</v>
      </c>
      <c r="G17" s="13"/>
      <c r="H17" s="2"/>
      <c r="I17" s="2"/>
      <c r="J17" s="2"/>
    </row>
    <row r="18" spans="1:10" s="3" customFormat="1" ht="13">
      <c r="A18" s="42" t="s">
        <v>28</v>
      </c>
      <c r="B18" s="42" t="s">
        <v>29</v>
      </c>
      <c r="C18" s="42" t="s">
        <v>30</v>
      </c>
      <c r="D18" s="42" t="s">
        <v>31</v>
      </c>
      <c r="E18" s="11"/>
      <c r="F18" s="14" t="s">
        <v>32</v>
      </c>
      <c r="G18" s="14" t="s">
        <v>29</v>
      </c>
      <c r="H18" s="14" t="s">
        <v>30</v>
      </c>
      <c r="I18" s="14" t="s">
        <v>31</v>
      </c>
    </row>
    <row r="19" spans="1:10" s="3" customFormat="1" ht="13">
      <c r="A19" s="43">
        <v>-100000</v>
      </c>
      <c r="B19" s="43">
        <v>0.19999900000000001</v>
      </c>
      <c r="C19" s="43" t="s">
        <v>60</v>
      </c>
      <c r="D19" s="48">
        <v>0.16</v>
      </c>
      <c r="F19" s="14">
        <v>-100000</v>
      </c>
      <c r="G19" s="14">
        <v>4.9999000000000002E-2</v>
      </c>
      <c r="H19" s="36" t="s">
        <v>60</v>
      </c>
      <c r="I19" s="48">
        <v>0.16</v>
      </c>
    </row>
    <row r="20" spans="1:10" s="3" customFormat="1" ht="13">
      <c r="A20" s="43">
        <v>0.2</v>
      </c>
      <c r="B20" s="43">
        <v>0.64999899999999999</v>
      </c>
      <c r="C20" s="43" t="s">
        <v>61</v>
      </c>
      <c r="D20" s="48">
        <v>0.14000000000000001</v>
      </c>
      <c r="F20" s="14">
        <v>0.05</v>
      </c>
      <c r="G20" s="14">
        <v>9.9999000000000005E-2</v>
      </c>
      <c r="H20" s="36" t="s">
        <v>61</v>
      </c>
      <c r="I20" s="48">
        <v>0.14000000000000001</v>
      </c>
    </row>
    <row r="21" spans="1:10" s="3" customFormat="1" ht="13">
      <c r="A21" s="43">
        <v>0.65</v>
      </c>
      <c r="B21" s="43">
        <v>0.79999900000000002</v>
      </c>
      <c r="C21" s="43" t="s">
        <v>62</v>
      </c>
      <c r="D21" s="48">
        <v>0.12809999999999999</v>
      </c>
      <c r="F21" s="14">
        <v>0.1</v>
      </c>
      <c r="G21" s="14">
        <v>0.19999900000000001</v>
      </c>
      <c r="H21" s="36" t="s">
        <v>62</v>
      </c>
      <c r="I21" s="48">
        <v>0.12809999999999999</v>
      </c>
    </row>
    <row r="22" spans="1:10" s="3" customFormat="1" ht="13">
      <c r="A22" s="43">
        <v>0.8</v>
      </c>
      <c r="B22" s="43">
        <v>1.2499990000000001</v>
      </c>
      <c r="C22" s="43" t="s">
        <v>63</v>
      </c>
      <c r="D22" s="48">
        <v>9.4299999999999995E-2</v>
      </c>
      <c r="F22" s="14">
        <v>0.2</v>
      </c>
      <c r="G22" s="14">
        <v>0.29999900000000002</v>
      </c>
      <c r="H22" s="36" t="s">
        <v>63</v>
      </c>
      <c r="I22" s="48">
        <v>9.4299999999999995E-2</v>
      </c>
    </row>
    <row r="23" spans="1:10" s="3" customFormat="1" ht="13">
      <c r="A23" s="43">
        <v>1.25</v>
      </c>
      <c r="B23" s="43">
        <v>1.4999990000000001</v>
      </c>
      <c r="C23" s="43" t="s">
        <v>64</v>
      </c>
      <c r="D23" s="48">
        <v>6.0400000000000002E-2</v>
      </c>
      <c r="F23" s="14">
        <v>0.3</v>
      </c>
      <c r="G23" s="14">
        <v>0.39999899999999999</v>
      </c>
      <c r="H23" s="36" t="s">
        <v>64</v>
      </c>
      <c r="I23" s="48">
        <v>6.0400000000000002E-2</v>
      </c>
    </row>
    <row r="24" spans="1:10" s="3" customFormat="1" ht="13">
      <c r="A24" s="43">
        <v>1.5</v>
      </c>
      <c r="B24" s="43">
        <v>1.7499990000000001</v>
      </c>
      <c r="C24" s="43" t="s">
        <v>65</v>
      </c>
      <c r="D24" s="48">
        <v>4.3499999999999997E-2</v>
      </c>
      <c r="F24" s="14">
        <v>0.4</v>
      </c>
      <c r="G24" s="14">
        <v>0.49999900000000003</v>
      </c>
      <c r="H24" s="36" t="s">
        <v>65</v>
      </c>
      <c r="I24" s="48">
        <v>4.3499999999999997E-2</v>
      </c>
    </row>
    <row r="25" spans="1:10" s="3" customFormat="1" ht="13">
      <c r="A25" s="43">
        <v>1.75</v>
      </c>
      <c r="B25" s="43">
        <v>1.9999990000000001</v>
      </c>
      <c r="C25" s="43" t="s">
        <v>66</v>
      </c>
      <c r="D25" s="48">
        <v>3.8100000000000002E-2</v>
      </c>
      <c r="F25" s="14">
        <v>0.5</v>
      </c>
      <c r="G25" s="14">
        <v>0.59999899999999995</v>
      </c>
      <c r="H25" s="36" t="s">
        <v>66</v>
      </c>
      <c r="I25" s="48">
        <v>3.8100000000000002E-2</v>
      </c>
    </row>
    <row r="26" spans="1:10" s="3" customFormat="1" ht="13">
      <c r="A26" s="43">
        <v>2</v>
      </c>
      <c r="B26" s="43">
        <v>2.2499999000000002</v>
      </c>
      <c r="C26" s="43" t="s">
        <v>67</v>
      </c>
      <c r="D26" s="48">
        <v>2.7400000000000001E-2</v>
      </c>
      <c r="F26" s="14">
        <v>0.6</v>
      </c>
      <c r="G26" s="14">
        <v>0.74999899999999997</v>
      </c>
      <c r="H26" s="36" t="s">
        <v>67</v>
      </c>
      <c r="I26" s="48">
        <v>2.7400000000000001E-2</v>
      </c>
    </row>
    <row r="27" spans="1:10" s="3" customFormat="1" ht="13">
      <c r="A27" s="43">
        <v>2.25</v>
      </c>
      <c r="B27" s="43">
        <v>2.4999899999999999</v>
      </c>
      <c r="C27" s="43" t="s">
        <v>68</v>
      </c>
      <c r="D27" s="48">
        <v>2.1999999999999999E-2</v>
      </c>
      <c r="F27" s="14">
        <v>0.75</v>
      </c>
      <c r="G27" s="14">
        <v>0.89999899999999999</v>
      </c>
      <c r="H27" s="36" t="s">
        <v>68</v>
      </c>
      <c r="I27" s="48">
        <v>2.1999999999999999E-2</v>
      </c>
    </row>
    <row r="28" spans="1:10" s="3" customFormat="1" ht="13">
      <c r="A28" s="43">
        <v>2.5</v>
      </c>
      <c r="B28" s="43">
        <v>2.9999989999999999</v>
      </c>
      <c r="C28" s="43" t="s">
        <v>69</v>
      </c>
      <c r="D28" s="48">
        <v>1.89E-2</v>
      </c>
      <c r="F28" s="14">
        <v>0.9</v>
      </c>
      <c r="G28" s="14">
        <v>1.199999</v>
      </c>
      <c r="H28" s="36" t="s">
        <v>69</v>
      </c>
      <c r="I28" s="48">
        <v>1.89E-2</v>
      </c>
    </row>
    <row r="29" spans="1:10" s="3" customFormat="1" ht="13">
      <c r="A29" s="43">
        <v>3</v>
      </c>
      <c r="B29" s="43">
        <v>4.2499989999999999</v>
      </c>
      <c r="C29" s="43" t="s">
        <v>70</v>
      </c>
      <c r="D29" s="48">
        <v>1.54E-2</v>
      </c>
      <c r="F29" s="14">
        <v>1.2</v>
      </c>
      <c r="G29" s="14">
        <v>1.4999899999999999</v>
      </c>
      <c r="H29" s="36" t="s">
        <v>70</v>
      </c>
      <c r="I29" s="48">
        <v>1.54E-2</v>
      </c>
    </row>
    <row r="30" spans="1:10" s="3" customFormat="1" ht="13">
      <c r="A30" s="43">
        <v>4.25</v>
      </c>
      <c r="B30" s="43">
        <v>5.4999989999999999</v>
      </c>
      <c r="C30" s="43" t="s">
        <v>71</v>
      </c>
      <c r="D30" s="48">
        <v>1.3599999999999999E-2</v>
      </c>
      <c r="F30" s="14">
        <v>1.5</v>
      </c>
      <c r="G30" s="14">
        <v>1.9999899999999999</v>
      </c>
      <c r="H30" s="36" t="s">
        <v>71</v>
      </c>
      <c r="I30" s="48">
        <v>1.3599999999999999E-2</v>
      </c>
    </row>
    <row r="31" spans="1:10" s="3" customFormat="1" ht="13">
      <c r="A31" s="43">
        <v>5.5</v>
      </c>
      <c r="B31" s="43">
        <v>6.4999989999999999</v>
      </c>
      <c r="C31" s="43" t="s">
        <v>72</v>
      </c>
      <c r="D31" s="48">
        <v>1.17E-2</v>
      </c>
      <c r="F31" s="14">
        <v>2</v>
      </c>
      <c r="G31" s="14">
        <v>2.4999899999999999</v>
      </c>
      <c r="H31" s="36" t="s">
        <v>72</v>
      </c>
      <c r="I31" s="48">
        <v>1.17E-2</v>
      </c>
    </row>
    <row r="32" spans="1:10" s="3" customFormat="1" ht="13">
      <c r="A32" s="43">
        <v>6.5</v>
      </c>
      <c r="B32" s="43">
        <v>8.4999990000000007</v>
      </c>
      <c r="C32" s="43" t="s">
        <v>73</v>
      </c>
      <c r="D32" s="48">
        <v>8.0000000000000002E-3</v>
      </c>
      <c r="F32" s="14">
        <v>2.5</v>
      </c>
      <c r="G32" s="14">
        <v>2.9999899999999999</v>
      </c>
      <c r="H32" s="36" t="s">
        <v>73</v>
      </c>
      <c r="I32" s="48">
        <v>8.0000000000000002E-3</v>
      </c>
    </row>
    <row r="33" spans="1:10" s="3" customFormat="1" ht="13">
      <c r="A33" s="44">
        <v>8.5</v>
      </c>
      <c r="B33" s="43">
        <v>100000</v>
      </c>
      <c r="C33" s="43" t="s">
        <v>74</v>
      </c>
      <c r="D33" s="48">
        <v>7.4000000000000003E-3</v>
      </c>
      <c r="F33" s="14">
        <v>3</v>
      </c>
      <c r="G33" s="14">
        <v>100000</v>
      </c>
      <c r="H33" s="36" t="s">
        <v>74</v>
      </c>
      <c r="I33" s="48">
        <v>7.4000000000000003E-3</v>
      </c>
    </row>
    <row r="34" spans="1:10" s="10" customFormat="1">
      <c r="A34" s="45"/>
      <c r="B34" s="45"/>
      <c r="C34" s="45"/>
      <c r="D34" s="45"/>
      <c r="F34" s="3"/>
      <c r="G34" s="3"/>
      <c r="H34" s="3"/>
      <c r="I34" s="3"/>
      <c r="J34" s="3"/>
    </row>
    <row r="35" spans="1:10" s="3" customFormat="1" ht="13">
      <c r="A35" s="46" t="s">
        <v>59</v>
      </c>
      <c r="B35" s="47"/>
      <c r="C35" s="47"/>
      <c r="D35" s="47"/>
      <c r="F35" s="10"/>
      <c r="G35" s="10"/>
      <c r="H35" s="10"/>
      <c r="I35" s="10"/>
      <c r="J35" s="10"/>
    </row>
    <row r="36" spans="1:10" s="3" customFormat="1" ht="13">
      <c r="A36" s="49" t="s">
        <v>58</v>
      </c>
      <c r="B36" s="50"/>
      <c r="C36" s="43"/>
      <c r="D36" s="43"/>
      <c r="F36"/>
      <c r="G36"/>
      <c r="H36"/>
      <c r="I36"/>
      <c r="J36"/>
    </row>
    <row r="37" spans="1:10" s="3" customFormat="1" ht="13">
      <c r="A37" s="43" t="s">
        <v>32</v>
      </c>
      <c r="B37" s="43" t="s">
        <v>29</v>
      </c>
      <c r="C37" s="43" t="s">
        <v>30</v>
      </c>
      <c r="D37" s="43" t="s">
        <v>31</v>
      </c>
      <c r="F37"/>
      <c r="G37"/>
      <c r="H37"/>
      <c r="I37"/>
      <c r="J37"/>
    </row>
    <row r="38" spans="1:10" s="3" customFormat="1" ht="13">
      <c r="A38" s="43">
        <v>-100000</v>
      </c>
      <c r="B38" s="43">
        <v>0.49999900000000003</v>
      </c>
      <c r="C38" s="43" t="s">
        <v>60</v>
      </c>
      <c r="D38" s="48">
        <v>0.16</v>
      </c>
      <c r="F38"/>
      <c r="G38"/>
      <c r="H38"/>
      <c r="I38"/>
      <c r="J38"/>
    </row>
    <row r="39" spans="1:10" s="3" customFormat="1" ht="13">
      <c r="A39" s="43">
        <v>0.5</v>
      </c>
      <c r="B39" s="43">
        <v>0.79999900000000002</v>
      </c>
      <c r="C39" s="43" t="s">
        <v>61</v>
      </c>
      <c r="D39" s="48">
        <v>0.14000000000000001</v>
      </c>
      <c r="F39"/>
      <c r="G39"/>
      <c r="H39"/>
      <c r="I39"/>
      <c r="J39"/>
    </row>
    <row r="40" spans="1:10" s="3" customFormat="1" ht="13">
      <c r="A40" s="43">
        <v>0.8</v>
      </c>
      <c r="B40" s="43">
        <v>1.2499990000000001</v>
      </c>
      <c r="C40" s="43" t="s">
        <v>62</v>
      </c>
      <c r="D40" s="48">
        <v>0.12809999999999999</v>
      </c>
      <c r="F40"/>
      <c r="G40"/>
      <c r="H40"/>
      <c r="I40"/>
      <c r="J40"/>
    </row>
    <row r="41" spans="1:10" s="3" customFormat="1" ht="13">
      <c r="A41" s="43">
        <v>1.25</v>
      </c>
      <c r="B41" s="43">
        <v>1.4999990000000001</v>
      </c>
      <c r="C41" s="43" t="s">
        <v>63</v>
      </c>
      <c r="D41" s="48">
        <v>9.4299999999999995E-2</v>
      </c>
      <c r="F41"/>
      <c r="G41"/>
      <c r="H41"/>
      <c r="I41"/>
      <c r="J41"/>
    </row>
    <row r="42" spans="1:10" s="3" customFormat="1" ht="13">
      <c r="A42" s="43">
        <v>1.5</v>
      </c>
      <c r="B42" s="43">
        <v>1.9999990000000001</v>
      </c>
      <c r="C42" s="43" t="s">
        <v>64</v>
      </c>
      <c r="D42" s="48">
        <v>6.0400000000000002E-2</v>
      </c>
      <c r="F42"/>
      <c r="G42"/>
      <c r="H42"/>
      <c r="I42"/>
      <c r="J42"/>
    </row>
    <row r="43" spans="1:10" s="3" customFormat="1" ht="13">
      <c r="A43" s="43">
        <v>2</v>
      </c>
      <c r="B43" s="43">
        <v>2.4999989999999999</v>
      </c>
      <c r="C43" s="43" t="s">
        <v>65</v>
      </c>
      <c r="D43" s="48">
        <v>4.3499999999999997E-2</v>
      </c>
      <c r="F43"/>
      <c r="G43"/>
      <c r="H43"/>
      <c r="I43"/>
      <c r="J43"/>
    </row>
    <row r="44" spans="1:10" s="3" customFormat="1" ht="13">
      <c r="A44" s="43">
        <v>2.5</v>
      </c>
      <c r="B44" s="43">
        <v>2.9999989999999999</v>
      </c>
      <c r="C44" s="43" t="s">
        <v>66</v>
      </c>
      <c r="D44" s="48">
        <v>3.8100000000000002E-2</v>
      </c>
      <c r="F44"/>
      <c r="G44"/>
      <c r="H44"/>
      <c r="I44"/>
      <c r="J44"/>
    </row>
    <row r="45" spans="1:10" s="3" customFormat="1" ht="13">
      <c r="A45" s="43">
        <v>3</v>
      </c>
      <c r="B45" s="43">
        <v>3.4999989999999999</v>
      </c>
      <c r="C45" s="43" t="s">
        <v>67</v>
      </c>
      <c r="D45" s="48">
        <v>2.7400000000000001E-2</v>
      </c>
      <c r="F45"/>
      <c r="G45"/>
      <c r="H45"/>
      <c r="I45"/>
      <c r="J45"/>
    </row>
    <row r="46" spans="1:10" s="3" customFormat="1" ht="13">
      <c r="A46" s="43">
        <v>3.5</v>
      </c>
      <c r="B46" s="43">
        <v>3.9999999000000002</v>
      </c>
      <c r="C46" s="43" t="s">
        <v>68</v>
      </c>
      <c r="D46" s="48">
        <v>2.1999999999999999E-2</v>
      </c>
      <c r="F46"/>
      <c r="G46"/>
      <c r="H46"/>
      <c r="I46"/>
      <c r="J46"/>
    </row>
    <row r="47" spans="1:10" s="3" customFormat="1" ht="13">
      <c r="A47" s="43">
        <v>4</v>
      </c>
      <c r="B47" s="43">
        <v>4.4999989999999999</v>
      </c>
      <c r="C47" s="43" t="s">
        <v>69</v>
      </c>
      <c r="D47" s="48">
        <v>1.89E-2</v>
      </c>
      <c r="F47"/>
      <c r="G47"/>
      <c r="H47"/>
      <c r="I47"/>
      <c r="J47"/>
    </row>
    <row r="48" spans="1:10" s="3" customFormat="1" ht="13">
      <c r="A48" s="43">
        <v>4.5</v>
      </c>
      <c r="B48" s="43">
        <v>5.9999989999999999</v>
      </c>
      <c r="C48" s="43" t="s">
        <v>70</v>
      </c>
      <c r="D48" s="48">
        <v>1.54E-2</v>
      </c>
      <c r="F48"/>
      <c r="G48"/>
      <c r="H48"/>
      <c r="I48"/>
      <c r="J48"/>
    </row>
    <row r="49" spans="1:10" s="3" customFormat="1" ht="13">
      <c r="A49" s="43">
        <v>6</v>
      </c>
      <c r="B49" s="43">
        <v>7.4999989999999999</v>
      </c>
      <c r="C49" s="43" t="s">
        <v>71</v>
      </c>
      <c r="D49" s="48">
        <v>1.3599999999999999E-2</v>
      </c>
      <c r="F49"/>
      <c r="G49"/>
      <c r="H49"/>
      <c r="I49"/>
      <c r="J49"/>
    </row>
    <row r="50" spans="1:10" s="3" customFormat="1" ht="13">
      <c r="A50" s="43">
        <v>7.5</v>
      </c>
      <c r="B50" s="43">
        <v>9.4999990000000007</v>
      </c>
      <c r="C50" s="43" t="s">
        <v>72</v>
      </c>
      <c r="D50" s="48">
        <v>1.17E-2</v>
      </c>
      <c r="F50"/>
      <c r="G50"/>
      <c r="H50"/>
      <c r="I50"/>
      <c r="J50"/>
    </row>
    <row r="51" spans="1:10" ht="13">
      <c r="A51" s="43">
        <v>9.5</v>
      </c>
      <c r="B51" s="43">
        <v>12.499999000000001</v>
      </c>
      <c r="C51" s="43" t="s">
        <v>73</v>
      </c>
      <c r="D51" s="48">
        <v>8.0000000000000002E-3</v>
      </c>
    </row>
    <row r="52" spans="1:10" ht="13">
      <c r="A52" s="43">
        <v>12.5</v>
      </c>
      <c r="B52" s="43">
        <v>100000</v>
      </c>
      <c r="C52" s="43" t="s">
        <v>74</v>
      </c>
      <c r="D52" s="48">
        <v>7.4000000000000003E-3</v>
      </c>
      <c r="F52" s="2"/>
      <c r="G52" s="2"/>
      <c r="H52" s="7"/>
      <c r="I52" s="7"/>
    </row>
  </sheetData>
  <mergeCells count="1">
    <mergeCell ref="A36:B36"/>
  </mergeCells>
  <phoneticPr fontId="13"/>
  <dataValidations count="2">
    <dataValidation type="list" allowBlank="1" showInputMessage="1" showErrorMessage="1" sqref="C4" xr:uid="{00000000-0002-0000-0000-000000000000}">
      <formula1>$P$1:$P$3</formula1>
    </dataValidation>
    <dataValidation type="list" allowBlank="1" showInputMessage="1" showErrorMessage="1" sqref="F5" xr:uid="{00000000-0002-0000-0000-000001000000}">
      <formula1>$O$1:$O$2</formula1>
    </dataValidation>
  </dataValidation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8" workbookViewId="0">
      <selection activeCell="F33" sqref="F33"/>
    </sheetView>
  </sheetViews>
  <sheetFormatPr defaultRowHeight="12.5"/>
  <cols>
    <col min="1" max="256" width="10.90625" customWidth="1"/>
  </cols>
  <sheetData>
    <row r="1" spans="1:5" s="4" customFormat="1" ht="13">
      <c r="A1" s="4" t="s">
        <v>57</v>
      </c>
    </row>
    <row r="2" spans="1:5" s="2" customFormat="1" ht="13">
      <c r="A2" s="2" t="s">
        <v>44</v>
      </c>
      <c r="E2" s="27">
        <v>327</v>
      </c>
    </row>
    <row r="3" spans="1:5" s="12" customFormat="1" ht="13">
      <c r="A3" s="12" t="s">
        <v>45</v>
      </c>
    </row>
    <row r="4" spans="1:5" s="2" customFormat="1" ht="13">
      <c r="A4" s="14" t="s">
        <v>46</v>
      </c>
      <c r="B4" s="14" t="s">
        <v>11</v>
      </c>
      <c r="C4" s="2" t="s">
        <v>12</v>
      </c>
    </row>
    <row r="5" spans="1:5" s="2" customFormat="1" ht="13">
      <c r="A5" s="14">
        <v>1</v>
      </c>
      <c r="B5" s="27">
        <v>327</v>
      </c>
    </row>
    <row r="6" spans="1:5" s="2" customFormat="1" ht="13">
      <c r="A6" s="14">
        <v>2</v>
      </c>
      <c r="B6" s="27">
        <v>226</v>
      </c>
    </row>
    <row r="7" spans="1:5" s="2" customFormat="1" ht="13">
      <c r="A7" s="14">
        <v>3</v>
      </c>
      <c r="B7" s="27">
        <v>178</v>
      </c>
    </row>
    <row r="8" spans="1:5" s="2" customFormat="1" ht="13">
      <c r="A8" s="14">
        <v>4</v>
      </c>
      <c r="B8" s="27">
        <v>131</v>
      </c>
    </row>
    <row r="9" spans="1:5" s="2" customFormat="1" ht="13">
      <c r="A9" s="14">
        <v>5</v>
      </c>
      <c r="B9" s="27">
        <v>101</v>
      </c>
    </row>
    <row r="10" spans="1:5" s="2" customFormat="1" ht="13">
      <c r="A10" s="14" t="s">
        <v>13</v>
      </c>
      <c r="B10" s="27">
        <v>379</v>
      </c>
    </row>
    <row r="11" spans="1:5" s="2" customFormat="1" ht="13.5" thickBot="1"/>
    <row r="12" spans="1:5" s="2" customFormat="1" ht="13.5" thickBot="1">
      <c r="A12" s="2" t="s">
        <v>14</v>
      </c>
      <c r="C12" s="21">
        <f ca="1">'Start here Ratings sheet'!D13</f>
        <v>5.1790000000000003E-2</v>
      </c>
      <c r="D12" s="2" t="s">
        <v>0</v>
      </c>
    </row>
    <row r="13" spans="1:5" s="2" customFormat="1" ht="13"/>
    <row r="14" spans="1:5" s="12" customFormat="1" ht="13">
      <c r="A14" s="12" t="s">
        <v>40</v>
      </c>
    </row>
    <row r="15" spans="1:5" s="2" customFormat="1" ht="13">
      <c r="A15" s="2" t="s">
        <v>41</v>
      </c>
      <c r="D15" s="29">
        <f>'Start here Ratings sheet'!F6</f>
        <v>8624</v>
      </c>
      <c r="E15" s="2" t="s">
        <v>42</v>
      </c>
    </row>
    <row r="16" spans="1:5" s="2" customFormat="1" ht="13">
      <c r="A16" s="2" t="s">
        <v>1</v>
      </c>
      <c r="D16" s="27">
        <v>17262</v>
      </c>
      <c r="E16" s="2" t="s">
        <v>23</v>
      </c>
    </row>
    <row r="17" spans="1:6" s="2" customFormat="1" ht="13">
      <c r="A17" s="2" t="s">
        <v>24</v>
      </c>
      <c r="D17" s="29">
        <f>'Start here Ratings sheet'!F7</f>
        <v>772</v>
      </c>
    </row>
    <row r="18" spans="1:6" s="4" customFormat="1" ht="13">
      <c r="A18" s="4" t="s">
        <v>35</v>
      </c>
      <c r="D18" s="28"/>
    </row>
    <row r="19" spans="1:6" s="2" customFormat="1" ht="13">
      <c r="A19" s="2" t="s">
        <v>19</v>
      </c>
      <c r="D19" s="22">
        <f>ROUND(B10/AVERAGE(B5:B9),0)</f>
        <v>2</v>
      </c>
      <c r="E19" s="2" t="s">
        <v>20</v>
      </c>
    </row>
    <row r="20" spans="1:6" s="4" customFormat="1" ht="13">
      <c r="E20" s="2" t="s">
        <v>21</v>
      </c>
    </row>
    <row r="21" spans="1:6" s="12" customFormat="1" ht="13">
      <c r="A21" s="12" t="s">
        <v>25</v>
      </c>
    </row>
    <row r="22" spans="1:6" s="2" customFormat="1" ht="13">
      <c r="A22" s="14" t="s">
        <v>46</v>
      </c>
      <c r="B22" s="14" t="s">
        <v>11</v>
      </c>
      <c r="C22" s="14" t="s">
        <v>26</v>
      </c>
    </row>
    <row r="23" spans="1:6" s="2" customFormat="1" ht="13">
      <c r="A23" s="19">
        <f>A5</f>
        <v>1</v>
      </c>
      <c r="B23" s="23">
        <f>B5</f>
        <v>327</v>
      </c>
      <c r="C23" s="29">
        <f ca="1">B23/(1+$C$12)^A23</f>
        <v>310.89856340143945</v>
      </c>
    </row>
    <row r="24" spans="1:6" s="2" customFormat="1" ht="13">
      <c r="A24" s="19">
        <f t="shared" ref="A24:B27" si="0">A6</f>
        <v>2</v>
      </c>
      <c r="B24" s="23">
        <f t="shared" si="0"/>
        <v>226</v>
      </c>
      <c r="C24" s="29">
        <f ca="1">B24/(1+$C$12)^A24</f>
        <v>204.29153157579162</v>
      </c>
    </row>
    <row r="25" spans="1:6" s="2" customFormat="1" ht="13">
      <c r="A25" s="19">
        <f t="shared" si="0"/>
        <v>3</v>
      </c>
      <c r="B25" s="23">
        <f t="shared" si="0"/>
        <v>178</v>
      </c>
      <c r="C25" s="29">
        <f ca="1">B25/(1+$C$12)^A25</f>
        <v>152.97937776237217</v>
      </c>
    </row>
    <row r="26" spans="1:6" s="2" customFormat="1" ht="13">
      <c r="A26" s="19">
        <f t="shared" si="0"/>
        <v>4</v>
      </c>
      <c r="B26" s="23">
        <f t="shared" si="0"/>
        <v>131</v>
      </c>
      <c r="C26" s="29">
        <f ca="1">B26/(1+$C$12)^A26</f>
        <v>107.04222949015836</v>
      </c>
    </row>
    <row r="27" spans="1:6" s="2" customFormat="1" ht="13">
      <c r="A27" s="19">
        <f t="shared" si="0"/>
        <v>5</v>
      </c>
      <c r="B27" s="23">
        <f t="shared" si="0"/>
        <v>101</v>
      </c>
      <c r="C27" s="29">
        <f ca="1">B27/(1+$C$12)^A27</f>
        <v>78.465037527126555</v>
      </c>
    </row>
    <row r="28" spans="1:6" s="2" customFormat="1" ht="13.5" thickBot="1">
      <c r="A28" s="17" t="str">
        <f>A10</f>
        <v>6 and beyond</v>
      </c>
      <c r="B28" s="24">
        <f>IF(B10&gt;0,IF(D19&gt;1,B10/D19,B10),0)</f>
        <v>189.5</v>
      </c>
      <c r="C28" s="30">
        <f ca="1">IF(D19&gt;0,(B28*(1-(1+C12)^(-D19))/C12)/(1+$C$12)^5,B28/(1+C12)^6)</f>
        <v>273.04791294912957</v>
      </c>
      <c r="D28" s="2" t="s">
        <v>47</v>
      </c>
    </row>
    <row r="29" spans="1:6" s="2" customFormat="1" ht="13.5" thickBot="1">
      <c r="A29" s="25" t="s">
        <v>50</v>
      </c>
      <c r="B29" s="25"/>
      <c r="C29" s="26">
        <f ca="1">SUM(C23:C28)</f>
        <v>1126.7246527060177</v>
      </c>
    </row>
    <row r="31" spans="1:6" s="2" customFormat="1" ht="13.5" thickBot="1">
      <c r="A31" s="12" t="s">
        <v>3</v>
      </c>
    </row>
    <row r="32" spans="1:6" s="2" customFormat="1" ht="13.5" thickBot="1">
      <c r="A32" s="2" t="s">
        <v>4</v>
      </c>
      <c r="F32" s="26">
        <f ca="1">D15+E2-C29/(5+D19)</f>
        <v>8790.0393353277123</v>
      </c>
    </row>
    <row r="33" spans="1:6" s="2" customFormat="1" ht="13.5" thickBot="1">
      <c r="A33" s="2" t="s">
        <v>5</v>
      </c>
      <c r="F33" s="35">
        <f ca="1">D16+C29</f>
        <v>18388.724652706016</v>
      </c>
    </row>
    <row r="36" spans="1:6">
      <c r="A36" t="s">
        <v>6</v>
      </c>
    </row>
    <row r="37" spans="1:6">
      <c r="A37" t="s">
        <v>7</v>
      </c>
      <c r="D37" s="37">
        <f>D15</f>
        <v>8624</v>
      </c>
    </row>
    <row r="38" spans="1:6">
      <c r="A38" t="s">
        <v>8</v>
      </c>
      <c r="D38" s="37">
        <f>E2</f>
        <v>327</v>
      </c>
    </row>
    <row r="39" spans="1:6">
      <c r="A39" t="s">
        <v>9</v>
      </c>
      <c r="D39" s="37">
        <f ca="1">C29/(5+D19)</f>
        <v>160.96066467228823</v>
      </c>
    </row>
    <row r="40" spans="1:6">
      <c r="A40" t="s">
        <v>10</v>
      </c>
      <c r="D40" s="37">
        <f ca="1">D37+D38-D39</f>
        <v>8790.0393353277123</v>
      </c>
    </row>
  </sheetData>
  <phoneticPr fontId="13"/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5"/>
  <cols>
    <col min="1" max="256" width="10.906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Start here Ratings sheet</vt:lpstr>
      <vt:lpstr>Operating Leases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SHIVAM S - 190909050</cp:lastModifiedBy>
  <dcterms:created xsi:type="dcterms:W3CDTF">2007-02-27T16:35:18Z</dcterms:created>
  <dcterms:modified xsi:type="dcterms:W3CDTF">2023-09-26T00:56:16Z</dcterms:modified>
</cp:coreProperties>
</file>